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5016" yWindow="1056" windowWidth="25608" windowHeight="14556" tabRatio="818" firstSheet="21" activeTab="21"/>
  </bookViews>
  <sheets>
    <sheet name="Instructions" sheetId="69" r:id="rId1"/>
    <sheet name="Input Data" sheetId="20" r:id="rId2"/>
    <sheet name="Results" sheetId="68" r:id="rId3"/>
    <sheet name="Financials" sheetId="47" r:id="rId4"/>
    <sheet name="Assumptions ---&gt;" sheetId="88" r:id="rId5"/>
    <sheet name="Assumption Support" sheetId="86" r:id="rId6"/>
    <sheet name="Capital Costs" sheetId="87" r:id="rId7"/>
    <sheet name="Monthly Capex AFUDC Calcs" sheetId="89" r:id="rId8"/>
    <sheet name="CAPEX ---&gt;" sheetId="81" r:id="rId9"/>
    <sheet name="Capex" sheetId="72" r:id="rId10"/>
    <sheet name="DEPRECIATION ---&gt;" sheetId="79" r:id="rId11"/>
    <sheet name="Book" sheetId="57" r:id="rId12"/>
    <sheet name="Tax" sheetId="80" r:id="rId13"/>
    <sheet name="OTHER EXPENSES ---&gt;" sheetId="82" r:id="rId14"/>
    <sheet name="O&amp;M" sheetId="74" r:id="rId15"/>
    <sheet name="Property Tax" sheetId="67" r:id="rId16"/>
    <sheet name="REVENUE REQUIREMENT ---&gt;" sheetId="83" r:id="rId17"/>
    <sheet name="Rev Req" sheetId="60" r:id="rId18"/>
    <sheet name="LFCR ---&gt;" sheetId="85" r:id="rId19"/>
    <sheet name="LFCR" sheetId="55" r:id="rId20"/>
    <sheet name="BILL IMPACT ---&gt;" sheetId="84" r:id="rId21"/>
    <sheet name="Residential Bill Impact" sheetId="75" r:id="rId22"/>
  </sheets>
  <externalReferences>
    <externalReference r:id="rId23"/>
  </externalReferences>
  <definedNames>
    <definedName name="_Order1" hidden="1">255</definedName>
    <definedName name="BMGHIndex">"O"</definedName>
    <definedName name="BSMap">#REF!</definedName>
    <definedName name="CIQWBGuid" hidden="1">"Ten Year Forecast - v65.xlsm"</definedName>
    <definedName name="dcMonthsinYear">12</definedName>
    <definedName name="Debt.calc">Financials!$C$170:$AF$170</definedName>
    <definedName name="Debt.paste">Financials!$C$172:$AF$172</definedName>
    <definedName name="Equity.calc">Financials!$C$171:$AF$171</definedName>
    <definedName name="Equity.paste">Financials!$C$173:$AF$173</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US_SEG_PRIMARY_GIC" hidden="1">"c15584"</definedName>
    <definedName name="IQ_BUS_SEG_PRIMARY_GIC_ABS" hidden="1">"c15572"</definedName>
    <definedName name="IQ_BUS_SEG_SECONDARY_GIC" hidden="1">"c15585"</definedName>
    <definedName name="IQ_BUS_SEG_SECONDARY_GIC_ABS" hidden="1">"c15573"</definedName>
    <definedName name="IQ_CAPEX_BR" hidden="1">"c111"</definedName>
    <definedName name="IQ_CH">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LASSB_OUTSTANDING_BS_DATE" hidden="1">"c1972"</definedName>
    <definedName name="IQ_CLASSB_OUTSTANDING_FILING_DATE" hidden="1">"c1974"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Q">5000</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ST_EPS_SURPRISE" hidden="1">"c1635"</definedName>
    <definedName name="IQ_EXTRA_ACC_ITEMS_BR" hidden="1">"c412"</definedName>
    <definedName name="IQ_FH">100000</definedName>
    <definedName name="IQ_FHLB_DUE_AFTER_FIVE" hidden="1">"c2086"</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REST_LT_DEBT" hidden="1">"c2086"</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ISTING_CURRENCY" hidden="1">"c2127"</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2000</definedName>
    <definedName name="IQ_LTMMONTH" hidden="1">120000</definedName>
    <definedName name="IQ_MERGER_BR" hidden="1">"c715"</definedName>
    <definedName name="IQ_MERGER_RESTRUCTURE_BR" hidden="1">"c721"</definedName>
    <definedName name="IQ_MINORITY_INTEREST_BR" hidden="1">"c729"</definedName>
    <definedName name="IQ_MONTH">15000</definedName>
    <definedName name="IQ_MTD" hidden="1">800000</definedName>
    <definedName name="IQ_NAMES_REVISION_DATE_" hidden="1">43019.5759953704</definedName>
    <definedName name="IQ_NAV_ACT_OR_EST" hidden="1">"c2225"</definedName>
    <definedName name="IQ_NET_DEBT_ISSUED_BR" hidden="1">"c753"</definedName>
    <definedName name="IQ_NET_INT_INC_BR" hidden="1">"c765"</definedName>
    <definedName name="IQ_NTM">6000</definedName>
    <definedName name="IQ_NUM_OFFICES" hidden="1">"c2088"</definedName>
    <definedName name="IQ_NUMBER_SHAREHOLDERS_CLASSB" hidden="1">"c1969"</definedName>
    <definedName name="IQ_OG_OTHER_ADJ" hidden="1">"c1999"</definedName>
    <definedName name="IQ_OG_TOTAL_OIL_PRODUCTON" hidden="1">"c2059"</definedName>
    <definedName name="IQ_OPENED55" hidden="1">1</definedName>
    <definedName name="IQ_OPER_INC_BR" hidden="1">"c850"</definedName>
    <definedName name="IQ_OPTIONS_EXCERCISED" hidden="1">"c2116"</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OUTSTANDING_FILING_DATE_TOTAL" hidden="1">"c2107"</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ARGET_PRICE_LASTCLOSE" hidden="1">"c1855"</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50000</definedName>
    <definedName name="IQ_YTD">3000</definedName>
    <definedName name="IQ_YTDMONTH" hidden="1">130000</definedName>
    <definedName name="Last_Row" localSheetId="7">IF(Values_Entered,Header_Row+Number_of_Payments,Header_Row)</definedName>
    <definedName name="Last_Row" localSheetId="12">IF(Values_Entered,Header_Row+Number_of_Payments,Header_Row)</definedName>
    <definedName name="Last_Row">IF(Values_Entered,Header_Row+Number_of_Payments,Header_Row)</definedName>
    <definedName name="lstAnnualRetirementDates" localSheetId="7">[1]Drivers!$B$205:$B$217</definedName>
    <definedName name="lstAnnualRetirementDates">#REF!</definedName>
    <definedName name="lstCaseInputSelection" localSheetId="7">[1]Drivers!$B$198:$B$202</definedName>
    <definedName name="lstCaseInputSelection">#REF!</definedName>
    <definedName name="lstDiscreteCapitalProjects" localSheetId="7">[1]Drivers!#REF!</definedName>
    <definedName name="lstDiscreteCapitalProjects" localSheetId="12">[1]Drivers!#REF!</definedName>
    <definedName name="lstDiscreteCapitalProjects">#REF!</definedName>
    <definedName name="lstInServiceDates" localSheetId="7">[1]Drivers!$B$220:$B$365</definedName>
    <definedName name="lstInServiceDates">#REF!</definedName>
    <definedName name="lstScenarios" localSheetId="7">[1]Drivers!$B$156:$B$195</definedName>
    <definedName name="lstScenarios">#REF!</definedName>
    <definedName name="lstTimeline" localSheetId="7">[1]Drivers!$C$7:$O$7</definedName>
    <definedName name="lstTimeline">#REF!</definedName>
    <definedName name="_xlnm.Print_Area" localSheetId="6">'Capital Costs'!$B$1:$M$70</definedName>
    <definedName name="_xlnm.Print_Area" localSheetId="3">Financials!$A$2:$AG$160</definedName>
    <definedName name="_xlnm.Print_Area" localSheetId="1">'Input Data'!$A$1:$Q$76</definedName>
    <definedName name="_xlnm.Print_Area" localSheetId="19">LFCR!$A$1:$U$43</definedName>
    <definedName name="_xlnm.Print_Area" localSheetId="21">'Residential Bill Impact'!$A$3:$M$68</definedName>
    <definedName name="_xlnm.Print_Area" localSheetId="2">Results!$A$1:$M$65</definedName>
    <definedName name="_xlnm.Print_Titles" localSheetId="3">Financials!$A:$B,Financials!$2:$4</definedName>
    <definedName name="_xlnm.Print_Titles" localSheetId="2">Results!$1:$4</definedName>
    <definedName name="rngScenario" localSheetId="7">[1]ScenarioMgr!$D$8</definedName>
    <definedName name="rngScenario">#REF!</definedName>
    <definedName name="sysCheck" localSheetId="7">[1]Checks!$B$1</definedName>
    <definedName name="sysCheck">#REF!</definedName>
    <definedName name="sysMakeWHoleButton" localSheetId="7">'[1]Surv Report'!$P$642</definedName>
    <definedName name="sysMakeWHoleButton">#REF!</definedName>
    <definedName name="sysmakewholerate" localSheetId="7">[1]ScenarioMgr!$G$31</definedName>
    <definedName name="sysmakewholerate">#REF!</definedName>
    <definedName name="sysNOLCheck" localSheetId="7">'[1]NOL-Credit Utilization'!$B$88</definedName>
    <definedName name="sysNOLCheck">#REF!</definedName>
    <definedName name="Tolerance" localSheetId="7">[1]Checks!$D$3</definedName>
    <definedName name="Tolerance">#REF!</definedName>
    <definedName name="USGAAP">#REF!</definedName>
    <definedName name="USGAAP2">#REF!</definedName>
    <definedName name="USGAAPMapping">#REF!</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0" l="1"/>
  <c r="H18" i="60"/>
  <c r="I18" i="60"/>
  <c r="J18" i="60"/>
  <c r="K18" i="60"/>
  <c r="L18" i="60"/>
  <c r="M18" i="60"/>
  <c r="N18" i="60"/>
  <c r="F18" i="60"/>
  <c r="L17" i="60"/>
  <c r="M17" i="60"/>
  <c r="N17" i="60"/>
  <c r="F17" i="60"/>
  <c r="G17" i="60"/>
  <c r="H17" i="60"/>
  <c r="I17" i="60"/>
  <c r="J17" i="60"/>
  <c r="K17" i="60"/>
  <c r="B64" i="75"/>
  <c r="E35" i="75" l="1"/>
  <c r="F35" i="75"/>
  <c r="G35" i="75"/>
  <c r="H35" i="75"/>
  <c r="I35" i="75"/>
  <c r="J35" i="75"/>
  <c r="K35" i="75"/>
  <c r="L35" i="75"/>
  <c r="M35" i="75"/>
  <c r="N35" i="75"/>
  <c r="O35" i="75"/>
  <c r="P35" i="75"/>
  <c r="Q35" i="75"/>
  <c r="R35" i="75"/>
  <c r="S35" i="75"/>
  <c r="T35" i="75"/>
  <c r="U35" i="75"/>
  <c r="V35" i="75"/>
  <c r="W35" i="75"/>
  <c r="X35" i="75"/>
  <c r="Y35" i="75"/>
  <c r="Z35" i="75"/>
  <c r="AA35" i="75"/>
  <c r="AB35" i="75"/>
  <c r="AC35" i="75"/>
  <c r="AD35" i="75"/>
  <c r="AE35" i="75"/>
  <c r="AF35" i="75"/>
  <c r="AG35" i="75"/>
  <c r="E51" i="75"/>
  <c r="F51" i="75"/>
  <c r="G51" i="75"/>
  <c r="H51" i="75"/>
  <c r="I51" i="75"/>
  <c r="J51" i="75"/>
  <c r="K51" i="75"/>
  <c r="L51" i="75"/>
  <c r="M51" i="75"/>
  <c r="N51" i="75"/>
  <c r="O51" i="75"/>
  <c r="P51" i="75"/>
  <c r="Q51" i="75"/>
  <c r="R51" i="75"/>
  <c r="S51" i="75"/>
  <c r="T51" i="75"/>
  <c r="U51" i="75"/>
  <c r="V51" i="75"/>
  <c r="W51" i="75"/>
  <c r="X51" i="75"/>
  <c r="Y51" i="75"/>
  <c r="Z51" i="75"/>
  <c r="AA51" i="75"/>
  <c r="AB51" i="75"/>
  <c r="AC51" i="75"/>
  <c r="AD51" i="75"/>
  <c r="AE51" i="75"/>
  <c r="AF51" i="75"/>
  <c r="AG51" i="75"/>
  <c r="E52" i="75"/>
  <c r="F52" i="75"/>
  <c r="G52" i="75"/>
  <c r="H52" i="75"/>
  <c r="I52" i="75"/>
  <c r="J52" i="75"/>
  <c r="K52" i="75"/>
  <c r="L52" i="75"/>
  <c r="M52" i="75"/>
  <c r="N52" i="75"/>
  <c r="O52" i="75"/>
  <c r="P52" i="75"/>
  <c r="Q52" i="75"/>
  <c r="R52" i="75"/>
  <c r="S52" i="75"/>
  <c r="T52" i="75"/>
  <c r="U52" i="75"/>
  <c r="V52" i="75"/>
  <c r="W52" i="75"/>
  <c r="X52" i="75"/>
  <c r="Y52" i="75"/>
  <c r="Z52" i="75"/>
  <c r="AA52" i="75"/>
  <c r="AB52" i="75"/>
  <c r="AC52" i="75"/>
  <c r="AD52" i="75"/>
  <c r="AE52" i="75"/>
  <c r="AF52" i="75"/>
  <c r="AG52" i="75"/>
  <c r="D52" i="75"/>
  <c r="D51" i="75"/>
  <c r="Y87" i="75"/>
  <c r="Z87" i="75" s="1"/>
  <c r="AA87" i="75" s="1"/>
  <c r="AB87" i="75" s="1"/>
  <c r="R87" i="75"/>
  <c r="Q87" i="75"/>
  <c r="O87" i="75"/>
  <c r="O86" i="75"/>
  <c r="P86" i="75" s="1"/>
  <c r="Q86" i="75" s="1"/>
  <c r="R86" i="75" s="1"/>
  <c r="S86" i="75" s="1"/>
  <c r="T86" i="75" s="1"/>
  <c r="U86" i="75" s="1"/>
  <c r="V86" i="75" s="1"/>
  <c r="W86" i="75" s="1"/>
  <c r="X86" i="75" s="1"/>
  <c r="Y86" i="75" s="1"/>
  <c r="Z86" i="75" s="1"/>
  <c r="AA86" i="75" s="1"/>
  <c r="AB86" i="75" s="1"/>
  <c r="O85" i="75"/>
  <c r="H85" i="75"/>
  <c r="Y84" i="75"/>
  <c r="Z84" i="75" s="1"/>
  <c r="AA84" i="75" s="1"/>
  <c r="AB84" i="75" s="1"/>
  <c r="R84" i="75"/>
  <c r="Q84" i="75"/>
  <c r="O84" i="75"/>
  <c r="H84" i="75"/>
  <c r="Y83" i="75"/>
  <c r="Z83" i="75" s="1"/>
  <c r="AA83" i="75" s="1"/>
  <c r="AB83" i="75" s="1"/>
  <c r="R83" i="75"/>
  <c r="Q83" i="75"/>
  <c r="O83" i="75"/>
  <c r="H83" i="75"/>
  <c r="Y82" i="75"/>
  <c r="Z82" i="75" s="1"/>
  <c r="AA82" i="75" s="1"/>
  <c r="AB82" i="75" s="1"/>
  <c r="R82" i="75"/>
  <c r="Q82" i="75"/>
  <c r="O82" i="75"/>
  <c r="H82" i="75"/>
  <c r="Y81" i="75"/>
  <c r="Z81" i="75" s="1"/>
  <c r="AA81" i="75" s="1"/>
  <c r="AB81" i="75" s="1"/>
  <c r="R81" i="75"/>
  <c r="Q81" i="75"/>
  <c r="O81" i="75"/>
  <c r="H81" i="75"/>
  <c r="Y80" i="75"/>
  <c r="Z80" i="75" s="1"/>
  <c r="AA80" i="75" s="1"/>
  <c r="AB80" i="75" s="1"/>
  <c r="R80" i="75"/>
  <c r="Q80" i="75"/>
  <c r="Y79" i="75"/>
  <c r="Z79" i="75" s="1"/>
  <c r="AA79" i="75" s="1"/>
  <c r="AB79" i="75" s="1"/>
  <c r="R79" i="75"/>
  <c r="Q79" i="75"/>
  <c r="O79" i="75"/>
  <c r="H79" i="75"/>
  <c r="Y78" i="75"/>
  <c r="Z78" i="75" s="1"/>
  <c r="AA78" i="75" s="1"/>
  <c r="AB78" i="75" s="1"/>
  <c r="R78" i="75"/>
  <c r="Q78" i="75"/>
  <c r="O78" i="75"/>
  <c r="AA92" i="75"/>
  <c r="Z92" i="75"/>
  <c r="Y92" i="75"/>
  <c r="X92" i="75"/>
  <c r="W92" i="75"/>
  <c r="V92" i="75"/>
  <c r="U92" i="75"/>
  <c r="T92" i="75"/>
  <c r="S92" i="75"/>
  <c r="R92" i="75"/>
  <c r="Q92" i="75"/>
  <c r="O92" i="75"/>
  <c r="AB92" i="75" s="1"/>
  <c r="O90" i="75"/>
  <c r="F77" i="75" l="1"/>
  <c r="G77" i="75" s="1"/>
  <c r="H77" i="75" s="1"/>
  <c r="I77" i="75" s="1"/>
  <c r="J77" i="75" s="1"/>
  <c r="K77" i="75" s="1"/>
  <c r="L77" i="75" s="1"/>
  <c r="M77" i="75" s="1"/>
  <c r="N77" i="75" s="1"/>
  <c r="O77" i="75" s="1"/>
  <c r="P77" i="75" s="1"/>
  <c r="Q77" i="75" s="1"/>
  <c r="R77" i="75" s="1"/>
  <c r="S77" i="75" s="1"/>
  <c r="T77" i="75" s="1"/>
  <c r="U77" i="75" s="1"/>
  <c r="V77" i="75" s="1"/>
  <c r="W77" i="75" s="1"/>
  <c r="X77" i="75" s="1"/>
  <c r="Y77" i="75" s="1"/>
  <c r="Z77" i="75" s="1"/>
  <c r="AA77" i="75" s="1"/>
  <c r="AB77" i="75" s="1"/>
  <c r="AC77" i="75" s="1"/>
  <c r="AD77" i="75" s="1"/>
  <c r="H14" i="72" l="1"/>
  <c r="I14" i="72"/>
  <c r="J14" i="72"/>
  <c r="K14" i="72"/>
  <c r="L14" i="72"/>
  <c r="M14" i="72"/>
  <c r="N14" i="72"/>
  <c r="O14" i="72"/>
  <c r="P14" i="72"/>
  <c r="Q14" i="72"/>
  <c r="R14" i="72"/>
  <c r="S14" i="72"/>
  <c r="T14" i="72"/>
  <c r="U14" i="72"/>
  <c r="V14" i="72"/>
  <c r="W14" i="72"/>
  <c r="X14" i="72"/>
  <c r="Y14" i="72"/>
  <c r="Z14" i="72"/>
  <c r="AA14" i="72"/>
  <c r="AB14" i="72"/>
  <c r="AC14" i="72"/>
  <c r="AD14" i="72"/>
  <c r="AE14" i="72"/>
  <c r="AF14" i="72"/>
  <c r="AG14" i="72"/>
  <c r="AH14" i="72"/>
  <c r="AI14" i="72"/>
  <c r="AJ14" i="72"/>
  <c r="G14" i="72"/>
  <c r="I75" i="86"/>
  <c r="M102" i="86"/>
  <c r="M101" i="86"/>
  <c r="N102" i="86" s="1"/>
  <c r="M100" i="86"/>
  <c r="M99" i="86"/>
  <c r="M98" i="86"/>
  <c r="N99" i="86" s="1"/>
  <c r="M97" i="86"/>
  <c r="M96" i="86"/>
  <c r="M95" i="86"/>
  <c r="M94" i="86"/>
  <c r="M93" i="86"/>
  <c r="N100" i="86"/>
  <c r="M92" i="86"/>
  <c r="M91" i="86"/>
  <c r="N91" i="86" s="1"/>
  <c r="M90" i="86"/>
  <c r="N90" i="86" s="1"/>
  <c r="M89" i="86"/>
  <c r="M88" i="86"/>
  <c r="N89" i="86" s="1"/>
  <c r="M87" i="86"/>
  <c r="N87" i="86" s="1"/>
  <c r="M86" i="86"/>
  <c r="N86" i="86" s="1"/>
  <c r="M85" i="86"/>
  <c r="M84" i="86"/>
  <c r="M83" i="86"/>
  <c r="N83" i="86" s="1"/>
  <c r="K81" i="86"/>
  <c r="K78" i="86"/>
  <c r="K79" i="86"/>
  <c r="K80" i="86"/>
  <c r="K82" i="86"/>
  <c r="K83" i="86"/>
  <c r="K84" i="86"/>
  <c r="K85" i="86"/>
  <c r="K86" i="86"/>
  <c r="K87" i="86"/>
  <c r="K88" i="86"/>
  <c r="K89" i="86"/>
  <c r="K90" i="86"/>
  <c r="K91" i="86"/>
  <c r="K92" i="86"/>
  <c r="K93" i="86"/>
  <c r="K94" i="86"/>
  <c r="K95" i="86"/>
  <c r="K96" i="86"/>
  <c r="K97" i="86"/>
  <c r="K98" i="86"/>
  <c r="K99" i="86"/>
  <c r="K100" i="86"/>
  <c r="K101" i="86"/>
  <c r="K102" i="86"/>
  <c r="K77" i="86"/>
  <c r="I79" i="86"/>
  <c r="I80" i="86" s="1"/>
  <c r="I81" i="86" s="1"/>
  <c r="I82" i="86" s="1"/>
  <c r="I83" i="86" s="1"/>
  <c r="I84" i="86" s="1"/>
  <c r="I85" i="86" s="1"/>
  <c r="I86" i="86" s="1"/>
  <c r="I87" i="86" s="1"/>
  <c r="I88" i="86" s="1"/>
  <c r="I89" i="86" s="1"/>
  <c r="I90" i="86" s="1"/>
  <c r="I91" i="86" s="1"/>
  <c r="I92" i="86" s="1"/>
  <c r="I93" i="86" s="1"/>
  <c r="I94" i="86" s="1"/>
  <c r="I95" i="86" s="1"/>
  <c r="I96" i="86" s="1"/>
  <c r="I97" i="86" s="1"/>
  <c r="I98" i="86" s="1"/>
  <c r="I99" i="86" s="1"/>
  <c r="I100" i="86" s="1"/>
  <c r="I101" i="86" s="1"/>
  <c r="I102" i="86" s="1"/>
  <c r="I78" i="86"/>
  <c r="N92" i="86" l="1"/>
  <c r="N85" i="86"/>
  <c r="N84" i="86"/>
  <c r="N88" i="86"/>
  <c r="N97" i="86"/>
  <c r="N93" i="86"/>
  <c r="N95" i="86"/>
  <c r="N101" i="86"/>
  <c r="N98" i="86"/>
  <c r="N96" i="86"/>
  <c r="N94" i="86"/>
  <c r="F80" i="89" l="1"/>
  <c r="F81" i="89"/>
  <c r="F82" i="89"/>
  <c r="F83" i="89"/>
  <c r="F84" i="89"/>
  <c r="F85" i="89"/>
  <c r="F86" i="89"/>
  <c r="F87" i="89"/>
  <c r="F88" i="89"/>
  <c r="F79" i="89"/>
  <c r="F65" i="89"/>
  <c r="F66" i="89"/>
  <c r="F67" i="89"/>
  <c r="F68" i="89"/>
  <c r="F69" i="89"/>
  <c r="F70" i="89"/>
  <c r="F71" i="89"/>
  <c r="F72" i="89"/>
  <c r="F73" i="89"/>
  <c r="F64" i="89"/>
  <c r="F50" i="89"/>
  <c r="F51" i="89"/>
  <c r="F52" i="89"/>
  <c r="F53" i="89"/>
  <c r="F54" i="89"/>
  <c r="F55" i="89"/>
  <c r="F56" i="89"/>
  <c r="F57" i="89"/>
  <c r="F58" i="89"/>
  <c r="F49" i="89"/>
  <c r="F35" i="89"/>
  <c r="F36" i="89"/>
  <c r="F37" i="89"/>
  <c r="F38" i="89"/>
  <c r="F39" i="89"/>
  <c r="F40" i="89"/>
  <c r="F41" i="89"/>
  <c r="F42" i="89"/>
  <c r="F43" i="89"/>
  <c r="F34" i="89"/>
  <c r="F20" i="89"/>
  <c r="F21" i="89"/>
  <c r="F22" i="89"/>
  <c r="F23" i="89"/>
  <c r="F24" i="89"/>
  <c r="F25" i="89"/>
  <c r="F26" i="89"/>
  <c r="F27" i="89"/>
  <c r="F28" i="89"/>
  <c r="F19" i="89"/>
  <c r="E20" i="87"/>
  <c r="F20" i="87"/>
  <c r="G21" i="87"/>
  <c r="F21" i="87"/>
  <c r="E21" i="87"/>
  <c r="D21" i="87"/>
  <c r="G20" i="87"/>
  <c r="D20" i="87"/>
  <c r="C8" i="47" l="1"/>
  <c r="D8" i="47"/>
  <c r="E8" i="47"/>
  <c r="F8" i="47"/>
  <c r="G8" i="47"/>
  <c r="H8" i="47"/>
  <c r="I8" i="47"/>
  <c r="J8" i="47"/>
  <c r="K8" i="47"/>
  <c r="L8" i="47"/>
  <c r="M8" i="47"/>
  <c r="N8" i="47"/>
  <c r="O8" i="47"/>
  <c r="P8" i="47"/>
  <c r="Q8" i="47"/>
  <c r="R8" i="47"/>
  <c r="S8" i="47"/>
  <c r="T8" i="47"/>
  <c r="U8" i="47"/>
  <c r="V8" i="47"/>
  <c r="W8" i="47"/>
  <c r="X8" i="47"/>
  <c r="Y8" i="47"/>
  <c r="Z8" i="47"/>
  <c r="AA8" i="47"/>
  <c r="AB8" i="47"/>
  <c r="AC8" i="47"/>
  <c r="AD8" i="47"/>
  <c r="AE8" i="47"/>
  <c r="AF8" i="47"/>
  <c r="C9" i="47"/>
  <c r="D9" i="47" s="1"/>
  <c r="E9" i="47" s="1"/>
  <c r="F9" i="47" s="1"/>
  <c r="G9" i="47" s="1"/>
  <c r="H9" i="47" s="1"/>
  <c r="I9" i="47" s="1"/>
  <c r="J9" i="47" s="1"/>
  <c r="K9" i="47" s="1"/>
  <c r="L9" i="47" s="1"/>
  <c r="M9" i="47" s="1"/>
  <c r="N9" i="47" s="1"/>
  <c r="O9" i="47" s="1"/>
  <c r="P9" i="47" s="1"/>
  <c r="Q9" i="47" s="1"/>
  <c r="R9" i="47" s="1"/>
  <c r="S9" i="47" s="1"/>
  <c r="T9" i="47" s="1"/>
  <c r="U9" i="47" s="1"/>
  <c r="V9" i="47" s="1"/>
  <c r="W9" i="47" s="1"/>
  <c r="X9" i="47" s="1"/>
  <c r="Y9" i="47" s="1"/>
  <c r="Z9" i="47" s="1"/>
  <c r="AA9" i="47" s="1"/>
  <c r="AB9" i="47" s="1"/>
  <c r="AC9" i="47" s="1"/>
  <c r="AD9" i="47" s="1"/>
  <c r="AE9" i="47" s="1"/>
  <c r="AF9" i="47" s="1"/>
  <c r="H11" i="72" l="1"/>
  <c r="I11" i="72"/>
  <c r="J11" i="72"/>
  <c r="G11" i="72"/>
  <c r="H6" i="72"/>
  <c r="I6" i="72"/>
  <c r="J6" i="72"/>
  <c r="G6" i="72"/>
  <c r="H12" i="72" l="1"/>
  <c r="I12" i="72"/>
  <c r="J12" i="72"/>
  <c r="H13" i="72"/>
  <c r="G13" i="72"/>
  <c r="I13" i="72" l="1"/>
  <c r="E19" i="87"/>
  <c r="H8" i="72" s="1"/>
  <c r="F19" i="87"/>
  <c r="I8" i="72" s="1"/>
  <c r="G19" i="87"/>
  <c r="J8" i="72" s="1"/>
  <c r="D19" i="87"/>
  <c r="G8" i="72" s="1"/>
  <c r="J13" i="72"/>
  <c r="G12" i="72" l="1"/>
  <c r="P86" i="87"/>
  <c r="H86" i="87" l="1"/>
  <c r="L86" i="87"/>
  <c r="I86" i="87"/>
  <c r="M86" i="87"/>
  <c r="Q86" i="87"/>
  <c r="J86" i="87"/>
  <c r="N86" i="87"/>
  <c r="K86" i="87"/>
  <c r="O86" i="87"/>
  <c r="G86" i="87"/>
  <c r="R86" i="87" s="1"/>
  <c r="R88" i="87" l="1"/>
  <c r="T87" i="87" l="1"/>
  <c r="Q87" i="87" s="1"/>
  <c r="R87" i="87" l="1"/>
  <c r="H17" i="74" l="1"/>
  <c r="I17" i="74"/>
  <c r="J17" i="74"/>
  <c r="K17" i="74"/>
  <c r="L17" i="74"/>
  <c r="M17" i="74"/>
  <c r="N17" i="74"/>
  <c r="O17" i="74"/>
  <c r="P17" i="74"/>
  <c r="Q17" i="74"/>
  <c r="R17" i="74"/>
  <c r="S17" i="74"/>
  <c r="T17" i="74"/>
  <c r="U17" i="74"/>
  <c r="V17" i="74"/>
  <c r="W17" i="74"/>
  <c r="X17" i="74"/>
  <c r="Y17" i="74"/>
  <c r="Z17" i="74"/>
  <c r="AA17" i="74"/>
  <c r="AB17" i="74"/>
  <c r="AC17" i="74"/>
  <c r="AD17" i="74"/>
  <c r="AE17" i="74"/>
  <c r="AF17" i="74"/>
  <c r="AG17" i="74"/>
  <c r="G17" i="74"/>
  <c r="D92" i="20" l="1"/>
  <c r="D93" i="20"/>
  <c r="D94" i="20"/>
  <c r="D95" i="20"/>
  <c r="D91" i="20"/>
  <c r="G4" i="60"/>
  <c r="G4" i="80"/>
  <c r="G4" i="72"/>
  <c r="G4" i="47"/>
  <c r="J19" i="89" l="1"/>
  <c r="J20" i="89"/>
  <c r="J21" i="89"/>
  <c r="J25" i="89"/>
  <c r="J26" i="89"/>
  <c r="G25" i="89"/>
  <c r="H22" i="89"/>
  <c r="I25" i="89"/>
  <c r="H28" i="87"/>
  <c r="H28" i="89"/>
  <c r="J28" i="89"/>
  <c r="E22" i="87"/>
  <c r="H9" i="72" s="1"/>
  <c r="G22" i="87"/>
  <c r="J9" i="72" s="1"/>
  <c r="D22" i="87"/>
  <c r="G9" i="72" s="1"/>
  <c r="G27" i="89"/>
  <c r="G22" i="89"/>
  <c r="F22" i="87"/>
  <c r="I9" i="72" s="1"/>
  <c r="I22" i="89"/>
  <c r="I27" i="89"/>
  <c r="H6" i="87"/>
  <c r="E9" i="87"/>
  <c r="D9" i="87"/>
  <c r="E3" i="87"/>
  <c r="F3" i="87" s="1"/>
  <c r="G3" i="87" s="1"/>
  <c r="R79" i="87" l="1"/>
  <c r="R84" i="87" s="1"/>
  <c r="J28" i="87"/>
  <c r="I23" i="89"/>
  <c r="F23" i="87"/>
  <c r="G23" i="89"/>
  <c r="D23" i="87"/>
  <c r="G23" i="87"/>
  <c r="E23" i="87"/>
  <c r="K44" i="89"/>
  <c r="J22" i="89"/>
  <c r="K22" i="89" s="1"/>
  <c r="I28" i="89"/>
  <c r="H27" i="89"/>
  <c r="H23" i="89"/>
  <c r="G28" i="89"/>
  <c r="H25" i="89"/>
  <c r="J23" i="89"/>
  <c r="H5" i="87"/>
  <c r="H8" i="87"/>
  <c r="H22" i="87"/>
  <c r="H21" i="87"/>
  <c r="H7" i="87"/>
  <c r="G9" i="87"/>
  <c r="F9" i="87"/>
  <c r="H17" i="89"/>
  <c r="I17" i="89" s="1"/>
  <c r="J17" i="89" s="1"/>
  <c r="G44" i="89"/>
  <c r="H44" i="89"/>
  <c r="I44" i="89"/>
  <c r="J44" i="89"/>
  <c r="AX44" i="89"/>
  <c r="AY44" i="89"/>
  <c r="AZ44" i="89"/>
  <c r="BA44" i="89"/>
  <c r="BB44" i="89"/>
  <c r="BC44" i="89"/>
  <c r="G59" i="89"/>
  <c r="G64" i="89"/>
  <c r="AR64" i="89"/>
  <c r="AS64" i="89"/>
  <c r="AT64" i="89"/>
  <c r="AU64" i="89"/>
  <c r="AV64" i="89"/>
  <c r="AW64" i="89"/>
  <c r="AX64" i="89"/>
  <c r="AY64" i="89"/>
  <c r="AZ64" i="89"/>
  <c r="BA64" i="89"/>
  <c r="BB64" i="89"/>
  <c r="BC64" i="89"/>
  <c r="G65" i="89"/>
  <c r="AR65" i="89"/>
  <c r="AS65" i="89"/>
  <c r="AT65" i="89"/>
  <c r="AU65" i="89"/>
  <c r="AV65" i="89"/>
  <c r="AW65" i="89"/>
  <c r="AX65" i="89"/>
  <c r="AY65" i="89"/>
  <c r="AZ65" i="89"/>
  <c r="BA65" i="89"/>
  <c r="BB65" i="89"/>
  <c r="BC65" i="89"/>
  <c r="G66" i="89"/>
  <c r="AR66" i="89"/>
  <c r="AS66" i="89"/>
  <c r="AT66" i="89"/>
  <c r="AU66" i="89"/>
  <c r="AV66" i="89"/>
  <c r="AW66" i="89"/>
  <c r="AX66" i="89"/>
  <c r="AY66" i="89"/>
  <c r="AZ66" i="89"/>
  <c r="BA66" i="89"/>
  <c r="BB66" i="89"/>
  <c r="BC66" i="89"/>
  <c r="G67" i="89"/>
  <c r="AX67" i="89"/>
  <c r="AY67" i="89"/>
  <c r="AZ67" i="89"/>
  <c r="BA67" i="89"/>
  <c r="BB67" i="89"/>
  <c r="BC67" i="89"/>
  <c r="G68" i="89"/>
  <c r="AY68" i="89"/>
  <c r="AZ68" i="89"/>
  <c r="BA68" i="89"/>
  <c r="BB68" i="89"/>
  <c r="BC68" i="89"/>
  <c r="G69" i="89"/>
  <c r="AX69" i="89"/>
  <c r="AY69" i="89"/>
  <c r="AZ69" i="89"/>
  <c r="BA69" i="89"/>
  <c r="BB69" i="89"/>
  <c r="BC69" i="89"/>
  <c r="G70" i="89"/>
  <c r="AR70" i="89"/>
  <c r="AS70" i="89"/>
  <c r="AT70" i="89"/>
  <c r="AU70" i="89"/>
  <c r="AV70" i="89"/>
  <c r="AW70" i="89"/>
  <c r="AX70" i="89"/>
  <c r="AY70" i="89"/>
  <c r="AZ70" i="89"/>
  <c r="BA70" i="89"/>
  <c r="BB70" i="89"/>
  <c r="BC70" i="89"/>
  <c r="G71" i="89"/>
  <c r="G74" i="89" s="1"/>
  <c r="AR71" i="89"/>
  <c r="AS71" i="89"/>
  <c r="AT71" i="89"/>
  <c r="AU71" i="89"/>
  <c r="AV71" i="89"/>
  <c r="AW71" i="89"/>
  <c r="AX71" i="89"/>
  <c r="AY71" i="89"/>
  <c r="AZ71" i="89"/>
  <c r="BA71" i="89"/>
  <c r="BB71" i="89"/>
  <c r="BC71" i="89"/>
  <c r="G72" i="89"/>
  <c r="AY72" i="89"/>
  <c r="AZ72" i="89"/>
  <c r="BA72" i="89"/>
  <c r="BB72" i="89"/>
  <c r="BC72" i="89"/>
  <c r="G73" i="89"/>
  <c r="AZ73" i="89"/>
  <c r="BA73" i="89"/>
  <c r="BB73" i="89"/>
  <c r="BC73" i="89"/>
  <c r="G89" i="89"/>
  <c r="J22" i="87" l="1"/>
  <c r="R91" i="87"/>
  <c r="J21" i="87"/>
  <c r="K28" i="89"/>
  <c r="K23" i="89"/>
  <c r="H9" i="87"/>
  <c r="H10" i="87" s="1"/>
  <c r="H20" i="87"/>
  <c r="J27" i="89"/>
  <c r="K85" i="89"/>
  <c r="J65" i="72" s="1"/>
  <c r="BD37" i="89"/>
  <c r="BE37" i="89" s="1"/>
  <c r="K86" i="89"/>
  <c r="K81" i="89"/>
  <c r="BC74" i="89"/>
  <c r="BB74" i="89"/>
  <c r="BA74" i="89"/>
  <c r="H53" i="89"/>
  <c r="H68" i="89" s="1"/>
  <c r="I53" i="89" s="1"/>
  <c r="I68" i="89" s="1"/>
  <c r="AZ74" i="89"/>
  <c r="K80" i="89"/>
  <c r="H55" i="89"/>
  <c r="H70" i="89" s="1"/>
  <c r="K79" i="89"/>
  <c r="H51" i="89"/>
  <c r="H66" i="89" s="1"/>
  <c r="I51" i="89"/>
  <c r="I66" i="89" s="1"/>
  <c r="H57" i="89"/>
  <c r="H72" i="89" s="1"/>
  <c r="H56" i="89"/>
  <c r="H71" i="89" s="1"/>
  <c r="H54" i="89"/>
  <c r="H69" i="89" s="1"/>
  <c r="H52" i="89"/>
  <c r="H67" i="89" s="1"/>
  <c r="H50" i="89"/>
  <c r="H65" i="89" s="1"/>
  <c r="I50" i="89" s="1"/>
  <c r="I65" i="89" s="1"/>
  <c r="H58" i="89"/>
  <c r="H73" i="89" s="1"/>
  <c r="I58" i="89" s="1"/>
  <c r="I73" i="89" s="1"/>
  <c r="I54" i="89"/>
  <c r="I69" i="89" s="1"/>
  <c r="H49" i="89"/>
  <c r="K25" i="89"/>
  <c r="D12" i="72"/>
  <c r="D11" i="72"/>
  <c r="D10" i="72"/>
  <c r="D9" i="72"/>
  <c r="G19" i="89"/>
  <c r="G17" i="87"/>
  <c r="J7" i="72" s="1"/>
  <c r="I26" i="89"/>
  <c r="I23" i="87" l="1"/>
  <c r="J50" i="89"/>
  <c r="J65" i="89" s="1"/>
  <c r="R90" i="87"/>
  <c r="G25" i="87"/>
  <c r="BD38" i="89"/>
  <c r="BE38" i="89" s="1"/>
  <c r="J58" i="89"/>
  <c r="J73" i="89" s="1"/>
  <c r="K58" i="89" s="1"/>
  <c r="K73" i="89" s="1"/>
  <c r="L58" i="89" s="1"/>
  <c r="L73" i="89" s="1"/>
  <c r="I52" i="89"/>
  <c r="I67" i="89" s="1"/>
  <c r="R89" i="87"/>
  <c r="BD43" i="89"/>
  <c r="BE43" i="89" s="1"/>
  <c r="H19" i="89"/>
  <c r="I21" i="89"/>
  <c r="H21" i="89"/>
  <c r="I19" i="89"/>
  <c r="K27" i="89"/>
  <c r="J61" i="72"/>
  <c r="G21" i="89"/>
  <c r="G26" i="89"/>
  <c r="H12" i="87"/>
  <c r="G20" i="89"/>
  <c r="H59" i="89"/>
  <c r="H64" i="89"/>
  <c r="I56" i="89"/>
  <c r="I71" i="89" s="1"/>
  <c r="I57" i="89"/>
  <c r="I72" i="89" s="1"/>
  <c r="J57" i="89" s="1"/>
  <c r="J72" i="89" s="1"/>
  <c r="K57" i="89" s="1"/>
  <c r="K72" i="89" s="1"/>
  <c r="J60" i="72"/>
  <c r="J53" i="89"/>
  <c r="J68" i="89" s="1"/>
  <c r="K53" i="89" s="1"/>
  <c r="K68" i="89" s="1"/>
  <c r="BD40" i="89"/>
  <c r="BE40" i="89" s="1"/>
  <c r="J51" i="89"/>
  <c r="J66" i="89" s="1"/>
  <c r="K50" i="89"/>
  <c r="K65" i="89" s="1"/>
  <c r="J54" i="89"/>
  <c r="J69" i="89" s="1"/>
  <c r="K54" i="89" s="1"/>
  <c r="K69" i="89" s="1"/>
  <c r="I55" i="89"/>
  <c r="I70" i="89" s="1"/>
  <c r="J55" i="89"/>
  <c r="J70" i="89" s="1"/>
  <c r="J20" i="87" l="1"/>
  <c r="J52" i="89"/>
  <c r="J67" i="89" s="1"/>
  <c r="K52" i="89" s="1"/>
  <c r="K67" i="89" s="1"/>
  <c r="L44" i="89"/>
  <c r="M44" i="89"/>
  <c r="K19" i="89"/>
  <c r="BD42" i="89"/>
  <c r="BE42" i="89" s="1"/>
  <c r="H20" i="89"/>
  <c r="H16" i="87"/>
  <c r="H26" i="89"/>
  <c r="BD34" i="89"/>
  <c r="H15" i="87"/>
  <c r="K21" i="89"/>
  <c r="H14" i="87"/>
  <c r="K20" i="87" s="1"/>
  <c r="K22" i="87" s="1"/>
  <c r="H19" i="87"/>
  <c r="E17" i="87"/>
  <c r="D17" i="87"/>
  <c r="G7" i="72" s="1"/>
  <c r="L50" i="89"/>
  <c r="L65" i="89" s="1"/>
  <c r="M50" i="89" s="1"/>
  <c r="M65" i="89" s="1"/>
  <c r="N50" i="89" s="1"/>
  <c r="N65" i="89" s="1"/>
  <c r="J56" i="89"/>
  <c r="J71" i="89" s="1"/>
  <c r="K56" i="89" s="1"/>
  <c r="K71" i="89" s="1"/>
  <c r="K55" i="89"/>
  <c r="K70" i="89" s="1"/>
  <c r="L55" i="89" s="1"/>
  <c r="L70" i="89" s="1"/>
  <c r="M58" i="89"/>
  <c r="M73" i="89" s="1"/>
  <c r="N58" i="89" s="1"/>
  <c r="N73" i="89" s="1"/>
  <c r="L54" i="89"/>
  <c r="L69" i="89" s="1"/>
  <c r="M54" i="89" s="1"/>
  <c r="M69" i="89" s="1"/>
  <c r="L53" i="89"/>
  <c r="L68" i="89" s="1"/>
  <c r="K51" i="89"/>
  <c r="K66" i="89" s="1"/>
  <c r="H74" i="89"/>
  <c r="I49" i="89"/>
  <c r="L57" i="89"/>
  <c r="L72" i="89" s="1"/>
  <c r="C33" i="74"/>
  <c r="D33" i="74" s="1"/>
  <c r="E33" i="74" s="1"/>
  <c r="F33" i="74" s="1"/>
  <c r="C34" i="74"/>
  <c r="D34" i="74" s="1"/>
  <c r="E34" i="74" s="1"/>
  <c r="F34" i="74" s="1"/>
  <c r="B30" i="74" s="1"/>
  <c r="B31" i="74" s="1"/>
  <c r="G15" i="74" s="1"/>
  <c r="J16" i="87" l="1"/>
  <c r="I17" i="87"/>
  <c r="I25" i="87" s="1"/>
  <c r="I30" i="87" s="1"/>
  <c r="H23" i="87"/>
  <c r="J23" i="87" s="1"/>
  <c r="J19" i="87"/>
  <c r="E25" i="87"/>
  <c r="H7" i="72"/>
  <c r="D25" i="87"/>
  <c r="BE34" i="89"/>
  <c r="K26" i="89"/>
  <c r="M55" i="89"/>
  <c r="M70" i="89" s="1"/>
  <c r="N55" i="89" s="1"/>
  <c r="N70" i="89" s="1"/>
  <c r="N54" i="89"/>
  <c r="N69" i="89" s="1"/>
  <c r="O54" i="89" s="1"/>
  <c r="O69" i="89" s="1"/>
  <c r="L52" i="89"/>
  <c r="L67" i="89" s="1"/>
  <c r="M52" i="89" s="1"/>
  <c r="M67" i="89" s="1"/>
  <c r="H17" i="87"/>
  <c r="F17" i="87"/>
  <c r="I20" i="89"/>
  <c r="O44" i="89"/>
  <c r="BD36" i="89"/>
  <c r="BE36" i="89" s="1"/>
  <c r="N44" i="89"/>
  <c r="L56" i="89"/>
  <c r="L71" i="89" s="1"/>
  <c r="O50" i="89"/>
  <c r="O65" i="89" s="1"/>
  <c r="P50" i="89" s="1"/>
  <c r="P65" i="89" s="1"/>
  <c r="M53" i="89"/>
  <c r="M68" i="89" s="1"/>
  <c r="O58" i="89"/>
  <c r="O73" i="89" s="1"/>
  <c r="P58" i="89" s="1"/>
  <c r="P73" i="89" s="1"/>
  <c r="Q58" i="89" s="1"/>
  <c r="Q73" i="89" s="1"/>
  <c r="M57" i="89"/>
  <c r="M72" i="89" s="1"/>
  <c r="I59" i="89"/>
  <c r="I64" i="89"/>
  <c r="L51" i="89"/>
  <c r="L66" i="89" s="1"/>
  <c r="M51" i="89" s="1"/>
  <c r="M66" i="89" s="1"/>
  <c r="J17" i="87" l="1"/>
  <c r="J15" i="87"/>
  <c r="F25" i="87"/>
  <c r="I7" i="72"/>
  <c r="J14" i="87"/>
  <c r="H25" i="87"/>
  <c r="N52" i="89"/>
  <c r="N67" i="89" s="1"/>
  <c r="O52" i="89" s="1"/>
  <c r="O67" i="89" s="1"/>
  <c r="P52" i="89" s="1"/>
  <c r="P67" i="89" s="1"/>
  <c r="BD41" i="89"/>
  <c r="BE41" i="89" s="1"/>
  <c r="K20" i="89"/>
  <c r="N53" i="89"/>
  <c r="N68" i="89" s="1"/>
  <c r="I74" i="89"/>
  <c r="J49" i="89"/>
  <c r="R58" i="89"/>
  <c r="R73" i="89" s="1"/>
  <c r="N51" i="89"/>
  <c r="N66" i="89" s="1"/>
  <c r="O55" i="89"/>
  <c r="O70" i="89" s="1"/>
  <c r="N57" i="89"/>
  <c r="N72" i="89" s="1"/>
  <c r="M56" i="89"/>
  <c r="M71" i="89" s="1"/>
  <c r="Q50" i="89"/>
  <c r="Q65" i="89" s="1"/>
  <c r="R50" i="89" s="1"/>
  <c r="R65" i="89" s="1"/>
  <c r="G27" i="87" l="1"/>
  <c r="D27" i="87"/>
  <c r="F27" i="87"/>
  <c r="E27" i="87"/>
  <c r="Q52" i="89"/>
  <c r="Q67" i="89" s="1"/>
  <c r="R52" i="89" s="1"/>
  <c r="R67" i="89" s="1"/>
  <c r="BD35" i="89"/>
  <c r="P55" i="89"/>
  <c r="P70" i="89" s="1"/>
  <c r="Q55" i="89" s="1"/>
  <c r="Q70" i="89" s="1"/>
  <c r="O53" i="89"/>
  <c r="O68" i="89" s="1"/>
  <c r="O51" i="89"/>
  <c r="O66" i="89" s="1"/>
  <c r="J59" i="89"/>
  <c r="J64" i="89"/>
  <c r="N56" i="89"/>
  <c r="N71" i="89" s="1"/>
  <c r="S50" i="89"/>
  <c r="S65" i="89" s="1"/>
  <c r="H80" i="89" s="1"/>
  <c r="O57" i="89"/>
  <c r="O72" i="89" s="1"/>
  <c r="S58" i="89"/>
  <c r="S73" i="89" s="1"/>
  <c r="T58" i="89" s="1"/>
  <c r="T73" i="89" s="1"/>
  <c r="D7" i="72"/>
  <c r="J10" i="72" l="1"/>
  <c r="J24" i="89"/>
  <c r="G30" i="87"/>
  <c r="I10" i="72"/>
  <c r="I24" i="89"/>
  <c r="H10" i="72"/>
  <c r="H24" i="89"/>
  <c r="E30" i="87"/>
  <c r="G10" i="72"/>
  <c r="G24" i="89"/>
  <c r="H27" i="87"/>
  <c r="D30" i="87"/>
  <c r="F30" i="87"/>
  <c r="S52" i="89"/>
  <c r="S67" i="89" s="1"/>
  <c r="H82" i="89" s="1"/>
  <c r="BE35" i="89"/>
  <c r="O56" i="89"/>
  <c r="O71" i="89" s="1"/>
  <c r="P56" i="89" s="1"/>
  <c r="P71" i="89" s="1"/>
  <c r="P53" i="89"/>
  <c r="P68" i="89" s="1"/>
  <c r="H88" i="89"/>
  <c r="T50" i="89"/>
  <c r="T65" i="89" s="1"/>
  <c r="J74" i="89"/>
  <c r="K49" i="89"/>
  <c r="R55" i="89"/>
  <c r="R70" i="89" s="1"/>
  <c r="S55" i="89" s="1"/>
  <c r="S70" i="89" s="1"/>
  <c r="H85" i="89" s="1"/>
  <c r="U58" i="89"/>
  <c r="U73" i="89" s="1"/>
  <c r="V58" i="89" s="1"/>
  <c r="V73" i="89" s="1"/>
  <c r="W58" i="89" s="1"/>
  <c r="W73" i="89" s="1"/>
  <c r="X58" i="89" s="1"/>
  <c r="X73" i="89" s="1"/>
  <c r="Y58" i="89" s="1"/>
  <c r="Y73" i="89" s="1"/>
  <c r="Z58" i="89" s="1"/>
  <c r="Z73" i="89" s="1"/>
  <c r="AA58" i="89" s="1"/>
  <c r="AA73" i="89" s="1"/>
  <c r="AB58" i="89" s="1"/>
  <c r="AB73" i="89" s="1"/>
  <c r="AC58" i="89" s="1"/>
  <c r="AC73" i="89" s="1"/>
  <c r="AD58" i="89" s="1"/>
  <c r="AD73" i="89" s="1"/>
  <c r="AE58" i="89" s="1"/>
  <c r="AE73" i="89" s="1"/>
  <c r="AF58" i="89" s="1"/>
  <c r="AF73" i="89" s="1"/>
  <c r="P51" i="89"/>
  <c r="P66" i="89" s="1"/>
  <c r="P57" i="89"/>
  <c r="P72" i="89" s="1"/>
  <c r="C32" i="20"/>
  <c r="T39" i="89" l="1"/>
  <c r="H29" i="89"/>
  <c r="AF39" i="89"/>
  <c r="I29" i="89"/>
  <c r="R92" i="87"/>
  <c r="H30" i="87"/>
  <c r="P39" i="89"/>
  <c r="K24" i="89"/>
  <c r="K29" i="89" s="1"/>
  <c r="G29" i="89"/>
  <c r="AR39" i="89"/>
  <c r="J29" i="89"/>
  <c r="T52" i="89"/>
  <c r="T67" i="89" s="1"/>
  <c r="U52" i="89" s="1"/>
  <c r="U67" i="89" s="1"/>
  <c r="V52" i="89" s="1"/>
  <c r="V67" i="89" s="1"/>
  <c r="W52" i="89" s="1"/>
  <c r="W67" i="89" s="1"/>
  <c r="X52" i="89" s="1"/>
  <c r="X67" i="89" s="1"/>
  <c r="Y52" i="89" s="1"/>
  <c r="Y67" i="89" s="1"/>
  <c r="Z52" i="89" s="1"/>
  <c r="Z67" i="89" s="1"/>
  <c r="AA52" i="89" s="1"/>
  <c r="AA67" i="89" s="1"/>
  <c r="AB52" i="89" s="1"/>
  <c r="AB67" i="89" s="1"/>
  <c r="AC52" i="89" s="1"/>
  <c r="AC67" i="89" s="1"/>
  <c r="AD52" i="89" s="1"/>
  <c r="AD67" i="89" s="1"/>
  <c r="AE52" i="89" s="1"/>
  <c r="AE67" i="89" s="1"/>
  <c r="AF52" i="89" s="1"/>
  <c r="AF67" i="89" s="1"/>
  <c r="Q56" i="89"/>
  <c r="Q71" i="89" s="1"/>
  <c r="R56" i="89" s="1"/>
  <c r="R71" i="89" s="1"/>
  <c r="AG58" i="89"/>
  <c r="AG73" i="89" s="1"/>
  <c r="AH58" i="89" s="1"/>
  <c r="AH73" i="89" s="1"/>
  <c r="AI58" i="89" s="1"/>
  <c r="AI73" i="89" s="1"/>
  <c r="AJ58" i="89" s="1"/>
  <c r="AJ73" i="89" s="1"/>
  <c r="AK58" i="89" s="1"/>
  <c r="AK73" i="89" s="1"/>
  <c r="AL58" i="89" s="1"/>
  <c r="AL73" i="89" s="1"/>
  <c r="AM58" i="89" s="1"/>
  <c r="AM73" i="89" s="1"/>
  <c r="AN58" i="89" s="1"/>
  <c r="AN73" i="89" s="1"/>
  <c r="AO58" i="89" s="1"/>
  <c r="AO73" i="89" s="1"/>
  <c r="AP58" i="89" s="1"/>
  <c r="AP73" i="89" s="1"/>
  <c r="AQ58" i="89" s="1"/>
  <c r="AQ73" i="89" s="1"/>
  <c r="U50" i="89"/>
  <c r="U65" i="89" s="1"/>
  <c r="V50" i="89" s="1"/>
  <c r="V65" i="89" s="1"/>
  <c r="W50" i="89" s="1"/>
  <c r="W65" i="89" s="1"/>
  <c r="X50" i="89" s="1"/>
  <c r="X65" i="89" s="1"/>
  <c r="Y50" i="89" s="1"/>
  <c r="Y65" i="89" s="1"/>
  <c r="Z50" i="89" s="1"/>
  <c r="Z65" i="89" s="1"/>
  <c r="AA50" i="89" s="1"/>
  <c r="AA65" i="89" s="1"/>
  <c r="AB50" i="89" s="1"/>
  <c r="AB65" i="89" s="1"/>
  <c r="AC50" i="89" s="1"/>
  <c r="AC65" i="89" s="1"/>
  <c r="AD50" i="89" s="1"/>
  <c r="AD65" i="89" s="1"/>
  <c r="AE50" i="89" s="1"/>
  <c r="AE65" i="89" s="1"/>
  <c r="AF50" i="89" s="1"/>
  <c r="AF65" i="89" s="1"/>
  <c r="G65" i="72"/>
  <c r="Q51" i="89"/>
  <c r="Q66" i="89" s="1"/>
  <c r="R51" i="89" s="1"/>
  <c r="R66" i="89" s="1"/>
  <c r="S51" i="89" s="1"/>
  <c r="S66" i="89" s="1"/>
  <c r="I88" i="89"/>
  <c r="H66" i="72" s="1"/>
  <c r="T55" i="89"/>
  <c r="T70" i="89" s="1"/>
  <c r="G62" i="72"/>
  <c r="G66" i="72"/>
  <c r="Q57" i="89"/>
  <c r="Q72" i="89" s="1"/>
  <c r="K64" i="89"/>
  <c r="K59" i="89"/>
  <c r="Q53" i="89"/>
  <c r="Q68" i="89" s="1"/>
  <c r="R53" i="89" s="1"/>
  <c r="R68" i="89" s="1"/>
  <c r="S53" i="89" s="1"/>
  <c r="S68" i="89" s="1"/>
  <c r="T53" i="89" s="1"/>
  <c r="T68" i="89" s="1"/>
  <c r="F92" i="20"/>
  <c r="F93" i="20"/>
  <c r="F94" i="20"/>
  <c r="F95" i="20"/>
  <c r="F91" i="20"/>
  <c r="M88" i="20"/>
  <c r="N88" i="20" s="1"/>
  <c r="O88" i="20" s="1"/>
  <c r="P88" i="20" s="1"/>
  <c r="J30" i="87" l="1"/>
  <c r="R78" i="87"/>
  <c r="R83" i="87" s="1"/>
  <c r="R85" i="87" s="1"/>
  <c r="R93" i="87" s="1"/>
  <c r="Q39" i="89"/>
  <c r="P44" i="89"/>
  <c r="P54" i="89"/>
  <c r="P69" i="89" s="1"/>
  <c r="AG39" i="89"/>
  <c r="AF44" i="89"/>
  <c r="AS39" i="89"/>
  <c r="AR44" i="89"/>
  <c r="U39" i="89"/>
  <c r="T44" i="89"/>
  <c r="AG50" i="89"/>
  <c r="AG65" i="89" s="1"/>
  <c r="AH50" i="89" s="1"/>
  <c r="AH65" i="89" s="1"/>
  <c r="AI50" i="89" s="1"/>
  <c r="AI65" i="89" s="1"/>
  <c r="AJ50" i="89" s="1"/>
  <c r="AJ65" i="89" s="1"/>
  <c r="AK50" i="89" s="1"/>
  <c r="AK65" i="89" s="1"/>
  <c r="AL50" i="89" s="1"/>
  <c r="AL65" i="89" s="1"/>
  <c r="AM50" i="89" s="1"/>
  <c r="AM65" i="89" s="1"/>
  <c r="AN50" i="89" s="1"/>
  <c r="AN65" i="89" s="1"/>
  <c r="AO50" i="89" s="1"/>
  <c r="AO65" i="89" s="1"/>
  <c r="AP50" i="89" s="1"/>
  <c r="AP65" i="89" s="1"/>
  <c r="AQ50" i="89" s="1"/>
  <c r="AQ65" i="89" s="1"/>
  <c r="AG52" i="89"/>
  <c r="AG67" i="89" s="1"/>
  <c r="AH52" i="89" s="1"/>
  <c r="AH67" i="89" s="1"/>
  <c r="AI52" i="89" s="1"/>
  <c r="AI67" i="89" s="1"/>
  <c r="AJ52" i="89" s="1"/>
  <c r="AJ67" i="89" s="1"/>
  <c r="AK52" i="89" s="1"/>
  <c r="AK67" i="89" s="1"/>
  <c r="AL52" i="89" s="1"/>
  <c r="AL67" i="89" s="1"/>
  <c r="AM52" i="89" s="1"/>
  <c r="AM67" i="89" s="1"/>
  <c r="AN52" i="89" s="1"/>
  <c r="AN67" i="89" s="1"/>
  <c r="AO52" i="89" s="1"/>
  <c r="AO67" i="89" s="1"/>
  <c r="AP52" i="89" s="1"/>
  <c r="AP67" i="89" s="1"/>
  <c r="AQ52" i="89" s="1"/>
  <c r="AQ67" i="89" s="1"/>
  <c r="AR58" i="89"/>
  <c r="AR73" i="89" s="1"/>
  <c r="AS58" i="89" s="1"/>
  <c r="AS73" i="89" s="1"/>
  <c r="U55" i="89"/>
  <c r="U70" i="89" s="1"/>
  <c r="V55" i="89" s="1"/>
  <c r="V70" i="89" s="1"/>
  <c r="W55" i="89" s="1"/>
  <c r="W70" i="89" s="1"/>
  <c r="X55" i="89" s="1"/>
  <c r="X70" i="89" s="1"/>
  <c r="Y55" i="89" s="1"/>
  <c r="Y70" i="89" s="1"/>
  <c r="Z55" i="89" s="1"/>
  <c r="Z70" i="89" s="1"/>
  <c r="AA55" i="89" s="1"/>
  <c r="AA70" i="89" s="1"/>
  <c r="AB55" i="89" s="1"/>
  <c r="AB70" i="89" s="1"/>
  <c r="S56" i="89"/>
  <c r="S71" i="89" s="1"/>
  <c r="I80" i="89"/>
  <c r="R57" i="89"/>
  <c r="R72" i="89" s="1"/>
  <c r="U53" i="89"/>
  <c r="U68" i="89" s="1"/>
  <c r="V53" i="89" s="1"/>
  <c r="V68" i="89" s="1"/>
  <c r="W53" i="89" s="1"/>
  <c r="W68" i="89" s="1"/>
  <c r="X53" i="89" s="1"/>
  <c r="X68" i="89" s="1"/>
  <c r="Y53" i="89" s="1"/>
  <c r="Y68" i="89" s="1"/>
  <c r="Z53" i="89" s="1"/>
  <c r="Z68" i="89" s="1"/>
  <c r="AA53" i="89" s="1"/>
  <c r="AA68" i="89" s="1"/>
  <c r="AB53" i="89" s="1"/>
  <c r="AB68" i="89" s="1"/>
  <c r="AC53" i="89" s="1"/>
  <c r="AC68" i="89" s="1"/>
  <c r="AD53" i="89" s="1"/>
  <c r="AD68" i="89" s="1"/>
  <c r="AE53" i="89" s="1"/>
  <c r="AE68" i="89" s="1"/>
  <c r="AF53" i="89" s="1"/>
  <c r="AF68" i="89" s="1"/>
  <c r="H83" i="89"/>
  <c r="K74" i="89"/>
  <c r="L49" i="89"/>
  <c r="I82" i="89"/>
  <c r="T51" i="89"/>
  <c r="T66" i="89" s="1"/>
  <c r="H81" i="89"/>
  <c r="J88" i="89"/>
  <c r="F96" i="20"/>
  <c r="F97" i="20" s="1"/>
  <c r="F98" i="20" s="1"/>
  <c r="F99" i="20" s="1"/>
  <c r="F100" i="20" s="1"/>
  <c r="D96" i="20"/>
  <c r="E94" i="20"/>
  <c r="E93" i="20"/>
  <c r="E92" i="20"/>
  <c r="E91" i="20"/>
  <c r="E90" i="20"/>
  <c r="V39" i="89" l="1"/>
  <c r="U44" i="89"/>
  <c r="AH39" i="89"/>
  <c r="AG44" i="89"/>
  <c r="R39" i="89"/>
  <c r="Q44" i="89"/>
  <c r="Q54" i="89"/>
  <c r="Q69" i="89" s="1"/>
  <c r="AT39" i="89"/>
  <c r="AS44" i="89"/>
  <c r="AT58" i="89"/>
  <c r="AT73" i="89" s="1"/>
  <c r="AU58" i="89" s="1"/>
  <c r="AU73" i="89" s="1"/>
  <c r="AC55" i="89"/>
  <c r="AC70" i="89" s="1"/>
  <c r="AD55" i="89" s="1"/>
  <c r="AD70" i="89" s="1"/>
  <c r="AE55" i="89" s="1"/>
  <c r="AE70" i="89" s="1"/>
  <c r="AF55" i="89" s="1"/>
  <c r="AF70" i="89" s="1"/>
  <c r="G63" i="72"/>
  <c r="S57" i="89"/>
  <c r="S72" i="89" s="1"/>
  <c r="T57" i="89" s="1"/>
  <c r="T72" i="89" s="1"/>
  <c r="H62" i="72"/>
  <c r="I66" i="72"/>
  <c r="I83" i="89"/>
  <c r="H63" i="72" s="1"/>
  <c r="AX50" i="89"/>
  <c r="AZ50" i="89"/>
  <c r="AY50" i="89"/>
  <c r="BB50" i="89"/>
  <c r="BC50" i="89"/>
  <c r="AV50" i="89"/>
  <c r="AT50" i="89"/>
  <c r="AR50" i="89"/>
  <c r="AW50" i="89"/>
  <c r="BD65" i="89"/>
  <c r="AS50" i="89"/>
  <c r="BA50" i="89"/>
  <c r="AU50" i="89"/>
  <c r="U51" i="89"/>
  <c r="U66" i="89" s="1"/>
  <c r="V51" i="89" s="1"/>
  <c r="V66" i="89" s="1"/>
  <c r="W51" i="89" s="1"/>
  <c r="W66" i="89" s="1"/>
  <c r="X51" i="89" s="1"/>
  <c r="X66" i="89" s="1"/>
  <c r="Y51" i="89" s="1"/>
  <c r="Y66" i="89" s="1"/>
  <c r="Z51" i="89" s="1"/>
  <c r="Z66" i="89" s="1"/>
  <c r="AA51" i="89" s="1"/>
  <c r="AA66" i="89" s="1"/>
  <c r="AB51" i="89" s="1"/>
  <c r="AB66" i="89" s="1"/>
  <c r="AC51" i="89" s="1"/>
  <c r="AC66" i="89" s="1"/>
  <c r="AD51" i="89" s="1"/>
  <c r="AD66" i="89" s="1"/>
  <c r="AE51" i="89" s="1"/>
  <c r="AE66" i="89" s="1"/>
  <c r="AF51" i="89" s="1"/>
  <c r="AF66" i="89" s="1"/>
  <c r="AR52" i="89"/>
  <c r="AR67" i="89" s="1"/>
  <c r="AS52" i="89" s="1"/>
  <c r="AS67" i="89" s="1"/>
  <c r="AG53" i="89"/>
  <c r="AG68" i="89" s="1"/>
  <c r="AH53" i="89" s="1"/>
  <c r="AH68" i="89" s="1"/>
  <c r="AI53" i="89" s="1"/>
  <c r="AI68" i="89" s="1"/>
  <c r="AJ53" i="89" s="1"/>
  <c r="AJ68" i="89" s="1"/>
  <c r="AK53" i="89" s="1"/>
  <c r="AK68" i="89" s="1"/>
  <c r="AL53" i="89" s="1"/>
  <c r="AL68" i="89" s="1"/>
  <c r="AM53" i="89" s="1"/>
  <c r="AM68" i="89" s="1"/>
  <c r="AN53" i="89" s="1"/>
  <c r="AN68" i="89" s="1"/>
  <c r="AO53" i="89" s="1"/>
  <c r="AO68" i="89" s="1"/>
  <c r="AP53" i="89" s="1"/>
  <c r="AP68" i="89" s="1"/>
  <c r="AQ53" i="89" s="1"/>
  <c r="AQ68" i="89" s="1"/>
  <c r="J82" i="89"/>
  <c r="I62" i="72" s="1"/>
  <c r="L59" i="89"/>
  <c r="L64" i="89"/>
  <c r="T56" i="89"/>
  <c r="T71" i="89" s="1"/>
  <c r="H86" i="89"/>
  <c r="J80" i="89"/>
  <c r="L80" i="89" s="1"/>
  <c r="L20" i="89" s="1"/>
  <c r="M20" i="89" s="1"/>
  <c r="D97" i="20"/>
  <c r="E96" i="20"/>
  <c r="E95" i="20"/>
  <c r="F82" i="72"/>
  <c r="E82" i="72"/>
  <c r="D82" i="72"/>
  <c r="C82" i="72"/>
  <c r="B82" i="72"/>
  <c r="A82" i="72"/>
  <c r="F81" i="72"/>
  <c r="E81" i="72"/>
  <c r="D81" i="72"/>
  <c r="C81" i="72"/>
  <c r="B81" i="72"/>
  <c r="A81" i="72"/>
  <c r="F80" i="72"/>
  <c r="E80" i="72"/>
  <c r="D80" i="72"/>
  <c r="C80" i="72"/>
  <c r="B80" i="72"/>
  <c r="A80" i="72"/>
  <c r="F79" i="72"/>
  <c r="E79" i="72"/>
  <c r="D79" i="72"/>
  <c r="C79" i="72"/>
  <c r="B79" i="72"/>
  <c r="A79" i="72"/>
  <c r="F78" i="72"/>
  <c r="E78" i="72"/>
  <c r="D78" i="72"/>
  <c r="C78" i="72"/>
  <c r="B78" i="72"/>
  <c r="A78" i="72"/>
  <c r="F77" i="72"/>
  <c r="E77" i="72"/>
  <c r="D77" i="72"/>
  <c r="C77" i="72"/>
  <c r="B77" i="72"/>
  <c r="A77" i="72"/>
  <c r="F76" i="72"/>
  <c r="E76" i="72"/>
  <c r="D76" i="72"/>
  <c r="C76" i="72"/>
  <c r="B76" i="72"/>
  <c r="A76" i="72"/>
  <c r="F75" i="72"/>
  <c r="E75" i="72"/>
  <c r="D75" i="72"/>
  <c r="C75" i="72"/>
  <c r="B75" i="72"/>
  <c r="A75" i="72"/>
  <c r="F74" i="72"/>
  <c r="E74" i="72"/>
  <c r="D74" i="72"/>
  <c r="C74" i="72"/>
  <c r="B74" i="72"/>
  <c r="A74" i="72"/>
  <c r="F73" i="72"/>
  <c r="E73" i="72"/>
  <c r="D73" i="72"/>
  <c r="C73" i="72"/>
  <c r="B73" i="72"/>
  <c r="A73" i="72"/>
  <c r="AJ70" i="72"/>
  <c r="AI70" i="72"/>
  <c r="AH70" i="72"/>
  <c r="AG70" i="72"/>
  <c r="AF70" i="72"/>
  <c r="AE70" i="72"/>
  <c r="AD70" i="72"/>
  <c r="AC70" i="72"/>
  <c r="AB70" i="72"/>
  <c r="AA70" i="72"/>
  <c r="Z70" i="72"/>
  <c r="Y70" i="72"/>
  <c r="X70" i="72"/>
  <c r="W70" i="72"/>
  <c r="V70" i="72"/>
  <c r="U70" i="72"/>
  <c r="T70" i="72"/>
  <c r="S70" i="72"/>
  <c r="R70" i="72"/>
  <c r="Q70" i="72"/>
  <c r="P70" i="72"/>
  <c r="O70" i="72"/>
  <c r="N70" i="72"/>
  <c r="M70" i="72"/>
  <c r="L70" i="72"/>
  <c r="K70" i="72"/>
  <c r="AK69" i="72"/>
  <c r="F69" i="72"/>
  <c r="E69" i="72"/>
  <c r="D69" i="72"/>
  <c r="C69" i="72"/>
  <c r="B69" i="72"/>
  <c r="A69" i="72"/>
  <c r="AK68" i="72"/>
  <c r="F68" i="72"/>
  <c r="E68" i="72"/>
  <c r="D68" i="72"/>
  <c r="C68" i="72"/>
  <c r="B68" i="72"/>
  <c r="A68" i="72"/>
  <c r="F67" i="72"/>
  <c r="E67" i="72"/>
  <c r="D67" i="72"/>
  <c r="C67" i="72"/>
  <c r="B67" i="72"/>
  <c r="A67" i="72"/>
  <c r="F66" i="72"/>
  <c r="E66" i="72"/>
  <c r="D66" i="72"/>
  <c r="C66" i="72"/>
  <c r="B66" i="72"/>
  <c r="A66" i="72"/>
  <c r="F65" i="72"/>
  <c r="E65" i="72"/>
  <c r="D65" i="72"/>
  <c r="C65" i="72"/>
  <c r="B65" i="72"/>
  <c r="A65" i="72"/>
  <c r="F64" i="72"/>
  <c r="E64" i="72"/>
  <c r="D64" i="72"/>
  <c r="C64" i="72"/>
  <c r="B64" i="72"/>
  <c r="A64" i="72"/>
  <c r="F63" i="72"/>
  <c r="E63" i="72"/>
  <c r="D63" i="72"/>
  <c r="C63" i="72"/>
  <c r="B63" i="72"/>
  <c r="A63" i="72"/>
  <c r="F62" i="72"/>
  <c r="E62" i="72"/>
  <c r="D62" i="72"/>
  <c r="C62" i="72"/>
  <c r="B62" i="72"/>
  <c r="A62" i="72"/>
  <c r="F61" i="72"/>
  <c r="E61" i="72"/>
  <c r="D61" i="72"/>
  <c r="C61" i="72"/>
  <c r="B61" i="72"/>
  <c r="A61" i="72"/>
  <c r="F60" i="72"/>
  <c r="E60" i="72"/>
  <c r="D60" i="72"/>
  <c r="C60" i="72"/>
  <c r="B60" i="72"/>
  <c r="A60" i="72"/>
  <c r="C152" i="47"/>
  <c r="D151" i="47"/>
  <c r="E151" i="47"/>
  <c r="F151" i="47"/>
  <c r="G151" i="47"/>
  <c r="H151" i="47"/>
  <c r="I151" i="47"/>
  <c r="J151" i="47"/>
  <c r="K151" i="47"/>
  <c r="L151" i="47"/>
  <c r="M151" i="47"/>
  <c r="N151" i="47"/>
  <c r="O151" i="47"/>
  <c r="P151" i="47"/>
  <c r="Q151" i="47"/>
  <c r="R151" i="47"/>
  <c r="S151" i="47"/>
  <c r="T151" i="47"/>
  <c r="U151" i="47"/>
  <c r="V151" i="47"/>
  <c r="W151" i="47"/>
  <c r="X151" i="47"/>
  <c r="Y151" i="47"/>
  <c r="Z151" i="47"/>
  <c r="AA151" i="47"/>
  <c r="AB151" i="47"/>
  <c r="AC151" i="47"/>
  <c r="AD151" i="47"/>
  <c r="AE151" i="47"/>
  <c r="AF151" i="47"/>
  <c r="D152" i="47"/>
  <c r="E152" i="47"/>
  <c r="F152" i="47"/>
  <c r="G152" i="47"/>
  <c r="H152" i="47"/>
  <c r="I152" i="47"/>
  <c r="J152" i="47"/>
  <c r="K152" i="47"/>
  <c r="L152" i="47"/>
  <c r="M152" i="47"/>
  <c r="N152" i="47"/>
  <c r="O152" i="47"/>
  <c r="P152" i="47"/>
  <c r="Q152" i="47"/>
  <c r="R152" i="47"/>
  <c r="S152" i="47"/>
  <c r="T152" i="47"/>
  <c r="U152" i="47"/>
  <c r="V152" i="47"/>
  <c r="W152" i="47"/>
  <c r="X152" i="47"/>
  <c r="Y152" i="47"/>
  <c r="Z152" i="47"/>
  <c r="AA152" i="47"/>
  <c r="AB152" i="47"/>
  <c r="AC152" i="47"/>
  <c r="AD152" i="47"/>
  <c r="AE152" i="47"/>
  <c r="AF152" i="47"/>
  <c r="BE77" i="75"/>
  <c r="BF77" i="75" s="1"/>
  <c r="BG77" i="75" s="1"/>
  <c r="Q50" i="20"/>
  <c r="P50" i="20"/>
  <c r="O50" i="20"/>
  <c r="F88" i="20"/>
  <c r="E88" i="20"/>
  <c r="D88" i="20"/>
  <c r="D38" i="20"/>
  <c r="E38" i="20"/>
  <c r="F38" i="20"/>
  <c r="G38" i="20"/>
  <c r="H38" i="20"/>
  <c r="I38" i="20"/>
  <c r="J38" i="20"/>
  <c r="K38" i="20"/>
  <c r="L38" i="20"/>
  <c r="M38" i="20"/>
  <c r="AK56" i="72"/>
  <c r="AK43" i="72"/>
  <c r="B34" i="72"/>
  <c r="B35" i="72"/>
  <c r="B36" i="72"/>
  <c r="B37" i="72"/>
  <c r="B38" i="72"/>
  <c r="B39" i="72"/>
  <c r="B40" i="72"/>
  <c r="B41" i="72"/>
  <c r="B42" i="72"/>
  <c r="B33" i="72"/>
  <c r="A34" i="72"/>
  <c r="A47" i="72" s="1"/>
  <c r="A35" i="72"/>
  <c r="A48" i="72" s="1"/>
  <c r="A36" i="72"/>
  <c r="A49" i="72" s="1"/>
  <c r="A37" i="72"/>
  <c r="A50" i="72" s="1"/>
  <c r="A38" i="72"/>
  <c r="A51" i="72" s="1"/>
  <c r="A39" i="72"/>
  <c r="A52" i="72" s="1"/>
  <c r="A40" i="72"/>
  <c r="A53" i="72" s="1"/>
  <c r="A41" i="72"/>
  <c r="A54" i="72" s="1"/>
  <c r="A42" i="72"/>
  <c r="A55" i="72" s="1"/>
  <c r="A33" i="72"/>
  <c r="A46" i="72" s="1"/>
  <c r="B111" i="20"/>
  <c r="C111" i="20" s="1"/>
  <c r="A28" i="72"/>
  <c r="A29" i="72"/>
  <c r="AK9" i="72"/>
  <c r="AK10" i="72"/>
  <c r="A61" i="68"/>
  <c r="A60" i="68"/>
  <c r="C59" i="68"/>
  <c r="D59" i="68"/>
  <c r="B59" i="68"/>
  <c r="A59" i="68"/>
  <c r="A63" i="68"/>
  <c r="B58" i="68"/>
  <c r="A58" i="68"/>
  <c r="B57" i="68"/>
  <c r="A57" i="68"/>
  <c r="A56" i="68"/>
  <c r="P4" i="55"/>
  <c r="C4" i="47"/>
  <c r="D4" i="47" s="1"/>
  <c r="B13" i="55"/>
  <c r="A14" i="55"/>
  <c r="D87" i="20"/>
  <c r="E87" i="20"/>
  <c r="F87" i="20"/>
  <c r="C3" i="47"/>
  <c r="B332" i="57"/>
  <c r="V358" i="57" s="1"/>
  <c r="E3" i="74"/>
  <c r="F3" i="74" s="1"/>
  <c r="AK7" i="72"/>
  <c r="AK8" i="72"/>
  <c r="AK11" i="72"/>
  <c r="AK12" i="72"/>
  <c r="AK13" i="72"/>
  <c r="AK14" i="72"/>
  <c r="AK15" i="72"/>
  <c r="AK6" i="72"/>
  <c r="AJ16" i="72"/>
  <c r="AI16" i="72"/>
  <c r="AH16" i="72"/>
  <c r="AG16" i="72"/>
  <c r="AF16" i="72"/>
  <c r="H3" i="72"/>
  <c r="I3" i="72" s="1"/>
  <c r="J3" i="72" s="1"/>
  <c r="K3" i="72" s="1"/>
  <c r="L3" i="72" s="1"/>
  <c r="M3" i="72" s="1"/>
  <c r="N3" i="72" s="1"/>
  <c r="O3" i="72" s="1"/>
  <c r="P3" i="72" s="1"/>
  <c r="Q3" i="72" s="1"/>
  <c r="R3" i="72" s="1"/>
  <c r="S3" i="72" s="1"/>
  <c r="T3" i="72" s="1"/>
  <c r="U3" i="72" s="1"/>
  <c r="V3" i="72" s="1"/>
  <c r="W3" i="72" s="1"/>
  <c r="X3" i="72" s="1"/>
  <c r="Y3" i="72" s="1"/>
  <c r="Z3" i="72" s="1"/>
  <c r="AA3" i="72" s="1"/>
  <c r="AB3" i="72" s="1"/>
  <c r="AC3" i="72" s="1"/>
  <c r="AD3" i="72" s="1"/>
  <c r="AE3" i="72" s="1"/>
  <c r="AF3" i="72" s="1"/>
  <c r="AG3" i="72" s="1"/>
  <c r="AH3" i="72" s="1"/>
  <c r="AI3" i="72" s="1"/>
  <c r="AJ3" i="72" s="1"/>
  <c r="D5" i="75"/>
  <c r="BC8" i="75"/>
  <c r="BC9" i="75" s="1"/>
  <c r="D8" i="75"/>
  <c r="D9" i="75" s="1"/>
  <c r="BD7" i="75"/>
  <c r="BD8" i="75" s="1"/>
  <c r="BD9" i="75" s="1"/>
  <c r="E7" i="75"/>
  <c r="F7" i="75" s="1"/>
  <c r="AC8" i="67"/>
  <c r="H13" i="55"/>
  <c r="H89" i="20"/>
  <c r="H90" i="20"/>
  <c r="B7" i="74"/>
  <c r="B8" i="74"/>
  <c r="B9" i="74"/>
  <c r="B10" i="74"/>
  <c r="B11" i="74"/>
  <c r="B6" i="74"/>
  <c r="D5" i="55"/>
  <c r="B351" i="80"/>
  <c r="V351" i="80" s="1"/>
  <c r="B313" i="80"/>
  <c r="S313" i="80" s="1"/>
  <c r="B275" i="80"/>
  <c r="AA275" i="80" s="1"/>
  <c r="B237" i="80"/>
  <c r="N237" i="80" s="1"/>
  <c r="B199" i="80"/>
  <c r="AB199" i="80" s="1"/>
  <c r="B161" i="80"/>
  <c r="D161" i="80" s="1"/>
  <c r="B123" i="80"/>
  <c r="B85" i="80"/>
  <c r="H85" i="80" s="1"/>
  <c r="B47" i="80"/>
  <c r="R47" i="80" s="1"/>
  <c r="B9" i="80"/>
  <c r="H9" i="80" s="1"/>
  <c r="H509" i="80"/>
  <c r="G509" i="80"/>
  <c r="F509" i="80"/>
  <c r="E509" i="80"/>
  <c r="D509" i="80"/>
  <c r="C509" i="80"/>
  <c r="B509" i="80"/>
  <c r="A461" i="80"/>
  <c r="A462" i="80"/>
  <c r="A463" i="80"/>
  <c r="A464" i="80"/>
  <c r="A465" i="80"/>
  <c r="A466" i="80"/>
  <c r="A467" i="80"/>
  <c r="A468" i="80"/>
  <c r="A469" i="80"/>
  <c r="A470" i="80"/>
  <c r="A471" i="80"/>
  <c r="A472" i="80"/>
  <c r="A473" i="80"/>
  <c r="A474" i="80"/>
  <c r="A475" i="80"/>
  <c r="A476" i="80"/>
  <c r="A477" i="80"/>
  <c r="A478" i="80"/>
  <c r="A479" i="80"/>
  <c r="A480" i="80"/>
  <c r="A481" i="80"/>
  <c r="A482" i="80"/>
  <c r="A483" i="80"/>
  <c r="A484" i="80"/>
  <c r="A485" i="80"/>
  <c r="A486" i="80"/>
  <c r="A487" i="80"/>
  <c r="A488" i="80"/>
  <c r="A489" i="80"/>
  <c r="A490" i="80"/>
  <c r="A491" i="80"/>
  <c r="A492" i="80"/>
  <c r="A493" i="80"/>
  <c r="A494" i="80"/>
  <c r="A495" i="80"/>
  <c r="A496" i="80"/>
  <c r="A497" i="80"/>
  <c r="A498" i="80"/>
  <c r="A499" i="80"/>
  <c r="A500" i="80"/>
  <c r="A501" i="80"/>
  <c r="A502" i="80"/>
  <c r="A503" i="80"/>
  <c r="A504" i="80"/>
  <c r="A505" i="80"/>
  <c r="A506" i="80"/>
  <c r="A507" i="80"/>
  <c r="A508" i="80"/>
  <c r="I460" i="80"/>
  <c r="D1" i="80"/>
  <c r="E1" i="80"/>
  <c r="F1" i="80"/>
  <c r="G1" i="80"/>
  <c r="H1" i="80"/>
  <c r="I1" i="80"/>
  <c r="J1" i="80"/>
  <c r="K1" i="80"/>
  <c r="L1" i="80"/>
  <c r="M1" i="80"/>
  <c r="N1" i="80"/>
  <c r="O1" i="80"/>
  <c r="P1" i="80"/>
  <c r="Q1" i="80"/>
  <c r="R1" i="80"/>
  <c r="S1" i="80"/>
  <c r="T1" i="80"/>
  <c r="U1" i="80"/>
  <c r="V1" i="80"/>
  <c r="W1" i="80"/>
  <c r="X1" i="80"/>
  <c r="Y1" i="80"/>
  <c r="Z1" i="80"/>
  <c r="AA1" i="80"/>
  <c r="AB1" i="80"/>
  <c r="AC1" i="80"/>
  <c r="AD1" i="80"/>
  <c r="AE1" i="80"/>
  <c r="AF1" i="80"/>
  <c r="Z351" i="80"/>
  <c r="V199" i="80"/>
  <c r="F275" i="80"/>
  <c r="L275" i="80"/>
  <c r="I461" i="80"/>
  <c r="I462" i="80"/>
  <c r="I463" i="80"/>
  <c r="I464" i="80"/>
  <c r="I465" i="80"/>
  <c r="I466" i="80"/>
  <c r="I467" i="80"/>
  <c r="I468" i="80"/>
  <c r="I469" i="80"/>
  <c r="I470" i="80"/>
  <c r="I471" i="80"/>
  <c r="I472" i="80"/>
  <c r="I473" i="80"/>
  <c r="I474" i="80"/>
  <c r="I475" i="80"/>
  <c r="I476" i="80"/>
  <c r="I477" i="80"/>
  <c r="I478" i="80"/>
  <c r="I479" i="80"/>
  <c r="I480" i="80"/>
  <c r="I481" i="80"/>
  <c r="I482" i="80"/>
  <c r="I483" i="80"/>
  <c r="I484" i="80"/>
  <c r="I485" i="80"/>
  <c r="I486" i="80"/>
  <c r="I487" i="80"/>
  <c r="I488" i="80"/>
  <c r="I489" i="80"/>
  <c r="I490" i="80"/>
  <c r="I491" i="80"/>
  <c r="I492" i="80"/>
  <c r="I493" i="80"/>
  <c r="I494" i="80"/>
  <c r="I495" i="80"/>
  <c r="I496" i="80"/>
  <c r="I497" i="80"/>
  <c r="I498" i="80"/>
  <c r="C37" i="20"/>
  <c r="D37" i="20" s="1"/>
  <c r="E37" i="20" s="1"/>
  <c r="F37" i="20" s="1"/>
  <c r="G37" i="20" s="1"/>
  <c r="H37" i="20" s="1"/>
  <c r="I37" i="20" s="1"/>
  <c r="J37" i="20" s="1"/>
  <c r="K37" i="20" s="1"/>
  <c r="L37" i="20" s="1"/>
  <c r="M37" i="20" s="1"/>
  <c r="C40" i="20"/>
  <c r="B329" i="57"/>
  <c r="A329" i="57"/>
  <c r="A363" i="57" s="1"/>
  <c r="B296" i="57"/>
  <c r="B293" i="57"/>
  <c r="A293" i="57"/>
  <c r="A327" i="57" s="1"/>
  <c r="B260" i="57"/>
  <c r="B257" i="57"/>
  <c r="A257" i="57"/>
  <c r="B224" i="57"/>
  <c r="B221" i="57"/>
  <c r="A221" i="57"/>
  <c r="A233" i="80" s="1"/>
  <c r="A269" i="80" s="1"/>
  <c r="B188" i="57"/>
  <c r="B185" i="57"/>
  <c r="A185" i="57"/>
  <c r="A219" i="57" s="1"/>
  <c r="B152" i="57"/>
  <c r="B149" i="57"/>
  <c r="A149" i="57"/>
  <c r="A183" i="57" s="1"/>
  <c r="B116" i="57"/>
  <c r="B113" i="57"/>
  <c r="A113" i="57"/>
  <c r="A119" i="80" s="1"/>
  <c r="A155" i="80" s="1"/>
  <c r="B80" i="57"/>
  <c r="B77" i="57"/>
  <c r="A77" i="57"/>
  <c r="A81" i="80" s="1"/>
  <c r="A117" i="80" s="1"/>
  <c r="B44" i="57"/>
  <c r="B41" i="57"/>
  <c r="A41" i="57"/>
  <c r="B8" i="57"/>
  <c r="B5" i="57"/>
  <c r="A5" i="57"/>
  <c r="A39" i="57" s="1"/>
  <c r="X356" i="57"/>
  <c r="S353" i="57"/>
  <c r="O355" i="57"/>
  <c r="O349" i="57"/>
  <c r="H346" i="57"/>
  <c r="D338" i="57"/>
  <c r="C355" i="57"/>
  <c r="N352" i="57"/>
  <c r="H349" i="57"/>
  <c r="K348" i="57"/>
  <c r="H351" i="57"/>
  <c r="H343" i="57"/>
  <c r="G349" i="57"/>
  <c r="F355" i="57"/>
  <c r="C340" i="57"/>
  <c r="L348" i="57"/>
  <c r="G356" i="57"/>
  <c r="J342" i="57"/>
  <c r="I351" i="57"/>
  <c r="D345" i="57"/>
  <c r="B5" i="74"/>
  <c r="C6" i="74"/>
  <c r="C5" i="74"/>
  <c r="D6" i="74"/>
  <c r="D7" i="74"/>
  <c r="D8" i="74"/>
  <c r="D9" i="74"/>
  <c r="D10" i="74"/>
  <c r="D11" i="74"/>
  <c r="C7" i="74"/>
  <c r="C8" i="74"/>
  <c r="C9" i="74"/>
  <c r="C10" i="74"/>
  <c r="C11" i="74"/>
  <c r="D5" i="74"/>
  <c r="B3" i="74"/>
  <c r="A11" i="74"/>
  <c r="A6" i="74"/>
  <c r="A7" i="74"/>
  <c r="A8" i="74"/>
  <c r="A9" i="74"/>
  <c r="A10" i="74"/>
  <c r="A5" i="74"/>
  <c r="C20" i="72"/>
  <c r="D20" i="72"/>
  <c r="E20" i="72"/>
  <c r="F20" i="72"/>
  <c r="C21" i="72"/>
  <c r="D21" i="72"/>
  <c r="E21" i="72"/>
  <c r="F21" i="72"/>
  <c r="C22" i="72"/>
  <c r="D22" i="72"/>
  <c r="E22" i="72"/>
  <c r="F22" i="72"/>
  <c r="C23" i="72"/>
  <c r="D23" i="72"/>
  <c r="E23" i="72"/>
  <c r="F23" i="72"/>
  <c r="C24" i="72"/>
  <c r="D24" i="72"/>
  <c r="E24" i="72"/>
  <c r="F24" i="72"/>
  <c r="C25" i="72"/>
  <c r="D25" i="72"/>
  <c r="E25" i="72"/>
  <c r="F25" i="72"/>
  <c r="C26" i="72"/>
  <c r="D26" i="72"/>
  <c r="E26" i="72"/>
  <c r="F26" i="72"/>
  <c r="C27" i="72"/>
  <c r="D27" i="72"/>
  <c r="E27" i="72"/>
  <c r="F27" i="72"/>
  <c r="C28" i="72"/>
  <c r="D28" i="72"/>
  <c r="E28" i="72"/>
  <c r="F28" i="72"/>
  <c r="C29" i="72"/>
  <c r="D29" i="72"/>
  <c r="E29" i="72"/>
  <c r="F29" i="72"/>
  <c r="B28" i="72"/>
  <c r="B29" i="72"/>
  <c r="C91" i="20"/>
  <c r="C92" i="20"/>
  <c r="C93" i="20"/>
  <c r="C94" i="20"/>
  <c r="X16" i="72"/>
  <c r="Y16" i="72"/>
  <c r="Z16" i="72"/>
  <c r="AA16" i="72"/>
  <c r="AB16" i="72"/>
  <c r="AC16" i="72"/>
  <c r="AD16" i="72"/>
  <c r="AE16" i="72"/>
  <c r="B20" i="72"/>
  <c r="B21" i="72"/>
  <c r="B24" i="72"/>
  <c r="B25" i="72"/>
  <c r="B26" i="72"/>
  <c r="B27" i="72"/>
  <c r="A25" i="72"/>
  <c r="A26" i="72"/>
  <c r="A27" i="72"/>
  <c r="C19" i="20"/>
  <c r="B23" i="72"/>
  <c r="B22" i="72"/>
  <c r="A24" i="72"/>
  <c r="A23" i="72"/>
  <c r="A22" i="72"/>
  <c r="A21" i="72"/>
  <c r="A20" i="72"/>
  <c r="D4" i="74"/>
  <c r="E4" i="74" s="1"/>
  <c r="F4" i="74" s="1"/>
  <c r="A1" i="74"/>
  <c r="G16" i="72"/>
  <c r="A1" i="72"/>
  <c r="B7" i="68"/>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B10" i="47"/>
  <c r="B11" i="47"/>
  <c r="A1" i="47"/>
  <c r="F63" i="20"/>
  <c r="G63" i="20" s="1"/>
  <c r="K8" i="67"/>
  <c r="P8" i="67"/>
  <c r="E63" i="20"/>
  <c r="E68" i="20" s="1"/>
  <c r="B39" i="68"/>
  <c r="C39" i="68" s="1"/>
  <c r="D39" i="68" s="1"/>
  <c r="E39" i="68" s="1"/>
  <c r="F39" i="68" s="1"/>
  <c r="B46" i="68" s="1"/>
  <c r="C46" i="68" s="1"/>
  <c r="D46" i="68" s="1"/>
  <c r="E46" i="68" s="1"/>
  <c r="F46" i="68" s="1"/>
  <c r="B3" i="68"/>
  <c r="B9" i="68"/>
  <c r="B24" i="68"/>
  <c r="C24" i="68" s="1"/>
  <c r="D24" i="68" s="1"/>
  <c r="E24" i="68" s="1"/>
  <c r="F24" i="68" s="1"/>
  <c r="A2" i="20"/>
  <c r="B5" i="68"/>
  <c r="B8" i="68"/>
  <c r="A2" i="68"/>
  <c r="J12" i="55"/>
  <c r="B11" i="55"/>
  <c r="C11" i="55"/>
  <c r="D11" i="55"/>
  <c r="E11" i="55"/>
  <c r="F11" i="55"/>
  <c r="G11" i="55"/>
  <c r="H11" i="55"/>
  <c r="I11" i="55"/>
  <c r="J11" i="55"/>
  <c r="K11" i="55"/>
  <c r="L11" i="55"/>
  <c r="M11" i="55"/>
  <c r="N11" i="55"/>
  <c r="O11" i="55"/>
  <c r="P11" i="55"/>
  <c r="Q11" i="55"/>
  <c r="R11" i="55"/>
  <c r="S11" i="55"/>
  <c r="T11" i="55"/>
  <c r="U11" i="55"/>
  <c r="W11" i="55"/>
  <c r="X11" i="55"/>
  <c r="Y11" i="55"/>
  <c r="Z11" i="55"/>
  <c r="AA11" i="55"/>
  <c r="AB11" i="55"/>
  <c r="A7" i="60"/>
  <c r="A8" i="60"/>
  <c r="A9" i="60"/>
  <c r="A6" i="60"/>
  <c r="A1" i="55"/>
  <c r="A15" i="55"/>
  <c r="E22" i="74"/>
  <c r="O16" i="72"/>
  <c r="D22" i="74"/>
  <c r="F22" i="74"/>
  <c r="L16" i="72"/>
  <c r="P16" i="72"/>
  <c r="I16" i="72"/>
  <c r="H16" i="72"/>
  <c r="J16" i="72"/>
  <c r="N16" i="72"/>
  <c r="M16" i="72"/>
  <c r="K16" i="72"/>
  <c r="A16" i="55"/>
  <c r="Y8" i="67"/>
  <c r="G8" i="67"/>
  <c r="T8" i="67"/>
  <c r="C8" i="67"/>
  <c r="H199" i="80"/>
  <c r="U199" i="80"/>
  <c r="AA199" i="80"/>
  <c r="M199" i="80"/>
  <c r="C199" i="80"/>
  <c r="C3" i="67"/>
  <c r="C5" i="67" s="1"/>
  <c r="S199" i="80"/>
  <c r="N199" i="80"/>
  <c r="E199" i="80"/>
  <c r="D313" i="80"/>
  <c r="C2" i="57"/>
  <c r="C50" i="20"/>
  <c r="C28" i="60" s="1"/>
  <c r="C44" i="60" s="1"/>
  <c r="P199" i="80"/>
  <c r="K199" i="80"/>
  <c r="F199" i="80"/>
  <c r="F68" i="20"/>
  <c r="C41" i="20"/>
  <c r="C24" i="20"/>
  <c r="B14" i="68" s="1"/>
  <c r="C95" i="20"/>
  <c r="AD8" i="67"/>
  <c r="S8" i="67"/>
  <c r="O8" i="67"/>
  <c r="J8" i="67"/>
  <c r="F8" i="67"/>
  <c r="AB8" i="67"/>
  <c r="C33" i="20"/>
  <c r="G6" i="67" s="1"/>
  <c r="D8" i="55"/>
  <c r="C21" i="20"/>
  <c r="H91" i="20"/>
  <c r="H92" i="20" s="1"/>
  <c r="AA8" i="67"/>
  <c r="W8" i="67"/>
  <c r="V8" i="67"/>
  <c r="R8" i="67"/>
  <c r="N8" i="67"/>
  <c r="I8" i="67"/>
  <c r="E8" i="67"/>
  <c r="L8" i="67"/>
  <c r="AF8" i="67"/>
  <c r="C27" i="20"/>
  <c r="AD42" i="60" s="1"/>
  <c r="X8" i="67"/>
  <c r="B4" i="47"/>
  <c r="Z8" i="67"/>
  <c r="U8" i="67"/>
  <c r="Q8" i="67"/>
  <c r="M8" i="67"/>
  <c r="H8" i="67"/>
  <c r="D8" i="67"/>
  <c r="AE8" i="67"/>
  <c r="E9" i="74"/>
  <c r="H237" i="80"/>
  <c r="S237" i="80"/>
  <c r="T85" i="80"/>
  <c r="Q237" i="80"/>
  <c r="C237" i="80"/>
  <c r="X237" i="80"/>
  <c r="F85" i="80"/>
  <c r="M85" i="80"/>
  <c r="C3" i="60"/>
  <c r="D3" i="60" s="1"/>
  <c r="E3" i="60" s="1"/>
  <c r="F3" i="60" s="1"/>
  <c r="G3" i="60" s="1"/>
  <c r="H3" i="60" s="1"/>
  <c r="I3" i="60" s="1"/>
  <c r="J3" i="60" s="1"/>
  <c r="K3" i="60" s="1"/>
  <c r="L3" i="60" s="1"/>
  <c r="M3" i="60" s="1"/>
  <c r="N3" i="60" s="1"/>
  <c r="O3" i="60" s="1"/>
  <c r="P3" i="60" s="1"/>
  <c r="Q3" i="60" s="1"/>
  <c r="R3" i="60" s="1"/>
  <c r="S3" i="60" s="1"/>
  <c r="T3" i="60" s="1"/>
  <c r="U3" i="60" s="1"/>
  <c r="V3" i="60" s="1"/>
  <c r="W3" i="60" s="1"/>
  <c r="X3" i="60" s="1"/>
  <c r="Y3" i="60" s="1"/>
  <c r="Z3" i="60" s="1"/>
  <c r="AA3" i="60" s="1"/>
  <c r="AB3" i="60" s="1"/>
  <c r="AC3" i="60" s="1"/>
  <c r="AD3" i="60" s="1"/>
  <c r="AE3" i="60" s="1"/>
  <c r="AF3" i="60" s="1"/>
  <c r="D3" i="47"/>
  <c r="C2" i="67"/>
  <c r="D2" i="67" s="1"/>
  <c r="E2" i="67" s="1"/>
  <c r="F2" i="67" s="1"/>
  <c r="G2" i="67" s="1"/>
  <c r="H2" i="67" s="1"/>
  <c r="I2" i="67" s="1"/>
  <c r="J2" i="67" s="1"/>
  <c r="K2" i="67" s="1"/>
  <c r="L2" i="67" s="1"/>
  <c r="M2" i="67" s="1"/>
  <c r="N2" i="67" s="1"/>
  <c r="O2" i="67" s="1"/>
  <c r="P2" i="67" s="1"/>
  <c r="Q2" i="67" s="1"/>
  <c r="R2" i="67" s="1"/>
  <c r="S2" i="67" s="1"/>
  <c r="T2" i="67" s="1"/>
  <c r="U2" i="67" s="1"/>
  <c r="V2" i="67" s="1"/>
  <c r="W2" i="67" s="1"/>
  <c r="X2" i="67" s="1"/>
  <c r="Y2" i="67" s="1"/>
  <c r="Z2" i="67" s="1"/>
  <c r="AA2" i="67" s="1"/>
  <c r="AB2" i="67" s="1"/>
  <c r="AC2" i="67" s="1"/>
  <c r="AD2" i="67" s="1"/>
  <c r="AE2" i="67" s="1"/>
  <c r="AF2" i="67" s="1"/>
  <c r="O275" i="80"/>
  <c r="M237" i="80"/>
  <c r="D237" i="80"/>
  <c r="O237" i="80"/>
  <c r="Z237" i="80"/>
  <c r="AB237" i="80"/>
  <c r="AF237" i="80"/>
  <c r="AE237" i="80"/>
  <c r="P237" i="80"/>
  <c r="AA237" i="80"/>
  <c r="K237" i="80"/>
  <c r="F237" i="80"/>
  <c r="AC237" i="80"/>
  <c r="Y237" i="80"/>
  <c r="E237" i="80"/>
  <c r="L237" i="80"/>
  <c r="W237" i="80"/>
  <c r="R237" i="80"/>
  <c r="AE199" i="80"/>
  <c r="AF199" i="80"/>
  <c r="H275" i="80"/>
  <c r="U275" i="80"/>
  <c r="O359" i="57"/>
  <c r="M358" i="57"/>
  <c r="T275" i="80"/>
  <c r="D275" i="80"/>
  <c r="V275" i="80"/>
  <c r="M275" i="80"/>
  <c r="K275" i="80"/>
  <c r="AE362" i="57"/>
  <c r="X360" i="57"/>
  <c r="T360" i="57"/>
  <c r="L358" i="57"/>
  <c r="P275" i="80"/>
  <c r="N275" i="80"/>
  <c r="E275" i="80"/>
  <c r="G275" i="80"/>
  <c r="X275" i="80"/>
  <c r="AC275" i="80"/>
  <c r="S360" i="57"/>
  <c r="K358" i="57"/>
  <c r="G358" i="57"/>
  <c r="A195" i="80"/>
  <c r="A231" i="80" s="1"/>
  <c r="A17" i="55"/>
  <c r="H4" i="72"/>
  <c r="I4" i="72" s="1"/>
  <c r="J4" i="72" s="1"/>
  <c r="E11" i="74"/>
  <c r="I509" i="80"/>
  <c r="AF275" i="80"/>
  <c r="AD275" i="80"/>
  <c r="C275" i="80"/>
  <c r="W275" i="80"/>
  <c r="Q275" i="80"/>
  <c r="J275" i="80"/>
  <c r="Z275" i="80"/>
  <c r="AE275" i="80"/>
  <c r="AB275" i="80"/>
  <c r="S275" i="80"/>
  <c r="I275" i="80"/>
  <c r="Y275" i="80"/>
  <c r="R275" i="80"/>
  <c r="L199" i="80"/>
  <c r="W199" i="80"/>
  <c r="G199" i="80"/>
  <c r="R199" i="80"/>
  <c r="Y199" i="80"/>
  <c r="I199" i="80"/>
  <c r="AC199" i="80"/>
  <c r="X199" i="80"/>
  <c r="T199" i="80"/>
  <c r="D199" i="80"/>
  <c r="O199" i="80"/>
  <c r="Z199" i="80"/>
  <c r="J199" i="80"/>
  <c r="Q199" i="80"/>
  <c r="AB26" i="60"/>
  <c r="V123" i="80"/>
  <c r="AA123" i="80"/>
  <c r="AD123" i="80"/>
  <c r="D3" i="67"/>
  <c r="E3" i="67" s="1"/>
  <c r="F3" i="67" s="1"/>
  <c r="G3" i="67" s="1"/>
  <c r="H3" i="67" s="1"/>
  <c r="I3" i="67" s="1"/>
  <c r="J3" i="67" s="1"/>
  <c r="K3" i="67" s="1"/>
  <c r="L3" i="67" s="1"/>
  <c r="M3" i="67" s="1"/>
  <c r="N3" i="67" s="1"/>
  <c r="O3" i="67" s="1"/>
  <c r="P3" i="67" s="1"/>
  <c r="Q3" i="67" s="1"/>
  <c r="R3" i="67" s="1"/>
  <c r="S3" i="67" s="1"/>
  <c r="T3" i="67" s="1"/>
  <c r="U3" i="67" s="1"/>
  <c r="V3" i="67" s="1"/>
  <c r="W3" i="67" s="1"/>
  <c r="X3" i="67" s="1"/>
  <c r="Y3" i="67" s="1"/>
  <c r="Z3" i="67" s="1"/>
  <c r="AA3" i="67" s="1"/>
  <c r="AB3" i="67" s="1"/>
  <c r="AC3" i="67" s="1"/>
  <c r="AD3" i="67" s="1"/>
  <c r="AE3" i="67" s="1"/>
  <c r="AF3" i="67" s="1"/>
  <c r="D27" i="47"/>
  <c r="E3" i="47"/>
  <c r="I6" i="67"/>
  <c r="L6" i="67"/>
  <c r="R6" i="67"/>
  <c r="K6" i="67"/>
  <c r="AE6" i="67"/>
  <c r="T6" i="67"/>
  <c r="Y6" i="67"/>
  <c r="D6" i="67"/>
  <c r="C96" i="20"/>
  <c r="AD6" i="67"/>
  <c r="O6" i="67"/>
  <c r="E6" i="67"/>
  <c r="P6" i="67"/>
  <c r="Z6" i="67"/>
  <c r="J6" i="67"/>
  <c r="C6" i="67"/>
  <c r="Q6" i="67"/>
  <c r="AA6" i="67"/>
  <c r="AB6" i="67"/>
  <c r="P26" i="60"/>
  <c r="AA26" i="60"/>
  <c r="D42" i="60"/>
  <c r="W26" i="60"/>
  <c r="B61" i="68"/>
  <c r="C8" i="55"/>
  <c r="N6" i="67"/>
  <c r="U6" i="67"/>
  <c r="AF6" i="67"/>
  <c r="S6" i="67"/>
  <c r="V6" i="67"/>
  <c r="F6" i="67"/>
  <c r="AC6" i="67"/>
  <c r="M6" i="67"/>
  <c r="W6" i="67"/>
  <c r="X6" i="67"/>
  <c r="H6" i="67"/>
  <c r="A18" i="55"/>
  <c r="F3" i="47"/>
  <c r="C97" i="20"/>
  <c r="A19" i="55"/>
  <c r="G3" i="47"/>
  <c r="C98" i="20"/>
  <c r="H97" i="20"/>
  <c r="A20" i="55"/>
  <c r="H3" i="47"/>
  <c r="C99" i="20"/>
  <c r="H98" i="20"/>
  <c r="A21" i="55"/>
  <c r="I3" i="47"/>
  <c r="C100" i="20"/>
  <c r="H100" i="20"/>
  <c r="H99" i="20"/>
  <c r="A22" i="55"/>
  <c r="J3" i="47"/>
  <c r="A23" i="55"/>
  <c r="K3" i="47"/>
  <c r="A24" i="55"/>
  <c r="L3" i="47"/>
  <c r="A25" i="55"/>
  <c r="M3" i="47"/>
  <c r="A26" i="55"/>
  <c r="N3" i="47"/>
  <c r="A27" i="55"/>
  <c r="O3" i="47"/>
  <c r="A28" i="55"/>
  <c r="P3" i="47"/>
  <c r="A29" i="55"/>
  <c r="Q3" i="47"/>
  <c r="A30" i="55"/>
  <c r="R3" i="47"/>
  <c r="A31" i="55"/>
  <c r="S3" i="47"/>
  <c r="A32" i="55"/>
  <c r="T3" i="47"/>
  <c r="A33" i="55"/>
  <c r="U3" i="47"/>
  <c r="A34" i="55"/>
  <c r="V3" i="47"/>
  <c r="A35" i="55"/>
  <c r="W3" i="47"/>
  <c r="A36" i="55"/>
  <c r="X3" i="47"/>
  <c r="A37" i="55"/>
  <c r="Y3" i="47"/>
  <c r="A38" i="55"/>
  <c r="Z3" i="47"/>
  <c r="A39" i="55"/>
  <c r="AA3" i="47"/>
  <c r="A40" i="55"/>
  <c r="AB3" i="47"/>
  <c r="A41" i="55"/>
  <c r="AC3" i="47"/>
  <c r="A42" i="55"/>
  <c r="AD3" i="47"/>
  <c r="AE3" i="47"/>
  <c r="AF3" i="47"/>
  <c r="Q16" i="72"/>
  <c r="R16" i="72"/>
  <c r="S16" i="72"/>
  <c r="T16" i="72"/>
  <c r="U16" i="72"/>
  <c r="V16" i="72"/>
  <c r="W16" i="72"/>
  <c r="E78" i="20"/>
  <c r="S39" i="89" l="1"/>
  <c r="R44" i="89"/>
  <c r="R54" i="89"/>
  <c r="R69" i="89" s="1"/>
  <c r="AI39" i="89"/>
  <c r="AH44" i="89"/>
  <c r="AU39" i="89"/>
  <c r="AT44" i="89"/>
  <c r="W39" i="89"/>
  <c r="V44" i="89"/>
  <c r="F313" i="80"/>
  <c r="N313" i="80"/>
  <c r="AE313" i="80"/>
  <c r="O360" i="57"/>
  <c r="AB360" i="57"/>
  <c r="K359" i="57"/>
  <c r="Y313" i="80"/>
  <c r="K349" i="57"/>
  <c r="G341" i="57"/>
  <c r="H345" i="57"/>
  <c r="E341" i="57"/>
  <c r="S357" i="57"/>
  <c r="V313" i="80"/>
  <c r="P85" i="80"/>
  <c r="W360" i="57"/>
  <c r="W361" i="57"/>
  <c r="Q313" i="80"/>
  <c r="M353" i="57"/>
  <c r="P350" i="57"/>
  <c r="H353" i="57"/>
  <c r="H350" i="57"/>
  <c r="Q356" i="57"/>
  <c r="I85" i="80"/>
  <c r="A309" i="80"/>
  <c r="A345" i="80" s="1"/>
  <c r="Z362" i="57"/>
  <c r="D358" i="57"/>
  <c r="AA361" i="57"/>
  <c r="J313" i="80"/>
  <c r="AA313" i="80"/>
  <c r="E313" i="80"/>
  <c r="E352" i="57"/>
  <c r="N349" i="57"/>
  <c r="C346" i="57"/>
  <c r="L349" i="57"/>
  <c r="H354" i="57"/>
  <c r="R351" i="57"/>
  <c r="R313" i="80"/>
  <c r="A147" i="57"/>
  <c r="AD362" i="57"/>
  <c r="H358" i="57"/>
  <c r="X362" i="57"/>
  <c r="AE351" i="80"/>
  <c r="E47" i="80"/>
  <c r="X313" i="80"/>
  <c r="G348" i="57"/>
  <c r="K357" i="57"/>
  <c r="C352" i="57"/>
  <c r="N346" i="57"/>
  <c r="L354" i="57"/>
  <c r="R355" i="57"/>
  <c r="G85" i="80"/>
  <c r="J358" i="57"/>
  <c r="U352" i="57"/>
  <c r="Q352" i="57"/>
  <c r="N355" i="57"/>
  <c r="W357" i="57"/>
  <c r="R350" i="57"/>
  <c r="V356" i="57"/>
  <c r="N353" i="57"/>
  <c r="K355" i="57"/>
  <c r="I357" i="57"/>
  <c r="H342" i="57"/>
  <c r="F348" i="57"/>
  <c r="E337" i="57"/>
  <c r="C347" i="57"/>
  <c r="R349" i="57"/>
  <c r="M355" i="57"/>
  <c r="K350" i="57"/>
  <c r="I352" i="57"/>
  <c r="H341" i="57"/>
  <c r="P355" i="57"/>
  <c r="J357" i="57"/>
  <c r="G344" i="57"/>
  <c r="E339" i="57"/>
  <c r="C341" i="57"/>
  <c r="M354" i="57"/>
  <c r="I347" i="57"/>
  <c r="F350" i="57"/>
  <c r="D352" i="57"/>
  <c r="C336" i="57"/>
  <c r="I343" i="57"/>
  <c r="D344" i="57"/>
  <c r="L343" i="57"/>
  <c r="F343" i="57"/>
  <c r="R356" i="57"/>
  <c r="H344" i="57"/>
  <c r="D339" i="57"/>
  <c r="K344" i="57"/>
  <c r="X355" i="57"/>
  <c r="R360" i="57"/>
  <c r="T362" i="57"/>
  <c r="O361" i="57"/>
  <c r="M360" i="57"/>
  <c r="G359" i="57"/>
  <c r="S362" i="57"/>
  <c r="R361" i="57"/>
  <c r="L360" i="57"/>
  <c r="F359" i="57"/>
  <c r="R362" i="57"/>
  <c r="M361" i="57"/>
  <c r="G360" i="57"/>
  <c r="AA358" i="57"/>
  <c r="Q354" i="57"/>
  <c r="T357" i="57"/>
  <c r="Q348" i="57"/>
  <c r="N351" i="57"/>
  <c r="V354" i="57"/>
  <c r="Q355" i="57"/>
  <c r="U357" i="57"/>
  <c r="N348" i="57"/>
  <c r="K351" i="57"/>
  <c r="I353" i="57"/>
  <c r="G355" i="57"/>
  <c r="F344" i="57"/>
  <c r="D354" i="57"/>
  <c r="C343" i="57"/>
  <c r="Q350" i="57"/>
  <c r="M350" i="57"/>
  <c r="K346" i="57"/>
  <c r="I348" i="57"/>
  <c r="G354" i="57"/>
  <c r="O351" i="57"/>
  <c r="J349" i="57"/>
  <c r="F357" i="57"/>
  <c r="D353" i="57"/>
  <c r="C337" i="57"/>
  <c r="L352" i="57"/>
  <c r="H356" i="57"/>
  <c r="F345" i="57"/>
  <c r="D347" i="57"/>
  <c r="Y357" i="57"/>
  <c r="H352" i="57"/>
  <c r="C348" i="57"/>
  <c r="K352" i="57"/>
  <c r="E347" i="57"/>
  <c r="Q349" i="57"/>
  <c r="G353" i="57"/>
  <c r="C353" i="57"/>
  <c r="F349" i="57"/>
  <c r="S352" i="57"/>
  <c r="P359" i="57"/>
  <c r="P362" i="57"/>
  <c r="K361" i="57"/>
  <c r="I360" i="57"/>
  <c r="C359" i="57"/>
  <c r="O362" i="57"/>
  <c r="N361" i="57"/>
  <c r="H360" i="57"/>
  <c r="X358" i="57"/>
  <c r="N362" i="57"/>
  <c r="I361" i="57"/>
  <c r="C360" i="57"/>
  <c r="W358" i="57"/>
  <c r="X357" i="57"/>
  <c r="M352" i="57"/>
  <c r="P352" i="57"/>
  <c r="Q353" i="57"/>
  <c r="J356" i="57"/>
  <c r="I341" i="57"/>
  <c r="D342" i="57"/>
  <c r="O348" i="57"/>
  <c r="H357" i="57"/>
  <c r="F341" i="57"/>
  <c r="K345" i="57"/>
  <c r="C356" i="57"/>
  <c r="H347" i="57"/>
  <c r="L356" i="57"/>
  <c r="C349" i="57"/>
  <c r="U362" i="57"/>
  <c r="Q358" i="57"/>
  <c r="T353" i="57"/>
  <c r="P357" i="57"/>
  <c r="N347" i="57"/>
  <c r="U355" i="57"/>
  <c r="Q351" i="57"/>
  <c r="S351" i="57"/>
  <c r="M357" i="57"/>
  <c r="K347" i="57"/>
  <c r="I349" i="57"/>
  <c r="G351" i="57"/>
  <c r="F340" i="57"/>
  <c r="D350" i="57"/>
  <c r="Z357" i="57"/>
  <c r="P351" i="57"/>
  <c r="M345" i="57"/>
  <c r="K342" i="57"/>
  <c r="I344" i="57"/>
  <c r="G350" i="57"/>
  <c r="N354" i="57"/>
  <c r="J341" i="57"/>
  <c r="F351" i="57"/>
  <c r="D348" i="57"/>
  <c r="U353" i="57"/>
  <c r="L344" i="57"/>
  <c r="H348" i="57"/>
  <c r="F339" i="57"/>
  <c r="D341" i="57"/>
  <c r="T354" i="57"/>
  <c r="G345" i="57"/>
  <c r="C338" i="57"/>
  <c r="J345" i="57"/>
  <c r="E336" i="57"/>
  <c r="N345" i="57"/>
  <c r="G338" i="57"/>
  <c r="C342" i="57"/>
  <c r="C339" i="57"/>
  <c r="I346" i="57"/>
  <c r="N358" i="57"/>
  <c r="L362" i="57"/>
  <c r="G361" i="57"/>
  <c r="E360" i="57"/>
  <c r="Y358" i="57"/>
  <c r="K362" i="57"/>
  <c r="J361" i="57"/>
  <c r="D360" i="57"/>
  <c r="T358" i="57"/>
  <c r="J362" i="57"/>
  <c r="E361" i="57"/>
  <c r="Y359" i="57"/>
  <c r="S358" i="57"/>
  <c r="P349" i="57"/>
  <c r="E353" i="57"/>
  <c r="J351" i="57"/>
  <c r="I342" i="57"/>
  <c r="Q357" i="57"/>
  <c r="E348" i="57"/>
  <c r="F337" i="57"/>
  <c r="J353" i="57"/>
  <c r="AC360" i="57"/>
  <c r="Y356" i="57"/>
  <c r="S354" i="57"/>
  <c r="P353" i="57"/>
  <c r="M356" i="57"/>
  <c r="T356" i="57"/>
  <c r="P356" i="57"/>
  <c r="R352" i="57"/>
  <c r="M351" i="57"/>
  <c r="K343" i="57"/>
  <c r="I345" i="57"/>
  <c r="G347" i="57"/>
  <c r="E357" i="57"/>
  <c r="D346" i="57"/>
  <c r="V353" i="57"/>
  <c r="O353" i="57"/>
  <c r="L357" i="57"/>
  <c r="J355" i="57"/>
  <c r="I340" i="57"/>
  <c r="G346" i="57"/>
  <c r="M347" i="57"/>
  <c r="I350" i="57"/>
  <c r="F346" i="57"/>
  <c r="D343" i="57"/>
  <c r="S355" i="57"/>
  <c r="K353" i="57"/>
  <c r="H340" i="57"/>
  <c r="E354" i="57"/>
  <c r="D336" i="57"/>
  <c r="O352" i="57"/>
  <c r="F347" i="57"/>
  <c r="V357" i="57"/>
  <c r="I354" i="57"/>
  <c r="D351" i="57"/>
  <c r="M349" i="57"/>
  <c r="F353" i="57"/>
  <c r="C334" i="57"/>
  <c r="O356" i="57"/>
  <c r="E342" i="57"/>
  <c r="H362" i="57"/>
  <c r="C361" i="57"/>
  <c r="AA359" i="57"/>
  <c r="U358" i="57"/>
  <c r="G362" i="57"/>
  <c r="F361" i="57"/>
  <c r="Z359" i="57"/>
  <c r="P358" i="57"/>
  <c r="F362" i="57"/>
  <c r="AA360" i="57"/>
  <c r="U359" i="57"/>
  <c r="O358" i="57"/>
  <c r="S350" i="57"/>
  <c r="T352" i="57"/>
  <c r="M346" i="57"/>
  <c r="G343" i="57"/>
  <c r="U354" i="57"/>
  <c r="L353" i="57"/>
  <c r="G342" i="57"/>
  <c r="L355" i="57"/>
  <c r="D337" i="57"/>
  <c r="G357" i="57"/>
  <c r="N356" i="57"/>
  <c r="D340" i="57"/>
  <c r="F342" i="57"/>
  <c r="L351" i="57"/>
  <c r="D362" i="57"/>
  <c r="W359" i="57"/>
  <c r="C362" i="57"/>
  <c r="D85" i="80"/>
  <c r="AB362" i="57"/>
  <c r="S351" i="80"/>
  <c r="C345" i="57"/>
  <c r="K356" i="57"/>
  <c r="J344" i="57"/>
  <c r="M344" i="57"/>
  <c r="A291" i="57"/>
  <c r="A271" i="80"/>
  <c r="A307" i="80" s="1"/>
  <c r="J351" i="80"/>
  <c r="O85" i="80"/>
  <c r="I359" i="57"/>
  <c r="U361" i="57"/>
  <c r="N359" i="57"/>
  <c r="Z361" i="57"/>
  <c r="Q360" i="57"/>
  <c r="N85" i="80"/>
  <c r="H339" i="57"/>
  <c r="C344" i="57"/>
  <c r="D355" i="57"/>
  <c r="C350" i="57"/>
  <c r="J346" i="57"/>
  <c r="E344" i="57"/>
  <c r="L347" i="57"/>
  <c r="J343" i="57"/>
  <c r="R357" i="57"/>
  <c r="E349" i="57"/>
  <c r="J348" i="57"/>
  <c r="W355" i="57"/>
  <c r="M348" i="57"/>
  <c r="V355" i="57"/>
  <c r="AF47" i="80"/>
  <c r="K47" i="80"/>
  <c r="F47" i="80"/>
  <c r="AD47" i="80"/>
  <c r="T47" i="80"/>
  <c r="M47" i="80"/>
  <c r="H47" i="80"/>
  <c r="D47" i="80"/>
  <c r="J47" i="80"/>
  <c r="AC47" i="80"/>
  <c r="X47" i="80"/>
  <c r="L47" i="80"/>
  <c r="S47" i="80"/>
  <c r="O47" i="80"/>
  <c r="G47" i="80"/>
  <c r="AA47" i="80"/>
  <c r="W47" i="80"/>
  <c r="C47" i="80"/>
  <c r="Z47" i="80"/>
  <c r="N47" i="80"/>
  <c r="F351" i="80"/>
  <c r="V47" i="80"/>
  <c r="I47" i="80"/>
  <c r="G123" i="80"/>
  <c r="N123" i="80"/>
  <c r="C123" i="80"/>
  <c r="S123" i="80"/>
  <c r="AC123" i="80"/>
  <c r="V361" i="57"/>
  <c r="P347" i="57"/>
  <c r="I355" i="57"/>
  <c r="I356" i="57"/>
  <c r="E345" i="57"/>
  <c r="P354" i="57"/>
  <c r="M359" i="57"/>
  <c r="Y361" i="57"/>
  <c r="R359" i="57"/>
  <c r="AD361" i="57"/>
  <c r="U360" i="57"/>
  <c r="D361" i="57"/>
  <c r="AB47" i="80"/>
  <c r="P47" i="80"/>
  <c r="D356" i="57"/>
  <c r="D349" i="57"/>
  <c r="C354" i="57"/>
  <c r="E340" i="57"/>
  <c r="D357" i="57"/>
  <c r="J354" i="57"/>
  <c r="E350" i="57"/>
  <c r="R353" i="57"/>
  <c r="J347" i="57"/>
  <c r="S356" i="57"/>
  <c r="F352" i="57"/>
  <c r="J352" i="57"/>
  <c r="O357" i="57"/>
  <c r="O346" i="57"/>
  <c r="W354" i="57"/>
  <c r="W351" i="80"/>
  <c r="M351" i="80"/>
  <c r="E351" i="80"/>
  <c r="AD351" i="80"/>
  <c r="R351" i="80"/>
  <c r="T351" i="80"/>
  <c r="L351" i="80"/>
  <c r="AC351" i="80"/>
  <c r="AF351" i="80"/>
  <c r="H351" i="80"/>
  <c r="Y351" i="80"/>
  <c r="K351" i="80"/>
  <c r="D351" i="80"/>
  <c r="O351" i="80"/>
  <c r="AA351" i="80"/>
  <c r="X351" i="80"/>
  <c r="C351" i="80"/>
  <c r="I351" i="80"/>
  <c r="AB351" i="80"/>
  <c r="G351" i="80"/>
  <c r="Q351" i="80"/>
  <c r="P351" i="80"/>
  <c r="U47" i="80"/>
  <c r="A43" i="80"/>
  <c r="A79" i="80" s="1"/>
  <c r="A75" i="57"/>
  <c r="AE85" i="80"/>
  <c r="AF85" i="80"/>
  <c r="U85" i="80"/>
  <c r="AA85" i="80"/>
  <c r="AC85" i="80"/>
  <c r="L85" i="80"/>
  <c r="R85" i="80"/>
  <c r="E85" i="80"/>
  <c r="AB85" i="80"/>
  <c r="Q85" i="80"/>
  <c r="J85" i="80"/>
  <c r="K85" i="80"/>
  <c r="S85" i="80"/>
  <c r="V85" i="80"/>
  <c r="AD85" i="80"/>
  <c r="X85" i="80"/>
  <c r="Y85" i="80"/>
  <c r="E359" i="57"/>
  <c r="J359" i="57"/>
  <c r="C335" i="57"/>
  <c r="U356" i="57"/>
  <c r="C85" i="80"/>
  <c r="Q359" i="57"/>
  <c r="AC361" i="57"/>
  <c r="V359" i="57"/>
  <c r="W362" i="57"/>
  <c r="E358" i="57"/>
  <c r="Y360" i="57"/>
  <c r="T361" i="57"/>
  <c r="U351" i="80"/>
  <c r="Q47" i="80"/>
  <c r="H355" i="57"/>
  <c r="E346" i="57"/>
  <c r="F354" i="57"/>
  <c r="E351" i="57"/>
  <c r="E338" i="57"/>
  <c r="N350" i="57"/>
  <c r="E355" i="57"/>
  <c r="T351" i="57"/>
  <c r="K354" i="57"/>
  <c r="T355" i="57"/>
  <c r="F356" i="57"/>
  <c r="L346" i="57"/>
  <c r="P348" i="57"/>
  <c r="O350" i="57"/>
  <c r="A347" i="80"/>
  <c r="A383" i="80" s="1"/>
  <c r="X123" i="80"/>
  <c r="Q361" i="57"/>
  <c r="S359" i="57"/>
  <c r="Y47" i="80"/>
  <c r="F338" i="57"/>
  <c r="C357" i="57"/>
  <c r="N357" i="57"/>
  <c r="W85" i="80"/>
  <c r="K360" i="57"/>
  <c r="V362" i="57"/>
  <c r="P360" i="57"/>
  <c r="AA362" i="57"/>
  <c r="I358" i="57"/>
  <c r="S361" i="57"/>
  <c r="E362" i="57"/>
  <c r="N351" i="80"/>
  <c r="Z85" i="80"/>
  <c r="AE47" i="80"/>
  <c r="D335" i="57"/>
  <c r="E356" i="57"/>
  <c r="G340" i="57"/>
  <c r="J350" i="57"/>
  <c r="E343" i="57"/>
  <c r="O347" i="57"/>
  <c r="G352" i="57"/>
  <c r="W356" i="57"/>
  <c r="L345" i="57"/>
  <c r="C351" i="57"/>
  <c r="G339" i="57"/>
  <c r="L350" i="57"/>
  <c r="R354" i="57"/>
  <c r="O354" i="57"/>
  <c r="A111" i="57"/>
  <c r="P42" i="60"/>
  <c r="F42" i="60"/>
  <c r="J5" i="55"/>
  <c r="I5" i="55" s="1"/>
  <c r="F26" i="60"/>
  <c r="E26" i="60"/>
  <c r="S42" i="60"/>
  <c r="G26" i="60"/>
  <c r="J26" i="60"/>
  <c r="AE42" i="60"/>
  <c r="C14" i="68"/>
  <c r="AC42" i="60"/>
  <c r="H26" i="60"/>
  <c r="O26" i="60"/>
  <c r="AF26" i="60"/>
  <c r="D26" i="60"/>
  <c r="E42" i="60"/>
  <c r="N26" i="60"/>
  <c r="O42" i="60"/>
  <c r="L42" i="60"/>
  <c r="X26" i="60"/>
  <c r="G42" i="60"/>
  <c r="Z42" i="60"/>
  <c r="S26" i="60"/>
  <c r="AB42" i="60"/>
  <c r="U26" i="60"/>
  <c r="C26" i="60"/>
  <c r="Y42" i="60"/>
  <c r="V42" i="60"/>
  <c r="C42" i="60"/>
  <c r="K42" i="60"/>
  <c r="Q42" i="60"/>
  <c r="T42" i="60"/>
  <c r="M26" i="60"/>
  <c r="T26" i="60"/>
  <c r="U42" i="60"/>
  <c r="AF42" i="60"/>
  <c r="I26" i="60"/>
  <c r="L26" i="60"/>
  <c r="AC26" i="60"/>
  <c r="H42" i="60"/>
  <c r="Z26" i="60"/>
  <c r="I42" i="60"/>
  <c r="J42" i="60"/>
  <c r="R26" i="60"/>
  <c r="K26" i="60"/>
  <c r="AE26" i="60"/>
  <c r="V26" i="60"/>
  <c r="Q26" i="60"/>
  <c r="N42" i="60"/>
  <c r="AA42" i="60"/>
  <c r="W42" i="60"/>
  <c r="AD26" i="60"/>
  <c r="X42" i="60"/>
  <c r="R42" i="60"/>
  <c r="Y26" i="60"/>
  <c r="M42" i="60"/>
  <c r="A157" i="80"/>
  <c r="A193" i="80" s="1"/>
  <c r="Y362" i="57"/>
  <c r="Q362" i="57"/>
  <c r="AB361" i="57"/>
  <c r="X361" i="57"/>
  <c r="AD313" i="80"/>
  <c r="H361" i="57"/>
  <c r="Z360" i="57"/>
  <c r="J360" i="57"/>
  <c r="F360" i="57"/>
  <c r="T359" i="57"/>
  <c r="L359" i="57"/>
  <c r="M362" i="57"/>
  <c r="P361" i="57"/>
  <c r="V360" i="57"/>
  <c r="AB359" i="57"/>
  <c r="H359" i="57"/>
  <c r="AC362" i="57"/>
  <c r="I362" i="57"/>
  <c r="L361" i="57"/>
  <c r="N360" i="57"/>
  <c r="X359" i="57"/>
  <c r="D359" i="57"/>
  <c r="Z358" i="57"/>
  <c r="F29" i="74"/>
  <c r="AV58" i="89"/>
  <c r="AV73" i="89" s="1"/>
  <c r="AW58" i="89" s="1"/>
  <c r="AW73" i="89" s="1"/>
  <c r="AT52" i="89"/>
  <c r="AT67" i="89" s="1"/>
  <c r="AU52" i="89" s="1"/>
  <c r="AU67" i="89" s="1"/>
  <c r="AG55" i="89"/>
  <c r="AG70" i="89" s="1"/>
  <c r="AH55" i="89" s="1"/>
  <c r="AH70" i="89" s="1"/>
  <c r="AI55" i="89" s="1"/>
  <c r="AI70" i="89" s="1"/>
  <c r="AJ55" i="89" s="1"/>
  <c r="AJ70" i="89" s="1"/>
  <c r="AK55" i="89" s="1"/>
  <c r="AK70" i="89" s="1"/>
  <c r="AL55" i="89" s="1"/>
  <c r="AL70" i="89" s="1"/>
  <c r="AM55" i="89" s="1"/>
  <c r="AM70" i="89" s="1"/>
  <c r="AN55" i="89" s="1"/>
  <c r="AN70" i="89" s="1"/>
  <c r="AO55" i="89" s="1"/>
  <c r="AO70" i="89" s="1"/>
  <c r="AP55" i="89" s="1"/>
  <c r="AP70" i="89" s="1"/>
  <c r="AQ55" i="89" s="1"/>
  <c r="AQ70" i="89" s="1"/>
  <c r="AT55" i="89" s="1"/>
  <c r="H87" i="89"/>
  <c r="G67" i="72" s="1"/>
  <c r="B112" i="20"/>
  <c r="G4" i="74"/>
  <c r="H4" i="74" s="1"/>
  <c r="I4" i="74" s="1"/>
  <c r="J4" i="74" s="1"/>
  <c r="K4" i="74" s="1"/>
  <c r="L4" i="74" s="1"/>
  <c r="M4" i="74" s="1"/>
  <c r="N4" i="74" s="1"/>
  <c r="O4" i="74" s="1"/>
  <c r="P4" i="74" s="1"/>
  <c r="Q4" i="74" s="1"/>
  <c r="R4" i="74" s="1"/>
  <c r="S4" i="74" s="1"/>
  <c r="T4" i="74" s="1"/>
  <c r="U4" i="74" s="1"/>
  <c r="V4" i="74" s="1"/>
  <c r="E10" i="74"/>
  <c r="H17" i="72"/>
  <c r="J17" i="72"/>
  <c r="I17" i="72"/>
  <c r="G17" i="72"/>
  <c r="O313" i="80"/>
  <c r="I85" i="89"/>
  <c r="H65" i="72" s="1"/>
  <c r="L74" i="89"/>
  <c r="M49" i="89"/>
  <c r="AG51" i="89"/>
  <c r="AG66" i="89" s="1"/>
  <c r="AH51" i="89" s="1"/>
  <c r="AH66" i="89" s="1"/>
  <c r="AI51" i="89" s="1"/>
  <c r="AI66" i="89" s="1"/>
  <c r="AJ51" i="89" s="1"/>
  <c r="AJ66" i="89" s="1"/>
  <c r="AK51" i="89" s="1"/>
  <c r="AK66" i="89" s="1"/>
  <c r="AL51" i="89" s="1"/>
  <c r="AL66" i="89" s="1"/>
  <c r="AM51" i="89" s="1"/>
  <c r="AM66" i="89" s="1"/>
  <c r="AN51" i="89" s="1"/>
  <c r="AN66" i="89" s="1"/>
  <c r="AO51" i="89" s="1"/>
  <c r="AO66" i="89" s="1"/>
  <c r="AP51" i="89" s="1"/>
  <c r="AP66" i="89" s="1"/>
  <c r="AQ51" i="89" s="1"/>
  <c r="AQ66" i="89" s="1"/>
  <c r="U57" i="89"/>
  <c r="U72" i="89" s="1"/>
  <c r="V57" i="89" s="1"/>
  <c r="V72" i="89" s="1"/>
  <c r="W57" i="89" s="1"/>
  <c r="W72" i="89" s="1"/>
  <c r="X57" i="89" s="1"/>
  <c r="X72" i="89" s="1"/>
  <c r="Y57" i="89" s="1"/>
  <c r="Y72" i="89" s="1"/>
  <c r="Z57" i="89" s="1"/>
  <c r="Z72" i="89" s="1"/>
  <c r="AA57" i="89" s="1"/>
  <c r="AA72" i="89" s="1"/>
  <c r="AB57" i="89" s="1"/>
  <c r="AB72" i="89" s="1"/>
  <c r="AC57" i="89" s="1"/>
  <c r="AC72" i="89" s="1"/>
  <c r="AD57" i="89" s="1"/>
  <c r="AD72" i="89" s="1"/>
  <c r="AE57" i="89" s="1"/>
  <c r="AE72" i="89" s="1"/>
  <c r="AF57" i="89" s="1"/>
  <c r="AF72" i="89" s="1"/>
  <c r="AR53" i="89"/>
  <c r="AR68" i="89" s="1"/>
  <c r="AS53" i="89" s="1"/>
  <c r="AS68" i="89" s="1"/>
  <c r="AT53" i="89" s="1"/>
  <c r="AT68" i="89" s="1"/>
  <c r="I81" i="89"/>
  <c r="U56" i="89"/>
  <c r="U71" i="89" s="1"/>
  <c r="V56" i="89" s="1"/>
  <c r="V71" i="89" s="1"/>
  <c r="W56" i="89" s="1"/>
  <c r="W71" i="89" s="1"/>
  <c r="X56" i="89" s="1"/>
  <c r="X71" i="89" s="1"/>
  <c r="Y56" i="89" s="1"/>
  <c r="Y71" i="89" s="1"/>
  <c r="Z56" i="89" s="1"/>
  <c r="Z71" i="89" s="1"/>
  <c r="AA56" i="89" s="1"/>
  <c r="AA71" i="89" s="1"/>
  <c r="AB56" i="89" s="1"/>
  <c r="AB71" i="89" s="1"/>
  <c r="AC56" i="89" s="1"/>
  <c r="AC71" i="89" s="1"/>
  <c r="AD56" i="89" s="1"/>
  <c r="AD71" i="89" s="1"/>
  <c r="AE56" i="89" s="1"/>
  <c r="AE71" i="89" s="1"/>
  <c r="AF56" i="89" s="1"/>
  <c r="AF71" i="89" s="1"/>
  <c r="G61" i="72"/>
  <c r="J83" i="89"/>
  <c r="I63" i="72" s="1"/>
  <c r="I313" i="80"/>
  <c r="L313" i="80"/>
  <c r="AC313" i="80"/>
  <c r="P313" i="80"/>
  <c r="C313" i="80"/>
  <c r="U313" i="80"/>
  <c r="G313" i="80"/>
  <c r="AF313" i="80"/>
  <c r="AB313" i="80"/>
  <c r="K313" i="80"/>
  <c r="M313" i="80"/>
  <c r="W313" i="80"/>
  <c r="Z313" i="80"/>
  <c r="H313" i="80"/>
  <c r="T313" i="80"/>
  <c r="R358" i="57"/>
  <c r="F358" i="57"/>
  <c r="C358" i="57"/>
  <c r="E123" i="80"/>
  <c r="J123" i="80"/>
  <c r="F123" i="80"/>
  <c r="Z123" i="80"/>
  <c r="U123" i="80"/>
  <c r="D123" i="80"/>
  <c r="P123" i="80"/>
  <c r="M123" i="80"/>
  <c r="AB123" i="80"/>
  <c r="Y123" i="80"/>
  <c r="W123" i="80"/>
  <c r="AC161" i="80"/>
  <c r="R123" i="80"/>
  <c r="Q123" i="80"/>
  <c r="K123" i="80"/>
  <c r="H123" i="80"/>
  <c r="T123" i="80"/>
  <c r="AE123" i="80"/>
  <c r="O123" i="80"/>
  <c r="L123" i="80"/>
  <c r="AF123" i="80"/>
  <c r="I123" i="80"/>
  <c r="O161" i="80"/>
  <c r="E8" i="74"/>
  <c r="E5" i="74"/>
  <c r="D12" i="74"/>
  <c r="E6" i="74"/>
  <c r="F11" i="74"/>
  <c r="F10" i="74"/>
  <c r="F6" i="74"/>
  <c r="F8" i="74"/>
  <c r="G3" i="74"/>
  <c r="G9" i="74" s="1"/>
  <c r="F9" i="74"/>
  <c r="E7" i="74"/>
  <c r="F7" i="74"/>
  <c r="BE7" i="75"/>
  <c r="D16" i="72"/>
  <c r="AA161" i="80"/>
  <c r="H161" i="80"/>
  <c r="S161" i="80"/>
  <c r="AD237" i="80"/>
  <c r="G237" i="80"/>
  <c r="U237" i="80"/>
  <c r="V237" i="80"/>
  <c r="I237" i="80"/>
  <c r="J237" i="80"/>
  <c r="T237" i="80"/>
  <c r="A255" i="57"/>
  <c r="F5" i="74"/>
  <c r="AK16" i="72"/>
  <c r="AD199" i="80"/>
  <c r="AF161" i="80"/>
  <c r="C161" i="80"/>
  <c r="L161" i="80"/>
  <c r="J161" i="80"/>
  <c r="AD161" i="80"/>
  <c r="Z161" i="80"/>
  <c r="E161" i="80"/>
  <c r="T161" i="80"/>
  <c r="P161" i="80"/>
  <c r="U161" i="80"/>
  <c r="AB161" i="80"/>
  <c r="G161" i="80"/>
  <c r="K161" i="80"/>
  <c r="Y161" i="80"/>
  <c r="Q161" i="80"/>
  <c r="I161" i="80"/>
  <c r="X161" i="80"/>
  <c r="R161" i="80"/>
  <c r="AE161" i="80"/>
  <c r="M161" i="80"/>
  <c r="V161" i="80"/>
  <c r="N161" i="80"/>
  <c r="F161" i="80"/>
  <c r="W161" i="80"/>
  <c r="E16" i="72"/>
  <c r="D6" i="55" s="1"/>
  <c r="C7" i="67"/>
  <c r="C9" i="67" s="1"/>
  <c r="C18" i="47" s="1"/>
  <c r="L13" i="55" s="1"/>
  <c r="A5" i="80"/>
  <c r="A41" i="80" s="1"/>
  <c r="H5" i="55"/>
  <c r="C25" i="20"/>
  <c r="C159" i="47"/>
  <c r="G68" i="20"/>
  <c r="H63" i="20"/>
  <c r="H93" i="20"/>
  <c r="H94" i="20" s="1"/>
  <c r="H95" i="20" s="1"/>
  <c r="H96" i="20" s="1"/>
  <c r="B64" i="68"/>
  <c r="C42" i="20"/>
  <c r="A9" i="57"/>
  <c r="A10" i="57" s="1"/>
  <c r="A11" i="57" s="1"/>
  <c r="A12" i="57" s="1"/>
  <c r="A13" i="57" s="1"/>
  <c r="D2" i="57"/>
  <c r="D40" i="20"/>
  <c r="B63" i="68"/>
  <c r="D9" i="80"/>
  <c r="T9" i="80"/>
  <c r="S9" i="80"/>
  <c r="BC5" i="75"/>
  <c r="BD5" i="75" s="1"/>
  <c r="BE5" i="75" s="1"/>
  <c r="BF5" i="75" s="1"/>
  <c r="E5" i="75"/>
  <c r="E9" i="80"/>
  <c r="M9" i="80"/>
  <c r="AC9" i="80"/>
  <c r="U9" i="80"/>
  <c r="N9" i="80"/>
  <c r="W9" i="80"/>
  <c r="J9" i="80"/>
  <c r="O9" i="80"/>
  <c r="C9" i="80"/>
  <c r="F14" i="68"/>
  <c r="K4" i="72"/>
  <c r="I9" i="80"/>
  <c r="AE9" i="80"/>
  <c r="X9" i="80"/>
  <c r="P9" i="80"/>
  <c r="AA9" i="80"/>
  <c r="AD9" i="80"/>
  <c r="V9" i="80"/>
  <c r="AB9" i="80"/>
  <c r="R9" i="80"/>
  <c r="G9" i="80"/>
  <c r="Y9" i="80"/>
  <c r="K9" i="80"/>
  <c r="L9" i="80"/>
  <c r="F9" i="80"/>
  <c r="AF9" i="80"/>
  <c r="Q9" i="80"/>
  <c r="Z9" i="80"/>
  <c r="E4" i="47"/>
  <c r="D35" i="47"/>
  <c r="D49" i="47" s="1"/>
  <c r="C15" i="47"/>
  <c r="C2" i="80"/>
  <c r="C10" i="80" s="1"/>
  <c r="C27" i="47"/>
  <c r="C35" i="47"/>
  <c r="C49" i="47" s="1"/>
  <c r="C4" i="60"/>
  <c r="W13" i="55"/>
  <c r="B14" i="55"/>
  <c r="BH77" i="75"/>
  <c r="BI77" i="75" s="1"/>
  <c r="BJ77" i="75" s="1"/>
  <c r="BK77" i="75" s="1"/>
  <c r="BL77" i="75" s="1"/>
  <c r="BM77" i="75" s="1"/>
  <c r="BN77" i="75" s="1"/>
  <c r="F8" i="75"/>
  <c r="F9" i="75" s="1"/>
  <c r="G7" i="75"/>
  <c r="E8" i="75"/>
  <c r="E9" i="75" s="1"/>
  <c r="E97" i="20"/>
  <c r="D98" i="20"/>
  <c r="F5" i="75" l="1"/>
  <c r="X39" i="89"/>
  <c r="W44" i="89"/>
  <c r="AV39" i="89"/>
  <c r="AU44" i="89"/>
  <c r="S44" i="89"/>
  <c r="S45" i="89" s="1"/>
  <c r="S54" i="89"/>
  <c r="S69" i="89" s="1"/>
  <c r="AJ39" i="89"/>
  <c r="AI44" i="89"/>
  <c r="F31" i="74"/>
  <c r="G16" i="74" s="1"/>
  <c r="G6" i="74" s="1"/>
  <c r="J85" i="89"/>
  <c r="I65" i="72" s="1"/>
  <c r="AK65" i="72" s="1"/>
  <c r="AY55" i="89"/>
  <c r="AU55" i="89"/>
  <c r="AV52" i="89"/>
  <c r="AV67" i="89" s="1"/>
  <c r="AW52" i="89" s="1"/>
  <c r="AW67" i="89" s="1"/>
  <c r="AR55" i="89"/>
  <c r="AX58" i="89"/>
  <c r="AX73" i="89" s="1"/>
  <c r="AU53" i="89"/>
  <c r="AU68" i="89" s="1"/>
  <c r="AV53" i="89" s="1"/>
  <c r="AV68" i="89" s="1"/>
  <c r="BA55" i="89"/>
  <c r="AX55" i="89"/>
  <c r="AV55" i="89"/>
  <c r="AZ55" i="89"/>
  <c r="BC55" i="89"/>
  <c r="AS55" i="89"/>
  <c r="BB55" i="89"/>
  <c r="AW55" i="89"/>
  <c r="BD70" i="89"/>
  <c r="C112" i="20"/>
  <c r="B113" i="20"/>
  <c r="I87" i="89"/>
  <c r="AG56" i="89"/>
  <c r="AG71" i="89" s="1"/>
  <c r="AH56" i="89" s="1"/>
  <c r="AH71" i="89" s="1"/>
  <c r="AI56" i="89" s="1"/>
  <c r="AI71" i="89" s="1"/>
  <c r="AJ56" i="89" s="1"/>
  <c r="AJ71" i="89" s="1"/>
  <c r="AK56" i="89" s="1"/>
  <c r="AK71" i="89" s="1"/>
  <c r="AL56" i="89" s="1"/>
  <c r="AL71" i="89" s="1"/>
  <c r="AM56" i="89" s="1"/>
  <c r="AM71" i="89" s="1"/>
  <c r="AN56" i="89" s="1"/>
  <c r="AN71" i="89" s="1"/>
  <c r="AO56" i="89" s="1"/>
  <c r="AO71" i="89" s="1"/>
  <c r="AP56" i="89" s="1"/>
  <c r="AP71" i="89" s="1"/>
  <c r="AQ56" i="89" s="1"/>
  <c r="AQ71" i="89" s="1"/>
  <c r="BC51" i="89"/>
  <c r="BA51" i="89"/>
  <c r="AW51" i="89"/>
  <c r="AU51" i="89"/>
  <c r="AY51" i="89"/>
  <c r="AS51" i="89"/>
  <c r="AZ51" i="89"/>
  <c r="AV51" i="89"/>
  <c r="AT51" i="89"/>
  <c r="AR51" i="89"/>
  <c r="BB51" i="89"/>
  <c r="AX51" i="89"/>
  <c r="BD66" i="89"/>
  <c r="M59" i="89"/>
  <c r="M64" i="89"/>
  <c r="AG57" i="89"/>
  <c r="AG72" i="89" s="1"/>
  <c r="AH57" i="89" s="1"/>
  <c r="AH72" i="89" s="1"/>
  <c r="AI57" i="89" s="1"/>
  <c r="AI72" i="89" s="1"/>
  <c r="AJ57" i="89" s="1"/>
  <c r="AJ72" i="89" s="1"/>
  <c r="AK57" i="89" s="1"/>
  <c r="AK72" i="89" s="1"/>
  <c r="AL57" i="89" s="1"/>
  <c r="AL72" i="89" s="1"/>
  <c r="AM57" i="89" s="1"/>
  <c r="AM72" i="89" s="1"/>
  <c r="AN57" i="89" s="1"/>
  <c r="AN72" i="89" s="1"/>
  <c r="AO57" i="89" s="1"/>
  <c r="AO72" i="89" s="1"/>
  <c r="AP57" i="89" s="1"/>
  <c r="AP72" i="89" s="1"/>
  <c r="AQ57" i="89" s="1"/>
  <c r="AQ72" i="89" s="1"/>
  <c r="I86" i="89"/>
  <c r="H61" i="72" s="1"/>
  <c r="J81" i="89"/>
  <c r="E12" i="74"/>
  <c r="G11" i="74"/>
  <c r="G8" i="74"/>
  <c r="G10" i="74"/>
  <c r="H3" i="74"/>
  <c r="BF7" i="75"/>
  <c r="BE8" i="75"/>
  <c r="BE9" i="75" s="1"/>
  <c r="B6" i="68"/>
  <c r="G5" i="74"/>
  <c r="F12" i="74"/>
  <c r="C48" i="80"/>
  <c r="C124" i="80"/>
  <c r="C314" i="80"/>
  <c r="C86" i="80"/>
  <c r="C352" i="80"/>
  <c r="C276" i="80"/>
  <c r="A117" i="57"/>
  <c r="A189" i="57"/>
  <c r="C9" i="60"/>
  <c r="C83" i="47"/>
  <c r="D159" i="47"/>
  <c r="E159" i="47" s="1"/>
  <c r="E40" i="60" s="1"/>
  <c r="C160" i="47"/>
  <c r="C33" i="60" s="1"/>
  <c r="C40" i="60"/>
  <c r="B15" i="68"/>
  <c r="H7" i="55"/>
  <c r="H8" i="55" s="1"/>
  <c r="H68" i="20"/>
  <c r="I63" i="20"/>
  <c r="D41" i="20"/>
  <c r="D50" i="20"/>
  <c r="D28" i="60" s="1"/>
  <c r="D44" i="60" s="1"/>
  <c r="E40" i="20"/>
  <c r="C63" i="68"/>
  <c r="C12" i="57"/>
  <c r="C10" i="57"/>
  <c r="A14" i="57"/>
  <c r="C13" i="57"/>
  <c r="A45" i="57"/>
  <c r="A81" i="57"/>
  <c r="A11" i="80"/>
  <c r="A153" i="57"/>
  <c r="C29" i="20"/>
  <c r="E2" i="57"/>
  <c r="D12" i="57"/>
  <c r="D14" i="57"/>
  <c r="D13" i="57"/>
  <c r="D11" i="57"/>
  <c r="C11" i="57"/>
  <c r="BE18" i="75"/>
  <c r="BE45" i="75" s="1"/>
  <c r="BC65" i="75"/>
  <c r="BD65" i="75" s="1"/>
  <c r="BE65" i="75" s="1"/>
  <c r="BF65" i="75" s="1"/>
  <c r="BD18" i="75"/>
  <c r="BD45" i="75" s="1"/>
  <c r="BC18" i="75"/>
  <c r="BC30" i="75" s="1"/>
  <c r="BC12" i="75"/>
  <c r="BC26" i="75" s="1"/>
  <c r="BC13" i="75"/>
  <c r="BC27" i="75" s="1"/>
  <c r="BC19" i="75"/>
  <c r="BC31" i="75" s="1"/>
  <c r="BC16" i="75"/>
  <c r="BC29" i="75" s="1"/>
  <c r="BC15" i="75"/>
  <c r="BC28" i="75" s="1"/>
  <c r="BD12" i="75"/>
  <c r="BD26" i="75" s="1"/>
  <c r="BC20" i="75"/>
  <c r="BC32" i="75" s="1"/>
  <c r="BC23" i="75"/>
  <c r="BD23" i="75" s="1"/>
  <c r="BE23" i="75" s="1"/>
  <c r="BF23" i="75" s="1"/>
  <c r="L4" i="72"/>
  <c r="M4" i="72" s="1"/>
  <c r="N4" i="72" s="1"/>
  <c r="O4" i="72" s="1"/>
  <c r="P4" i="72" s="1"/>
  <c r="Q4" i="72" s="1"/>
  <c r="R4" i="72" s="1"/>
  <c r="S4" i="72" s="1"/>
  <c r="T4" i="72" s="1"/>
  <c r="U4" i="72" s="1"/>
  <c r="V4" i="72" s="1"/>
  <c r="W4" i="72" s="1"/>
  <c r="X4" i="72" s="1"/>
  <c r="Y4" i="72" s="1"/>
  <c r="Z4" i="72" s="1"/>
  <c r="AA4" i="72" s="1"/>
  <c r="AB4" i="72" s="1"/>
  <c r="AC4" i="72" s="1"/>
  <c r="AD4" i="72" s="1"/>
  <c r="AE4" i="72" s="1"/>
  <c r="AF4" i="72" s="1"/>
  <c r="AG4" i="72" s="1"/>
  <c r="AH4" i="72" s="1"/>
  <c r="AI4" i="72" s="1"/>
  <c r="AJ4" i="72" s="1"/>
  <c r="F4" i="47"/>
  <c r="E27" i="47"/>
  <c r="E35" i="47"/>
  <c r="E49" i="47" s="1"/>
  <c r="G5" i="75"/>
  <c r="C162" i="80"/>
  <c r="C238" i="80"/>
  <c r="C200" i="80"/>
  <c r="D2" i="80"/>
  <c r="W4" i="74"/>
  <c r="X4" i="74" s="1"/>
  <c r="Y4" i="74" s="1"/>
  <c r="Z4" i="74" s="1"/>
  <c r="AA4" i="74" s="1"/>
  <c r="AB4" i="74" s="1"/>
  <c r="AC4" i="74" s="1"/>
  <c r="AD4" i="74" s="1"/>
  <c r="AE4" i="74" s="1"/>
  <c r="AF4" i="74" s="1"/>
  <c r="AG4" i="74" s="1"/>
  <c r="D4" i="60"/>
  <c r="C6" i="60"/>
  <c r="C80" i="47"/>
  <c r="N13" i="55"/>
  <c r="B15" i="55"/>
  <c r="W14" i="55"/>
  <c r="BG5" i="75"/>
  <c r="BF18" i="75"/>
  <c r="H7" i="75"/>
  <c r="G8" i="75"/>
  <c r="G9" i="75" s="1"/>
  <c r="E98" i="20"/>
  <c r="D99" i="20"/>
  <c r="BC14" i="75" l="1"/>
  <c r="BC40" i="75" s="1"/>
  <c r="BD13" i="75"/>
  <c r="BE13" i="75" s="1"/>
  <c r="BF13" i="75" s="1"/>
  <c r="BD30" i="75"/>
  <c r="BD16" i="75"/>
  <c r="BD20" i="75"/>
  <c r="BD32" i="75" s="1"/>
  <c r="BD19" i="75"/>
  <c r="BE12" i="75"/>
  <c r="BE26" i="75" s="1"/>
  <c r="BD15" i="75"/>
  <c r="BD41" i="75" s="1"/>
  <c r="BC47" i="75"/>
  <c r="AW39" i="89"/>
  <c r="AW44" i="89" s="1"/>
  <c r="AV44" i="89"/>
  <c r="Y39" i="89"/>
  <c r="X44" i="89"/>
  <c r="AK39" i="89"/>
  <c r="AJ44" i="89"/>
  <c r="H84" i="89"/>
  <c r="G64" i="72" s="1"/>
  <c r="T54" i="89"/>
  <c r="T69" i="89" s="1"/>
  <c r="G30" i="89"/>
  <c r="AY58" i="89"/>
  <c r="AY73" i="89" s="1"/>
  <c r="AZ58" i="89" s="1"/>
  <c r="L85" i="89"/>
  <c r="L25" i="89" s="1"/>
  <c r="M25" i="89" s="1"/>
  <c r="AZ52" i="89"/>
  <c r="BC52" i="89"/>
  <c r="BB52" i="89"/>
  <c r="K82" i="89"/>
  <c r="L82" i="89" s="1"/>
  <c r="L22" i="89" s="1"/>
  <c r="M22" i="89" s="1"/>
  <c r="BA52" i="89"/>
  <c r="BD67" i="89"/>
  <c r="AX52" i="89"/>
  <c r="AY52" i="89"/>
  <c r="AW53" i="89"/>
  <c r="AW68" i="89" s="1"/>
  <c r="C113" i="20"/>
  <c r="B114" i="20"/>
  <c r="AR56" i="89"/>
  <c r="AT56" i="89"/>
  <c r="AX56" i="89"/>
  <c r="BC56" i="89"/>
  <c r="AW56" i="89"/>
  <c r="AY56" i="89"/>
  <c r="BD71" i="89"/>
  <c r="AZ56" i="89"/>
  <c r="BA56" i="89"/>
  <c r="AV56" i="89"/>
  <c r="AS56" i="89"/>
  <c r="AU56" i="89"/>
  <c r="BB56" i="89"/>
  <c r="AR57" i="89"/>
  <c r="AR72" i="89" s="1"/>
  <c r="J86" i="89"/>
  <c r="L86" i="89" s="1"/>
  <c r="L26" i="89" s="1"/>
  <c r="M26" i="89" s="1"/>
  <c r="J87" i="89"/>
  <c r="I67" i="72" s="1"/>
  <c r="M74" i="89"/>
  <c r="N49" i="89"/>
  <c r="H67" i="72"/>
  <c r="L81" i="89"/>
  <c r="L21" i="89" s="1"/>
  <c r="M21" i="89" s="1"/>
  <c r="H5" i="74"/>
  <c r="I3" i="74"/>
  <c r="H10" i="74"/>
  <c r="H8" i="74"/>
  <c r="H11" i="74"/>
  <c r="H9" i="74"/>
  <c r="H6" i="74"/>
  <c r="I6" i="74" s="1"/>
  <c r="BC41" i="75"/>
  <c r="BG7" i="75"/>
  <c r="BF8" i="75"/>
  <c r="BF9" i="75" s="1"/>
  <c r="BD39" i="75"/>
  <c r="BC39" i="75"/>
  <c r="A190" i="57"/>
  <c r="BE30" i="75"/>
  <c r="A297" i="57"/>
  <c r="A298" i="57" s="1"/>
  <c r="A118" i="57"/>
  <c r="D28" i="47"/>
  <c r="E160" i="47"/>
  <c r="E33" i="60" s="1"/>
  <c r="D160" i="47"/>
  <c r="D33" i="60" s="1"/>
  <c r="D40" i="60"/>
  <c r="J63" i="20"/>
  <c r="I68" i="20"/>
  <c r="T35" i="60"/>
  <c r="L21" i="60"/>
  <c r="C35" i="60"/>
  <c r="X21" i="60"/>
  <c r="T21" i="60"/>
  <c r="Y21" i="60"/>
  <c r="H35" i="60"/>
  <c r="K21" i="60"/>
  <c r="I35" i="60"/>
  <c r="O35" i="60"/>
  <c r="Y35" i="60"/>
  <c r="R35" i="60"/>
  <c r="L35" i="60"/>
  <c r="F21" i="60"/>
  <c r="I21" i="60"/>
  <c r="U35" i="60"/>
  <c r="D21" i="60"/>
  <c r="F35" i="60"/>
  <c r="X35" i="60"/>
  <c r="Q21" i="60"/>
  <c r="U21" i="60"/>
  <c r="P35" i="60"/>
  <c r="AB35" i="60"/>
  <c r="J21" i="60"/>
  <c r="P21" i="60"/>
  <c r="W35" i="60"/>
  <c r="V21" i="60"/>
  <c r="AA21" i="60"/>
  <c r="AD21" i="60"/>
  <c r="I7" i="55"/>
  <c r="M21" i="60"/>
  <c r="AF21" i="60"/>
  <c r="S35" i="60"/>
  <c r="W21" i="60"/>
  <c r="O21" i="60"/>
  <c r="D35" i="60"/>
  <c r="Z35" i="60"/>
  <c r="AE21" i="60"/>
  <c r="AB21" i="60"/>
  <c r="N35" i="60"/>
  <c r="AC35" i="60"/>
  <c r="G21" i="60"/>
  <c r="AD35" i="60"/>
  <c r="AF35" i="60"/>
  <c r="N21" i="60"/>
  <c r="E21" i="60"/>
  <c r="AA35" i="60"/>
  <c r="H21" i="60"/>
  <c r="B56" i="68"/>
  <c r="AC21" i="60"/>
  <c r="C15" i="68"/>
  <c r="D15" i="68" s="1"/>
  <c r="E15" i="68" s="1"/>
  <c r="M35" i="60"/>
  <c r="V35" i="60"/>
  <c r="G35" i="60"/>
  <c r="K35" i="60"/>
  <c r="S21" i="60"/>
  <c r="E35" i="60"/>
  <c r="R21" i="60"/>
  <c r="C21" i="60"/>
  <c r="Z21" i="60"/>
  <c r="J35" i="60"/>
  <c r="B85" i="47"/>
  <c r="AE35" i="60"/>
  <c r="Q35" i="60"/>
  <c r="A154" i="57"/>
  <c r="A333" i="57"/>
  <c r="A334" i="57" s="1"/>
  <c r="A335" i="57" s="1"/>
  <c r="A336" i="57" s="1"/>
  <c r="A337" i="57" s="1"/>
  <c r="A338" i="57" s="1"/>
  <c r="A339" i="57" s="1"/>
  <c r="A340" i="57" s="1"/>
  <c r="A341" i="57" s="1"/>
  <c r="A342" i="57" s="1"/>
  <c r="A343" i="57" s="1"/>
  <c r="A344" i="57" s="1"/>
  <c r="A345" i="57" s="1"/>
  <c r="A346" i="57" s="1"/>
  <c r="A347" i="57" s="1"/>
  <c r="A348" i="57" s="1"/>
  <c r="A349" i="57" s="1"/>
  <c r="A350" i="57" s="1"/>
  <c r="A351" i="57" s="1"/>
  <c r="A352" i="57" s="1"/>
  <c r="A353" i="57" s="1"/>
  <c r="A354" i="57" s="1"/>
  <c r="A355" i="57" s="1"/>
  <c r="A356" i="57" s="1"/>
  <c r="A357" i="57" s="1"/>
  <c r="A358" i="57" s="1"/>
  <c r="A359" i="57" s="1"/>
  <c r="A360" i="57" s="1"/>
  <c r="A361" i="57" s="1"/>
  <c r="E50" i="20"/>
  <c r="D63" i="68"/>
  <c r="F40" i="20"/>
  <c r="E41" i="20"/>
  <c r="A46" i="57"/>
  <c r="A225" i="57"/>
  <c r="A226" i="57" s="1"/>
  <c r="E28" i="47"/>
  <c r="A12" i="80"/>
  <c r="A125" i="80"/>
  <c r="A405" i="80"/>
  <c r="A87" i="80"/>
  <c r="A49" i="80"/>
  <c r="BC45" i="75"/>
  <c r="C28" i="47"/>
  <c r="F2" i="57"/>
  <c r="E14" i="57"/>
  <c r="E12" i="57"/>
  <c r="E13" i="57"/>
  <c r="A261" i="57"/>
  <c r="A262" i="57" s="1"/>
  <c r="A82" i="57"/>
  <c r="A15" i="57"/>
  <c r="E15" i="57" s="1"/>
  <c r="C14" i="57"/>
  <c r="D42" i="20"/>
  <c r="C64" i="68"/>
  <c r="BC35" i="75"/>
  <c r="BC36" i="75" s="1"/>
  <c r="BD29" i="75"/>
  <c r="BC49" i="75"/>
  <c r="BC17" i="75"/>
  <c r="BC43" i="75" s="1"/>
  <c r="E4" i="60"/>
  <c r="F159" i="47"/>
  <c r="F40" i="60" s="1"/>
  <c r="F27" i="47"/>
  <c r="F35" i="47"/>
  <c r="F49" i="47" s="1"/>
  <c r="F28" i="47"/>
  <c r="H5" i="75"/>
  <c r="D238" i="80"/>
  <c r="D276" i="80"/>
  <c r="D10" i="80"/>
  <c r="D86" i="80"/>
  <c r="D48" i="80"/>
  <c r="D124" i="80"/>
  <c r="D162" i="80"/>
  <c r="D314" i="80"/>
  <c r="D200" i="80"/>
  <c r="E2" i="80"/>
  <c r="D352" i="80"/>
  <c r="W15" i="55"/>
  <c r="B16" i="55"/>
  <c r="BE27" i="75"/>
  <c r="BE14" i="75"/>
  <c r="BE40" i="75" s="1"/>
  <c r="H8" i="75"/>
  <c r="H9" i="75" s="1"/>
  <c r="I7" i="75"/>
  <c r="BF27" i="75"/>
  <c r="BF14" i="75"/>
  <c r="BG23" i="75"/>
  <c r="BG65" i="75"/>
  <c r="BH5" i="75"/>
  <c r="BG18" i="75"/>
  <c r="BG13" i="75"/>
  <c r="BF30" i="75"/>
  <c r="BF45" i="75"/>
  <c r="D100" i="20"/>
  <c r="E100" i="20" s="1"/>
  <c r="E99" i="20"/>
  <c r="BD27" i="75" l="1"/>
  <c r="BD14" i="75"/>
  <c r="BD40" i="75" s="1"/>
  <c r="BD17" i="75"/>
  <c r="BD43" i="75" s="1"/>
  <c r="BE16" i="75"/>
  <c r="BD28" i="75"/>
  <c r="BE15" i="75"/>
  <c r="BE39" i="75"/>
  <c r="BF12" i="75"/>
  <c r="BD47" i="75"/>
  <c r="BD31" i="75"/>
  <c r="BE19" i="75"/>
  <c r="BD49" i="75"/>
  <c r="BE20" i="75"/>
  <c r="BF40" i="75"/>
  <c r="AL39" i="89"/>
  <c r="AK44" i="89"/>
  <c r="Z39" i="89"/>
  <c r="Y44" i="89"/>
  <c r="U54" i="89"/>
  <c r="U69" i="89" s="1"/>
  <c r="V54" i="89" s="1"/>
  <c r="V69" i="89" s="1"/>
  <c r="W54" i="89" s="1"/>
  <c r="W69" i="89" s="1"/>
  <c r="X54" i="89" s="1"/>
  <c r="X69" i="89" s="1"/>
  <c r="Y54" i="89" s="1"/>
  <c r="Y69" i="89" s="1"/>
  <c r="Z54" i="89" s="1"/>
  <c r="Z69" i="89" s="1"/>
  <c r="BC45" i="89"/>
  <c r="J30" i="89" s="1"/>
  <c r="BA58" i="89"/>
  <c r="AY74" i="89"/>
  <c r="K88" i="89"/>
  <c r="BC58" i="89"/>
  <c r="BD73" i="89"/>
  <c r="BB58" i="89"/>
  <c r="J62" i="72"/>
  <c r="AK62" i="72" s="1"/>
  <c r="A263" i="57"/>
  <c r="C262" i="57"/>
  <c r="A227" i="57"/>
  <c r="C226" i="57"/>
  <c r="A299" i="57"/>
  <c r="C298" i="57"/>
  <c r="AS57" i="89"/>
  <c r="AS72" i="89" s="1"/>
  <c r="AX53" i="89"/>
  <c r="AX68" i="89" s="1"/>
  <c r="BD68" i="89" s="1"/>
  <c r="I61" i="72"/>
  <c r="AK61" i="72" s="1"/>
  <c r="B115" i="20"/>
  <c r="C114" i="20"/>
  <c r="N64" i="89"/>
  <c r="N59" i="89"/>
  <c r="I5" i="74"/>
  <c r="J3" i="74"/>
  <c r="I10" i="74"/>
  <c r="I9" i="74"/>
  <c r="I8" i="74"/>
  <c r="I11" i="74"/>
  <c r="BG8" i="75"/>
  <c r="BG9" i="75" s="1"/>
  <c r="BH7" i="75"/>
  <c r="A119" i="57"/>
  <c r="C118" i="57"/>
  <c r="A83" i="57"/>
  <c r="C82" i="57"/>
  <c r="A47" i="57"/>
  <c r="C46" i="57"/>
  <c r="A191" i="57"/>
  <c r="C190" i="57"/>
  <c r="A155" i="57"/>
  <c r="C154" i="57"/>
  <c r="K63" i="20"/>
  <c r="J68" i="20"/>
  <c r="E63" i="68"/>
  <c r="F50" i="20"/>
  <c r="F28" i="60" s="1"/>
  <c r="F44" i="60" s="1"/>
  <c r="G40" i="20"/>
  <c r="F41" i="20"/>
  <c r="F160" i="47"/>
  <c r="F33" i="60" s="1"/>
  <c r="G2" i="57"/>
  <c r="F13" i="57"/>
  <c r="F15" i="57"/>
  <c r="F14" i="57"/>
  <c r="A163" i="80"/>
  <c r="A50" i="80"/>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406" i="80"/>
  <c r="A13" i="80"/>
  <c r="A239" i="80"/>
  <c r="A353" i="80" s="1"/>
  <c r="A126" i="80"/>
  <c r="A201" i="80"/>
  <c r="A315" i="80" s="1"/>
  <c r="A316" i="80" s="1"/>
  <c r="A317" i="80" s="1"/>
  <c r="A318" i="80" s="1"/>
  <c r="A319" i="80" s="1"/>
  <c r="A320" i="80" s="1"/>
  <c r="A321" i="80" s="1"/>
  <c r="A322" i="80" s="1"/>
  <c r="A323" i="80" s="1"/>
  <c r="A324" i="80" s="1"/>
  <c r="A325" i="80" s="1"/>
  <c r="A326" i="80" s="1"/>
  <c r="A327" i="80" s="1"/>
  <c r="A328" i="80" s="1"/>
  <c r="A329" i="80" s="1"/>
  <c r="A330" i="80" s="1"/>
  <c r="A331" i="80" s="1"/>
  <c r="A332" i="80" s="1"/>
  <c r="A333" i="80" s="1"/>
  <c r="A334" i="80" s="1"/>
  <c r="A335" i="80" s="1"/>
  <c r="A336" i="80" s="1"/>
  <c r="A337" i="80" s="1"/>
  <c r="A338" i="80" s="1"/>
  <c r="A339" i="80" s="1"/>
  <c r="A340" i="80" s="1"/>
  <c r="A341" i="80" s="1"/>
  <c r="A342" i="80" s="1"/>
  <c r="A343" i="80" s="1"/>
  <c r="A344" i="80" s="1"/>
  <c r="A88" i="80"/>
  <c r="D7" i="55"/>
  <c r="J7" i="55" s="1"/>
  <c r="J8" i="55" s="1"/>
  <c r="E28" i="60"/>
  <c r="E44" i="60" s="1"/>
  <c r="B10" i="68"/>
  <c r="D14" i="68" s="1"/>
  <c r="E14" i="68" s="1"/>
  <c r="E16" i="68" s="1"/>
  <c r="E85" i="47"/>
  <c r="E45" i="47" s="1"/>
  <c r="G85" i="47"/>
  <c r="G45" i="47" s="1"/>
  <c r="U85" i="47"/>
  <c r="U45" i="47" s="1"/>
  <c r="M85" i="47"/>
  <c r="M45" i="47" s="1"/>
  <c r="L85" i="47"/>
  <c r="L45" i="47" s="1"/>
  <c r="T85" i="47"/>
  <c r="T45" i="47" s="1"/>
  <c r="AD85" i="47"/>
  <c r="AD45" i="47" s="1"/>
  <c r="AE85" i="47"/>
  <c r="AE45" i="47" s="1"/>
  <c r="F85" i="47"/>
  <c r="I85" i="47"/>
  <c r="I45" i="47" s="1"/>
  <c r="X85" i="47"/>
  <c r="X45" i="47" s="1"/>
  <c r="W85" i="47"/>
  <c r="W45" i="47" s="1"/>
  <c r="N85" i="47"/>
  <c r="N45" i="47" s="1"/>
  <c r="V85" i="47"/>
  <c r="V45" i="47" s="1"/>
  <c r="AC85" i="47"/>
  <c r="AC45" i="47" s="1"/>
  <c r="Q85" i="47"/>
  <c r="Q45" i="47" s="1"/>
  <c r="D85" i="47"/>
  <c r="D45" i="47" s="1"/>
  <c r="AB85" i="47"/>
  <c r="AB45" i="47" s="1"/>
  <c r="H85" i="47"/>
  <c r="H45" i="47" s="1"/>
  <c r="P85" i="47"/>
  <c r="P45" i="47" s="1"/>
  <c r="Y85" i="47"/>
  <c r="Y45" i="47" s="1"/>
  <c r="Z85" i="47"/>
  <c r="Z45" i="47" s="1"/>
  <c r="R85" i="47"/>
  <c r="R45" i="47" s="1"/>
  <c r="AA85" i="47"/>
  <c r="AA45" i="47" s="1"/>
  <c r="AF85" i="47"/>
  <c r="AF45" i="47" s="1"/>
  <c r="J85" i="47"/>
  <c r="J45" i="47" s="1"/>
  <c r="K85" i="47"/>
  <c r="K45" i="47" s="1"/>
  <c r="S85" i="47"/>
  <c r="S45" i="47" s="1"/>
  <c r="O85" i="47"/>
  <c r="O45" i="47" s="1"/>
  <c r="K7" i="55"/>
  <c r="A16" i="57"/>
  <c r="C15" i="57"/>
  <c r="D15" i="57"/>
  <c r="E42" i="20"/>
  <c r="D64" i="68"/>
  <c r="G35" i="47"/>
  <c r="G49" i="47" s="1"/>
  <c r="G159" i="47"/>
  <c r="G40" i="60" s="1"/>
  <c r="G27" i="47"/>
  <c r="H4" i="47"/>
  <c r="G28" i="47"/>
  <c r="E162" i="80"/>
  <c r="E314" i="80"/>
  <c r="E48" i="80"/>
  <c r="E276" i="80"/>
  <c r="E352" i="80"/>
  <c r="E200" i="80"/>
  <c r="E238" i="80"/>
  <c r="E86" i="80"/>
  <c r="E10" i="80"/>
  <c r="F2" i="80"/>
  <c r="E124" i="80"/>
  <c r="I5" i="75"/>
  <c r="F4" i="60"/>
  <c r="B17" i="55"/>
  <c r="W16" i="55"/>
  <c r="A362" i="57"/>
  <c r="BG30" i="75"/>
  <c r="BG45" i="75"/>
  <c r="BG27" i="75"/>
  <c r="BG14" i="75"/>
  <c r="BG40" i="75" s="1"/>
  <c r="I8" i="75"/>
  <c r="I9" i="75" s="1"/>
  <c r="J7" i="75"/>
  <c r="BH23" i="75"/>
  <c r="BH65" i="75"/>
  <c r="BI5" i="75"/>
  <c r="BH18" i="75"/>
  <c r="BH13" i="75"/>
  <c r="BD35" i="75" l="1"/>
  <c r="BD36" i="75" s="1"/>
  <c r="BF16" i="75"/>
  <c r="BE29" i="75"/>
  <c r="BE17" i="75"/>
  <c r="BE43" i="75" s="1"/>
  <c r="BG12" i="75"/>
  <c r="BF39" i="75"/>
  <c r="BF26" i="75"/>
  <c r="BF15" i="75"/>
  <c r="BE41" i="75"/>
  <c r="BE28" i="75"/>
  <c r="BF20" i="75"/>
  <c r="BE49" i="75"/>
  <c r="BE32" i="75"/>
  <c r="BE47" i="75"/>
  <c r="BF19" i="75"/>
  <c r="BE31" i="75"/>
  <c r="AA39" i="89"/>
  <c r="Z44" i="89"/>
  <c r="AA54" i="89"/>
  <c r="AA69" i="89" s="1"/>
  <c r="AM39" i="89"/>
  <c r="AL44" i="89"/>
  <c r="K83" i="89"/>
  <c r="L83" i="89" s="1"/>
  <c r="L23" i="89" s="1"/>
  <c r="M23" i="89" s="1"/>
  <c r="J66" i="72"/>
  <c r="AK66" i="72" s="1"/>
  <c r="L88" i="89"/>
  <c r="L28" i="89" s="1"/>
  <c r="M28" i="89" s="1"/>
  <c r="AY53" i="89"/>
  <c r="BB53" i="89"/>
  <c r="BC53" i="89"/>
  <c r="BA53" i="89"/>
  <c r="AZ53" i="89"/>
  <c r="A228" i="57"/>
  <c r="D227" i="57"/>
  <c r="C227" i="57"/>
  <c r="A300" i="57"/>
  <c r="C299" i="57"/>
  <c r="D299" i="57"/>
  <c r="A264" i="57"/>
  <c r="D263" i="57"/>
  <c r="C263" i="57"/>
  <c r="AT57" i="89"/>
  <c r="AT72" i="89" s="1"/>
  <c r="J63" i="72"/>
  <c r="C115" i="20"/>
  <c r="B116" i="20"/>
  <c r="N74" i="89"/>
  <c r="O49" i="89"/>
  <c r="F45" i="47"/>
  <c r="J8" i="74"/>
  <c r="K3" i="74"/>
  <c r="J9" i="74"/>
  <c r="J11" i="74"/>
  <c r="J10" i="74"/>
  <c r="J6" i="74"/>
  <c r="J5" i="74"/>
  <c r="K5" i="74" s="1"/>
  <c r="BI7" i="75"/>
  <c r="BH8" i="75"/>
  <c r="BH9" i="75" s="1"/>
  <c r="X16" i="55"/>
  <c r="A192" i="57"/>
  <c r="C191" i="57"/>
  <c r="D191" i="57"/>
  <c r="A48" i="57"/>
  <c r="D47" i="57"/>
  <c r="C47" i="57"/>
  <c r="A84" i="57"/>
  <c r="C83" i="57"/>
  <c r="D83" i="57"/>
  <c r="A156" i="57"/>
  <c r="C155" i="57"/>
  <c r="D155" i="57"/>
  <c r="A120" i="57"/>
  <c r="C119" i="57"/>
  <c r="D119" i="57"/>
  <c r="K68" i="20"/>
  <c r="L63" i="20"/>
  <c r="A89" i="80"/>
  <c r="A202" i="80"/>
  <c r="F15" i="68"/>
  <c r="F16" i="68" s="1"/>
  <c r="E64" i="68"/>
  <c r="F42" i="20"/>
  <c r="A17" i="57"/>
  <c r="C16" i="57"/>
  <c r="D16" i="57"/>
  <c r="E16" i="57"/>
  <c r="A277" i="80"/>
  <c r="A164" i="80"/>
  <c r="H2" i="57"/>
  <c r="G14" i="57"/>
  <c r="G15" i="57"/>
  <c r="G16" i="57"/>
  <c r="G17" i="57"/>
  <c r="G50" i="20"/>
  <c r="F63" i="68"/>
  <c r="G41" i="20"/>
  <c r="H40" i="20"/>
  <c r="K6" i="55"/>
  <c r="K5" i="55"/>
  <c r="I6" i="55"/>
  <c r="I8" i="55" s="1"/>
  <c r="A240" i="80"/>
  <c r="A354" i="80" s="1"/>
  <c r="A127" i="80"/>
  <c r="A14" i="80"/>
  <c r="A407" i="80"/>
  <c r="X13" i="55"/>
  <c r="X14" i="55"/>
  <c r="X15" i="55"/>
  <c r="F16" i="57"/>
  <c r="F10" i="80"/>
  <c r="F200" i="80"/>
  <c r="F238" i="80"/>
  <c r="F314" i="80"/>
  <c r="F86" i="80"/>
  <c r="F124" i="80"/>
  <c r="G2" i="80"/>
  <c r="F162" i="80"/>
  <c r="F276" i="80"/>
  <c r="F48" i="80"/>
  <c r="F352" i="80"/>
  <c r="H159" i="47"/>
  <c r="H40" i="60" s="1"/>
  <c r="I4" i="47"/>
  <c r="H35" i="47"/>
  <c r="H49" i="47" s="1"/>
  <c r="H28" i="47"/>
  <c r="G160" i="47"/>
  <c r="G33" i="60" s="1"/>
  <c r="J5" i="75"/>
  <c r="W17" i="55"/>
  <c r="B18" i="55"/>
  <c r="BH27" i="75"/>
  <c r="BH14" i="75"/>
  <c r="BJ5" i="75"/>
  <c r="BI65" i="75"/>
  <c r="BI18" i="75"/>
  <c r="BI23" i="75"/>
  <c r="BI13" i="75"/>
  <c r="K7" i="75"/>
  <c r="J8" i="75"/>
  <c r="J9" i="75" s="1"/>
  <c r="BH30" i="75"/>
  <c r="BH45" i="75"/>
  <c r="BG16" i="75" l="1"/>
  <c r="BF29" i="75"/>
  <c r="BF17" i="75"/>
  <c r="BF43" i="75"/>
  <c r="BF49" i="75"/>
  <c r="BF32" i="75"/>
  <c r="BG20" i="75"/>
  <c r="BE35" i="75"/>
  <c r="BE36" i="75" s="1"/>
  <c r="BF28" i="75"/>
  <c r="BG15" i="75"/>
  <c r="BF41" i="75"/>
  <c r="BG19" i="75"/>
  <c r="BF47" i="75"/>
  <c r="BF31" i="75"/>
  <c r="BG26" i="75"/>
  <c r="BH12" i="75"/>
  <c r="BG39" i="75"/>
  <c r="BH40" i="75"/>
  <c r="AN39" i="89"/>
  <c r="AM44" i="89"/>
  <c r="AB39" i="89"/>
  <c r="AA44" i="89"/>
  <c r="A265" i="57"/>
  <c r="E264" i="57"/>
  <c r="C264" i="57"/>
  <c r="D264" i="57"/>
  <c r="A301" i="57"/>
  <c r="C300" i="57"/>
  <c r="D300" i="57"/>
  <c r="E300" i="57"/>
  <c r="A229" i="57"/>
  <c r="D228" i="57"/>
  <c r="E228" i="57"/>
  <c r="C228" i="57"/>
  <c r="AU57" i="89"/>
  <c r="AU72" i="89" s="1"/>
  <c r="AK63" i="72"/>
  <c r="B117" i="20"/>
  <c r="C116" i="20"/>
  <c r="O64" i="89"/>
  <c r="O59" i="89"/>
  <c r="K9" i="74"/>
  <c r="K8" i="74"/>
  <c r="L3" i="74"/>
  <c r="L5" i="74" s="1"/>
  <c r="K10" i="74"/>
  <c r="K11" i="74"/>
  <c r="K6" i="74"/>
  <c r="BJ7" i="75"/>
  <c r="BI8" i="75"/>
  <c r="BI9" i="75" s="1"/>
  <c r="A85" i="57"/>
  <c r="C84" i="57"/>
  <c r="D84" i="57"/>
  <c r="E84" i="57"/>
  <c r="A121" i="57"/>
  <c r="C120" i="57"/>
  <c r="D120" i="57"/>
  <c r="E120" i="57"/>
  <c r="A157" i="57"/>
  <c r="C156" i="57"/>
  <c r="D156" i="57"/>
  <c r="E156" i="57"/>
  <c r="A49" i="57"/>
  <c r="C48" i="57"/>
  <c r="D48" i="57"/>
  <c r="E48" i="57"/>
  <c r="A193" i="57"/>
  <c r="C192" i="57"/>
  <c r="D192" i="57"/>
  <c r="E192" i="57"/>
  <c r="M63" i="20"/>
  <c r="L68" i="20"/>
  <c r="A165" i="80"/>
  <c r="A278" i="80"/>
  <c r="E1" i="60"/>
  <c r="C74" i="47"/>
  <c r="G74" i="72" s="1"/>
  <c r="G21" i="72" s="1"/>
  <c r="H50" i="20"/>
  <c r="H28" i="60" s="1"/>
  <c r="H44" i="60" s="1"/>
  <c r="H41" i="20"/>
  <c r="I40" i="20"/>
  <c r="G63" i="68"/>
  <c r="F64" i="68"/>
  <c r="G42" i="20"/>
  <c r="A18" i="57"/>
  <c r="C17" i="57"/>
  <c r="D17" i="57"/>
  <c r="E17" i="57"/>
  <c r="F17" i="57"/>
  <c r="A408" i="80"/>
  <c r="A15" i="80"/>
  <c r="K8" i="55"/>
  <c r="A90" i="80"/>
  <c r="A203" i="80"/>
  <c r="A128" i="80"/>
  <c r="A241" i="80"/>
  <c r="A355" i="80" s="1"/>
  <c r="G28" i="60"/>
  <c r="G44" i="60" s="1"/>
  <c r="I2" i="57"/>
  <c r="H15" i="57"/>
  <c r="H16" i="57"/>
  <c r="H17" i="57"/>
  <c r="K5" i="75"/>
  <c r="J4" i="47"/>
  <c r="I35" i="47"/>
  <c r="I49" i="47" s="1"/>
  <c r="I159" i="47"/>
  <c r="I40" i="60" s="1"/>
  <c r="I28" i="47"/>
  <c r="H4" i="60"/>
  <c r="H160" i="47"/>
  <c r="H33" i="60" s="1"/>
  <c r="G86" i="80"/>
  <c r="H2" i="80"/>
  <c r="G314" i="80"/>
  <c r="G276" i="80"/>
  <c r="G10" i="80"/>
  <c r="G124" i="80"/>
  <c r="G162" i="80"/>
  <c r="G352" i="80"/>
  <c r="G200" i="80"/>
  <c r="G48" i="80"/>
  <c r="G238" i="80"/>
  <c r="X17" i="55"/>
  <c r="B19" i="55"/>
  <c r="W18" i="55"/>
  <c r="X18" i="55" s="1"/>
  <c r="BI27" i="75"/>
  <c r="BI14" i="75"/>
  <c r="BJ18" i="75"/>
  <c r="BK5" i="75"/>
  <c r="BJ65" i="75"/>
  <c r="BJ23" i="75"/>
  <c r="BJ13" i="75"/>
  <c r="BI30" i="75"/>
  <c r="BI45" i="75"/>
  <c r="L7" i="75"/>
  <c r="K8" i="75"/>
  <c r="K9" i="75" s="1"/>
  <c r="BF35" i="75" l="1"/>
  <c r="BF36" i="75" s="1"/>
  <c r="BG17" i="75"/>
  <c r="BH16" i="75"/>
  <c r="BG29" i="75"/>
  <c r="BG43" i="75"/>
  <c r="BH19" i="75"/>
  <c r="BG31" i="75"/>
  <c r="BG47" i="75"/>
  <c r="BG28" i="75"/>
  <c r="BH15" i="75"/>
  <c r="BG41" i="75"/>
  <c r="BH39" i="75"/>
  <c r="BH26" i="75"/>
  <c r="BI12" i="75"/>
  <c r="BG32" i="75"/>
  <c r="BH20" i="75"/>
  <c r="BG49" i="75"/>
  <c r="AC39" i="89"/>
  <c r="AB44" i="89"/>
  <c r="AB54" i="89"/>
  <c r="AB69" i="89" s="1"/>
  <c r="AO39" i="89"/>
  <c r="AN44" i="89"/>
  <c r="A230" i="57"/>
  <c r="C229" i="57"/>
  <c r="F229" i="57"/>
  <c r="D229" i="57"/>
  <c r="E229" i="57"/>
  <c r="A302" i="57"/>
  <c r="D301" i="57"/>
  <c r="F301" i="57"/>
  <c r="E301" i="57"/>
  <c r="C301" i="57"/>
  <c r="A266" i="57"/>
  <c r="E265" i="57"/>
  <c r="C265" i="57"/>
  <c r="F265" i="57"/>
  <c r="D265" i="57"/>
  <c r="AV57" i="89"/>
  <c r="AV72" i="89" s="1"/>
  <c r="B118" i="20"/>
  <c r="C117" i="20"/>
  <c r="O74" i="89"/>
  <c r="P49" i="89"/>
  <c r="L6" i="74"/>
  <c r="L11" i="74"/>
  <c r="L10" i="74"/>
  <c r="L8" i="74"/>
  <c r="M3" i="74"/>
  <c r="L9" i="74"/>
  <c r="BI40" i="75"/>
  <c r="BJ8" i="75"/>
  <c r="BJ9" i="75" s="1"/>
  <c r="BK7" i="75"/>
  <c r="A86" i="57"/>
  <c r="C85" i="57"/>
  <c r="D85" i="57"/>
  <c r="E85" i="57"/>
  <c r="F85" i="57"/>
  <c r="A194" i="57"/>
  <c r="C193" i="57"/>
  <c r="D193" i="57"/>
  <c r="E193" i="57"/>
  <c r="F193" i="57"/>
  <c r="A122" i="57"/>
  <c r="C121" i="57"/>
  <c r="D121" i="57"/>
  <c r="E121" i="57"/>
  <c r="F121" i="57"/>
  <c r="A50" i="57"/>
  <c r="C49" i="57"/>
  <c r="D49" i="57"/>
  <c r="E49" i="57"/>
  <c r="F49" i="57"/>
  <c r="A158" i="57"/>
  <c r="C157" i="57"/>
  <c r="D157" i="57"/>
  <c r="E157" i="57"/>
  <c r="F157" i="57"/>
  <c r="M68" i="20"/>
  <c r="N63" i="20"/>
  <c r="A19" i="57"/>
  <c r="C18" i="57"/>
  <c r="D18" i="57"/>
  <c r="E18" i="57"/>
  <c r="F18" i="57"/>
  <c r="G18" i="57"/>
  <c r="H18" i="57"/>
  <c r="I50" i="20"/>
  <c r="J40" i="20"/>
  <c r="I41" i="20"/>
  <c r="I42" i="20" s="1"/>
  <c r="H74" i="72"/>
  <c r="H21" i="72" s="1"/>
  <c r="H76" i="72"/>
  <c r="H23" i="72" s="1"/>
  <c r="J79" i="72"/>
  <c r="J26" i="72" s="1"/>
  <c r="L76" i="72"/>
  <c r="L23" i="72" s="1"/>
  <c r="M75" i="72"/>
  <c r="M22" i="72" s="1"/>
  <c r="N78" i="72"/>
  <c r="N25" i="72" s="1"/>
  <c r="H79" i="72"/>
  <c r="H26" i="72" s="1"/>
  <c r="I82" i="72"/>
  <c r="I29" i="72" s="1"/>
  <c r="J76" i="72"/>
  <c r="J23" i="72" s="1"/>
  <c r="K76" i="72"/>
  <c r="K23" i="72" s="1"/>
  <c r="M74" i="72"/>
  <c r="M21" i="72" s="1"/>
  <c r="G73" i="72"/>
  <c r="Q80" i="72"/>
  <c r="Q27" i="72" s="1"/>
  <c r="I75" i="72"/>
  <c r="I22" i="72" s="1"/>
  <c r="K74" i="72"/>
  <c r="K21" i="72" s="1"/>
  <c r="M73" i="72"/>
  <c r="M20" i="72" s="1"/>
  <c r="L82" i="72"/>
  <c r="L29" i="72" s="1"/>
  <c r="O80" i="72"/>
  <c r="O27" i="72" s="1"/>
  <c r="O76" i="72"/>
  <c r="O23" i="72" s="1"/>
  <c r="G78" i="72"/>
  <c r="G25" i="72" s="1"/>
  <c r="P74" i="72"/>
  <c r="P21" i="72" s="1"/>
  <c r="J77" i="72"/>
  <c r="N79" i="72"/>
  <c r="N26" i="72" s="1"/>
  <c r="O79" i="72"/>
  <c r="O26" i="72" s="1"/>
  <c r="Q82" i="72"/>
  <c r="Q29" i="72" s="1"/>
  <c r="O81" i="72"/>
  <c r="O28" i="72" s="1"/>
  <c r="G81" i="72"/>
  <c r="G28" i="72" s="1"/>
  <c r="R77" i="72"/>
  <c r="R24" i="72" s="1"/>
  <c r="R79" i="72"/>
  <c r="R26" i="72" s="1"/>
  <c r="R74" i="72"/>
  <c r="R21" i="72" s="1"/>
  <c r="S79" i="72"/>
  <c r="S26" i="72" s="1"/>
  <c r="S73" i="72"/>
  <c r="S20" i="72" s="1"/>
  <c r="T75" i="72"/>
  <c r="T22" i="72" s="1"/>
  <c r="T74" i="72"/>
  <c r="T21" i="72" s="1"/>
  <c r="T79" i="72"/>
  <c r="T26" i="72" s="1"/>
  <c r="V80" i="72"/>
  <c r="V27" i="72" s="1"/>
  <c r="U76" i="72"/>
  <c r="U23" i="72" s="1"/>
  <c r="V76" i="72"/>
  <c r="V23" i="72" s="1"/>
  <c r="V73" i="72"/>
  <c r="V20" i="72" s="1"/>
  <c r="U78" i="72"/>
  <c r="U25" i="72" s="1"/>
  <c r="W73" i="72"/>
  <c r="W20" i="72" s="1"/>
  <c r="W78" i="72"/>
  <c r="W25" i="72" s="1"/>
  <c r="Z81" i="72"/>
  <c r="Z28" i="72" s="1"/>
  <c r="AB78" i="72"/>
  <c r="AB25" i="72" s="1"/>
  <c r="W81" i="72"/>
  <c r="W28" i="72" s="1"/>
  <c r="X81" i="72"/>
  <c r="X28" i="72" s="1"/>
  <c r="Z73" i="72"/>
  <c r="Z20" i="72" s="1"/>
  <c r="AA78" i="72"/>
  <c r="AA25" i="72" s="1"/>
  <c r="Z74" i="72"/>
  <c r="Z21" i="72" s="1"/>
  <c r="AA79" i="72"/>
  <c r="AA26" i="72" s="1"/>
  <c r="AB82" i="72"/>
  <c r="AB29" i="72" s="1"/>
  <c r="Y74" i="72"/>
  <c r="Y21" i="72" s="1"/>
  <c r="Y81" i="72"/>
  <c r="Y28" i="72" s="1"/>
  <c r="AA75" i="72"/>
  <c r="AA22" i="72" s="1"/>
  <c r="AB73" i="72"/>
  <c r="AB20" i="72" s="1"/>
  <c r="AC82" i="72"/>
  <c r="AC29" i="72" s="1"/>
  <c r="AE79" i="72"/>
  <c r="AE26" i="72" s="1"/>
  <c r="AF78" i="72"/>
  <c r="AF25" i="72" s="1"/>
  <c r="AH78" i="72"/>
  <c r="AH25" i="72" s="1"/>
  <c r="AC81" i="72"/>
  <c r="AC28" i="72" s="1"/>
  <c r="AD80" i="72"/>
  <c r="AD27" i="72" s="1"/>
  <c r="AE81" i="72"/>
  <c r="AE28" i="72" s="1"/>
  <c r="AG75" i="72"/>
  <c r="AG22" i="72" s="1"/>
  <c r="AC80" i="72"/>
  <c r="AC27" i="72" s="1"/>
  <c r="AE77" i="72"/>
  <c r="AE24" i="72" s="1"/>
  <c r="AG80" i="72"/>
  <c r="AG27" i="72" s="1"/>
  <c r="AH81" i="72"/>
  <c r="AH28" i="72" s="1"/>
  <c r="AD78" i="72"/>
  <c r="AD25" i="72" s="1"/>
  <c r="AF82" i="72"/>
  <c r="AF29" i="72" s="1"/>
  <c r="AH73" i="72"/>
  <c r="AH20" i="72" s="1"/>
  <c r="AI77" i="72"/>
  <c r="AI24" i="72" s="1"/>
  <c r="AJ74" i="72"/>
  <c r="AJ21" i="72" s="1"/>
  <c r="AF42" i="57" s="1"/>
  <c r="AI80" i="72"/>
  <c r="AI27" i="72" s="1"/>
  <c r="AJ75" i="72"/>
  <c r="AJ22" i="72" s="1"/>
  <c r="AF78" i="57" s="1"/>
  <c r="AJ82" i="72"/>
  <c r="AJ29" i="72" s="1"/>
  <c r="AF330" i="57" s="1"/>
  <c r="H81" i="72"/>
  <c r="H28" i="72" s="1"/>
  <c r="L74" i="72"/>
  <c r="L21" i="72" s="1"/>
  <c r="Q73" i="72"/>
  <c r="Q20" i="72" s="1"/>
  <c r="I76" i="72"/>
  <c r="I23" i="72" s="1"/>
  <c r="N75" i="72"/>
  <c r="N22" i="72" s="1"/>
  <c r="P77" i="72"/>
  <c r="P24" i="72" s="1"/>
  <c r="G79" i="72"/>
  <c r="G26" i="72" s="1"/>
  <c r="Q81" i="72"/>
  <c r="Q28" i="72" s="1"/>
  <c r="N80" i="72"/>
  <c r="N27" i="72" s="1"/>
  <c r="P81" i="72"/>
  <c r="P28" i="72" s="1"/>
  <c r="J74" i="72"/>
  <c r="J21" i="72" s="1"/>
  <c r="O78" i="72"/>
  <c r="O25" i="72" s="1"/>
  <c r="R78" i="72"/>
  <c r="R25" i="72" s="1"/>
  <c r="R80" i="72"/>
  <c r="R27" i="72" s="1"/>
  <c r="S74" i="72"/>
  <c r="S21" i="72" s="1"/>
  <c r="S77" i="72"/>
  <c r="S24" i="72" s="1"/>
  <c r="T82" i="72"/>
  <c r="T29" i="72" s="1"/>
  <c r="W74" i="72"/>
  <c r="W21" i="72" s="1"/>
  <c r="V81" i="72"/>
  <c r="V28" i="72" s="1"/>
  <c r="V82" i="72"/>
  <c r="V29" i="72" s="1"/>
  <c r="W75" i="72"/>
  <c r="W22" i="72" s="1"/>
  <c r="AA74" i="72"/>
  <c r="AA21" i="72" s="1"/>
  <c r="W82" i="72"/>
  <c r="W29" i="72" s="1"/>
  <c r="Z75" i="72"/>
  <c r="Z22" i="72" s="1"/>
  <c r="AB81" i="72"/>
  <c r="AB28" i="72" s="1"/>
  <c r="AB76" i="72"/>
  <c r="AB23" i="72" s="1"/>
  <c r="X74" i="72"/>
  <c r="X21" i="72" s="1"/>
  <c r="Y82" i="72"/>
  <c r="Y29" i="72" s="1"/>
  <c r="AA76" i="72"/>
  <c r="AA23" i="72" s="1"/>
  <c r="AC77" i="72"/>
  <c r="AC24" i="72" s="1"/>
  <c r="AG74" i="72"/>
  <c r="AG21" i="72" s="1"/>
  <c r="AH79" i="72"/>
  <c r="AH26" i="72" s="1"/>
  <c r="AE75" i="72"/>
  <c r="AE22" i="72" s="1"/>
  <c r="AG79" i="72"/>
  <c r="AG26" i="72" s="1"/>
  <c r="AF81" i="72"/>
  <c r="AF28" i="72" s="1"/>
  <c r="AH74" i="72"/>
  <c r="AH21" i="72" s="1"/>
  <c r="AE74" i="72"/>
  <c r="AE21" i="72" s="1"/>
  <c r="AH77" i="72"/>
  <c r="AH24" i="72" s="1"/>
  <c r="AJ78" i="72"/>
  <c r="AJ25" i="72" s="1"/>
  <c r="AF186" i="57" s="1"/>
  <c r="AJ80" i="72"/>
  <c r="AJ27" i="72" s="1"/>
  <c r="AF258" i="57" s="1"/>
  <c r="AJ81" i="72"/>
  <c r="AJ28" i="72" s="1"/>
  <c r="AF294" i="57" s="1"/>
  <c r="J75" i="72"/>
  <c r="J22" i="72" s="1"/>
  <c r="N82" i="72"/>
  <c r="N29" i="72" s="1"/>
  <c r="I78" i="72"/>
  <c r="I25" i="72" s="1"/>
  <c r="I79" i="72"/>
  <c r="I26" i="72" s="1"/>
  <c r="O73" i="72"/>
  <c r="O20" i="72" s="1"/>
  <c r="I81" i="72"/>
  <c r="I28" i="72" s="1"/>
  <c r="Q77" i="72"/>
  <c r="Q24" i="72" s="1"/>
  <c r="P79" i="72"/>
  <c r="P26" i="72" s="1"/>
  <c r="R75" i="72"/>
  <c r="R22" i="72" s="1"/>
  <c r="S81" i="72"/>
  <c r="S28" i="72" s="1"/>
  <c r="T73" i="72"/>
  <c r="T20" i="72" s="1"/>
  <c r="U75" i="72"/>
  <c r="U22" i="72" s="1"/>
  <c r="U77" i="72"/>
  <c r="U24" i="72" s="1"/>
  <c r="Y77" i="72"/>
  <c r="Y24" i="72" s="1"/>
  <c r="H77" i="72"/>
  <c r="I74" i="72"/>
  <c r="I21" i="72" s="1"/>
  <c r="K77" i="72"/>
  <c r="K24" i="72" s="1"/>
  <c r="L80" i="72"/>
  <c r="L27" i="72" s="1"/>
  <c r="M76" i="72"/>
  <c r="M23" i="72" s="1"/>
  <c r="P75" i="72"/>
  <c r="P22" i="72" s="1"/>
  <c r="I80" i="72"/>
  <c r="I27" i="72" s="1"/>
  <c r="K81" i="72"/>
  <c r="K28" i="72" s="1"/>
  <c r="M79" i="72"/>
  <c r="M26" i="72" s="1"/>
  <c r="H80" i="72"/>
  <c r="H27" i="72" s="1"/>
  <c r="K79" i="72"/>
  <c r="K26" i="72" s="1"/>
  <c r="M77" i="72"/>
  <c r="M24" i="72" s="1"/>
  <c r="P78" i="72"/>
  <c r="P25" i="72" s="1"/>
  <c r="K73" i="72"/>
  <c r="K20" i="72" s="1"/>
  <c r="R82" i="72"/>
  <c r="R29" i="72" s="1"/>
  <c r="T78" i="72"/>
  <c r="T25" i="72" s="1"/>
  <c r="T76" i="72"/>
  <c r="T23" i="72" s="1"/>
  <c r="U81" i="72"/>
  <c r="U28" i="72" s="1"/>
  <c r="V77" i="72"/>
  <c r="V24" i="72" s="1"/>
  <c r="X75" i="72"/>
  <c r="X22" i="72" s="1"/>
  <c r="AC75" i="72"/>
  <c r="AC22" i="72" s="1"/>
  <c r="X80" i="72"/>
  <c r="X27" i="72" s="1"/>
  <c r="Z77" i="72"/>
  <c r="Z24" i="72" s="1"/>
  <c r="Y75" i="72"/>
  <c r="Y22" i="72" s="1"/>
  <c r="AB74" i="72"/>
  <c r="AB21" i="72" s="1"/>
  <c r="AF75" i="72"/>
  <c r="AF22" i="72" s="1"/>
  <c r="AD74" i="72"/>
  <c r="AD21" i="72" s="1"/>
  <c r="AE82" i="72"/>
  <c r="AE29" i="72" s="1"/>
  <c r="AD77" i="72"/>
  <c r="AD24" i="72" s="1"/>
  <c r="AC78" i="72"/>
  <c r="AC25" i="72" s="1"/>
  <c r="AF79" i="72"/>
  <c r="AF26" i="72" s="1"/>
  <c r="AI82" i="72"/>
  <c r="AI29" i="72" s="1"/>
  <c r="AJ76" i="72"/>
  <c r="AJ23" i="72" s="1"/>
  <c r="AF114" i="57" s="1"/>
  <c r="M78" i="72"/>
  <c r="M25" i="72" s="1"/>
  <c r="L79" i="72"/>
  <c r="L26" i="72" s="1"/>
  <c r="L73" i="72"/>
  <c r="L20" i="72" s="1"/>
  <c r="N74" i="72"/>
  <c r="N21" i="72" s="1"/>
  <c r="R76" i="72"/>
  <c r="R23" i="72" s="1"/>
  <c r="T80" i="72"/>
  <c r="T27" i="72" s="1"/>
  <c r="U82" i="72"/>
  <c r="U29" i="72" s="1"/>
  <c r="W79" i="72"/>
  <c r="W26" i="72" s="1"/>
  <c r="P80" i="72"/>
  <c r="P27" i="72" s="1"/>
  <c r="H73" i="72"/>
  <c r="J81" i="72"/>
  <c r="J28" i="72" s="1"/>
  <c r="K82" i="72"/>
  <c r="K29" i="72" s="1"/>
  <c r="M81" i="72"/>
  <c r="M28" i="72" s="1"/>
  <c r="N73" i="72"/>
  <c r="N20" i="72" s="1"/>
  <c r="Q75" i="72"/>
  <c r="Q22" i="72" s="1"/>
  <c r="H75" i="72"/>
  <c r="H22" i="72" s="1"/>
  <c r="J82" i="72"/>
  <c r="J29" i="72" s="1"/>
  <c r="K78" i="72"/>
  <c r="K25" i="72" s="1"/>
  <c r="L81" i="72"/>
  <c r="L28" i="72" s="1"/>
  <c r="N77" i="72"/>
  <c r="N24" i="72" s="1"/>
  <c r="Q74" i="72"/>
  <c r="Q21" i="72" s="1"/>
  <c r="I77" i="72"/>
  <c r="J73" i="72"/>
  <c r="J20" i="72" s="1"/>
  <c r="L77" i="72"/>
  <c r="L24" i="72" s="1"/>
  <c r="P82" i="72"/>
  <c r="P29" i="72" s="1"/>
  <c r="M80" i="72"/>
  <c r="M27" i="72" s="1"/>
  <c r="L75" i="72"/>
  <c r="L22" i="72" s="1"/>
  <c r="P73" i="72"/>
  <c r="P20" i="72" s="1"/>
  <c r="G75" i="72"/>
  <c r="G22" i="72" s="1"/>
  <c r="H78" i="72"/>
  <c r="H25" i="72" s="1"/>
  <c r="M82" i="72"/>
  <c r="M29" i="72" s="1"/>
  <c r="O77" i="72"/>
  <c r="O24" i="72" s="1"/>
  <c r="P76" i="72"/>
  <c r="P23" i="72" s="1"/>
  <c r="L78" i="72"/>
  <c r="L25" i="72" s="1"/>
  <c r="O75" i="72"/>
  <c r="O22" i="72" s="1"/>
  <c r="G77" i="72"/>
  <c r="G24" i="72" s="1"/>
  <c r="R73" i="72"/>
  <c r="R20" i="72" s="1"/>
  <c r="R81" i="72"/>
  <c r="R28" i="72" s="1"/>
  <c r="S75" i="72"/>
  <c r="S22" i="72" s="1"/>
  <c r="S78" i="72"/>
  <c r="S25" i="72" s="1"/>
  <c r="S80" i="72"/>
  <c r="S27" i="72" s="1"/>
  <c r="T77" i="72"/>
  <c r="T24" i="72" s="1"/>
  <c r="T81" i="72"/>
  <c r="T28" i="72" s="1"/>
  <c r="U79" i="72"/>
  <c r="U26" i="72" s="1"/>
  <c r="W80" i="72"/>
  <c r="W27" i="72" s="1"/>
  <c r="V74" i="72"/>
  <c r="V21" i="72" s="1"/>
  <c r="U74" i="72"/>
  <c r="U21" i="72" s="1"/>
  <c r="U73" i="72"/>
  <c r="U20" i="72" s="1"/>
  <c r="V78" i="72"/>
  <c r="V25" i="72" s="1"/>
  <c r="W76" i="72"/>
  <c r="W23" i="72" s="1"/>
  <c r="X76" i="72"/>
  <c r="X23" i="72" s="1"/>
  <c r="AA77" i="72"/>
  <c r="AA24" i="72" s="1"/>
  <c r="AC76" i="72"/>
  <c r="AC23" i="72" s="1"/>
  <c r="X73" i="72"/>
  <c r="X20" i="72" s="1"/>
  <c r="Y73" i="72"/>
  <c r="Y20" i="72" s="1"/>
  <c r="Z76" i="72"/>
  <c r="Z23" i="72" s="1"/>
  <c r="X78" i="72"/>
  <c r="X25" i="72" s="1"/>
  <c r="Z78" i="72"/>
  <c r="Z25" i="72" s="1"/>
  <c r="AB77" i="72"/>
  <c r="AB24" i="72" s="1"/>
  <c r="X77" i="72"/>
  <c r="X24" i="72" s="1"/>
  <c r="Y76" i="72"/>
  <c r="Y23" i="72" s="1"/>
  <c r="Z79" i="72"/>
  <c r="Z26" i="72" s="1"/>
  <c r="AA80" i="72"/>
  <c r="AA27" i="72" s="1"/>
  <c r="AB75" i="72"/>
  <c r="AB22" i="72" s="1"/>
  <c r="AD79" i="72"/>
  <c r="AD26" i="72" s="1"/>
  <c r="AF74" i="72"/>
  <c r="AF21" i="72" s="1"/>
  <c r="AG78" i="72"/>
  <c r="AG25" i="72" s="1"/>
  <c r="AI78" i="72"/>
  <c r="AI25" i="72" s="1"/>
  <c r="AD75" i="72"/>
  <c r="AD22" i="72" s="1"/>
  <c r="AE76" i="72"/>
  <c r="AE23" i="72" s="1"/>
  <c r="AF73" i="72"/>
  <c r="AF20" i="72" s="1"/>
  <c r="AH80" i="72"/>
  <c r="AH27" i="72" s="1"/>
  <c r="AD81" i="72"/>
  <c r="AD28" i="72" s="1"/>
  <c r="AG73" i="72"/>
  <c r="AG20" i="72" s="1"/>
  <c r="AH75" i="72"/>
  <c r="AH22" i="72" s="1"/>
  <c r="AC79" i="72"/>
  <c r="AC26" i="72" s="1"/>
  <c r="AE78" i="72"/>
  <c r="AE25" i="72" s="1"/>
  <c r="AG77" i="72"/>
  <c r="AG24" i="72" s="1"/>
  <c r="AH82" i="72"/>
  <c r="AH29" i="72" s="1"/>
  <c r="AI81" i="72"/>
  <c r="AI28" i="72" s="1"/>
  <c r="AJ79" i="72"/>
  <c r="AJ26" i="72" s="1"/>
  <c r="AF222" i="57" s="1"/>
  <c r="AJ77" i="72"/>
  <c r="AJ24" i="72" s="1"/>
  <c r="AF150" i="57" s="1"/>
  <c r="AI76" i="72"/>
  <c r="AI23" i="72" s="1"/>
  <c r="Q78" i="72"/>
  <c r="Q25" i="72" s="1"/>
  <c r="H82" i="72"/>
  <c r="H29" i="72" s="1"/>
  <c r="J78" i="72"/>
  <c r="J25" i="72" s="1"/>
  <c r="K80" i="72"/>
  <c r="K27" i="72" s="1"/>
  <c r="N81" i="72"/>
  <c r="N28" i="72" s="1"/>
  <c r="Q79" i="72"/>
  <c r="Q26" i="72" s="1"/>
  <c r="I73" i="72"/>
  <c r="K75" i="72"/>
  <c r="K22" i="72" s="1"/>
  <c r="Q76" i="72"/>
  <c r="Q23" i="72" s="1"/>
  <c r="J80" i="72"/>
  <c r="O74" i="72"/>
  <c r="O21" i="72" s="1"/>
  <c r="G82" i="72"/>
  <c r="G29" i="72" s="1"/>
  <c r="G80" i="72"/>
  <c r="G27" i="72" s="1"/>
  <c r="O82" i="72"/>
  <c r="O29" i="72" s="1"/>
  <c r="N76" i="72"/>
  <c r="N23" i="72" s="1"/>
  <c r="G76" i="72"/>
  <c r="G23" i="72" s="1"/>
  <c r="S76" i="72"/>
  <c r="S23" i="72" s="1"/>
  <c r="S82" i="72"/>
  <c r="S29" i="72" s="1"/>
  <c r="U80" i="72"/>
  <c r="U27" i="72" s="1"/>
  <c r="V75" i="72"/>
  <c r="V22" i="72" s="1"/>
  <c r="V79" i="72"/>
  <c r="V26" i="72" s="1"/>
  <c r="AA82" i="72"/>
  <c r="AA29" i="72" s="1"/>
  <c r="W77" i="72"/>
  <c r="W24" i="72" s="1"/>
  <c r="Z82" i="72"/>
  <c r="Z29" i="72" s="1"/>
  <c r="X82" i="72"/>
  <c r="X29" i="72" s="1"/>
  <c r="AB79" i="72"/>
  <c r="AB26" i="72" s="1"/>
  <c r="AC73" i="72"/>
  <c r="AC20" i="72" s="1"/>
  <c r="AC74" i="72"/>
  <c r="AC21" i="72" s="1"/>
  <c r="AD73" i="72"/>
  <c r="AD20" i="72" s="1"/>
  <c r="AJ73" i="72"/>
  <c r="Z80" i="72"/>
  <c r="Z27" i="72" s="1"/>
  <c r="AE80" i="72"/>
  <c r="AE27" i="72" s="1"/>
  <c r="AI75" i="72"/>
  <c r="AI22" i="72" s="1"/>
  <c r="Y79" i="72"/>
  <c r="Y26" i="72" s="1"/>
  <c r="Y80" i="72"/>
  <c r="Y27" i="72" s="1"/>
  <c r="AE73" i="72"/>
  <c r="AE20" i="72" s="1"/>
  <c r="AD76" i="72"/>
  <c r="AD23" i="72" s="1"/>
  <c r="AD82" i="72"/>
  <c r="AD29" i="72" s="1"/>
  <c r="AF80" i="72"/>
  <c r="AF27" i="72" s="1"/>
  <c r="AI74" i="72"/>
  <c r="AI21" i="72" s="1"/>
  <c r="AF76" i="72"/>
  <c r="AF23" i="72" s="1"/>
  <c r="AG76" i="72"/>
  <c r="AG23" i="72" s="1"/>
  <c r="AB80" i="72"/>
  <c r="AB27" i="72" s="1"/>
  <c r="AH76" i="72"/>
  <c r="AH23" i="72" s="1"/>
  <c r="AI79" i="72"/>
  <c r="AI26" i="72" s="1"/>
  <c r="X79" i="72"/>
  <c r="X26" i="72" s="1"/>
  <c r="AA73" i="72"/>
  <c r="AA20" i="72" s="1"/>
  <c r="AG81" i="72"/>
  <c r="AG28" i="72" s="1"/>
  <c r="Y78" i="72"/>
  <c r="Y25" i="72" s="1"/>
  <c r="AA81" i="72"/>
  <c r="AA28" i="72" s="1"/>
  <c r="AG82" i="72"/>
  <c r="AG29" i="72" s="1"/>
  <c r="AF77" i="72"/>
  <c r="AF24" i="72" s="1"/>
  <c r="AI73" i="72"/>
  <c r="AI20" i="72" s="1"/>
  <c r="A129" i="80"/>
  <c r="A242" i="80"/>
  <c r="A356" i="80" s="1"/>
  <c r="A16" i="80"/>
  <c r="A409" i="80"/>
  <c r="G64" i="68"/>
  <c r="H42" i="20"/>
  <c r="J2" i="57"/>
  <c r="I18" i="57"/>
  <c r="I17" i="57"/>
  <c r="I19" i="57"/>
  <c r="I16" i="57"/>
  <c r="A91" i="80"/>
  <c r="A204" i="80"/>
  <c r="A279" i="80"/>
  <c r="A166" i="80"/>
  <c r="J159" i="47"/>
  <c r="J40" i="60" s="1"/>
  <c r="J35" i="47"/>
  <c r="J49" i="47" s="1"/>
  <c r="K4" i="47"/>
  <c r="J28" i="47"/>
  <c r="H48" i="80"/>
  <c r="H124" i="80"/>
  <c r="H352" i="80"/>
  <c r="H162" i="80"/>
  <c r="H276" i="80"/>
  <c r="H314" i="80"/>
  <c r="H200" i="80"/>
  <c r="H238" i="80"/>
  <c r="I2" i="80"/>
  <c r="H86" i="80"/>
  <c r="H10" i="80"/>
  <c r="L5" i="75"/>
  <c r="I4" i="60"/>
  <c r="I160" i="47"/>
  <c r="I33" i="60" s="1"/>
  <c r="B20" i="55"/>
  <c r="W19" i="55"/>
  <c r="X19" i="55" s="1"/>
  <c r="M7" i="75"/>
  <c r="L8" i="75"/>
  <c r="L9" i="75" s="1"/>
  <c r="BK23" i="75"/>
  <c r="BK65" i="75"/>
  <c r="BL5" i="75"/>
  <c r="BK18" i="75"/>
  <c r="BK13" i="75"/>
  <c r="BJ27" i="75"/>
  <c r="BJ14" i="75"/>
  <c r="BJ40" i="75" s="1"/>
  <c r="BJ30" i="75"/>
  <c r="BJ45" i="75"/>
  <c r="BG35" i="75" l="1"/>
  <c r="BG36" i="75" s="1"/>
  <c r="BI16" i="75"/>
  <c r="BH29" i="75"/>
  <c r="BH17" i="75"/>
  <c r="BH43" i="75"/>
  <c r="BI15" i="75"/>
  <c r="BH28" i="75"/>
  <c r="BH41" i="75"/>
  <c r="BH49" i="75"/>
  <c r="BH32" i="75"/>
  <c r="BI20" i="75"/>
  <c r="BJ12" i="75"/>
  <c r="BI26" i="75"/>
  <c r="BI39" i="75"/>
  <c r="BH47" i="75"/>
  <c r="BH31" i="75"/>
  <c r="BI19" i="75"/>
  <c r="AP39" i="89"/>
  <c r="AO44" i="89"/>
  <c r="AC54" i="89"/>
  <c r="AC69" i="89" s="1"/>
  <c r="AD39" i="89"/>
  <c r="AC44" i="89"/>
  <c r="AW57" i="89"/>
  <c r="AW72" i="89" s="1"/>
  <c r="A303" i="57"/>
  <c r="E302" i="57"/>
  <c r="G302" i="57"/>
  <c r="F302" i="57"/>
  <c r="C302" i="57"/>
  <c r="D302" i="57"/>
  <c r="A231" i="57"/>
  <c r="C230" i="57"/>
  <c r="D230" i="57"/>
  <c r="F230" i="57"/>
  <c r="G230" i="57"/>
  <c r="E230" i="57"/>
  <c r="A267" i="57"/>
  <c r="G266" i="57"/>
  <c r="F266" i="57"/>
  <c r="E266" i="57"/>
  <c r="D266" i="57"/>
  <c r="C266" i="57"/>
  <c r="C118" i="20"/>
  <c r="B119" i="20"/>
  <c r="M6" i="74"/>
  <c r="T330" i="57"/>
  <c r="G330" i="57"/>
  <c r="U330" i="57"/>
  <c r="R330" i="57"/>
  <c r="AF348" i="80"/>
  <c r="B362" i="57"/>
  <c r="X330" i="57"/>
  <c r="V330" i="57"/>
  <c r="AD330" i="57"/>
  <c r="I330" i="57"/>
  <c r="Q330" i="57"/>
  <c r="AE330" i="57"/>
  <c r="AA330" i="57"/>
  <c r="J330" i="57"/>
  <c r="S330" i="57"/>
  <c r="AC330" i="57"/>
  <c r="N330" i="57"/>
  <c r="AB330" i="57"/>
  <c r="M330" i="57"/>
  <c r="H330" i="57"/>
  <c r="Z330" i="57"/>
  <c r="W330" i="57"/>
  <c r="O330" i="57"/>
  <c r="K330" i="57"/>
  <c r="L330" i="57"/>
  <c r="AF310" i="80"/>
  <c r="P330" i="57"/>
  <c r="Y330" i="57"/>
  <c r="AF44" i="80"/>
  <c r="AF234" i="80"/>
  <c r="AF272" i="80"/>
  <c r="AF158" i="80"/>
  <c r="AF120" i="80"/>
  <c r="AF196" i="80"/>
  <c r="AF82" i="80"/>
  <c r="AD258" i="57"/>
  <c r="AA258" i="57"/>
  <c r="G258" i="57"/>
  <c r="B265" i="57" s="1"/>
  <c r="W258" i="57"/>
  <c r="H258" i="57"/>
  <c r="B266" i="57" s="1"/>
  <c r="AC258" i="57"/>
  <c r="K258" i="57"/>
  <c r="X258" i="57"/>
  <c r="AB258" i="57"/>
  <c r="U258" i="57"/>
  <c r="V258" i="57"/>
  <c r="Q258" i="57"/>
  <c r="I258" i="57"/>
  <c r="B267" i="57" s="1"/>
  <c r="P258" i="57"/>
  <c r="N258" i="57"/>
  <c r="AE258" i="57"/>
  <c r="Z258" i="57"/>
  <c r="M258" i="57"/>
  <c r="S258" i="57"/>
  <c r="O258" i="57"/>
  <c r="L258" i="57"/>
  <c r="T258" i="57"/>
  <c r="J258" i="57"/>
  <c r="Y258" i="57"/>
  <c r="R258" i="57"/>
  <c r="AE222" i="57"/>
  <c r="Y222" i="57"/>
  <c r="Q222" i="57"/>
  <c r="I222" i="57"/>
  <c r="AD222" i="57"/>
  <c r="P222" i="57"/>
  <c r="O222" i="57"/>
  <c r="J222" i="57"/>
  <c r="W222" i="57"/>
  <c r="S222" i="57"/>
  <c r="V222" i="57"/>
  <c r="H222" i="57"/>
  <c r="B230" i="57" s="1"/>
  <c r="AB222" i="57"/>
  <c r="G222" i="57"/>
  <c r="B229" i="57" s="1"/>
  <c r="AC222" i="57"/>
  <c r="AA222" i="57"/>
  <c r="N222" i="57"/>
  <c r="R222" i="57"/>
  <c r="T222" i="57"/>
  <c r="U222" i="57"/>
  <c r="X222" i="57"/>
  <c r="M222" i="57"/>
  <c r="Z222" i="57"/>
  <c r="L222" i="57"/>
  <c r="K222" i="57"/>
  <c r="U186" i="57"/>
  <c r="AE186" i="57"/>
  <c r="K186" i="57"/>
  <c r="AC186" i="57"/>
  <c r="P186" i="57"/>
  <c r="AB186" i="57"/>
  <c r="S186" i="57"/>
  <c r="J186" i="57"/>
  <c r="M186" i="57"/>
  <c r="O186" i="57"/>
  <c r="L186" i="57"/>
  <c r="AD186" i="57"/>
  <c r="V186" i="57"/>
  <c r="H186" i="57"/>
  <c r="B194" i="57" s="1"/>
  <c r="G186" i="57"/>
  <c r="B193" i="57" s="1"/>
  <c r="AA186" i="57"/>
  <c r="T186" i="57"/>
  <c r="R186" i="57"/>
  <c r="I186" i="57"/>
  <c r="Y186" i="57"/>
  <c r="N186" i="57"/>
  <c r="Z186" i="57"/>
  <c r="W186" i="57"/>
  <c r="X186" i="57"/>
  <c r="Q186" i="57"/>
  <c r="T150" i="57"/>
  <c r="K150" i="57"/>
  <c r="H150" i="57"/>
  <c r="B158" i="57" s="1"/>
  <c r="J150" i="57"/>
  <c r="Z150" i="57"/>
  <c r="M150" i="57"/>
  <c r="O150" i="57"/>
  <c r="AE150" i="57"/>
  <c r="AB150" i="57"/>
  <c r="X150" i="57"/>
  <c r="I150" i="57"/>
  <c r="U150" i="57"/>
  <c r="S150" i="57"/>
  <c r="V150" i="57"/>
  <c r="R150" i="57"/>
  <c r="G150" i="57"/>
  <c r="Q150" i="57"/>
  <c r="AD150" i="57"/>
  <c r="Y150" i="57"/>
  <c r="L150" i="57"/>
  <c r="AA150" i="57"/>
  <c r="W150" i="57"/>
  <c r="AC150" i="57"/>
  <c r="P150" i="57"/>
  <c r="N150" i="57"/>
  <c r="I114" i="57"/>
  <c r="K114" i="57"/>
  <c r="T114" i="57"/>
  <c r="R114" i="57"/>
  <c r="G114" i="57"/>
  <c r="B121" i="57" s="1"/>
  <c r="J114" i="57"/>
  <c r="AA114" i="57"/>
  <c r="S114" i="57"/>
  <c r="X114" i="57"/>
  <c r="Q114" i="57"/>
  <c r="AB114" i="57"/>
  <c r="Z114" i="57"/>
  <c r="O114" i="57"/>
  <c r="M114" i="57"/>
  <c r="V114" i="57"/>
  <c r="P114" i="57"/>
  <c r="AD114" i="57"/>
  <c r="AE114" i="57"/>
  <c r="AC114" i="57"/>
  <c r="U114" i="57"/>
  <c r="Y114" i="57"/>
  <c r="L114" i="57"/>
  <c r="N114" i="57"/>
  <c r="W114" i="57"/>
  <c r="H114" i="57"/>
  <c r="J42" i="57"/>
  <c r="X42" i="57"/>
  <c r="AD42" i="57"/>
  <c r="G42" i="57"/>
  <c r="I42" i="57"/>
  <c r="AE42" i="57"/>
  <c r="Y42" i="57"/>
  <c r="Q42" i="57"/>
  <c r="AC42" i="57"/>
  <c r="T42" i="57"/>
  <c r="O42" i="57"/>
  <c r="P42" i="57"/>
  <c r="N42" i="57"/>
  <c r="K42" i="57"/>
  <c r="AB42" i="57"/>
  <c r="R42" i="57"/>
  <c r="Z42" i="57"/>
  <c r="W42" i="57"/>
  <c r="S42" i="57"/>
  <c r="H42" i="57"/>
  <c r="V42" i="57"/>
  <c r="L42" i="57"/>
  <c r="M42" i="57"/>
  <c r="AA42" i="57"/>
  <c r="U42" i="57"/>
  <c r="P59" i="89"/>
  <c r="P64" i="89"/>
  <c r="L294" i="57"/>
  <c r="S294" i="57"/>
  <c r="W294" i="57"/>
  <c r="Z294" i="57"/>
  <c r="I294" i="57"/>
  <c r="Q294" i="57"/>
  <c r="X294" i="57"/>
  <c r="Y294" i="57"/>
  <c r="J294" i="57"/>
  <c r="AE294" i="57"/>
  <c r="M294" i="57"/>
  <c r="AD294" i="57"/>
  <c r="V294" i="57"/>
  <c r="N294" i="57"/>
  <c r="U294" i="57"/>
  <c r="AC294" i="57"/>
  <c r="P294" i="57"/>
  <c r="H294" i="57"/>
  <c r="G294" i="57"/>
  <c r="O294" i="57"/>
  <c r="AB294" i="57"/>
  <c r="R294" i="57"/>
  <c r="AA294" i="57"/>
  <c r="T294" i="57"/>
  <c r="K294" i="57"/>
  <c r="Z78" i="57"/>
  <c r="AB78" i="57"/>
  <c r="L78" i="57"/>
  <c r="Q78" i="57"/>
  <c r="AA78" i="57"/>
  <c r="S78" i="57"/>
  <c r="J78" i="57"/>
  <c r="P78" i="57"/>
  <c r="AE78" i="57"/>
  <c r="X78" i="57"/>
  <c r="Y78" i="57"/>
  <c r="V78" i="57"/>
  <c r="AC78" i="57"/>
  <c r="N78" i="57"/>
  <c r="I78" i="57"/>
  <c r="R78" i="57"/>
  <c r="G78" i="57"/>
  <c r="AD78" i="57"/>
  <c r="O78" i="57"/>
  <c r="K78" i="57"/>
  <c r="H78" i="57"/>
  <c r="M78" i="57"/>
  <c r="U78" i="57"/>
  <c r="T78" i="57"/>
  <c r="W78" i="57"/>
  <c r="M5" i="74"/>
  <c r="M9" i="74"/>
  <c r="M10" i="74"/>
  <c r="N3" i="74"/>
  <c r="M11" i="74"/>
  <c r="M8" i="74"/>
  <c r="D186" i="57"/>
  <c r="D42" i="57"/>
  <c r="D330" i="57"/>
  <c r="D258" i="57"/>
  <c r="D294" i="57"/>
  <c r="D78" i="57"/>
  <c r="D150" i="57"/>
  <c r="D222" i="57"/>
  <c r="D114" i="57"/>
  <c r="BK8" i="75"/>
  <c r="BK9" i="75" s="1"/>
  <c r="BL7" i="75"/>
  <c r="A123" i="57"/>
  <c r="C122" i="57"/>
  <c r="D122" i="57"/>
  <c r="E122" i="57"/>
  <c r="F122" i="57"/>
  <c r="G122" i="57"/>
  <c r="A159" i="57"/>
  <c r="C158" i="57"/>
  <c r="D158" i="57"/>
  <c r="E158" i="57"/>
  <c r="F158" i="57"/>
  <c r="G158" i="57"/>
  <c r="A87" i="57"/>
  <c r="C86" i="57"/>
  <c r="D86" i="57"/>
  <c r="E86" i="57"/>
  <c r="F86" i="57"/>
  <c r="G86" i="57"/>
  <c r="A51" i="57"/>
  <c r="C50" i="57"/>
  <c r="D50" i="57"/>
  <c r="E50" i="57"/>
  <c r="F50" i="57"/>
  <c r="G50" i="57"/>
  <c r="A195" i="57"/>
  <c r="C194" i="57"/>
  <c r="D194" i="57"/>
  <c r="E194" i="57"/>
  <c r="F194" i="57"/>
  <c r="G194" i="57"/>
  <c r="J160" i="47"/>
  <c r="J33" i="60" s="1"/>
  <c r="O63" i="20"/>
  <c r="N68" i="20"/>
  <c r="D15" i="47"/>
  <c r="I83" i="72"/>
  <c r="AG83" i="72"/>
  <c r="X83" i="72"/>
  <c r="AA83" i="72"/>
  <c r="AC83" i="72"/>
  <c r="N83" i="72"/>
  <c r="H83" i="72"/>
  <c r="AK79" i="72"/>
  <c r="Q83" i="72"/>
  <c r="AH83" i="72"/>
  <c r="AE83" i="72"/>
  <c r="AK76" i="72"/>
  <c r="AK82" i="72"/>
  <c r="AF83" i="72"/>
  <c r="Y83" i="72"/>
  <c r="J83" i="72"/>
  <c r="L83" i="72"/>
  <c r="T83" i="72"/>
  <c r="AB83" i="72"/>
  <c r="Z83" i="72"/>
  <c r="V83" i="72"/>
  <c r="AK81" i="72"/>
  <c r="K40" i="20"/>
  <c r="J41" i="20"/>
  <c r="J42" i="20" s="1"/>
  <c r="J50" i="20"/>
  <c r="A20" i="57"/>
  <c r="C19" i="57"/>
  <c r="D19" i="57"/>
  <c r="E19" i="57"/>
  <c r="F19" i="57"/>
  <c r="G19" i="57"/>
  <c r="H19" i="57"/>
  <c r="A92" i="80"/>
  <c r="A205" i="80"/>
  <c r="K2" i="57"/>
  <c r="J18" i="57"/>
  <c r="J17" i="57"/>
  <c r="J19" i="57"/>
  <c r="J20" i="57"/>
  <c r="A410" i="80"/>
  <c r="A17" i="80"/>
  <c r="A243" i="80"/>
  <c r="A357" i="80" s="1"/>
  <c r="A130" i="80"/>
  <c r="AJ20" i="72"/>
  <c r="AJ83" i="72"/>
  <c r="R83" i="72"/>
  <c r="AK75" i="72"/>
  <c r="AK74" i="72"/>
  <c r="O83" i="72"/>
  <c r="W83" i="72"/>
  <c r="I28" i="60"/>
  <c r="I44" i="60" s="1"/>
  <c r="A280" i="80"/>
  <c r="A167" i="80"/>
  <c r="AI83" i="72"/>
  <c r="AD83" i="72"/>
  <c r="AK80" i="72"/>
  <c r="U83" i="72"/>
  <c r="AK77" i="72"/>
  <c r="P83" i="72"/>
  <c r="K83" i="72"/>
  <c r="S83" i="72"/>
  <c r="AK78" i="72"/>
  <c r="M83" i="72"/>
  <c r="AK73" i="72"/>
  <c r="G83" i="72"/>
  <c r="M5" i="75"/>
  <c r="I276" i="80"/>
  <c r="I162" i="80"/>
  <c r="I124" i="80"/>
  <c r="I238" i="80"/>
  <c r="I314" i="80"/>
  <c r="I86" i="80"/>
  <c r="I48" i="80"/>
  <c r="I10" i="80"/>
  <c r="I352" i="80"/>
  <c r="I200" i="80"/>
  <c r="J2" i="80"/>
  <c r="L4" i="47"/>
  <c r="K35" i="47"/>
  <c r="K49" i="47" s="1"/>
  <c r="K159" i="47"/>
  <c r="K40" i="60" s="1"/>
  <c r="K27" i="47"/>
  <c r="K28" i="47"/>
  <c r="J4" i="60"/>
  <c r="W20" i="55"/>
  <c r="B21" i="55"/>
  <c r="BK45" i="75"/>
  <c r="BK30" i="75"/>
  <c r="BK27" i="75"/>
  <c r="BK14" i="75"/>
  <c r="BL23" i="75"/>
  <c r="BL65" i="75"/>
  <c r="BL18" i="75"/>
  <c r="BL13" i="75"/>
  <c r="BM5" i="75"/>
  <c r="N7" i="75"/>
  <c r="O7" i="75" s="1"/>
  <c r="M8" i="75"/>
  <c r="M9" i="75" s="1"/>
  <c r="BH35" i="75" l="1"/>
  <c r="BH36" i="75" s="1"/>
  <c r="BI29" i="75"/>
  <c r="BJ16" i="75"/>
  <c r="BI17" i="75"/>
  <c r="BI43" i="75" s="1"/>
  <c r="BI47" i="75"/>
  <c r="BJ19" i="75"/>
  <c r="BI31" i="75"/>
  <c r="BJ39" i="75"/>
  <c r="BK12" i="75"/>
  <c r="BJ26" i="75"/>
  <c r="BJ20" i="75"/>
  <c r="BI32" i="75"/>
  <c r="BI49" i="75"/>
  <c r="BJ15" i="75"/>
  <c r="BI28" i="75"/>
  <c r="BI41" i="75"/>
  <c r="BK40" i="75"/>
  <c r="AD54" i="89"/>
  <c r="AD69" i="89" s="1"/>
  <c r="AE39" i="89"/>
  <c r="AD44" i="89"/>
  <c r="AQ39" i="89"/>
  <c r="AP44" i="89"/>
  <c r="H196" i="80"/>
  <c r="H206" i="80" s="1"/>
  <c r="AX57" i="89"/>
  <c r="AX72" i="89" s="1"/>
  <c r="AX74" i="89" s="1"/>
  <c r="A232" i="57"/>
  <c r="B232" i="57" s="1"/>
  <c r="F231" i="57"/>
  <c r="G231" i="57"/>
  <c r="C231" i="57"/>
  <c r="E231" i="57"/>
  <c r="H231" i="57"/>
  <c r="D231" i="57"/>
  <c r="A304" i="57"/>
  <c r="B304" i="57" s="1"/>
  <c r="E303" i="57"/>
  <c r="C303" i="57"/>
  <c r="G303" i="57"/>
  <c r="H303" i="57"/>
  <c r="F303" i="57"/>
  <c r="D303" i="57"/>
  <c r="A268" i="57"/>
  <c r="B268" i="57" s="1"/>
  <c r="E267" i="57"/>
  <c r="C267" i="57"/>
  <c r="G267" i="57"/>
  <c r="H267" i="57"/>
  <c r="F267" i="57"/>
  <c r="D267" i="57"/>
  <c r="H158" i="80"/>
  <c r="Q168" i="80" s="1"/>
  <c r="H272" i="80"/>
  <c r="Q282" i="80" s="1"/>
  <c r="N6" i="74"/>
  <c r="B120" i="20"/>
  <c r="C119" i="20"/>
  <c r="B338" i="57"/>
  <c r="H348" i="80"/>
  <c r="L358" i="80" s="1"/>
  <c r="B337" i="57"/>
  <c r="G348" i="80"/>
  <c r="Y357" i="80" s="1"/>
  <c r="J310" i="80"/>
  <c r="G310" i="80"/>
  <c r="Q319" i="80" s="1"/>
  <c r="B301" i="57"/>
  <c r="H310" i="80"/>
  <c r="J320" i="80" s="1"/>
  <c r="B302" i="57"/>
  <c r="D310" i="80"/>
  <c r="AD316" i="80" s="1"/>
  <c r="B298" i="57"/>
  <c r="AA310" i="80"/>
  <c r="P310" i="80"/>
  <c r="W310" i="80"/>
  <c r="R310" i="80"/>
  <c r="AC310" i="80"/>
  <c r="AD310" i="80"/>
  <c r="S310" i="80"/>
  <c r="AB310" i="80"/>
  <c r="M310" i="80"/>
  <c r="L310" i="80"/>
  <c r="P348" i="80"/>
  <c r="B346" i="57"/>
  <c r="L348" i="80"/>
  <c r="B342" i="57"/>
  <c r="O348" i="80"/>
  <c r="B345" i="57"/>
  <c r="Z348" i="80"/>
  <c r="B356" i="57"/>
  <c r="M348" i="80"/>
  <c r="B343" i="57"/>
  <c r="N348" i="80"/>
  <c r="B344" i="57"/>
  <c r="S348" i="80"/>
  <c r="B349" i="57"/>
  <c r="AA348" i="80"/>
  <c r="B357" i="57"/>
  <c r="Q348" i="80"/>
  <c r="B347" i="57"/>
  <c r="AD348" i="80"/>
  <c r="B360" i="57"/>
  <c r="X348" i="80"/>
  <c r="B354" i="57"/>
  <c r="R348" i="80"/>
  <c r="B348" i="57"/>
  <c r="D348" i="80"/>
  <c r="V354" i="80" s="1"/>
  <c r="B334" i="57"/>
  <c r="K310" i="80"/>
  <c r="U310" i="80"/>
  <c r="Y310" i="80"/>
  <c r="I310" i="80"/>
  <c r="N321" i="80" s="1"/>
  <c r="B303" i="57"/>
  <c r="T310" i="80"/>
  <c r="O310" i="80"/>
  <c r="N310" i="80"/>
  <c r="AE310" i="80"/>
  <c r="X310" i="80"/>
  <c r="Z310" i="80"/>
  <c r="V310" i="80"/>
  <c r="Q310" i="80"/>
  <c r="Y348" i="80"/>
  <c r="B355" i="57"/>
  <c r="K348" i="80"/>
  <c r="B341" i="57"/>
  <c r="W348" i="80"/>
  <c r="B353" i="57"/>
  <c r="AB348" i="80"/>
  <c r="B358" i="57"/>
  <c r="AC348" i="80"/>
  <c r="B359" i="57"/>
  <c r="J348" i="80"/>
  <c r="B340" i="57"/>
  <c r="AE348" i="80"/>
  <c r="B361" i="57"/>
  <c r="I348" i="80"/>
  <c r="J359" i="80" s="1"/>
  <c r="B339" i="57"/>
  <c r="V348" i="80"/>
  <c r="B352" i="57"/>
  <c r="U348" i="80"/>
  <c r="B351" i="57"/>
  <c r="T348" i="80"/>
  <c r="B350" i="57"/>
  <c r="G272" i="80"/>
  <c r="AB281" i="80" s="1"/>
  <c r="W82" i="80"/>
  <c r="O82" i="80"/>
  <c r="AC82" i="80"/>
  <c r="J82" i="80"/>
  <c r="Z82" i="80"/>
  <c r="L44" i="80"/>
  <c r="R44" i="80"/>
  <c r="P44" i="80"/>
  <c r="Q44" i="80"/>
  <c r="X44" i="80"/>
  <c r="N120" i="80"/>
  <c r="AC120" i="80"/>
  <c r="V120" i="80"/>
  <c r="AB120" i="80"/>
  <c r="AA120" i="80"/>
  <c r="I120" i="80"/>
  <c r="T131" i="80" s="1"/>
  <c r="B123" i="57"/>
  <c r="L158" i="80"/>
  <c r="V158" i="80"/>
  <c r="X158" i="80"/>
  <c r="M158" i="80"/>
  <c r="K158" i="80"/>
  <c r="N196" i="80"/>
  <c r="T196" i="80"/>
  <c r="M196" i="80"/>
  <c r="U196" i="80"/>
  <c r="S234" i="80"/>
  <c r="J234" i="80"/>
  <c r="I234" i="80"/>
  <c r="S245" i="80" s="1"/>
  <c r="B231" i="57"/>
  <c r="R272" i="80"/>
  <c r="J272" i="80"/>
  <c r="L272" i="80"/>
  <c r="S272" i="80"/>
  <c r="Z272" i="80"/>
  <c r="N272" i="80"/>
  <c r="V272" i="80"/>
  <c r="AB272" i="80"/>
  <c r="K272" i="80"/>
  <c r="G120" i="80"/>
  <c r="AC129" i="80" s="1"/>
  <c r="G196" i="80"/>
  <c r="AB205" i="80" s="1"/>
  <c r="I272" i="80"/>
  <c r="I283" i="80" s="1"/>
  <c r="D234" i="80"/>
  <c r="AD240" i="80" s="1"/>
  <c r="B226" i="57"/>
  <c r="D272" i="80"/>
  <c r="O278" i="80" s="1"/>
  <c r="B262" i="57"/>
  <c r="D120" i="80"/>
  <c r="H126" i="80" s="1"/>
  <c r="B118" i="57"/>
  <c r="U82" i="80"/>
  <c r="G82" i="80"/>
  <c r="M91" i="80" s="1"/>
  <c r="B85" i="57"/>
  <c r="Y82" i="80"/>
  <c r="AA82" i="80"/>
  <c r="H44" i="80"/>
  <c r="J54" i="80" s="1"/>
  <c r="B50" i="57"/>
  <c r="K44" i="80"/>
  <c r="G44" i="80"/>
  <c r="N53" i="80" s="1"/>
  <c r="B49" i="57"/>
  <c r="P158" i="80"/>
  <c r="AD158" i="80"/>
  <c r="U158" i="80"/>
  <c r="AE158" i="80"/>
  <c r="J158" i="80"/>
  <c r="Q196" i="80"/>
  <c r="W196" i="80"/>
  <c r="I196" i="80"/>
  <c r="U207" i="80" s="1"/>
  <c r="B195" i="57"/>
  <c r="V196" i="80"/>
  <c r="S196" i="80"/>
  <c r="P196" i="80"/>
  <c r="L234" i="80"/>
  <c r="M234" i="80"/>
  <c r="U234" i="80"/>
  <c r="R234" i="80"/>
  <c r="AA234" i="80"/>
  <c r="P234" i="80"/>
  <c r="G234" i="80"/>
  <c r="M243" i="80" s="1"/>
  <c r="M82" i="80"/>
  <c r="K82" i="80"/>
  <c r="R82" i="80"/>
  <c r="N82" i="80"/>
  <c r="V82" i="80"/>
  <c r="P82" i="80"/>
  <c r="S82" i="80"/>
  <c r="Q82" i="80"/>
  <c r="AB82" i="80"/>
  <c r="U44" i="80"/>
  <c r="M44" i="80"/>
  <c r="V44" i="80"/>
  <c r="S44" i="80"/>
  <c r="Z44" i="80"/>
  <c r="AB44" i="80"/>
  <c r="N44" i="80"/>
  <c r="O44" i="80"/>
  <c r="AC44" i="80"/>
  <c r="Y44" i="80"/>
  <c r="I44" i="80"/>
  <c r="AB55" i="80" s="1"/>
  <c r="B51" i="57"/>
  <c r="AD44" i="80"/>
  <c r="J44" i="80"/>
  <c r="W120" i="80"/>
  <c r="L120" i="80"/>
  <c r="U120" i="80"/>
  <c r="AE120" i="80"/>
  <c r="P120" i="80"/>
  <c r="M120" i="80"/>
  <c r="Z120" i="80"/>
  <c r="Q120" i="80"/>
  <c r="S120" i="80"/>
  <c r="J120" i="80"/>
  <c r="R120" i="80"/>
  <c r="K120" i="80"/>
  <c r="N158" i="80"/>
  <c r="AC158" i="80"/>
  <c r="AA158" i="80"/>
  <c r="Y158" i="80"/>
  <c r="Q158" i="80"/>
  <c r="R158" i="80"/>
  <c r="S158" i="80"/>
  <c r="I158" i="80"/>
  <c r="M169" i="80" s="1"/>
  <c r="B159" i="57"/>
  <c r="AB158" i="80"/>
  <c r="O158" i="80"/>
  <c r="Z158" i="80"/>
  <c r="T158" i="80"/>
  <c r="X196" i="80"/>
  <c r="Z196" i="80"/>
  <c r="Y196" i="80"/>
  <c r="R196" i="80"/>
  <c r="AA196" i="80"/>
  <c r="AD196" i="80"/>
  <c r="O196" i="80"/>
  <c r="J196" i="80"/>
  <c r="AB196" i="80"/>
  <c r="AC196" i="80"/>
  <c r="AE196" i="80"/>
  <c r="K234" i="80"/>
  <c r="Z234" i="80"/>
  <c r="X234" i="80"/>
  <c r="T234" i="80"/>
  <c r="N234" i="80"/>
  <c r="AC234" i="80"/>
  <c r="AB234" i="80"/>
  <c r="V234" i="80"/>
  <c r="W234" i="80"/>
  <c r="O234" i="80"/>
  <c r="AD234" i="80"/>
  <c r="Q234" i="80"/>
  <c r="AE234" i="80"/>
  <c r="Y272" i="80"/>
  <c r="T272" i="80"/>
  <c r="O272" i="80"/>
  <c r="M272" i="80"/>
  <c r="AE272" i="80"/>
  <c r="P272" i="80"/>
  <c r="Q272" i="80"/>
  <c r="U272" i="80"/>
  <c r="X272" i="80"/>
  <c r="AC272" i="80"/>
  <c r="W272" i="80"/>
  <c r="AA272" i="80"/>
  <c r="D196" i="80"/>
  <c r="P202" i="80" s="1"/>
  <c r="B190" i="57"/>
  <c r="H82" i="80"/>
  <c r="AF92" i="80" s="1"/>
  <c r="B86" i="57"/>
  <c r="I82" i="80"/>
  <c r="K93" i="80" s="1"/>
  <c r="B87" i="57"/>
  <c r="AE82" i="80"/>
  <c r="L82" i="80"/>
  <c r="AA44" i="80"/>
  <c r="W44" i="80"/>
  <c r="T44" i="80"/>
  <c r="AE44" i="80"/>
  <c r="H120" i="80"/>
  <c r="N130" i="80" s="1"/>
  <c r="B122" i="57"/>
  <c r="Y120" i="80"/>
  <c r="AD120" i="80"/>
  <c r="O120" i="80"/>
  <c r="X120" i="80"/>
  <c r="T120" i="80"/>
  <c r="W158" i="80"/>
  <c r="G158" i="80"/>
  <c r="J167" i="80" s="1"/>
  <c r="B157" i="57"/>
  <c r="L196" i="80"/>
  <c r="K196" i="80"/>
  <c r="Y234" i="80"/>
  <c r="H234" i="80"/>
  <c r="AE244" i="80" s="1"/>
  <c r="D158" i="80"/>
  <c r="L164" i="80" s="1"/>
  <c r="B154" i="57"/>
  <c r="T82" i="80"/>
  <c r="AD82" i="80"/>
  <c r="X82" i="80"/>
  <c r="D82" i="80"/>
  <c r="H88" i="80" s="1"/>
  <c r="B82" i="57"/>
  <c r="D44" i="80"/>
  <c r="V50" i="80" s="1"/>
  <c r="B46" i="57"/>
  <c r="AD272" i="80"/>
  <c r="P74" i="89"/>
  <c r="Q49" i="89"/>
  <c r="N8" i="74"/>
  <c r="N9" i="74"/>
  <c r="N11" i="74"/>
  <c r="O3" i="74"/>
  <c r="N10" i="74"/>
  <c r="N5" i="74"/>
  <c r="P7" i="75"/>
  <c r="O8" i="75"/>
  <c r="O9" i="75" s="1"/>
  <c r="BM7" i="75"/>
  <c r="BM8" i="75" s="1"/>
  <c r="BM9" i="75" s="1"/>
  <c r="BL8" i="75"/>
  <c r="BL9" i="75" s="1"/>
  <c r="A124" i="57"/>
  <c r="B124" i="57" s="1"/>
  <c r="C123" i="57"/>
  <c r="D123" i="57"/>
  <c r="E123" i="57"/>
  <c r="F123" i="57"/>
  <c r="G123" i="57"/>
  <c r="H123" i="57"/>
  <c r="A52" i="57"/>
  <c r="B52" i="57" s="1"/>
  <c r="D51" i="57"/>
  <c r="C51" i="57"/>
  <c r="E51" i="57"/>
  <c r="F51" i="57"/>
  <c r="G51" i="57"/>
  <c r="H51" i="57"/>
  <c r="A196" i="57"/>
  <c r="B196" i="57" s="1"/>
  <c r="C195" i="57"/>
  <c r="D195" i="57"/>
  <c r="E195" i="57"/>
  <c r="F195" i="57"/>
  <c r="G195" i="57"/>
  <c r="H195" i="57"/>
  <c r="A88" i="57"/>
  <c r="B88" i="57" s="1"/>
  <c r="C87" i="57"/>
  <c r="D87" i="57"/>
  <c r="E87" i="57"/>
  <c r="F87" i="57"/>
  <c r="G87" i="57"/>
  <c r="H87" i="57"/>
  <c r="A160" i="57"/>
  <c r="B160" i="57" s="1"/>
  <c r="C159" i="57"/>
  <c r="D159" i="57"/>
  <c r="E159" i="57"/>
  <c r="F159" i="57"/>
  <c r="G159" i="57"/>
  <c r="H159" i="57"/>
  <c r="T320" i="80"/>
  <c r="H320" i="80"/>
  <c r="V320" i="80"/>
  <c r="R320" i="80"/>
  <c r="O320" i="80"/>
  <c r="I320" i="80"/>
  <c r="M320" i="80"/>
  <c r="S320" i="80"/>
  <c r="AB320" i="80"/>
  <c r="AA320" i="80"/>
  <c r="W320" i="80"/>
  <c r="AC320" i="80"/>
  <c r="U320" i="80"/>
  <c r="P320" i="80"/>
  <c r="L320" i="80"/>
  <c r="Z320" i="80"/>
  <c r="Q320" i="80"/>
  <c r="X320" i="80"/>
  <c r="Y320" i="80"/>
  <c r="N320" i="80"/>
  <c r="K320" i="80"/>
  <c r="AE320" i="80"/>
  <c r="AD320" i="80"/>
  <c r="AF320" i="80"/>
  <c r="D80" i="47"/>
  <c r="N14" i="55"/>
  <c r="D6" i="60"/>
  <c r="E15" i="47"/>
  <c r="O68" i="20"/>
  <c r="A93" i="80"/>
  <c r="A206" i="80"/>
  <c r="A168" i="80"/>
  <c r="A281" i="80"/>
  <c r="J28" i="60"/>
  <c r="J44" i="60" s="1"/>
  <c r="R6" i="57"/>
  <c r="V30" i="72"/>
  <c r="R84" i="47" s="1"/>
  <c r="X6" i="57"/>
  <c r="AB30" i="72"/>
  <c r="X84" i="47" s="1"/>
  <c r="T6" i="57"/>
  <c r="X30" i="72"/>
  <c r="T84" i="47" s="1"/>
  <c r="AE30" i="72"/>
  <c r="AA84" i="47" s="1"/>
  <c r="AA6" i="57"/>
  <c r="N6" i="57"/>
  <c r="B20" i="57" s="1"/>
  <c r="R30" i="72"/>
  <c r="N84" i="47" s="1"/>
  <c r="D6" i="57"/>
  <c r="B10" i="57" s="1"/>
  <c r="AK83" i="72"/>
  <c r="C186" i="57"/>
  <c r="B189" i="57" s="1"/>
  <c r="AK25" i="72"/>
  <c r="G38" i="72"/>
  <c r="G6" i="57"/>
  <c r="B13" i="57" s="1"/>
  <c r="K30" i="72"/>
  <c r="G84" i="47" s="1"/>
  <c r="L6" i="57"/>
  <c r="B18" i="57" s="1"/>
  <c r="P30" i="72"/>
  <c r="L84" i="47" s="1"/>
  <c r="U30" i="72"/>
  <c r="Q84" i="47" s="1"/>
  <c r="Q6" i="57"/>
  <c r="Z6" i="57"/>
  <c r="AD30" i="72"/>
  <c r="Z84" i="47" s="1"/>
  <c r="O30" i="72"/>
  <c r="K84" i="47" s="1"/>
  <c r="K6" i="57"/>
  <c r="B17" i="57" s="1"/>
  <c r="G34" i="72"/>
  <c r="AK21" i="72"/>
  <c r="F42" i="57" s="1"/>
  <c r="A18" i="80"/>
  <c r="A411" i="80"/>
  <c r="Z30" i="72"/>
  <c r="V84" i="47" s="1"/>
  <c r="V6" i="57"/>
  <c r="T30" i="72"/>
  <c r="P84" i="47" s="1"/>
  <c r="P6" i="57"/>
  <c r="H6" i="57"/>
  <c r="B14" i="57" s="1"/>
  <c r="L30" i="72"/>
  <c r="H84" i="47" s="1"/>
  <c r="AB6" i="57"/>
  <c r="AF30" i="72"/>
  <c r="AB84" i="47" s="1"/>
  <c r="G36" i="72"/>
  <c r="AK23" i="72"/>
  <c r="C114" i="57"/>
  <c r="B117" i="57" s="1"/>
  <c r="AK26" i="72"/>
  <c r="C222" i="57"/>
  <c r="B225" i="57" s="1"/>
  <c r="G39" i="72"/>
  <c r="C78" i="57"/>
  <c r="B81" i="57" s="1"/>
  <c r="G35" i="72"/>
  <c r="AK22" i="72"/>
  <c r="AJ30" i="72"/>
  <c r="AF84" i="47" s="1"/>
  <c r="AF6" i="57"/>
  <c r="L2" i="57"/>
  <c r="K21" i="57"/>
  <c r="K19" i="57"/>
  <c r="K20" i="57"/>
  <c r="K18" i="57"/>
  <c r="K50" i="20"/>
  <c r="L40" i="20"/>
  <c r="K41" i="20"/>
  <c r="K42" i="20" s="1"/>
  <c r="AK28" i="72"/>
  <c r="C294" i="57"/>
  <c r="B297" i="57" s="1"/>
  <c r="G41" i="72"/>
  <c r="AD6" i="57"/>
  <c r="AH30" i="72"/>
  <c r="AD84" i="47" s="1"/>
  <c r="N30" i="72"/>
  <c r="J84" i="47" s="1"/>
  <c r="J6" i="57"/>
  <c r="B16" i="57" s="1"/>
  <c r="AC30" i="72"/>
  <c r="Y84" i="47" s="1"/>
  <c r="Y6" i="57"/>
  <c r="I6" i="57"/>
  <c r="B15" i="57" s="1"/>
  <c r="M30" i="72"/>
  <c r="I84" i="47" s="1"/>
  <c r="S30" i="72"/>
  <c r="O84" i="47" s="1"/>
  <c r="O6" i="57"/>
  <c r="G37" i="72"/>
  <c r="C150" i="57"/>
  <c r="B153" i="57" s="1"/>
  <c r="G40" i="72"/>
  <c r="AE6" i="57"/>
  <c r="AI30" i="72"/>
  <c r="AE84" i="47" s="1"/>
  <c r="W30" i="72"/>
  <c r="S84" i="47" s="1"/>
  <c r="S6" i="57"/>
  <c r="A244" i="80"/>
  <c r="A358" i="80" s="1"/>
  <c r="A131" i="80"/>
  <c r="A21" i="57"/>
  <c r="C20" i="57"/>
  <c r="D20" i="57"/>
  <c r="E20" i="57"/>
  <c r="F20" i="57"/>
  <c r="G20" i="57"/>
  <c r="H20" i="57"/>
  <c r="I20" i="57"/>
  <c r="U6" i="57"/>
  <c r="Y30" i="72"/>
  <c r="U84" i="47" s="1"/>
  <c r="G42" i="72"/>
  <c r="AK29" i="72"/>
  <c r="C330" i="57"/>
  <c r="B333" i="57" s="1"/>
  <c r="M6" i="57"/>
  <c r="B19" i="57" s="1"/>
  <c r="Q30" i="72"/>
  <c r="M84" i="47" s="1"/>
  <c r="AA30" i="72"/>
  <c r="W84" i="47" s="1"/>
  <c r="W6" i="57"/>
  <c r="AC6" i="57"/>
  <c r="AG30" i="72"/>
  <c r="AC84" i="47" s="1"/>
  <c r="K4" i="60"/>
  <c r="K160" i="47"/>
  <c r="K33" i="60" s="1"/>
  <c r="J10" i="80"/>
  <c r="J352" i="80"/>
  <c r="J200" i="80"/>
  <c r="J48" i="80"/>
  <c r="J276" i="80"/>
  <c r="J162" i="80"/>
  <c r="J124" i="80"/>
  <c r="K2" i="80"/>
  <c r="J86" i="80"/>
  <c r="J238" i="80"/>
  <c r="J314" i="80"/>
  <c r="N5" i="75"/>
  <c r="L35" i="47"/>
  <c r="L49" i="47" s="1"/>
  <c r="M4" i="47"/>
  <c r="L159" i="47"/>
  <c r="L40" i="60" s="1"/>
  <c r="L28" i="47"/>
  <c r="X20" i="55"/>
  <c r="W21" i="55"/>
  <c r="X21" i="55" s="1"/>
  <c r="B22" i="55"/>
  <c r="BL30" i="75"/>
  <c r="BL45" i="75"/>
  <c r="N8" i="75"/>
  <c r="BM18" i="75"/>
  <c r="BM23" i="75"/>
  <c r="BM65" i="75"/>
  <c r="BM13" i="75"/>
  <c r="BL14" i="75"/>
  <c r="BL27" i="75"/>
  <c r="O5" i="75" l="1"/>
  <c r="BI35" i="75"/>
  <c r="BI36" i="75" s="1"/>
  <c r="BJ17" i="75"/>
  <c r="BJ43" i="75" s="1"/>
  <c r="BJ29" i="75"/>
  <c r="BK16" i="75"/>
  <c r="BK20" i="75"/>
  <c r="BJ49" i="75"/>
  <c r="BJ32" i="75"/>
  <c r="BL12" i="75"/>
  <c r="BK39" i="75"/>
  <c r="BK26" i="75"/>
  <c r="BK15" i="75"/>
  <c r="BJ41" i="75"/>
  <c r="BJ28" i="75"/>
  <c r="BJ31" i="75"/>
  <c r="BJ47" i="75"/>
  <c r="BK19" i="75"/>
  <c r="BL40" i="75"/>
  <c r="AE44" i="89"/>
  <c r="AE45" i="89" s="1"/>
  <c r="AE54" i="89"/>
  <c r="AE69" i="89" s="1"/>
  <c r="AQ44" i="89"/>
  <c r="AQ45" i="89" s="1"/>
  <c r="I30" i="89" s="1"/>
  <c r="BD39" i="89"/>
  <c r="R357" i="80"/>
  <c r="K357" i="80"/>
  <c r="H357" i="80"/>
  <c r="G357" i="80"/>
  <c r="O168" i="80"/>
  <c r="AB168" i="80"/>
  <c r="V168" i="80"/>
  <c r="S168" i="80"/>
  <c r="AC168" i="80"/>
  <c r="BA57" i="89"/>
  <c r="BC57" i="89"/>
  <c r="AZ57" i="89"/>
  <c r="AY57" i="89"/>
  <c r="K87" i="89"/>
  <c r="BD72" i="89"/>
  <c r="BB57" i="89"/>
  <c r="K358" i="80"/>
  <c r="AC359" i="80"/>
  <c r="X321" i="80"/>
  <c r="Z359" i="80"/>
  <c r="R167" i="80"/>
  <c r="Z206" i="80"/>
  <c r="N359" i="80"/>
  <c r="Q359" i="80"/>
  <c r="AE321" i="80"/>
  <c r="X359" i="80"/>
  <c r="O359" i="80"/>
  <c r="J321" i="80"/>
  <c r="M321" i="80"/>
  <c r="AE359" i="80"/>
  <c r="K359" i="80"/>
  <c r="Y359" i="80"/>
  <c r="AF359" i="80"/>
  <c r="U359" i="80"/>
  <c r="T359" i="80"/>
  <c r="L359" i="80"/>
  <c r="S359" i="80"/>
  <c r="W321" i="80"/>
  <c r="P359" i="80"/>
  <c r="AB359" i="80"/>
  <c r="I359" i="80"/>
  <c r="AA359" i="80"/>
  <c r="Q321" i="80"/>
  <c r="AF206" i="80"/>
  <c r="S206" i="80"/>
  <c r="V206" i="80"/>
  <c r="Y206" i="80"/>
  <c r="X206" i="80"/>
  <c r="AE206" i="80"/>
  <c r="N206" i="80"/>
  <c r="O206" i="80"/>
  <c r="J206" i="80"/>
  <c r="L206" i="80"/>
  <c r="M168" i="80"/>
  <c r="U206" i="80"/>
  <c r="R321" i="80"/>
  <c r="AA321" i="80"/>
  <c r="AD321" i="80"/>
  <c r="Z321" i="80"/>
  <c r="O321" i="80"/>
  <c r="AB321" i="80"/>
  <c r="L321" i="80"/>
  <c r="I321" i="80"/>
  <c r="Y321" i="80"/>
  <c r="AC321" i="80"/>
  <c r="V321" i="80"/>
  <c r="S321" i="80"/>
  <c r="T321" i="80"/>
  <c r="AF321" i="80"/>
  <c r="U321" i="80"/>
  <c r="K321" i="80"/>
  <c r="P321" i="80"/>
  <c r="J322" i="80"/>
  <c r="N319" i="80"/>
  <c r="AC316" i="80"/>
  <c r="H316" i="80"/>
  <c r="S319" i="80"/>
  <c r="J319" i="80"/>
  <c r="Q316" i="80"/>
  <c r="Z316" i="80"/>
  <c r="Y319" i="80"/>
  <c r="V319" i="80"/>
  <c r="J316" i="80"/>
  <c r="D316" i="80"/>
  <c r="AD319" i="80"/>
  <c r="O319" i="80"/>
  <c r="AF316" i="80"/>
  <c r="K319" i="80"/>
  <c r="M319" i="80"/>
  <c r="S316" i="80"/>
  <c r="AC319" i="80"/>
  <c r="AF319" i="80"/>
  <c r="L319" i="80"/>
  <c r="I319" i="80"/>
  <c r="Y316" i="80"/>
  <c r="V316" i="80"/>
  <c r="O316" i="80"/>
  <c r="X316" i="80"/>
  <c r="AA316" i="80"/>
  <c r="U319" i="80"/>
  <c r="Z319" i="80"/>
  <c r="X319" i="80"/>
  <c r="AE319" i="80"/>
  <c r="AA319" i="80"/>
  <c r="P319" i="80"/>
  <c r="AB316" i="80"/>
  <c r="T316" i="80"/>
  <c r="I316" i="80"/>
  <c r="N316" i="80"/>
  <c r="L316" i="80"/>
  <c r="W316" i="80"/>
  <c r="R316" i="80"/>
  <c r="E316" i="80"/>
  <c r="H319" i="80"/>
  <c r="P316" i="80"/>
  <c r="W319" i="80"/>
  <c r="AB319" i="80"/>
  <c r="T319" i="80"/>
  <c r="G319" i="80"/>
  <c r="R319" i="80"/>
  <c r="M316" i="80"/>
  <c r="G316" i="80"/>
  <c r="AE316" i="80"/>
  <c r="K316" i="80"/>
  <c r="F316" i="80"/>
  <c r="U316" i="80"/>
  <c r="Y358" i="80"/>
  <c r="AE358" i="80"/>
  <c r="I354" i="80"/>
  <c r="W357" i="80"/>
  <c r="AD359" i="80"/>
  <c r="R359" i="80"/>
  <c r="V359" i="80"/>
  <c r="M359" i="80"/>
  <c r="W359" i="80"/>
  <c r="J360" i="80"/>
  <c r="X357" i="80"/>
  <c r="K354" i="80"/>
  <c r="AA354" i="80"/>
  <c r="T358" i="80"/>
  <c r="AD358" i="80"/>
  <c r="T354" i="80"/>
  <c r="U354" i="80"/>
  <c r="V358" i="80"/>
  <c r="E354" i="80"/>
  <c r="S354" i="80"/>
  <c r="H358" i="80"/>
  <c r="M354" i="80"/>
  <c r="D354" i="80"/>
  <c r="Q354" i="80"/>
  <c r="X354" i="80"/>
  <c r="AC354" i="80"/>
  <c r="G354" i="80"/>
  <c r="L354" i="80"/>
  <c r="AF358" i="80"/>
  <c r="AA358" i="80"/>
  <c r="S358" i="80"/>
  <c r="AB358" i="80"/>
  <c r="Q358" i="80"/>
  <c r="X358" i="80"/>
  <c r="P354" i="80"/>
  <c r="H354" i="80"/>
  <c r="N354" i="80"/>
  <c r="O354" i="80"/>
  <c r="AF354" i="80"/>
  <c r="W354" i="80"/>
  <c r="J354" i="80"/>
  <c r="AB354" i="80"/>
  <c r="I358" i="80"/>
  <c r="W358" i="80"/>
  <c r="P358" i="80"/>
  <c r="N358" i="80"/>
  <c r="O358" i="80"/>
  <c r="Z354" i="80"/>
  <c r="Y354" i="80"/>
  <c r="R354" i="80"/>
  <c r="F354" i="80"/>
  <c r="AE354" i="80"/>
  <c r="AD354" i="80"/>
  <c r="J358" i="80"/>
  <c r="U358" i="80"/>
  <c r="AC358" i="80"/>
  <c r="R358" i="80"/>
  <c r="Z358" i="80"/>
  <c r="M358" i="80"/>
  <c r="J93" i="80"/>
  <c r="W283" i="80"/>
  <c r="U281" i="80"/>
  <c r="S281" i="80"/>
  <c r="R281" i="80"/>
  <c r="X281" i="80"/>
  <c r="O281" i="80"/>
  <c r="I281" i="80"/>
  <c r="AA281" i="80"/>
  <c r="AF281" i="80"/>
  <c r="N281" i="80"/>
  <c r="K281" i="80"/>
  <c r="AA206" i="80"/>
  <c r="R206" i="80"/>
  <c r="AC206" i="80"/>
  <c r="P206" i="80"/>
  <c r="Q206" i="80"/>
  <c r="W206" i="80"/>
  <c r="J168" i="80"/>
  <c r="AE168" i="80"/>
  <c r="AA168" i="80"/>
  <c r="L281" i="80"/>
  <c r="J281" i="80"/>
  <c r="G281" i="80"/>
  <c r="T206" i="80"/>
  <c r="I206" i="80"/>
  <c r="K206" i="80"/>
  <c r="M206" i="80"/>
  <c r="AD206" i="80"/>
  <c r="AB206" i="80"/>
  <c r="X168" i="80"/>
  <c r="AD168" i="80"/>
  <c r="T168" i="80"/>
  <c r="X282" i="80"/>
  <c r="R244" i="80"/>
  <c r="AD282" i="80"/>
  <c r="H282" i="80"/>
  <c r="T282" i="80"/>
  <c r="AB282" i="80"/>
  <c r="AF282" i="80"/>
  <c r="AA202" i="80"/>
  <c r="L202" i="80"/>
  <c r="E202" i="80"/>
  <c r="S282" i="80"/>
  <c r="R282" i="80"/>
  <c r="Z282" i="80"/>
  <c r="K282" i="80"/>
  <c r="O282" i="80"/>
  <c r="V282" i="80"/>
  <c r="AA282" i="80"/>
  <c r="R283" i="80"/>
  <c r="V281" i="80"/>
  <c r="AE281" i="80"/>
  <c r="M281" i="80"/>
  <c r="H281" i="80"/>
  <c r="T281" i="80"/>
  <c r="AD281" i="80"/>
  <c r="D202" i="80"/>
  <c r="Q202" i="80"/>
  <c r="H168" i="80"/>
  <c r="K168" i="80"/>
  <c r="W168" i="80"/>
  <c r="N168" i="80"/>
  <c r="J282" i="80"/>
  <c r="AC282" i="80"/>
  <c r="AE282" i="80"/>
  <c r="Y282" i="80"/>
  <c r="U282" i="80"/>
  <c r="I282" i="80"/>
  <c r="I168" i="80"/>
  <c r="Z168" i="80"/>
  <c r="L282" i="80"/>
  <c r="N93" i="80"/>
  <c r="W281" i="80"/>
  <c r="P281" i="80"/>
  <c r="Y281" i="80"/>
  <c r="Q281" i="80"/>
  <c r="Z281" i="80"/>
  <c r="AC281" i="80"/>
  <c r="F202" i="80"/>
  <c r="W202" i="80"/>
  <c r="Q167" i="80"/>
  <c r="U168" i="80"/>
  <c r="AF168" i="80"/>
  <c r="R168" i="80"/>
  <c r="Y168" i="80"/>
  <c r="P168" i="80"/>
  <c r="P282" i="80"/>
  <c r="W282" i="80"/>
  <c r="M282" i="80"/>
  <c r="N282" i="80"/>
  <c r="L168" i="80"/>
  <c r="B21" i="57"/>
  <c r="A269" i="57"/>
  <c r="F268" i="57"/>
  <c r="G268" i="57"/>
  <c r="E268" i="57"/>
  <c r="H268" i="57"/>
  <c r="I268" i="57"/>
  <c r="C268" i="57"/>
  <c r="D268" i="57"/>
  <c r="A233" i="57"/>
  <c r="D232" i="57"/>
  <c r="I232" i="57"/>
  <c r="E232" i="57"/>
  <c r="F232" i="57"/>
  <c r="G232" i="57"/>
  <c r="C232" i="57"/>
  <c r="H232" i="57"/>
  <c r="A305" i="57"/>
  <c r="D304" i="57"/>
  <c r="I304" i="57"/>
  <c r="F304" i="57"/>
  <c r="H304" i="57"/>
  <c r="C304" i="57"/>
  <c r="G304" i="57"/>
  <c r="E304" i="57"/>
  <c r="AB167" i="80"/>
  <c r="G167" i="80"/>
  <c r="AF93" i="80"/>
  <c r="V283" i="80"/>
  <c r="O202" i="80"/>
  <c r="AF202" i="80"/>
  <c r="T202" i="80"/>
  <c r="X167" i="80"/>
  <c r="S93" i="80"/>
  <c r="AA93" i="80"/>
  <c r="O93" i="80"/>
  <c r="R202" i="80"/>
  <c r="U202" i="80"/>
  <c r="AD202" i="80"/>
  <c r="H202" i="80"/>
  <c r="S167" i="80"/>
  <c r="N243" i="80"/>
  <c r="AE93" i="80"/>
  <c r="M202" i="80"/>
  <c r="AE202" i="80"/>
  <c r="Y202" i="80"/>
  <c r="I202" i="80"/>
  <c r="X202" i="80"/>
  <c r="J202" i="80"/>
  <c r="U167" i="80"/>
  <c r="AD93" i="80"/>
  <c r="L93" i="80"/>
  <c r="AC202" i="80"/>
  <c r="P167" i="80"/>
  <c r="R93" i="80"/>
  <c r="I93" i="80"/>
  <c r="W93" i="80"/>
  <c r="V202" i="80"/>
  <c r="AB202" i="80"/>
  <c r="S202" i="80"/>
  <c r="N202" i="80"/>
  <c r="G202" i="80"/>
  <c r="K202" i="80"/>
  <c r="Z202" i="80"/>
  <c r="AC167" i="80"/>
  <c r="N167" i="80"/>
  <c r="AD167" i="80"/>
  <c r="T126" i="80"/>
  <c r="I167" i="80"/>
  <c r="M167" i="80"/>
  <c r="AE167" i="80"/>
  <c r="T167" i="80"/>
  <c r="AB244" i="80"/>
  <c r="J246" i="80"/>
  <c r="Z167" i="80"/>
  <c r="O167" i="80"/>
  <c r="Y167" i="80"/>
  <c r="W167" i="80"/>
  <c r="AA167" i="80"/>
  <c r="Q93" i="80"/>
  <c r="AC93" i="80"/>
  <c r="U93" i="80"/>
  <c r="AB93" i="80"/>
  <c r="V93" i="80"/>
  <c r="M93" i="80"/>
  <c r="Z93" i="80"/>
  <c r="T93" i="80"/>
  <c r="Y93" i="80"/>
  <c r="P93" i="80"/>
  <c r="X93" i="80"/>
  <c r="K283" i="80"/>
  <c r="AA283" i="80"/>
  <c r="M283" i="80"/>
  <c r="N283" i="80"/>
  <c r="O283" i="80"/>
  <c r="AD283" i="80"/>
  <c r="J283" i="80"/>
  <c r="S283" i="80"/>
  <c r="U283" i="80"/>
  <c r="X283" i="80"/>
  <c r="T283" i="80"/>
  <c r="AF283" i="80"/>
  <c r="AC283" i="80"/>
  <c r="AE283" i="80"/>
  <c r="L283" i="80"/>
  <c r="P283" i="80"/>
  <c r="Y283" i="80"/>
  <c r="Q283" i="80"/>
  <c r="Z283" i="80"/>
  <c r="AB283" i="80"/>
  <c r="I244" i="80"/>
  <c r="L244" i="80"/>
  <c r="M244" i="80"/>
  <c r="T244" i="80"/>
  <c r="W244" i="80"/>
  <c r="S244" i="80"/>
  <c r="AE91" i="80"/>
  <c r="I126" i="80"/>
  <c r="J170" i="80"/>
  <c r="O126" i="80"/>
  <c r="AD126" i="80"/>
  <c r="L126" i="80"/>
  <c r="N126" i="80"/>
  <c r="O240" i="80"/>
  <c r="AF126" i="80"/>
  <c r="U126" i="80"/>
  <c r="L91" i="80"/>
  <c r="AD91" i="80"/>
  <c r="P91" i="80"/>
  <c r="M240" i="80"/>
  <c r="E240" i="80"/>
  <c r="M54" i="80"/>
  <c r="H240" i="80"/>
  <c r="X240" i="80"/>
  <c r="S240" i="80"/>
  <c r="F240" i="80"/>
  <c r="U244" i="80"/>
  <c r="P244" i="80"/>
  <c r="Q244" i="80"/>
  <c r="H244" i="80"/>
  <c r="K244" i="80"/>
  <c r="N91" i="80"/>
  <c r="Z91" i="80"/>
  <c r="H91" i="80"/>
  <c r="T240" i="80"/>
  <c r="L240" i="80"/>
  <c r="D240" i="80"/>
  <c r="G126" i="80"/>
  <c r="AE126" i="80"/>
  <c r="Y126" i="80"/>
  <c r="U91" i="80"/>
  <c r="I91" i="80"/>
  <c r="O91" i="80"/>
  <c r="V240" i="80"/>
  <c r="N240" i="80"/>
  <c r="I240" i="80"/>
  <c r="U240" i="80"/>
  <c r="Q240" i="80"/>
  <c r="AF240" i="80"/>
  <c r="M126" i="80"/>
  <c r="X126" i="80"/>
  <c r="AC126" i="80"/>
  <c r="W126" i="80"/>
  <c r="Q126" i="80"/>
  <c r="K126" i="80"/>
  <c r="J91" i="80"/>
  <c r="X91" i="80"/>
  <c r="AC91" i="80"/>
  <c r="W91" i="80"/>
  <c r="Q91" i="80"/>
  <c r="O169" i="80"/>
  <c r="Y240" i="80"/>
  <c r="P240" i="80"/>
  <c r="R240" i="80"/>
  <c r="W240" i="80"/>
  <c r="AE240" i="80"/>
  <c r="AB240" i="80"/>
  <c r="V126" i="80"/>
  <c r="AA126" i="80"/>
  <c r="D126" i="80"/>
  <c r="R126" i="80"/>
  <c r="E126" i="80"/>
  <c r="Y91" i="80"/>
  <c r="R91" i="80"/>
  <c r="V91" i="80"/>
  <c r="G91" i="80"/>
  <c r="AB169" i="80"/>
  <c r="X55" i="80"/>
  <c r="I169" i="80"/>
  <c r="T55" i="80"/>
  <c r="J56" i="80"/>
  <c r="U53" i="80"/>
  <c r="S53" i="80"/>
  <c r="AB54" i="80"/>
  <c r="M55" i="80"/>
  <c r="N169" i="80"/>
  <c r="T245" i="80"/>
  <c r="Z169" i="80"/>
  <c r="AD55" i="80"/>
  <c r="J169" i="80"/>
  <c r="AA55" i="80"/>
  <c r="K55" i="80"/>
  <c r="T164" i="80"/>
  <c r="T207" i="80"/>
  <c r="Z205" i="80"/>
  <c r="Q205" i="80"/>
  <c r="C120" i="20"/>
  <c r="B121" i="20"/>
  <c r="O245" i="80"/>
  <c r="N245" i="80"/>
  <c r="J245" i="80"/>
  <c r="W245" i="80"/>
  <c r="AC240" i="80"/>
  <c r="G240" i="80"/>
  <c r="Z240" i="80"/>
  <c r="AA240" i="80"/>
  <c r="J240" i="80"/>
  <c r="K240" i="80"/>
  <c r="P126" i="80"/>
  <c r="Z126" i="80"/>
  <c r="F126" i="80"/>
  <c r="J126" i="80"/>
  <c r="AB126" i="80"/>
  <c r="S126" i="80"/>
  <c r="K91" i="80"/>
  <c r="AA91" i="80"/>
  <c r="S91" i="80"/>
  <c r="AB91" i="80"/>
  <c r="AF91" i="80"/>
  <c r="T91" i="80"/>
  <c r="Y245" i="80"/>
  <c r="N129" i="80"/>
  <c r="J129" i="80"/>
  <c r="R131" i="80"/>
  <c r="Q130" i="80"/>
  <c r="X88" i="80"/>
  <c r="R50" i="80"/>
  <c r="AC245" i="80"/>
  <c r="AD245" i="80"/>
  <c r="AF245" i="80"/>
  <c r="R245" i="80"/>
  <c r="W169" i="80"/>
  <c r="V169" i="80"/>
  <c r="AC169" i="80"/>
  <c r="U169" i="80"/>
  <c r="P169" i="80"/>
  <c r="N55" i="80"/>
  <c r="J55" i="80"/>
  <c r="Q55" i="80"/>
  <c r="K129" i="80"/>
  <c r="AB129" i="80"/>
  <c r="H130" i="80"/>
  <c r="J130" i="80"/>
  <c r="Z245" i="80"/>
  <c r="M245" i="80"/>
  <c r="Z131" i="80"/>
  <c r="L169" i="80"/>
  <c r="I55" i="80"/>
  <c r="P55" i="80"/>
  <c r="Y55" i="80"/>
  <c r="J132" i="80"/>
  <c r="J208" i="80"/>
  <c r="AD357" i="80"/>
  <c r="P357" i="80"/>
  <c r="I357" i="80"/>
  <c r="AB357" i="80"/>
  <c r="AC357" i="80"/>
  <c r="N357" i="80"/>
  <c r="J357" i="80"/>
  <c r="V245" i="80"/>
  <c r="L245" i="80"/>
  <c r="K245" i="80"/>
  <c r="AE245" i="80"/>
  <c r="U245" i="80"/>
  <c r="AA245" i="80"/>
  <c r="K131" i="80"/>
  <c r="AE131" i="80"/>
  <c r="X169" i="80"/>
  <c r="AD169" i="80"/>
  <c r="R169" i="80"/>
  <c r="AA169" i="80"/>
  <c r="S169" i="80"/>
  <c r="Q169" i="80"/>
  <c r="W55" i="80"/>
  <c r="R55" i="80"/>
  <c r="AE55" i="80"/>
  <c r="AC55" i="80"/>
  <c r="U55" i="80"/>
  <c r="L55" i="80"/>
  <c r="Q357" i="80"/>
  <c r="AA357" i="80"/>
  <c r="AE357" i="80"/>
  <c r="L357" i="80"/>
  <c r="O357" i="80"/>
  <c r="AF357" i="80"/>
  <c r="M357" i="80"/>
  <c r="W50" i="80"/>
  <c r="P129" i="80"/>
  <c r="R129" i="80"/>
  <c r="S92" i="80"/>
  <c r="W130" i="80"/>
  <c r="AB245" i="80"/>
  <c r="X245" i="80"/>
  <c r="P245" i="80"/>
  <c r="Q245" i="80"/>
  <c r="I245" i="80"/>
  <c r="M131" i="80"/>
  <c r="W131" i="80"/>
  <c r="K169" i="80"/>
  <c r="AE169" i="80"/>
  <c r="Y169" i="80"/>
  <c r="AF169" i="80"/>
  <c r="T169" i="80"/>
  <c r="Z55" i="80"/>
  <c r="S55" i="80"/>
  <c r="V55" i="80"/>
  <c r="AF55" i="80"/>
  <c r="O55" i="80"/>
  <c r="S357" i="80"/>
  <c r="Z357" i="80"/>
  <c r="V357" i="80"/>
  <c r="U357" i="80"/>
  <c r="T357" i="80"/>
  <c r="U129" i="80"/>
  <c r="R92" i="80"/>
  <c r="Z130" i="80"/>
  <c r="S164" i="80"/>
  <c r="L167" i="80"/>
  <c r="H167" i="80"/>
  <c r="V167" i="80"/>
  <c r="AF167" i="80"/>
  <c r="K167" i="80"/>
  <c r="Z244" i="80"/>
  <c r="AC244" i="80"/>
  <c r="O244" i="80"/>
  <c r="X244" i="80"/>
  <c r="Y244" i="80"/>
  <c r="F50" i="80"/>
  <c r="AE164" i="80"/>
  <c r="E164" i="80"/>
  <c r="K88" i="80"/>
  <c r="M92" i="80"/>
  <c r="K92" i="80"/>
  <c r="L92" i="80"/>
  <c r="X131" i="80"/>
  <c r="Q131" i="80"/>
  <c r="N131" i="80"/>
  <c r="S129" i="80"/>
  <c r="O129" i="80"/>
  <c r="W129" i="80"/>
  <c r="AA129" i="80"/>
  <c r="AD129" i="80"/>
  <c r="I129" i="80"/>
  <c r="L129" i="80"/>
  <c r="R130" i="80"/>
  <c r="AE130" i="80"/>
  <c r="AA130" i="80"/>
  <c r="X130" i="80"/>
  <c r="P130" i="80"/>
  <c r="V130" i="80"/>
  <c r="S130" i="80"/>
  <c r="U131" i="80"/>
  <c r="V131" i="80"/>
  <c r="Y131" i="80"/>
  <c r="S131" i="80"/>
  <c r="J131" i="80"/>
  <c r="AF131" i="80"/>
  <c r="O131" i="80"/>
  <c r="AC131" i="80"/>
  <c r="I131" i="80"/>
  <c r="Q129" i="80"/>
  <c r="V129" i="80"/>
  <c r="X129" i="80"/>
  <c r="T129" i="80"/>
  <c r="AF129" i="80"/>
  <c r="AE129" i="80"/>
  <c r="L130" i="80"/>
  <c r="M130" i="80"/>
  <c r="K130" i="80"/>
  <c r="AB130" i="80"/>
  <c r="I130" i="80"/>
  <c r="U130" i="80"/>
  <c r="L131" i="80"/>
  <c r="AA131" i="80"/>
  <c r="AD131" i="80"/>
  <c r="P131" i="80"/>
  <c r="AB131" i="80"/>
  <c r="H129" i="80"/>
  <c r="M129" i="80"/>
  <c r="Z129" i="80"/>
  <c r="G129" i="80"/>
  <c r="Y129" i="80"/>
  <c r="AF130" i="80"/>
  <c r="AC130" i="80"/>
  <c r="AD130" i="80"/>
  <c r="T130" i="80"/>
  <c r="O130" i="80"/>
  <c r="Y130" i="80"/>
  <c r="AE88" i="80"/>
  <c r="U92" i="80"/>
  <c r="H92" i="80"/>
  <c r="O92" i="80"/>
  <c r="AA92" i="80"/>
  <c r="AD92" i="80"/>
  <c r="W92" i="80"/>
  <c r="J94" i="80"/>
  <c r="P92" i="80"/>
  <c r="N92" i="80"/>
  <c r="AC92" i="80"/>
  <c r="I92" i="80"/>
  <c r="Q92" i="80"/>
  <c r="AB92" i="80"/>
  <c r="Y92" i="80"/>
  <c r="Z92" i="80"/>
  <c r="V92" i="80"/>
  <c r="AE92" i="80"/>
  <c r="X92" i="80"/>
  <c r="J92" i="80"/>
  <c r="T92" i="80"/>
  <c r="J284" i="80"/>
  <c r="J278" i="80"/>
  <c r="G278" i="80"/>
  <c r="AE243" i="80"/>
  <c r="Z207" i="80"/>
  <c r="Q207" i="80"/>
  <c r="X243" i="80"/>
  <c r="AD278" i="80"/>
  <c r="AE278" i="80"/>
  <c r="D50" i="80"/>
  <c r="N50" i="80"/>
  <c r="L50" i="80"/>
  <c r="N88" i="80"/>
  <c r="AA88" i="80"/>
  <c r="AB164" i="80"/>
  <c r="U164" i="80"/>
  <c r="Y205" i="80"/>
  <c r="H205" i="80"/>
  <c r="K53" i="80"/>
  <c r="AA54" i="80"/>
  <c r="X54" i="80"/>
  <c r="AC207" i="80"/>
  <c r="Q50" i="80"/>
  <c r="R205" i="80"/>
  <c r="W205" i="80"/>
  <c r="O53" i="80"/>
  <c r="AC54" i="80"/>
  <c r="X207" i="80"/>
  <c r="W243" i="80"/>
  <c r="R278" i="80"/>
  <c r="I278" i="80"/>
  <c r="Y50" i="80"/>
  <c r="J50" i="80"/>
  <c r="AF50" i="80"/>
  <c r="W207" i="80"/>
  <c r="R243" i="80"/>
  <c r="T243" i="80"/>
  <c r="AB278" i="80"/>
  <c r="AB50" i="80"/>
  <c r="S50" i="80"/>
  <c r="AE50" i="80"/>
  <c r="X50" i="80"/>
  <c r="R88" i="80"/>
  <c r="Z88" i="80"/>
  <c r="D164" i="80"/>
  <c r="P164" i="80"/>
  <c r="I205" i="80"/>
  <c r="H53" i="80"/>
  <c r="M53" i="80"/>
  <c r="O54" i="80"/>
  <c r="M207" i="80"/>
  <c r="V207" i="80"/>
  <c r="AB207" i="80"/>
  <c r="N207" i="80"/>
  <c r="J207" i="80"/>
  <c r="Y207" i="80"/>
  <c r="I243" i="80"/>
  <c r="U243" i="80"/>
  <c r="AB243" i="80"/>
  <c r="AC243" i="80"/>
  <c r="AD243" i="80"/>
  <c r="P243" i="80"/>
  <c r="W278" i="80"/>
  <c r="AF278" i="80"/>
  <c r="X278" i="80"/>
  <c r="S278" i="80"/>
  <c r="K278" i="80"/>
  <c r="U278" i="80"/>
  <c r="T278" i="80"/>
  <c r="T50" i="80"/>
  <c r="M50" i="80"/>
  <c r="AC50" i="80"/>
  <c r="P50" i="80"/>
  <c r="AD50" i="80"/>
  <c r="H50" i="80"/>
  <c r="U50" i="80"/>
  <c r="J88" i="80"/>
  <c r="AD88" i="80"/>
  <c r="D88" i="80"/>
  <c r="I88" i="80"/>
  <c r="S88" i="80"/>
  <c r="T88" i="80"/>
  <c r="Y88" i="80"/>
  <c r="P88" i="80"/>
  <c r="Z164" i="80"/>
  <c r="G164" i="80"/>
  <c r="W164" i="80"/>
  <c r="V164" i="80"/>
  <c r="O164" i="80"/>
  <c r="N164" i="80"/>
  <c r="Q164" i="80"/>
  <c r="AC205" i="80"/>
  <c r="AA205" i="80"/>
  <c r="P205" i="80"/>
  <c r="M205" i="80"/>
  <c r="X205" i="80"/>
  <c r="U205" i="80"/>
  <c r="AA53" i="80"/>
  <c r="R53" i="80"/>
  <c r="Y53" i="80"/>
  <c r="P53" i="80"/>
  <c r="AF53" i="80"/>
  <c r="V53" i="80"/>
  <c r="Q53" i="80"/>
  <c r="AD54" i="80"/>
  <c r="Z54" i="80"/>
  <c r="H54" i="80"/>
  <c r="AE54" i="80"/>
  <c r="T54" i="80"/>
  <c r="N54" i="80"/>
  <c r="R54" i="80"/>
  <c r="I207" i="80"/>
  <c r="O207" i="80"/>
  <c r="AF207" i="80"/>
  <c r="J243" i="80"/>
  <c r="Q243" i="80"/>
  <c r="G243" i="80"/>
  <c r="V243" i="80"/>
  <c r="K243" i="80"/>
  <c r="AF243" i="80"/>
  <c r="Y243" i="80"/>
  <c r="AF88" i="80"/>
  <c r="O88" i="80"/>
  <c r="G88" i="80"/>
  <c r="Q88" i="80"/>
  <c r="M88" i="80"/>
  <c r="AB88" i="80"/>
  <c r="W88" i="80"/>
  <c r="AA164" i="80"/>
  <c r="N205" i="80"/>
  <c r="K205" i="80"/>
  <c r="AD205" i="80"/>
  <c r="J205" i="80"/>
  <c r="AE205" i="80"/>
  <c r="O205" i="80"/>
  <c r="AD53" i="80"/>
  <c r="L53" i="80"/>
  <c r="AE53" i="80"/>
  <c r="Z53" i="80"/>
  <c r="X53" i="80"/>
  <c r="I53" i="80"/>
  <c r="W53" i="80"/>
  <c r="W54" i="80"/>
  <c r="V54" i="80"/>
  <c r="U54" i="80"/>
  <c r="Q54" i="80"/>
  <c r="AF54" i="80"/>
  <c r="L54" i="80"/>
  <c r="AE207" i="80"/>
  <c r="AD207" i="80"/>
  <c r="AA207" i="80"/>
  <c r="V278" i="80"/>
  <c r="L278" i="80"/>
  <c r="Z278" i="80"/>
  <c r="Q278" i="80"/>
  <c r="AA278" i="80"/>
  <c r="D278" i="80"/>
  <c r="M278" i="80"/>
  <c r="AF164" i="80"/>
  <c r="M164" i="80"/>
  <c r="H164" i="80"/>
  <c r="I164" i="80"/>
  <c r="K164" i="80"/>
  <c r="R164" i="80"/>
  <c r="P207" i="80"/>
  <c r="L207" i="80"/>
  <c r="S207" i="80"/>
  <c r="R207" i="80"/>
  <c r="K207" i="80"/>
  <c r="S243" i="80"/>
  <c r="H243" i="80"/>
  <c r="AA243" i="80"/>
  <c r="L243" i="80"/>
  <c r="Z243" i="80"/>
  <c r="O243" i="80"/>
  <c r="H278" i="80"/>
  <c r="AC278" i="80"/>
  <c r="P278" i="80"/>
  <c r="Y278" i="80"/>
  <c r="E278" i="80"/>
  <c r="N278" i="80"/>
  <c r="F278" i="80"/>
  <c r="O50" i="80"/>
  <c r="K50" i="80"/>
  <c r="E50" i="80"/>
  <c r="I50" i="80"/>
  <c r="Z50" i="80"/>
  <c r="AA50" i="80"/>
  <c r="G50" i="80"/>
  <c r="F44" i="80"/>
  <c r="L52" i="80" s="1"/>
  <c r="B48" i="57"/>
  <c r="AC88" i="80"/>
  <c r="U88" i="80"/>
  <c r="F88" i="80"/>
  <c r="E88" i="80"/>
  <c r="V88" i="80"/>
  <c r="L88" i="80"/>
  <c r="Y164" i="80"/>
  <c r="AD164" i="80"/>
  <c r="X164" i="80"/>
  <c r="AC164" i="80"/>
  <c r="F164" i="80"/>
  <c r="J164" i="80"/>
  <c r="G205" i="80"/>
  <c r="S205" i="80"/>
  <c r="T205" i="80"/>
  <c r="AF205" i="80"/>
  <c r="L205" i="80"/>
  <c r="V205" i="80"/>
  <c r="G53" i="80"/>
  <c r="T53" i="80"/>
  <c r="J53" i="80"/>
  <c r="AC53" i="80"/>
  <c r="AB53" i="80"/>
  <c r="AA244" i="80"/>
  <c r="AD244" i="80"/>
  <c r="J244" i="80"/>
  <c r="AF244" i="80"/>
  <c r="N244" i="80"/>
  <c r="V244" i="80"/>
  <c r="S54" i="80"/>
  <c r="Y54" i="80"/>
  <c r="P54" i="80"/>
  <c r="K54" i="80"/>
  <c r="I54" i="80"/>
  <c r="Q59" i="89"/>
  <c r="Q64" i="89"/>
  <c r="E150" i="57"/>
  <c r="E222" i="57"/>
  <c r="F222" i="57"/>
  <c r="E186" i="57"/>
  <c r="F186" i="57"/>
  <c r="E330" i="57"/>
  <c r="F330" i="57"/>
  <c r="E78" i="57"/>
  <c r="F78" i="57"/>
  <c r="C6" i="57"/>
  <c r="O5" i="74"/>
  <c r="O10" i="74"/>
  <c r="O9" i="74"/>
  <c r="O8" i="74"/>
  <c r="O11" i="74"/>
  <c r="P3" i="74"/>
  <c r="O6" i="74"/>
  <c r="P5" i="75"/>
  <c r="Q7" i="75"/>
  <c r="P8" i="75"/>
  <c r="P9" i="75" s="1"/>
  <c r="E114" i="57"/>
  <c r="F114" i="57"/>
  <c r="F294" i="57"/>
  <c r="E294" i="57"/>
  <c r="C258" i="57"/>
  <c r="E258" i="57"/>
  <c r="C42" i="57"/>
  <c r="E42" i="57"/>
  <c r="A161" i="57"/>
  <c r="B161" i="57" s="1"/>
  <c r="C160" i="57"/>
  <c r="D160" i="57"/>
  <c r="E160" i="57"/>
  <c r="F160" i="57"/>
  <c r="G160" i="57"/>
  <c r="H160" i="57"/>
  <c r="I160" i="57"/>
  <c r="A89" i="57"/>
  <c r="B89" i="57" s="1"/>
  <c r="C88" i="57"/>
  <c r="D88" i="57"/>
  <c r="E88" i="57"/>
  <c r="F88" i="57"/>
  <c r="G88" i="57"/>
  <c r="H88" i="57"/>
  <c r="I88" i="57"/>
  <c r="A53" i="57"/>
  <c r="B53" i="57" s="1"/>
  <c r="C52" i="57"/>
  <c r="D52" i="57"/>
  <c r="E52" i="57"/>
  <c r="F52" i="57"/>
  <c r="G52" i="57"/>
  <c r="H52" i="57"/>
  <c r="I52" i="57"/>
  <c r="A197" i="57"/>
  <c r="B197" i="57" s="1"/>
  <c r="C196" i="57"/>
  <c r="D196" i="57"/>
  <c r="E196" i="57"/>
  <c r="F196" i="57"/>
  <c r="G196" i="57"/>
  <c r="H196" i="57"/>
  <c r="I196" i="57"/>
  <c r="A125" i="57"/>
  <c r="B125" i="57" s="1"/>
  <c r="C124" i="57"/>
  <c r="D124" i="57"/>
  <c r="E124" i="57"/>
  <c r="F124" i="57"/>
  <c r="G124" i="57"/>
  <c r="H124" i="57"/>
  <c r="I124" i="57"/>
  <c r="AG320" i="80"/>
  <c r="E80" i="47"/>
  <c r="F15" i="47"/>
  <c r="E6" i="60"/>
  <c r="N15" i="55"/>
  <c r="J366" i="57"/>
  <c r="J112" i="47" s="1"/>
  <c r="J6" i="80"/>
  <c r="J385" i="80" s="1"/>
  <c r="G54" i="72"/>
  <c r="H41" i="72"/>
  <c r="C234" i="80"/>
  <c r="C223" i="57"/>
  <c r="D223" i="57" s="1"/>
  <c r="P366" i="57"/>
  <c r="P112" i="47" s="1"/>
  <c r="P6" i="80"/>
  <c r="P385" i="80" s="1"/>
  <c r="A22" i="57"/>
  <c r="B22" i="57" s="1"/>
  <c r="C21" i="57"/>
  <c r="D21" i="57"/>
  <c r="E21" i="57"/>
  <c r="F21" i="57"/>
  <c r="G21" i="57"/>
  <c r="H21" i="57"/>
  <c r="I21" i="57"/>
  <c r="J21" i="57"/>
  <c r="AE6" i="80"/>
  <c r="AE385" i="80" s="1"/>
  <c r="AE366" i="57"/>
  <c r="AE112" i="47" s="1"/>
  <c r="C151" i="57"/>
  <c r="D151" i="57" s="1"/>
  <c r="C158" i="80"/>
  <c r="AD366" i="57"/>
  <c r="AD112" i="47" s="1"/>
  <c r="AD6" i="80"/>
  <c r="AD385" i="80" s="1"/>
  <c r="C295" i="57"/>
  <c r="D295" i="57" s="1"/>
  <c r="C310" i="80"/>
  <c r="M2" i="57"/>
  <c r="L19" i="57"/>
  <c r="L22" i="57"/>
  <c r="L20" i="57"/>
  <c r="L21" i="57"/>
  <c r="G48" i="72"/>
  <c r="H35" i="72"/>
  <c r="A412" i="80"/>
  <c r="A19" i="80"/>
  <c r="G47" i="72"/>
  <c r="H34" i="72"/>
  <c r="Z366" i="57"/>
  <c r="Z112" i="47" s="1"/>
  <c r="Z6" i="80"/>
  <c r="Z385" i="80" s="1"/>
  <c r="L366" i="57"/>
  <c r="L112" i="47" s="1"/>
  <c r="L6" i="80"/>
  <c r="L385" i="80" s="1"/>
  <c r="AA6" i="80"/>
  <c r="AA385" i="80" s="1"/>
  <c r="AA366" i="57"/>
  <c r="AA112" i="47" s="1"/>
  <c r="R366" i="57"/>
  <c r="R112" i="47" s="1"/>
  <c r="R6" i="80"/>
  <c r="R385" i="80" s="1"/>
  <c r="C348" i="80"/>
  <c r="C331" i="57"/>
  <c r="D331" i="57" s="1"/>
  <c r="G49" i="72"/>
  <c r="H36" i="72"/>
  <c r="AB366" i="57"/>
  <c r="AB112" i="47" s="1"/>
  <c r="AB6" i="80"/>
  <c r="AB385" i="80" s="1"/>
  <c r="G6" i="80"/>
  <c r="G366" i="57"/>
  <c r="G112" i="47" s="1"/>
  <c r="C196" i="80"/>
  <c r="C187" i="57"/>
  <c r="D187" i="57" s="1"/>
  <c r="G55" i="72"/>
  <c r="H42" i="72"/>
  <c r="U6" i="80"/>
  <c r="U385" i="80" s="1"/>
  <c r="U366" i="57"/>
  <c r="U112" i="47" s="1"/>
  <c r="A245" i="80"/>
  <c r="A359" i="80" s="1"/>
  <c r="A132" i="80"/>
  <c r="S6" i="80"/>
  <c r="S385" i="80" s="1"/>
  <c r="S366" i="57"/>
  <c r="S112" i="47" s="1"/>
  <c r="I6" i="80"/>
  <c r="I366" i="57"/>
  <c r="I112" i="47" s="1"/>
  <c r="Y6" i="80"/>
  <c r="Y385" i="80" s="1"/>
  <c r="Y366" i="57"/>
  <c r="Y112" i="47" s="1"/>
  <c r="L41" i="20"/>
  <c r="L42" i="20" s="1"/>
  <c r="L50" i="20"/>
  <c r="M40" i="20"/>
  <c r="AD18" i="55" s="1"/>
  <c r="AD13" i="55"/>
  <c r="AF6" i="80"/>
  <c r="AF385" i="80" s="1"/>
  <c r="AF366" i="57"/>
  <c r="AF112" i="47" s="1"/>
  <c r="C79" i="57"/>
  <c r="D79" i="57" s="1"/>
  <c r="C82" i="80"/>
  <c r="C115" i="57"/>
  <c r="D115" i="57" s="1"/>
  <c r="C120" i="80"/>
  <c r="V6" i="80"/>
  <c r="V385" i="80" s="1"/>
  <c r="V366" i="57"/>
  <c r="V112" i="47" s="1"/>
  <c r="K366" i="57"/>
  <c r="K112" i="47" s="1"/>
  <c r="K6" i="80"/>
  <c r="K385" i="80" s="1"/>
  <c r="Q6" i="80"/>
  <c r="Q385" i="80" s="1"/>
  <c r="Q366" i="57"/>
  <c r="Q112" i="47" s="1"/>
  <c r="G51" i="72"/>
  <c r="H38" i="72"/>
  <c r="A169" i="80"/>
  <c r="A282" i="80"/>
  <c r="W366" i="57"/>
  <c r="W112" i="47" s="1"/>
  <c r="W6" i="80"/>
  <c r="W385" i="80" s="1"/>
  <c r="L160" i="47"/>
  <c r="L33" i="60" s="1"/>
  <c r="AC366" i="57"/>
  <c r="AC112" i="47" s="1"/>
  <c r="AC6" i="80"/>
  <c r="AC385" i="80" s="1"/>
  <c r="M366" i="57"/>
  <c r="M112" i="47" s="1"/>
  <c r="M6" i="80"/>
  <c r="M385" i="80" s="1"/>
  <c r="G53" i="72"/>
  <c r="H40" i="72"/>
  <c r="G50" i="72"/>
  <c r="O6" i="80"/>
  <c r="O385" i="80" s="1"/>
  <c r="O366" i="57"/>
  <c r="O112" i="47" s="1"/>
  <c r="K28" i="60"/>
  <c r="K44" i="60" s="1"/>
  <c r="G52" i="72"/>
  <c r="H39" i="72"/>
  <c r="H366" i="57"/>
  <c r="H112" i="47" s="1"/>
  <c r="H6" i="80"/>
  <c r="D6" i="80"/>
  <c r="D366" i="57"/>
  <c r="D112" i="47" s="1"/>
  <c r="N6" i="80"/>
  <c r="N385" i="80" s="1"/>
  <c r="N366" i="57"/>
  <c r="N112" i="47" s="1"/>
  <c r="T366" i="57"/>
  <c r="T112" i="47" s="1"/>
  <c r="T6" i="80"/>
  <c r="T385" i="80" s="1"/>
  <c r="X366" i="57"/>
  <c r="X112" i="47" s="1"/>
  <c r="X6" i="80"/>
  <c r="X385" i="80" s="1"/>
  <c r="J95" i="47"/>
  <c r="A94" i="80"/>
  <c r="A207" i="80"/>
  <c r="M35" i="47"/>
  <c r="M49" i="47" s="1"/>
  <c r="N4" i="47"/>
  <c r="M159" i="47"/>
  <c r="M40" i="60" s="1"/>
  <c r="M27" i="47"/>
  <c r="M28" i="47"/>
  <c r="K276" i="80"/>
  <c r="K352" i="80"/>
  <c r="K446" i="80"/>
  <c r="K86" i="80"/>
  <c r="K314" i="80"/>
  <c r="K200" i="80"/>
  <c r="L2" i="80"/>
  <c r="K162" i="80"/>
  <c r="K4" i="80"/>
  <c r="K48" i="80"/>
  <c r="K124" i="80"/>
  <c r="K238" i="80"/>
  <c r="K10" i="80"/>
  <c r="K401" i="80"/>
  <c r="L4" i="60"/>
  <c r="B23" i="55"/>
  <c r="AD22" i="55"/>
  <c r="W22" i="55"/>
  <c r="X22" i="55" s="1"/>
  <c r="BM45" i="75"/>
  <c r="BM30" i="75"/>
  <c r="N9" i="75"/>
  <c r="BM27" i="75"/>
  <c r="BM14" i="75"/>
  <c r="BM40" i="75" s="1"/>
  <c r="BJ35" i="75" l="1"/>
  <c r="BL16" i="75"/>
  <c r="BK29" i="75"/>
  <c r="BK17" i="75"/>
  <c r="BK43" i="75" s="1"/>
  <c r="BJ36" i="75"/>
  <c r="BK31" i="75"/>
  <c r="BK47" i="75"/>
  <c r="BL19" i="75"/>
  <c r="BM12" i="75"/>
  <c r="BL39" i="75"/>
  <c r="BL26" i="75"/>
  <c r="BL15" i="75"/>
  <c r="BK28" i="75"/>
  <c r="BK41" i="75"/>
  <c r="BK49" i="75"/>
  <c r="BK32" i="75"/>
  <c r="BL20" i="75"/>
  <c r="AF54" i="89"/>
  <c r="AF69" i="89" s="1"/>
  <c r="I84" i="89"/>
  <c r="BE39" i="89"/>
  <c r="BE44" i="89" s="1"/>
  <c r="BD44" i="89"/>
  <c r="AG54" i="89"/>
  <c r="AG69" i="89" s="1"/>
  <c r="AH54" i="89" s="1"/>
  <c r="AH69" i="89" s="1"/>
  <c r="AI54" i="89" s="1"/>
  <c r="AI69" i="89" s="1"/>
  <c r="AJ54" i="89" s="1"/>
  <c r="AJ69" i="89" s="1"/>
  <c r="AK54" i="89" s="1"/>
  <c r="AK69" i="89" s="1"/>
  <c r="AL54" i="89" s="1"/>
  <c r="AL69" i="89" s="1"/>
  <c r="AM54" i="89" s="1"/>
  <c r="AM69" i="89" s="1"/>
  <c r="AN54" i="89" s="1"/>
  <c r="AN69" i="89" s="1"/>
  <c r="AO54" i="89" s="1"/>
  <c r="AO69" i="89" s="1"/>
  <c r="AP54" i="89" s="1"/>
  <c r="AP69" i="89" s="1"/>
  <c r="AQ54" i="89" s="1"/>
  <c r="AQ69" i="89" s="1"/>
  <c r="H30" i="89"/>
  <c r="BD45" i="89"/>
  <c r="K30" i="89" s="1"/>
  <c r="L87" i="89"/>
  <c r="L27" i="89" s="1"/>
  <c r="M27" i="89" s="1"/>
  <c r="J67" i="72"/>
  <c r="AG321" i="80"/>
  <c r="AG316" i="80"/>
  <c r="AG319" i="80"/>
  <c r="AG359" i="80"/>
  <c r="AG358" i="80"/>
  <c r="AG354" i="80"/>
  <c r="AG206" i="80"/>
  <c r="AG281" i="80"/>
  <c r="AG282" i="80"/>
  <c r="AG168" i="80"/>
  <c r="A234" i="57"/>
  <c r="E233" i="57"/>
  <c r="J233" i="57"/>
  <c r="F233" i="57"/>
  <c r="H233" i="57"/>
  <c r="D233" i="57"/>
  <c r="I233" i="57"/>
  <c r="G233" i="57"/>
  <c r="C233" i="57"/>
  <c r="B233" i="57"/>
  <c r="A270" i="57"/>
  <c r="G269" i="57"/>
  <c r="J269" i="57"/>
  <c r="F269" i="57"/>
  <c r="D269" i="57"/>
  <c r="E269" i="57"/>
  <c r="H269" i="57"/>
  <c r="I269" i="57"/>
  <c r="C269" i="57"/>
  <c r="B269" i="57"/>
  <c r="A306" i="57"/>
  <c r="D305" i="57"/>
  <c r="G305" i="57"/>
  <c r="H305" i="57"/>
  <c r="F305" i="57"/>
  <c r="E305" i="57"/>
  <c r="J305" i="57"/>
  <c r="I305" i="57"/>
  <c r="C305" i="57"/>
  <c r="B305" i="57"/>
  <c r="AG93" i="80"/>
  <c r="AG202" i="80"/>
  <c r="AG283" i="80"/>
  <c r="AG126" i="80"/>
  <c r="AG169" i="80"/>
  <c r="AB52" i="80"/>
  <c r="F52" i="80"/>
  <c r="Q52" i="80"/>
  <c r="AG91" i="80"/>
  <c r="AG240" i="80"/>
  <c r="C121" i="20"/>
  <c r="B122" i="20"/>
  <c r="J48" i="60"/>
  <c r="J2" i="47" s="1"/>
  <c r="AG245" i="80"/>
  <c r="AG53" i="80"/>
  <c r="AG167" i="80"/>
  <c r="AG55" i="80"/>
  <c r="AG357" i="80"/>
  <c r="U52" i="80"/>
  <c r="W52" i="80"/>
  <c r="S52" i="80"/>
  <c r="P6" i="74"/>
  <c r="Q6" i="74" s="1"/>
  <c r="R6" i="74" s="1"/>
  <c r="S6" i="74" s="1"/>
  <c r="T6" i="74" s="1"/>
  <c r="U6" i="74" s="1"/>
  <c r="V6" i="74" s="1"/>
  <c r="W6" i="74" s="1"/>
  <c r="X6" i="74" s="1"/>
  <c r="Y6" i="74" s="1"/>
  <c r="Z6" i="74" s="1"/>
  <c r="AA6" i="74" s="1"/>
  <c r="AB6" i="74" s="1"/>
  <c r="AC6" i="74" s="1"/>
  <c r="AD6" i="74" s="1"/>
  <c r="AE6" i="74" s="1"/>
  <c r="AF6" i="74" s="1"/>
  <c r="AG6" i="74" s="1"/>
  <c r="AE52" i="80"/>
  <c r="AG130" i="80"/>
  <c r="AG129" i="80"/>
  <c r="AG131" i="80"/>
  <c r="E310" i="80"/>
  <c r="G317" i="80" s="1"/>
  <c r="B299" i="57"/>
  <c r="F348" i="80"/>
  <c r="M356" i="80" s="1"/>
  <c r="B336" i="57"/>
  <c r="AG164" i="80"/>
  <c r="AG207" i="80"/>
  <c r="F310" i="80"/>
  <c r="X318" i="80" s="1"/>
  <c r="B300" i="57"/>
  <c r="E348" i="80"/>
  <c r="AE355" i="80" s="1"/>
  <c r="B335" i="57"/>
  <c r="AG50" i="80"/>
  <c r="AG92" i="80"/>
  <c r="AG88" i="80"/>
  <c r="AD52" i="80"/>
  <c r="AG54" i="80"/>
  <c r="I52" i="80"/>
  <c r="AG244" i="80"/>
  <c r="AA52" i="80"/>
  <c r="T52" i="80"/>
  <c r="P52" i="80"/>
  <c r="K52" i="80"/>
  <c r="AF52" i="80"/>
  <c r="V52" i="80"/>
  <c r="AG205" i="80"/>
  <c r="AG278" i="80"/>
  <c r="AG243" i="80"/>
  <c r="G52" i="80"/>
  <c r="M52" i="80"/>
  <c r="H52" i="80"/>
  <c r="AC52" i="80"/>
  <c r="J52" i="80"/>
  <c r="O52" i="80"/>
  <c r="R52" i="80"/>
  <c r="X52" i="80"/>
  <c r="N52" i="80"/>
  <c r="Z52" i="80"/>
  <c r="Y52" i="80"/>
  <c r="C272" i="80"/>
  <c r="AA277" i="80" s="1"/>
  <c r="B261" i="57"/>
  <c r="E196" i="80"/>
  <c r="Q203" i="80" s="1"/>
  <c r="B191" i="57"/>
  <c r="E158" i="80"/>
  <c r="U165" i="80" s="1"/>
  <c r="B155" i="57"/>
  <c r="E44" i="80"/>
  <c r="V51" i="80" s="1"/>
  <c r="B47" i="57"/>
  <c r="F120" i="80"/>
  <c r="M128" i="80" s="1"/>
  <c r="B120" i="57"/>
  <c r="F82" i="80"/>
  <c r="X90" i="80" s="1"/>
  <c r="B84" i="57"/>
  <c r="F234" i="80"/>
  <c r="AD242" i="80" s="1"/>
  <c r="B228" i="57"/>
  <c r="C7" i="57"/>
  <c r="D7" i="57" s="1"/>
  <c r="B9" i="57"/>
  <c r="C43" i="57"/>
  <c r="D43" i="57" s="1"/>
  <c r="E43" i="57" s="1"/>
  <c r="F43" i="57" s="1"/>
  <c r="G43" i="57" s="1"/>
  <c r="H43" i="57" s="1"/>
  <c r="I43" i="57" s="1"/>
  <c r="J43" i="57" s="1"/>
  <c r="K43" i="57" s="1"/>
  <c r="L43" i="57" s="1"/>
  <c r="M43" i="57" s="1"/>
  <c r="N43" i="57" s="1"/>
  <c r="O43" i="57" s="1"/>
  <c r="P43" i="57" s="1"/>
  <c r="Q43" i="57" s="1"/>
  <c r="R43" i="57" s="1"/>
  <c r="S43" i="57" s="1"/>
  <c r="T43" i="57" s="1"/>
  <c r="U43" i="57" s="1"/>
  <c r="V43" i="57" s="1"/>
  <c r="W43" i="57" s="1"/>
  <c r="X43" i="57" s="1"/>
  <c r="Y43" i="57" s="1"/>
  <c r="Z43" i="57" s="1"/>
  <c r="AA43" i="57" s="1"/>
  <c r="AB43" i="57" s="1"/>
  <c r="AC43" i="57" s="1"/>
  <c r="AD43" i="57" s="1"/>
  <c r="AE43" i="57" s="1"/>
  <c r="AF43" i="57" s="1"/>
  <c r="B45" i="57"/>
  <c r="E120" i="80"/>
  <c r="L127" i="80" s="1"/>
  <c r="B119" i="57"/>
  <c r="E82" i="80"/>
  <c r="W89" i="80" s="1"/>
  <c r="B83" i="57"/>
  <c r="E234" i="80"/>
  <c r="N241" i="80" s="1"/>
  <c r="B227" i="57"/>
  <c r="E272" i="80"/>
  <c r="U279" i="80" s="1"/>
  <c r="B263" i="57"/>
  <c r="F196" i="80"/>
  <c r="P204" i="80" s="1"/>
  <c r="B192" i="57"/>
  <c r="E223" i="57"/>
  <c r="F223" i="57" s="1"/>
  <c r="G223" i="57" s="1"/>
  <c r="H223" i="57" s="1"/>
  <c r="I223" i="57" s="1"/>
  <c r="J223" i="57" s="1"/>
  <c r="K223" i="57" s="1"/>
  <c r="L223" i="57" s="1"/>
  <c r="M223" i="57" s="1"/>
  <c r="N223" i="57" s="1"/>
  <c r="O223" i="57" s="1"/>
  <c r="P223" i="57" s="1"/>
  <c r="Q223" i="57" s="1"/>
  <c r="R223" i="57" s="1"/>
  <c r="S223" i="57" s="1"/>
  <c r="T223" i="57" s="1"/>
  <c r="U223" i="57" s="1"/>
  <c r="V223" i="57" s="1"/>
  <c r="W223" i="57" s="1"/>
  <c r="X223" i="57" s="1"/>
  <c r="Y223" i="57" s="1"/>
  <c r="Z223" i="57" s="1"/>
  <c r="AA223" i="57" s="1"/>
  <c r="AB223" i="57" s="1"/>
  <c r="AC223" i="57" s="1"/>
  <c r="AD223" i="57" s="1"/>
  <c r="AE223" i="57" s="1"/>
  <c r="AF223" i="57" s="1"/>
  <c r="E79" i="57"/>
  <c r="F79" i="57" s="1"/>
  <c r="G79" i="57" s="1"/>
  <c r="H79" i="57" s="1"/>
  <c r="I79" i="57" s="1"/>
  <c r="J79" i="57" s="1"/>
  <c r="K79" i="57" s="1"/>
  <c r="L79" i="57" s="1"/>
  <c r="M79" i="57" s="1"/>
  <c r="N79" i="57" s="1"/>
  <c r="O79" i="57" s="1"/>
  <c r="P79" i="57" s="1"/>
  <c r="Q79" i="57" s="1"/>
  <c r="R79" i="57" s="1"/>
  <c r="S79" i="57" s="1"/>
  <c r="T79" i="57" s="1"/>
  <c r="U79" i="57" s="1"/>
  <c r="V79" i="57" s="1"/>
  <c r="W79" i="57" s="1"/>
  <c r="X79" i="57" s="1"/>
  <c r="Y79" i="57" s="1"/>
  <c r="Z79" i="57" s="1"/>
  <c r="AA79" i="57" s="1"/>
  <c r="AB79" i="57" s="1"/>
  <c r="AC79" i="57" s="1"/>
  <c r="AD79" i="57" s="1"/>
  <c r="AE79" i="57" s="1"/>
  <c r="AF79" i="57" s="1"/>
  <c r="Q74" i="89"/>
  <c r="R49" i="89"/>
  <c r="E331" i="57"/>
  <c r="F331" i="57" s="1"/>
  <c r="G331" i="57" s="1"/>
  <c r="H331" i="57" s="1"/>
  <c r="I331" i="57" s="1"/>
  <c r="J331" i="57" s="1"/>
  <c r="K331" i="57" s="1"/>
  <c r="L331" i="57" s="1"/>
  <c r="M331" i="57" s="1"/>
  <c r="N331" i="57" s="1"/>
  <c r="O331" i="57" s="1"/>
  <c r="P331" i="57" s="1"/>
  <c r="Q331" i="57" s="1"/>
  <c r="R331" i="57" s="1"/>
  <c r="S331" i="57" s="1"/>
  <c r="T331" i="57" s="1"/>
  <c r="U331" i="57" s="1"/>
  <c r="V331" i="57" s="1"/>
  <c r="W331" i="57" s="1"/>
  <c r="X331" i="57" s="1"/>
  <c r="Y331" i="57" s="1"/>
  <c r="Z331" i="57" s="1"/>
  <c r="AA331" i="57" s="1"/>
  <c r="AB331" i="57" s="1"/>
  <c r="AC331" i="57" s="1"/>
  <c r="AD331" i="57" s="1"/>
  <c r="AE331" i="57" s="1"/>
  <c r="AF331" i="57" s="1"/>
  <c r="C6" i="80"/>
  <c r="C7" i="80" s="1"/>
  <c r="D7" i="80" s="1"/>
  <c r="E187" i="57"/>
  <c r="F187" i="57" s="1"/>
  <c r="G187" i="57" s="1"/>
  <c r="H187" i="57" s="1"/>
  <c r="I187" i="57" s="1"/>
  <c r="J187" i="57" s="1"/>
  <c r="K187" i="57" s="1"/>
  <c r="L187" i="57" s="1"/>
  <c r="M187" i="57" s="1"/>
  <c r="N187" i="57" s="1"/>
  <c r="O187" i="57" s="1"/>
  <c r="P187" i="57" s="1"/>
  <c r="Q187" i="57" s="1"/>
  <c r="R187" i="57" s="1"/>
  <c r="S187" i="57" s="1"/>
  <c r="T187" i="57" s="1"/>
  <c r="U187" i="57" s="1"/>
  <c r="V187" i="57" s="1"/>
  <c r="W187" i="57" s="1"/>
  <c r="X187" i="57" s="1"/>
  <c r="Y187" i="57" s="1"/>
  <c r="Z187" i="57" s="1"/>
  <c r="AA187" i="57" s="1"/>
  <c r="AB187" i="57" s="1"/>
  <c r="AC187" i="57" s="1"/>
  <c r="AD187" i="57" s="1"/>
  <c r="AE187" i="57" s="1"/>
  <c r="AF187" i="57" s="1"/>
  <c r="E151" i="57"/>
  <c r="Q3" i="74"/>
  <c r="P11" i="74"/>
  <c r="P8" i="74"/>
  <c r="P10" i="74"/>
  <c r="P9" i="74"/>
  <c r="P5" i="74"/>
  <c r="Q5" i="74" s="1"/>
  <c r="R5" i="74" s="1"/>
  <c r="S5" i="74" s="1"/>
  <c r="T5" i="74" s="1"/>
  <c r="U5" i="74" s="1"/>
  <c r="V5" i="74" s="1"/>
  <c r="W5" i="74" s="1"/>
  <c r="X5" i="74" s="1"/>
  <c r="Y5" i="74" s="1"/>
  <c r="Z5" i="74" s="1"/>
  <c r="AA5" i="74" s="1"/>
  <c r="AB5" i="74" s="1"/>
  <c r="AC5" i="74" s="1"/>
  <c r="AD5" i="74" s="1"/>
  <c r="AE5" i="74" s="1"/>
  <c r="AF5" i="74" s="1"/>
  <c r="AG5" i="74" s="1"/>
  <c r="E115" i="57"/>
  <c r="F115" i="57" s="1"/>
  <c r="G115" i="57" s="1"/>
  <c r="H115" i="57" s="1"/>
  <c r="I115" i="57" s="1"/>
  <c r="J115" i="57" s="1"/>
  <c r="K115" i="57" s="1"/>
  <c r="L115" i="57" s="1"/>
  <c r="M115" i="57" s="1"/>
  <c r="N115" i="57" s="1"/>
  <c r="O115" i="57" s="1"/>
  <c r="P115" i="57" s="1"/>
  <c r="Q115" i="57" s="1"/>
  <c r="R115" i="57" s="1"/>
  <c r="S115" i="57" s="1"/>
  <c r="T115" i="57" s="1"/>
  <c r="U115" i="57" s="1"/>
  <c r="V115" i="57" s="1"/>
  <c r="W115" i="57" s="1"/>
  <c r="X115" i="57" s="1"/>
  <c r="Y115" i="57" s="1"/>
  <c r="Z115" i="57" s="1"/>
  <c r="AA115" i="57" s="1"/>
  <c r="AB115" i="57" s="1"/>
  <c r="AC115" i="57" s="1"/>
  <c r="AD115" i="57" s="1"/>
  <c r="AE115" i="57" s="1"/>
  <c r="AF115" i="57" s="1"/>
  <c r="C44" i="80"/>
  <c r="K49" i="80" s="1"/>
  <c r="R7" i="75"/>
  <c r="Q8" i="75"/>
  <c r="Q9" i="75" s="1"/>
  <c r="Q5" i="75"/>
  <c r="C366" i="57"/>
  <c r="C259" i="57"/>
  <c r="D259" i="57" s="1"/>
  <c r="E259" i="57" s="1"/>
  <c r="AE318" i="80"/>
  <c r="Y318" i="80"/>
  <c r="E295" i="57"/>
  <c r="F295" i="57" s="1"/>
  <c r="G295" i="57" s="1"/>
  <c r="H295" i="57" s="1"/>
  <c r="I295" i="57" s="1"/>
  <c r="J295" i="57" s="1"/>
  <c r="K295" i="57" s="1"/>
  <c r="L295" i="57" s="1"/>
  <c r="M295" i="57" s="1"/>
  <c r="N295" i="57" s="1"/>
  <c r="O295" i="57" s="1"/>
  <c r="P295" i="57" s="1"/>
  <c r="Q295" i="57" s="1"/>
  <c r="R295" i="57" s="1"/>
  <c r="S295" i="57" s="1"/>
  <c r="T295" i="57" s="1"/>
  <c r="U295" i="57" s="1"/>
  <c r="V295" i="57" s="1"/>
  <c r="W295" i="57" s="1"/>
  <c r="X295" i="57" s="1"/>
  <c r="Y295" i="57" s="1"/>
  <c r="Z295" i="57" s="1"/>
  <c r="AA295" i="57" s="1"/>
  <c r="AB295" i="57" s="1"/>
  <c r="AC295" i="57" s="1"/>
  <c r="AD295" i="57" s="1"/>
  <c r="AE295" i="57" s="1"/>
  <c r="AF295" i="57" s="1"/>
  <c r="J18" i="80"/>
  <c r="A198" i="57"/>
  <c r="B198" i="57" s="1"/>
  <c r="C197" i="57"/>
  <c r="D197" i="57"/>
  <c r="E197" i="57"/>
  <c r="F197" i="57"/>
  <c r="G197" i="57"/>
  <c r="H197" i="57"/>
  <c r="I197" i="57"/>
  <c r="J197" i="57"/>
  <c r="A162" i="57"/>
  <c r="B162" i="57" s="1"/>
  <c r="C161" i="57"/>
  <c r="D161" i="57"/>
  <c r="E161" i="57"/>
  <c r="F161" i="57"/>
  <c r="G161" i="57"/>
  <c r="H161" i="57"/>
  <c r="I161" i="57"/>
  <c r="J161" i="57"/>
  <c r="I4" i="80"/>
  <c r="A54" i="57"/>
  <c r="B54" i="57" s="1"/>
  <c r="C53" i="57"/>
  <c r="D53" i="57"/>
  <c r="E53" i="57"/>
  <c r="F53" i="57"/>
  <c r="G53" i="57"/>
  <c r="H53" i="57"/>
  <c r="I53" i="57"/>
  <c r="J53" i="57"/>
  <c r="A126" i="57"/>
  <c r="B126" i="57" s="1"/>
  <c r="C125" i="57"/>
  <c r="D125" i="57"/>
  <c r="E125" i="57"/>
  <c r="F125" i="57"/>
  <c r="G125" i="57"/>
  <c r="H125" i="57"/>
  <c r="I125" i="57"/>
  <c r="J125" i="57"/>
  <c r="A90" i="57"/>
  <c r="B90" i="57" s="1"/>
  <c r="C89" i="57"/>
  <c r="D89" i="57"/>
  <c r="E89" i="57"/>
  <c r="F89" i="57"/>
  <c r="G89" i="57"/>
  <c r="H89" i="57"/>
  <c r="I89" i="57"/>
  <c r="J89" i="57"/>
  <c r="G15" i="47"/>
  <c r="N16" i="55"/>
  <c r="F80" i="47"/>
  <c r="F6" i="60"/>
  <c r="O17" i="80"/>
  <c r="I17" i="80"/>
  <c r="W17" i="80"/>
  <c r="S17" i="80"/>
  <c r="I385" i="80"/>
  <c r="K17" i="80"/>
  <c r="J17" i="80"/>
  <c r="N17" i="80"/>
  <c r="AA17" i="80"/>
  <c r="T17" i="80"/>
  <c r="X17" i="80"/>
  <c r="Y17" i="80"/>
  <c r="M17" i="80"/>
  <c r="P17" i="80"/>
  <c r="Z17" i="80"/>
  <c r="R17" i="80"/>
  <c r="V17" i="80"/>
  <c r="L17" i="80"/>
  <c r="AF17" i="80"/>
  <c r="AB17" i="80"/>
  <c r="AE17" i="80"/>
  <c r="Q17" i="80"/>
  <c r="AC17" i="80"/>
  <c r="AD17" i="80"/>
  <c r="U17" i="80"/>
  <c r="H55" i="72"/>
  <c r="I42" i="72"/>
  <c r="Q201" i="80"/>
  <c r="V201" i="80"/>
  <c r="AE201" i="80"/>
  <c r="M201" i="80"/>
  <c r="X201" i="80"/>
  <c r="Z201" i="80"/>
  <c r="G201" i="80"/>
  <c r="S201" i="80"/>
  <c r="AD201" i="80"/>
  <c r="J201" i="80"/>
  <c r="W201" i="80"/>
  <c r="Y201" i="80"/>
  <c r="AC201" i="80"/>
  <c r="T201" i="80"/>
  <c r="AF201" i="80"/>
  <c r="C197" i="80"/>
  <c r="D197" i="80" s="1"/>
  <c r="E201" i="80"/>
  <c r="N201" i="80"/>
  <c r="C201" i="80"/>
  <c r="H201" i="80"/>
  <c r="R201" i="80"/>
  <c r="I201" i="80"/>
  <c r="U201" i="80"/>
  <c r="P201" i="80"/>
  <c r="F201" i="80"/>
  <c r="AA201" i="80"/>
  <c r="AB201" i="80"/>
  <c r="L201" i="80"/>
  <c r="D201" i="80"/>
  <c r="D231" i="80" s="1"/>
  <c r="K201" i="80"/>
  <c r="O201" i="80"/>
  <c r="L12" i="80"/>
  <c r="S12" i="80"/>
  <c r="T12" i="80"/>
  <c r="E12" i="80"/>
  <c r="I12" i="80"/>
  <c r="D12" i="80"/>
  <c r="Y12" i="80"/>
  <c r="V12" i="80"/>
  <c r="H12" i="80"/>
  <c r="Q12" i="80"/>
  <c r="U12" i="80"/>
  <c r="K12" i="80"/>
  <c r="X12" i="80"/>
  <c r="G12" i="80"/>
  <c r="M12" i="80"/>
  <c r="J12" i="80"/>
  <c r="W12" i="80"/>
  <c r="O12" i="80"/>
  <c r="AD12" i="80"/>
  <c r="F12" i="80"/>
  <c r="AE12" i="80"/>
  <c r="Z12" i="80"/>
  <c r="N12" i="80"/>
  <c r="AC12" i="80"/>
  <c r="AF12" i="80"/>
  <c r="R12" i="80"/>
  <c r="D385" i="80"/>
  <c r="AA12" i="80"/>
  <c r="AB12" i="80"/>
  <c r="P12" i="80"/>
  <c r="L16" i="80"/>
  <c r="Z16" i="80"/>
  <c r="P16" i="80"/>
  <c r="W16" i="80"/>
  <c r="AE16" i="80"/>
  <c r="AC16" i="80"/>
  <c r="O16" i="80"/>
  <c r="AD16" i="80"/>
  <c r="V16" i="80"/>
  <c r="R16" i="80"/>
  <c r="H385" i="80"/>
  <c r="U16" i="80"/>
  <c r="AF16" i="80"/>
  <c r="Q16" i="80"/>
  <c r="K16" i="80"/>
  <c r="J16" i="80"/>
  <c r="X16" i="80"/>
  <c r="T16" i="80"/>
  <c r="N16" i="80"/>
  <c r="M16" i="80"/>
  <c r="AA16" i="80"/>
  <c r="AB16" i="80"/>
  <c r="I16" i="80"/>
  <c r="S16" i="80"/>
  <c r="H16" i="80"/>
  <c r="Y16" i="80"/>
  <c r="AF87" i="80"/>
  <c r="C87" i="80"/>
  <c r="L87" i="80"/>
  <c r="Q87" i="80"/>
  <c r="N87" i="80"/>
  <c r="U87" i="80"/>
  <c r="O87" i="80"/>
  <c r="K87" i="80"/>
  <c r="D87" i="80"/>
  <c r="D117" i="80" s="1"/>
  <c r="M87" i="80"/>
  <c r="I87" i="80"/>
  <c r="AE87" i="80"/>
  <c r="Z87" i="80"/>
  <c r="AA87" i="80"/>
  <c r="H87" i="80"/>
  <c r="G87" i="80"/>
  <c r="C83" i="80"/>
  <c r="D83" i="80" s="1"/>
  <c r="X87" i="80"/>
  <c r="V87" i="80"/>
  <c r="T87" i="80"/>
  <c r="P87" i="80"/>
  <c r="Y87" i="80"/>
  <c r="F87" i="80"/>
  <c r="AB87" i="80"/>
  <c r="W87" i="80"/>
  <c r="S87" i="80"/>
  <c r="R87" i="80"/>
  <c r="J87" i="80"/>
  <c r="E87" i="80"/>
  <c r="AD87" i="80"/>
  <c r="AC87" i="80"/>
  <c r="M41" i="20"/>
  <c r="M42" i="20" s="1"/>
  <c r="M50" i="20"/>
  <c r="C446" i="80"/>
  <c r="C401" i="80"/>
  <c r="D401" i="80"/>
  <c r="D446" i="80"/>
  <c r="E446" i="80"/>
  <c r="E401" i="80"/>
  <c r="F446" i="80"/>
  <c r="F401" i="80"/>
  <c r="G401" i="80"/>
  <c r="G446" i="80"/>
  <c r="D95" i="47"/>
  <c r="C95" i="47"/>
  <c r="H401" i="80"/>
  <c r="H446" i="80"/>
  <c r="I401" i="80"/>
  <c r="I446" i="80"/>
  <c r="C4" i="80"/>
  <c r="D4" i="80"/>
  <c r="F4" i="80"/>
  <c r="J401" i="80"/>
  <c r="H4" i="80"/>
  <c r="G95" i="47"/>
  <c r="AD21" i="55"/>
  <c r="AD16" i="55"/>
  <c r="E4" i="80"/>
  <c r="AD17" i="55"/>
  <c r="AD19" i="55"/>
  <c r="H95" i="47"/>
  <c r="J4" i="80"/>
  <c r="E95" i="47"/>
  <c r="AD14" i="55"/>
  <c r="J446" i="80"/>
  <c r="H49" i="72"/>
  <c r="I36" i="72"/>
  <c r="J353" i="80"/>
  <c r="Z353" i="80"/>
  <c r="C349" i="80"/>
  <c r="D349" i="80" s="1"/>
  <c r="F353" i="80"/>
  <c r="H353" i="80"/>
  <c r="P353" i="80"/>
  <c r="Y353" i="80"/>
  <c r="E353" i="80"/>
  <c r="M353" i="80"/>
  <c r="I353" i="80"/>
  <c r="AF353" i="80"/>
  <c r="AB353" i="80"/>
  <c r="T353" i="80"/>
  <c r="N353" i="80"/>
  <c r="D353" i="80"/>
  <c r="D383" i="80" s="1"/>
  <c r="V353" i="80"/>
  <c r="Q353" i="80"/>
  <c r="L353" i="80"/>
  <c r="U353" i="80"/>
  <c r="AD353" i="80"/>
  <c r="K353" i="80"/>
  <c r="AE353" i="80"/>
  <c r="S353" i="80"/>
  <c r="W353" i="80"/>
  <c r="X353" i="80"/>
  <c r="O353" i="80"/>
  <c r="R353" i="80"/>
  <c r="AA353" i="80"/>
  <c r="G353" i="80"/>
  <c r="C353" i="80"/>
  <c r="AC353" i="80"/>
  <c r="A413" i="80"/>
  <c r="A20" i="80"/>
  <c r="O239" i="80"/>
  <c r="R239" i="80"/>
  <c r="AE239" i="80"/>
  <c r="L239" i="80"/>
  <c r="Z239" i="80"/>
  <c r="U239" i="80"/>
  <c r="Q239" i="80"/>
  <c r="AD239" i="80"/>
  <c r="D239" i="80"/>
  <c r="D269" i="80" s="1"/>
  <c r="N239" i="80"/>
  <c r="W239" i="80"/>
  <c r="E239" i="80"/>
  <c r="X239" i="80"/>
  <c r="J239" i="80"/>
  <c r="V239" i="80"/>
  <c r="M239" i="80"/>
  <c r="AC239" i="80"/>
  <c r="Y239" i="80"/>
  <c r="I239" i="80"/>
  <c r="K239" i="80"/>
  <c r="F239" i="80"/>
  <c r="AF239" i="80"/>
  <c r="S239" i="80"/>
  <c r="P239" i="80"/>
  <c r="C239" i="80"/>
  <c r="H239" i="80"/>
  <c r="G239" i="80"/>
  <c r="T239" i="80"/>
  <c r="AA239" i="80"/>
  <c r="AB239" i="80"/>
  <c r="C235" i="80"/>
  <c r="D235" i="80" s="1"/>
  <c r="H52" i="72"/>
  <c r="I39" i="72"/>
  <c r="H53" i="72"/>
  <c r="I40" i="72"/>
  <c r="N2" i="57"/>
  <c r="M20" i="57"/>
  <c r="M21" i="57"/>
  <c r="M23" i="57"/>
  <c r="M22" i="57"/>
  <c r="S163" i="80"/>
  <c r="X163" i="80"/>
  <c r="AD163" i="80"/>
  <c r="W163" i="80"/>
  <c r="D163" i="80"/>
  <c r="D193" i="80" s="1"/>
  <c r="R163" i="80"/>
  <c r="G163" i="80"/>
  <c r="E163" i="80"/>
  <c r="H163" i="80"/>
  <c r="Q163" i="80"/>
  <c r="AC163" i="80"/>
  <c r="J163" i="80"/>
  <c r="U163" i="80"/>
  <c r="C159" i="80"/>
  <c r="D159" i="80" s="1"/>
  <c r="Y163" i="80"/>
  <c r="K163" i="80"/>
  <c r="AE163" i="80"/>
  <c r="AB163" i="80"/>
  <c r="L163" i="80"/>
  <c r="F163" i="80"/>
  <c r="AA163" i="80"/>
  <c r="AF163" i="80"/>
  <c r="T163" i="80"/>
  <c r="I163" i="80"/>
  <c r="C163" i="80"/>
  <c r="N163" i="80"/>
  <c r="V163" i="80"/>
  <c r="M163" i="80"/>
  <c r="O163" i="80"/>
  <c r="P163" i="80"/>
  <c r="Z163" i="80"/>
  <c r="A170" i="80"/>
  <c r="A283" i="80"/>
  <c r="AD20" i="55"/>
  <c r="F95" i="47"/>
  <c r="L28" i="60"/>
  <c r="L44" i="60" s="1"/>
  <c r="L95" i="47"/>
  <c r="H47" i="72"/>
  <c r="I34" i="72"/>
  <c r="V315" i="80"/>
  <c r="M315" i="80"/>
  <c r="W315" i="80"/>
  <c r="D315" i="80"/>
  <c r="D345" i="80" s="1"/>
  <c r="O315" i="80"/>
  <c r="AB315" i="80"/>
  <c r="Z315" i="80"/>
  <c r="R315" i="80"/>
  <c r="S315" i="80"/>
  <c r="K315" i="80"/>
  <c r="E315" i="80"/>
  <c r="G315" i="80"/>
  <c r="U315" i="80"/>
  <c r="F315" i="80"/>
  <c r="T315" i="80"/>
  <c r="AD315" i="80"/>
  <c r="X315" i="80"/>
  <c r="AF315" i="80"/>
  <c r="AA315" i="80"/>
  <c r="C315" i="80"/>
  <c r="H315" i="80"/>
  <c r="P315" i="80"/>
  <c r="L315" i="80"/>
  <c r="N315" i="80"/>
  <c r="Y315" i="80"/>
  <c r="Q315" i="80"/>
  <c r="AE315" i="80"/>
  <c r="AC315" i="80"/>
  <c r="I315" i="80"/>
  <c r="C311" i="80"/>
  <c r="D311" i="80" s="1"/>
  <c r="J315" i="80"/>
  <c r="A23" i="57"/>
  <c r="B23" i="57" s="1"/>
  <c r="C22" i="57"/>
  <c r="D22" i="57"/>
  <c r="E22" i="57"/>
  <c r="F22" i="57"/>
  <c r="G22" i="57"/>
  <c r="H22" i="57"/>
  <c r="I22" i="57"/>
  <c r="J22" i="57"/>
  <c r="K22" i="57"/>
  <c r="J125" i="80"/>
  <c r="AA125" i="80"/>
  <c r="L125" i="80"/>
  <c r="Q125" i="80"/>
  <c r="C121" i="80"/>
  <c r="D121" i="80" s="1"/>
  <c r="V125" i="80"/>
  <c r="AE125" i="80"/>
  <c r="D125" i="80"/>
  <c r="D155" i="80" s="1"/>
  <c r="AC125" i="80"/>
  <c r="AB125" i="80"/>
  <c r="K125" i="80"/>
  <c r="O125" i="80"/>
  <c r="T125" i="80"/>
  <c r="E125" i="80"/>
  <c r="Y125" i="80"/>
  <c r="AF125" i="80"/>
  <c r="X125" i="80"/>
  <c r="P125" i="80"/>
  <c r="F125" i="80"/>
  <c r="C125" i="80"/>
  <c r="H125" i="80"/>
  <c r="M125" i="80"/>
  <c r="R125" i="80"/>
  <c r="W125" i="80"/>
  <c r="N125" i="80"/>
  <c r="Z125" i="80"/>
  <c r="U125" i="80"/>
  <c r="I125" i="80"/>
  <c r="S125" i="80"/>
  <c r="G125" i="80"/>
  <c r="AD125" i="80"/>
  <c r="A208" i="80"/>
  <c r="A95" i="80"/>
  <c r="K95" i="47"/>
  <c r="H51" i="72"/>
  <c r="I38" i="72"/>
  <c r="AD15" i="55"/>
  <c r="I95" i="47"/>
  <c r="A133" i="80"/>
  <c r="A246" i="80"/>
  <c r="A360" i="80" s="1"/>
  <c r="L15" i="80"/>
  <c r="S15" i="80"/>
  <c r="I15" i="80"/>
  <c r="AA15" i="80"/>
  <c r="G15" i="80"/>
  <c r="M15" i="80"/>
  <c r="T15" i="80"/>
  <c r="X15" i="80"/>
  <c r="Z15" i="80"/>
  <c r="W15" i="80"/>
  <c r="G385" i="80"/>
  <c r="AF15" i="80"/>
  <c r="AB15" i="80"/>
  <c r="K15" i="80"/>
  <c r="AC15" i="80"/>
  <c r="V15" i="80"/>
  <c r="P15" i="80"/>
  <c r="J15" i="80"/>
  <c r="Q15" i="80"/>
  <c r="H15" i="80"/>
  <c r="AD15" i="80"/>
  <c r="Y15" i="80"/>
  <c r="AE15" i="80"/>
  <c r="N15" i="80"/>
  <c r="R15" i="80"/>
  <c r="O15" i="80"/>
  <c r="U15" i="80"/>
  <c r="H48" i="72"/>
  <c r="I35" i="72"/>
  <c r="H54" i="72"/>
  <c r="I41" i="72"/>
  <c r="K56" i="80"/>
  <c r="U57" i="80"/>
  <c r="AC57" i="80"/>
  <c r="O57" i="80"/>
  <c r="V57" i="80"/>
  <c r="P57" i="80"/>
  <c r="X57" i="80"/>
  <c r="AE57" i="80"/>
  <c r="Y57" i="80"/>
  <c r="AA57" i="80"/>
  <c r="Q57" i="80"/>
  <c r="S57" i="80"/>
  <c r="W57" i="80"/>
  <c r="L57" i="80"/>
  <c r="R57" i="80"/>
  <c r="K57" i="80"/>
  <c r="AB57" i="80"/>
  <c r="M57" i="80"/>
  <c r="Z57" i="80"/>
  <c r="AD57" i="80"/>
  <c r="AF57" i="80"/>
  <c r="T57" i="80"/>
  <c r="N57" i="80"/>
  <c r="M19" i="80"/>
  <c r="U19" i="80"/>
  <c r="L19" i="80"/>
  <c r="AA19" i="80"/>
  <c r="Y19" i="80"/>
  <c r="Q19" i="80"/>
  <c r="O19" i="80"/>
  <c r="K18" i="80"/>
  <c r="Z19" i="80"/>
  <c r="P19" i="80"/>
  <c r="N19" i="80"/>
  <c r="AE19" i="80"/>
  <c r="S19" i="80"/>
  <c r="T19" i="80"/>
  <c r="AF19" i="80"/>
  <c r="X19" i="80"/>
  <c r="AC19" i="80"/>
  <c r="W19" i="80"/>
  <c r="V19" i="80"/>
  <c r="R19" i="80"/>
  <c r="K19" i="80"/>
  <c r="AD19" i="80"/>
  <c r="AB19" i="80"/>
  <c r="U323" i="80"/>
  <c r="AD323" i="80"/>
  <c r="P323" i="80"/>
  <c r="AB323" i="80"/>
  <c r="AC323" i="80"/>
  <c r="S323" i="80"/>
  <c r="O323" i="80"/>
  <c r="Z323" i="80"/>
  <c r="AF323" i="80"/>
  <c r="N323" i="80"/>
  <c r="Q323" i="80"/>
  <c r="T323" i="80"/>
  <c r="K323" i="80"/>
  <c r="L323" i="80"/>
  <c r="AA323" i="80"/>
  <c r="AE323" i="80"/>
  <c r="K322" i="80"/>
  <c r="X323" i="80"/>
  <c r="R323" i="80"/>
  <c r="Y323" i="80"/>
  <c r="M323" i="80"/>
  <c r="V323" i="80"/>
  <c r="W323" i="80"/>
  <c r="N285" i="80"/>
  <c r="O285" i="80"/>
  <c r="T285" i="80"/>
  <c r="AA285" i="80"/>
  <c r="Z285" i="80"/>
  <c r="L285" i="80"/>
  <c r="AC285" i="80"/>
  <c r="Q285" i="80"/>
  <c r="U285" i="80"/>
  <c r="X285" i="80"/>
  <c r="K284" i="80"/>
  <c r="V285" i="80"/>
  <c r="P285" i="80"/>
  <c r="R285" i="80"/>
  <c r="AD285" i="80"/>
  <c r="AB285" i="80"/>
  <c r="AF285" i="80"/>
  <c r="Y285" i="80"/>
  <c r="S285" i="80"/>
  <c r="M285" i="80"/>
  <c r="K285" i="80"/>
  <c r="W285" i="80"/>
  <c r="AE285" i="80"/>
  <c r="N27" i="47"/>
  <c r="N159" i="47"/>
  <c r="N40" i="60" s="1"/>
  <c r="O4" i="47"/>
  <c r="N28" i="47"/>
  <c r="N35" i="47"/>
  <c r="N49" i="47" s="1"/>
  <c r="S209" i="80"/>
  <c r="U209" i="80"/>
  <c r="V209" i="80"/>
  <c r="K208" i="80"/>
  <c r="L209" i="80"/>
  <c r="O209" i="80"/>
  <c r="AE209" i="80"/>
  <c r="P209" i="80"/>
  <c r="N209" i="80"/>
  <c r="AC209" i="80"/>
  <c r="X209" i="80"/>
  <c r="T209" i="80"/>
  <c r="Z209" i="80"/>
  <c r="R209" i="80"/>
  <c r="AB209" i="80"/>
  <c r="AD209" i="80"/>
  <c r="W209" i="80"/>
  <c r="AF209" i="80"/>
  <c r="K209" i="80"/>
  <c r="Y209" i="80"/>
  <c r="AA209" i="80"/>
  <c r="Q209" i="80"/>
  <c r="M209" i="80"/>
  <c r="M4" i="60"/>
  <c r="L48" i="60"/>
  <c r="O247" i="80"/>
  <c r="S247" i="80"/>
  <c r="X247" i="80"/>
  <c r="P247" i="80"/>
  <c r="K246" i="80"/>
  <c r="R247" i="80"/>
  <c r="AA247" i="80"/>
  <c r="V247" i="80"/>
  <c r="U247" i="80"/>
  <c r="AE247" i="80"/>
  <c r="M247" i="80"/>
  <c r="AF247" i="80"/>
  <c r="Y247" i="80"/>
  <c r="T247" i="80"/>
  <c r="W247" i="80"/>
  <c r="Q247" i="80"/>
  <c r="AC247" i="80"/>
  <c r="K247" i="80"/>
  <c r="N247" i="80"/>
  <c r="AD247" i="80"/>
  <c r="L247" i="80"/>
  <c r="AB247" i="80"/>
  <c r="Z247" i="80"/>
  <c r="K171" i="80"/>
  <c r="AC171" i="80"/>
  <c r="Z171" i="80"/>
  <c r="N171" i="80"/>
  <c r="S171" i="80"/>
  <c r="O171" i="80"/>
  <c r="AF171" i="80"/>
  <c r="AE171" i="80"/>
  <c r="R171" i="80"/>
  <c r="M171" i="80"/>
  <c r="W171" i="80"/>
  <c r="K170" i="80"/>
  <c r="P171" i="80"/>
  <c r="Q171" i="80"/>
  <c r="U171" i="80"/>
  <c r="T171" i="80"/>
  <c r="L171" i="80"/>
  <c r="X171" i="80"/>
  <c r="AB171" i="80"/>
  <c r="AD171" i="80"/>
  <c r="V171" i="80"/>
  <c r="AA171" i="80"/>
  <c r="Y171" i="80"/>
  <c r="O95" i="80"/>
  <c r="W95" i="80"/>
  <c r="R95" i="80"/>
  <c r="Q95" i="80"/>
  <c r="T95" i="80"/>
  <c r="AF95" i="80"/>
  <c r="Y95" i="80"/>
  <c r="AE95" i="80"/>
  <c r="AD95" i="80"/>
  <c r="AC95" i="80"/>
  <c r="K94" i="80"/>
  <c r="N95" i="80"/>
  <c r="AA95" i="80"/>
  <c r="S95" i="80"/>
  <c r="P95" i="80"/>
  <c r="K95" i="80"/>
  <c r="U95" i="80"/>
  <c r="L95" i="80"/>
  <c r="X95" i="80"/>
  <c r="Z95" i="80"/>
  <c r="V95" i="80"/>
  <c r="M95" i="80"/>
  <c r="AB95" i="80"/>
  <c r="O413" i="80"/>
  <c r="S413" i="80"/>
  <c r="Z413" i="80"/>
  <c r="V413" i="80"/>
  <c r="Y413" i="80"/>
  <c r="AE413" i="80"/>
  <c r="W413" i="80"/>
  <c r="T413" i="80"/>
  <c r="R413" i="80"/>
  <c r="L413" i="80"/>
  <c r="AA413" i="80"/>
  <c r="X413" i="80"/>
  <c r="AC413" i="80"/>
  <c r="AF413" i="80"/>
  <c r="P413" i="80"/>
  <c r="AD413" i="80"/>
  <c r="K400" i="80"/>
  <c r="K402" i="80" s="1"/>
  <c r="Q413" i="80"/>
  <c r="AB413" i="80"/>
  <c r="M413" i="80"/>
  <c r="K413" i="80"/>
  <c r="N413" i="80"/>
  <c r="U413" i="80"/>
  <c r="M361" i="80"/>
  <c r="U361" i="80"/>
  <c r="Z361" i="80"/>
  <c r="K361" i="80"/>
  <c r="Q361" i="80"/>
  <c r="X361" i="80"/>
  <c r="N361" i="80"/>
  <c r="AF361" i="80"/>
  <c r="AA361" i="80"/>
  <c r="S361" i="80"/>
  <c r="AD361" i="80"/>
  <c r="W361" i="80"/>
  <c r="Y361" i="80"/>
  <c r="O361" i="80"/>
  <c r="AE361" i="80"/>
  <c r="L361" i="80"/>
  <c r="AC361" i="80"/>
  <c r="V361" i="80"/>
  <c r="R361" i="80"/>
  <c r="P361" i="80"/>
  <c r="K360" i="80"/>
  <c r="T361" i="80"/>
  <c r="AB361" i="80"/>
  <c r="T133" i="80"/>
  <c r="O133" i="80"/>
  <c r="Y133" i="80"/>
  <c r="AF133" i="80"/>
  <c r="U133" i="80"/>
  <c r="X133" i="80"/>
  <c r="AB133" i="80"/>
  <c r="P133" i="80"/>
  <c r="V133" i="80"/>
  <c r="M133" i="80"/>
  <c r="W133" i="80"/>
  <c r="R133" i="80"/>
  <c r="Z133" i="80"/>
  <c r="AE133" i="80"/>
  <c r="L133" i="80"/>
  <c r="K133" i="80"/>
  <c r="AD133" i="80"/>
  <c r="N133" i="80"/>
  <c r="AA133" i="80"/>
  <c r="AC133" i="80"/>
  <c r="S133" i="80"/>
  <c r="K132" i="80"/>
  <c r="Q133" i="80"/>
  <c r="L314" i="80"/>
  <c r="L124" i="80"/>
  <c r="L446" i="80"/>
  <c r="L162" i="80"/>
  <c r="L86" i="80"/>
  <c r="L238" i="80"/>
  <c r="M2" i="80"/>
  <c r="L200" i="80"/>
  <c r="L4" i="80"/>
  <c r="L352" i="80"/>
  <c r="L10" i="80"/>
  <c r="L401" i="80"/>
  <c r="L276" i="80"/>
  <c r="L48" i="80"/>
  <c r="M160" i="47"/>
  <c r="M33" i="60" s="1"/>
  <c r="AD23" i="55"/>
  <c r="W23" i="55"/>
  <c r="X23" i="55" s="1"/>
  <c r="B24" i="55"/>
  <c r="BM16" i="75" l="1"/>
  <c r="BL17" i="75"/>
  <c r="BL43" i="75" s="1"/>
  <c r="BL29" i="75"/>
  <c r="BK35" i="75"/>
  <c r="BK36" i="75" s="1"/>
  <c r="BL47" i="75"/>
  <c r="BL31" i="75"/>
  <c r="BM19" i="75"/>
  <c r="BM39" i="75"/>
  <c r="BM26" i="75"/>
  <c r="BL32" i="75"/>
  <c r="BM20" i="75"/>
  <c r="BL49" i="75"/>
  <c r="BM15" i="75"/>
  <c r="BL28" i="75"/>
  <c r="BL35" i="75" s="1"/>
  <c r="BL36" i="75" s="1"/>
  <c r="BL41" i="75"/>
  <c r="AR54" i="89"/>
  <c r="AR69" i="89" s="1"/>
  <c r="H64" i="72"/>
  <c r="H24" i="72" s="1"/>
  <c r="J84" i="89"/>
  <c r="I64" i="72" s="1"/>
  <c r="I24" i="72" s="1"/>
  <c r="I318" i="80"/>
  <c r="U318" i="80"/>
  <c r="N318" i="80"/>
  <c r="AA318" i="80"/>
  <c r="AC355" i="80"/>
  <c r="J27" i="72"/>
  <c r="J40" i="72" s="1"/>
  <c r="AK67" i="72"/>
  <c r="AB355" i="80"/>
  <c r="F317" i="80"/>
  <c r="X317" i="80"/>
  <c r="O317" i="80"/>
  <c r="AC317" i="80"/>
  <c r="S317" i="80"/>
  <c r="I317" i="80"/>
  <c r="I345" i="80" s="1"/>
  <c r="AB317" i="80"/>
  <c r="E311" i="80"/>
  <c r="F311" i="80" s="1"/>
  <c r="G311" i="80" s="1"/>
  <c r="H311" i="80" s="1"/>
  <c r="I311" i="80" s="1"/>
  <c r="J311" i="80" s="1"/>
  <c r="K311" i="80" s="1"/>
  <c r="L311" i="80" s="1"/>
  <c r="M311" i="80" s="1"/>
  <c r="N311" i="80" s="1"/>
  <c r="O311" i="80" s="1"/>
  <c r="P311" i="80" s="1"/>
  <c r="Q311" i="80" s="1"/>
  <c r="R311" i="80" s="1"/>
  <c r="S311" i="80" s="1"/>
  <c r="T311" i="80" s="1"/>
  <c r="U311" i="80" s="1"/>
  <c r="V311" i="80" s="1"/>
  <c r="W311" i="80" s="1"/>
  <c r="X311" i="80" s="1"/>
  <c r="Y311" i="80" s="1"/>
  <c r="Z311" i="80" s="1"/>
  <c r="AA311" i="80" s="1"/>
  <c r="AB311" i="80" s="1"/>
  <c r="AC311" i="80" s="1"/>
  <c r="AD311" i="80" s="1"/>
  <c r="AE311" i="80" s="1"/>
  <c r="AF311" i="80" s="1"/>
  <c r="M317" i="80"/>
  <c r="Y317" i="80"/>
  <c r="T317" i="80"/>
  <c r="AF317" i="80"/>
  <c r="V317" i="80"/>
  <c r="R317" i="80"/>
  <c r="AD317" i="80"/>
  <c r="K317" i="80"/>
  <c r="Z317" i="80"/>
  <c r="AA317" i="80"/>
  <c r="Q317" i="80"/>
  <c r="AE317" i="80"/>
  <c r="J317" i="80"/>
  <c r="L317" i="80"/>
  <c r="P317" i="80"/>
  <c r="W317" i="80"/>
  <c r="H317" i="80"/>
  <c r="E317" i="80"/>
  <c r="E345" i="80" s="1"/>
  <c r="N317" i="80"/>
  <c r="U317" i="80"/>
  <c r="J318" i="80"/>
  <c r="L318" i="80"/>
  <c r="AD318" i="80"/>
  <c r="V318" i="80"/>
  <c r="AF318" i="80"/>
  <c r="W318" i="80"/>
  <c r="G318" i="80"/>
  <c r="T318" i="80"/>
  <c r="F318" i="80"/>
  <c r="R318" i="80"/>
  <c r="AB318" i="80"/>
  <c r="S318" i="80"/>
  <c r="K318" i="80"/>
  <c r="M318" i="80"/>
  <c r="O318" i="80"/>
  <c r="H318" i="80"/>
  <c r="Q318" i="80"/>
  <c r="P318" i="80"/>
  <c r="AC356" i="80"/>
  <c r="Z318" i="80"/>
  <c r="AC318" i="80"/>
  <c r="L356" i="80"/>
  <c r="I356" i="80"/>
  <c r="R356" i="80"/>
  <c r="AF356" i="80"/>
  <c r="J356" i="80"/>
  <c r="Y356" i="80"/>
  <c r="O356" i="80"/>
  <c r="AD356" i="80"/>
  <c r="AE356" i="80"/>
  <c r="W355" i="80"/>
  <c r="AD355" i="80"/>
  <c r="AF355" i="80"/>
  <c r="L355" i="80"/>
  <c r="AB356" i="80"/>
  <c r="AA356" i="80"/>
  <c r="T356" i="80"/>
  <c r="V356" i="80"/>
  <c r="S356" i="80"/>
  <c r="U356" i="80"/>
  <c r="K356" i="80"/>
  <c r="Z356" i="80"/>
  <c r="F356" i="80"/>
  <c r="P356" i="80"/>
  <c r="N356" i="80"/>
  <c r="X356" i="80"/>
  <c r="Q356" i="80"/>
  <c r="W356" i="80"/>
  <c r="G356" i="80"/>
  <c r="H356" i="80"/>
  <c r="G355" i="80"/>
  <c r="H355" i="80"/>
  <c r="U355" i="80"/>
  <c r="T355" i="80"/>
  <c r="I355" i="80"/>
  <c r="I383" i="80" s="1"/>
  <c r="Z355" i="80"/>
  <c r="F355" i="80"/>
  <c r="N355" i="80"/>
  <c r="V355" i="80"/>
  <c r="J355" i="80"/>
  <c r="X355" i="80"/>
  <c r="E355" i="80"/>
  <c r="E383" i="80" s="1"/>
  <c r="K355" i="80"/>
  <c r="Y355" i="80"/>
  <c r="M355" i="80"/>
  <c r="R355" i="80"/>
  <c r="E349" i="80"/>
  <c r="F349" i="80" s="1"/>
  <c r="G349" i="80" s="1"/>
  <c r="H349" i="80" s="1"/>
  <c r="I349" i="80" s="1"/>
  <c r="J349" i="80" s="1"/>
  <c r="K349" i="80" s="1"/>
  <c r="L349" i="80" s="1"/>
  <c r="M349" i="80" s="1"/>
  <c r="N349" i="80" s="1"/>
  <c r="O349" i="80" s="1"/>
  <c r="P349" i="80" s="1"/>
  <c r="Q349" i="80" s="1"/>
  <c r="R349" i="80" s="1"/>
  <c r="S349" i="80" s="1"/>
  <c r="T349" i="80" s="1"/>
  <c r="U349" i="80" s="1"/>
  <c r="V349" i="80" s="1"/>
  <c r="W349" i="80" s="1"/>
  <c r="X349" i="80" s="1"/>
  <c r="Y349" i="80" s="1"/>
  <c r="Z349" i="80" s="1"/>
  <c r="AA349" i="80" s="1"/>
  <c r="AB349" i="80" s="1"/>
  <c r="AC349" i="80" s="1"/>
  <c r="AD349" i="80" s="1"/>
  <c r="AE349" i="80" s="1"/>
  <c r="AF349" i="80" s="1"/>
  <c r="S355" i="80"/>
  <c r="AA355" i="80"/>
  <c r="P355" i="80"/>
  <c r="Q355" i="80"/>
  <c r="O355" i="80"/>
  <c r="K277" i="80"/>
  <c r="R242" i="80"/>
  <c r="Q165" i="80"/>
  <c r="E165" i="80"/>
  <c r="E193" i="80" s="1"/>
  <c r="L165" i="80"/>
  <c r="H204" i="80"/>
  <c r="C112" i="47"/>
  <c r="C113" i="47" s="1"/>
  <c r="D111" i="47" s="1"/>
  <c r="D113" i="47" s="1"/>
  <c r="E111" i="47" s="1"/>
  <c r="A235" i="57"/>
  <c r="C234" i="57"/>
  <c r="I234" i="57"/>
  <c r="E234" i="57"/>
  <c r="J234" i="57"/>
  <c r="F234" i="57"/>
  <c r="K234" i="57"/>
  <c r="G234" i="57"/>
  <c r="D234" i="57"/>
  <c r="H234" i="57"/>
  <c r="B234" i="57"/>
  <c r="A307" i="57"/>
  <c r="C306" i="57"/>
  <c r="H306" i="57"/>
  <c r="G306" i="57"/>
  <c r="I306" i="57"/>
  <c r="F306" i="57"/>
  <c r="K306" i="57"/>
  <c r="J306" i="57"/>
  <c r="D306" i="57"/>
  <c r="E306" i="57"/>
  <c r="B306" i="57"/>
  <c r="A271" i="57"/>
  <c r="F270" i="57"/>
  <c r="H270" i="57"/>
  <c r="I270" i="57"/>
  <c r="C270" i="57"/>
  <c r="G270" i="57"/>
  <c r="K270" i="57"/>
  <c r="D270" i="57"/>
  <c r="E270" i="57"/>
  <c r="J270" i="57"/>
  <c r="B270" i="57"/>
  <c r="T165" i="80"/>
  <c r="O128" i="80"/>
  <c r="D277" i="80"/>
  <c r="D307" i="80" s="1"/>
  <c r="Z128" i="80"/>
  <c r="AF165" i="80"/>
  <c r="M277" i="80"/>
  <c r="W128" i="80"/>
  <c r="H128" i="80"/>
  <c r="Z204" i="80"/>
  <c r="Y277" i="80"/>
  <c r="U277" i="80"/>
  <c r="C273" i="80"/>
  <c r="D273" i="80" s="1"/>
  <c r="E273" i="80" s="1"/>
  <c r="V277" i="80"/>
  <c r="E83" i="80"/>
  <c r="F83" i="80" s="1"/>
  <c r="G83" i="80" s="1"/>
  <c r="H83" i="80" s="1"/>
  <c r="I83" i="80" s="1"/>
  <c r="J83" i="80" s="1"/>
  <c r="K83" i="80" s="1"/>
  <c r="L83" i="80" s="1"/>
  <c r="M83" i="80" s="1"/>
  <c r="N83" i="80" s="1"/>
  <c r="O83" i="80" s="1"/>
  <c r="P83" i="80" s="1"/>
  <c r="Q83" i="80" s="1"/>
  <c r="R83" i="80" s="1"/>
  <c r="S83" i="80" s="1"/>
  <c r="T83" i="80" s="1"/>
  <c r="U83" i="80" s="1"/>
  <c r="V83" i="80" s="1"/>
  <c r="W83" i="80" s="1"/>
  <c r="X83" i="80" s="1"/>
  <c r="Y83" i="80" s="1"/>
  <c r="Z83" i="80" s="1"/>
  <c r="AA83" i="80" s="1"/>
  <c r="AB83" i="80" s="1"/>
  <c r="AC83" i="80" s="1"/>
  <c r="AD83" i="80" s="1"/>
  <c r="AE83" i="80" s="1"/>
  <c r="AF83" i="80" s="1"/>
  <c r="AD128" i="80"/>
  <c r="N128" i="80"/>
  <c r="Y128" i="80"/>
  <c r="AF204" i="80"/>
  <c r="O204" i="80"/>
  <c r="H242" i="80"/>
  <c r="J242" i="80"/>
  <c r="O165" i="80"/>
  <c r="G165" i="80"/>
  <c r="P277" i="80"/>
  <c r="N277" i="80"/>
  <c r="S128" i="80"/>
  <c r="U128" i="80"/>
  <c r="K128" i="80"/>
  <c r="U204" i="80"/>
  <c r="AA204" i="80"/>
  <c r="AB204" i="80"/>
  <c r="AF242" i="80"/>
  <c r="N242" i="80"/>
  <c r="I165" i="80"/>
  <c r="W165" i="80"/>
  <c r="M165" i="80"/>
  <c r="O277" i="80"/>
  <c r="AB277" i="80"/>
  <c r="F277" i="80"/>
  <c r="AA128" i="80"/>
  <c r="X128" i="80"/>
  <c r="Q128" i="80"/>
  <c r="AC204" i="80"/>
  <c r="AD204" i="80"/>
  <c r="L242" i="80"/>
  <c r="Y242" i="80"/>
  <c r="AB165" i="80"/>
  <c r="J165" i="80"/>
  <c r="Y165" i="80"/>
  <c r="N165" i="80"/>
  <c r="Q204" i="80"/>
  <c r="V11" i="80"/>
  <c r="K90" i="80"/>
  <c r="P242" i="80"/>
  <c r="Y204" i="80"/>
  <c r="V204" i="80"/>
  <c r="M204" i="80"/>
  <c r="U89" i="80"/>
  <c r="N51" i="80"/>
  <c r="AC242" i="80"/>
  <c r="AB242" i="80"/>
  <c r="AE90" i="80"/>
  <c r="O51" i="80"/>
  <c r="S51" i="80"/>
  <c r="AA242" i="80"/>
  <c r="M242" i="80"/>
  <c r="AE242" i="80"/>
  <c r="AD127" i="80"/>
  <c r="X127" i="80"/>
  <c r="H11" i="80"/>
  <c r="AE51" i="80"/>
  <c r="Q279" i="80"/>
  <c r="R241" i="80"/>
  <c r="U90" i="80"/>
  <c r="U203" i="80"/>
  <c r="Q241" i="80"/>
  <c r="Q51" i="80"/>
  <c r="Z279" i="80"/>
  <c r="M90" i="80"/>
  <c r="Q277" i="80"/>
  <c r="I277" i="80"/>
  <c r="T277" i="80"/>
  <c r="H277" i="80"/>
  <c r="R277" i="80"/>
  <c r="AC277" i="80"/>
  <c r="I128" i="80"/>
  <c r="L128" i="80"/>
  <c r="AC128" i="80"/>
  <c r="V128" i="80"/>
  <c r="R128" i="80"/>
  <c r="AB128" i="80"/>
  <c r="AF128" i="80"/>
  <c r="R204" i="80"/>
  <c r="AE204" i="80"/>
  <c r="K204" i="80"/>
  <c r="L204" i="80"/>
  <c r="S204" i="80"/>
  <c r="I204" i="80"/>
  <c r="G204" i="80"/>
  <c r="G242" i="80"/>
  <c r="K242" i="80"/>
  <c r="F242" i="80"/>
  <c r="T242" i="80"/>
  <c r="X242" i="80"/>
  <c r="W242" i="80"/>
  <c r="S242" i="80"/>
  <c r="AE165" i="80"/>
  <c r="AA165" i="80"/>
  <c r="Z165" i="80"/>
  <c r="V165" i="80"/>
  <c r="AC165" i="80"/>
  <c r="P165" i="80"/>
  <c r="G277" i="80"/>
  <c r="X277" i="80"/>
  <c r="Z277" i="80"/>
  <c r="S277" i="80"/>
  <c r="L277" i="80"/>
  <c r="J277" i="80"/>
  <c r="E159" i="80"/>
  <c r="J128" i="80"/>
  <c r="G128" i="80"/>
  <c r="F128" i="80"/>
  <c r="AE128" i="80"/>
  <c r="T128" i="80"/>
  <c r="P128" i="80"/>
  <c r="W204" i="80"/>
  <c r="J204" i="80"/>
  <c r="X204" i="80"/>
  <c r="T204" i="80"/>
  <c r="N204" i="80"/>
  <c r="F204" i="80"/>
  <c r="O242" i="80"/>
  <c r="V242" i="80"/>
  <c r="Q242" i="80"/>
  <c r="Z242" i="80"/>
  <c r="I242" i="80"/>
  <c r="U242" i="80"/>
  <c r="AD165" i="80"/>
  <c r="K165" i="80"/>
  <c r="S165" i="80"/>
  <c r="F165" i="80"/>
  <c r="X165" i="80"/>
  <c r="H165" i="80"/>
  <c r="N89" i="80"/>
  <c r="R165" i="80"/>
  <c r="AB89" i="80"/>
  <c r="AE89" i="80"/>
  <c r="R89" i="80"/>
  <c r="AA51" i="80"/>
  <c r="U51" i="80"/>
  <c r="J51" i="80"/>
  <c r="AD51" i="80"/>
  <c r="K51" i="80"/>
  <c r="K79" i="80" s="1"/>
  <c r="M279" i="80"/>
  <c r="AB127" i="80"/>
  <c r="J90" i="80"/>
  <c r="T90" i="80"/>
  <c r="Z90" i="80"/>
  <c r="AE241" i="80"/>
  <c r="AB241" i="80"/>
  <c r="E121" i="80"/>
  <c r="F121" i="80" s="1"/>
  <c r="G121" i="80" s="1"/>
  <c r="H121" i="80" s="1"/>
  <c r="I121" i="80" s="1"/>
  <c r="J121" i="80" s="1"/>
  <c r="K121" i="80" s="1"/>
  <c r="L121" i="80" s="1"/>
  <c r="M121" i="80" s="1"/>
  <c r="N121" i="80" s="1"/>
  <c r="O121" i="80" s="1"/>
  <c r="P121" i="80" s="1"/>
  <c r="Q121" i="80" s="1"/>
  <c r="R121" i="80" s="1"/>
  <c r="S121" i="80" s="1"/>
  <c r="T121" i="80" s="1"/>
  <c r="U121" i="80" s="1"/>
  <c r="V121" i="80" s="1"/>
  <c r="W121" i="80" s="1"/>
  <c r="X121" i="80" s="1"/>
  <c r="Y121" i="80" s="1"/>
  <c r="Z121" i="80" s="1"/>
  <c r="AA121" i="80" s="1"/>
  <c r="AB121" i="80" s="1"/>
  <c r="AC121" i="80" s="1"/>
  <c r="AD121" i="80" s="1"/>
  <c r="AE121" i="80" s="1"/>
  <c r="AF121" i="80" s="1"/>
  <c r="E235" i="80"/>
  <c r="F235" i="80" s="1"/>
  <c r="G235" i="80" s="1"/>
  <c r="H235" i="80" s="1"/>
  <c r="I235" i="80" s="1"/>
  <c r="J235" i="80" s="1"/>
  <c r="K235" i="80" s="1"/>
  <c r="L235" i="80" s="1"/>
  <c r="M235" i="80" s="1"/>
  <c r="N235" i="80" s="1"/>
  <c r="O235" i="80" s="1"/>
  <c r="P235" i="80" s="1"/>
  <c r="Q235" i="80" s="1"/>
  <c r="R235" i="80" s="1"/>
  <c r="S235" i="80" s="1"/>
  <c r="T235" i="80" s="1"/>
  <c r="U235" i="80" s="1"/>
  <c r="V235" i="80" s="1"/>
  <c r="W235" i="80" s="1"/>
  <c r="X235" i="80" s="1"/>
  <c r="Y235" i="80" s="1"/>
  <c r="Z235" i="80" s="1"/>
  <c r="AA235" i="80" s="1"/>
  <c r="AB235" i="80" s="1"/>
  <c r="AC235" i="80" s="1"/>
  <c r="AD235" i="80" s="1"/>
  <c r="AE235" i="80" s="1"/>
  <c r="AF235" i="80" s="1"/>
  <c r="T51" i="80"/>
  <c r="L51" i="80"/>
  <c r="P51" i="80"/>
  <c r="Y51" i="80"/>
  <c r="M51" i="80"/>
  <c r="O279" i="80"/>
  <c r="AC127" i="80"/>
  <c r="G90" i="80"/>
  <c r="F90" i="80"/>
  <c r="N90" i="80"/>
  <c r="I241" i="80"/>
  <c r="M241" i="80"/>
  <c r="R51" i="80"/>
  <c r="G51" i="80"/>
  <c r="H51" i="80"/>
  <c r="AB51" i="80"/>
  <c r="Z51" i="80"/>
  <c r="X51" i="80"/>
  <c r="I279" i="80"/>
  <c r="K127" i="80"/>
  <c r="AD241" i="80"/>
  <c r="V90" i="80"/>
  <c r="Q90" i="80"/>
  <c r="AF90" i="80"/>
  <c r="G203" i="80"/>
  <c r="F203" i="80"/>
  <c r="AB203" i="80"/>
  <c r="V241" i="80"/>
  <c r="H241" i="80"/>
  <c r="H269" i="80" s="1"/>
  <c r="J203" i="80"/>
  <c r="I203" i="80"/>
  <c r="AA203" i="80"/>
  <c r="W203" i="80"/>
  <c r="X203" i="80"/>
  <c r="E197" i="80"/>
  <c r="F197" i="80" s="1"/>
  <c r="G197" i="80" s="1"/>
  <c r="H197" i="80" s="1"/>
  <c r="I197" i="80" s="1"/>
  <c r="J197" i="80" s="1"/>
  <c r="K197" i="80" s="1"/>
  <c r="L197" i="80" s="1"/>
  <c r="M197" i="80" s="1"/>
  <c r="N197" i="80" s="1"/>
  <c r="O197" i="80" s="1"/>
  <c r="P197" i="80" s="1"/>
  <c r="Q197" i="80" s="1"/>
  <c r="R197" i="80" s="1"/>
  <c r="S197" i="80" s="1"/>
  <c r="T197" i="80" s="1"/>
  <c r="U197" i="80" s="1"/>
  <c r="V197" i="80" s="1"/>
  <c r="W197" i="80" s="1"/>
  <c r="X197" i="80" s="1"/>
  <c r="Y197" i="80" s="1"/>
  <c r="Z197" i="80" s="1"/>
  <c r="AA197" i="80" s="1"/>
  <c r="AB197" i="80" s="1"/>
  <c r="AC197" i="80" s="1"/>
  <c r="AD197" i="80" s="1"/>
  <c r="AE197" i="80" s="1"/>
  <c r="AF197" i="80" s="1"/>
  <c r="P203" i="80"/>
  <c r="L203" i="80"/>
  <c r="AD203" i="80"/>
  <c r="AC203" i="80"/>
  <c r="T203" i="80"/>
  <c r="C48" i="60"/>
  <c r="F48" i="60"/>
  <c r="F2" i="47" s="1"/>
  <c r="K48" i="60"/>
  <c r="K2" i="47" s="1"/>
  <c r="I48" i="60"/>
  <c r="I2" i="47" s="1"/>
  <c r="D48" i="60"/>
  <c r="D2" i="47" s="1"/>
  <c r="H48" i="60"/>
  <c r="H2" i="47" s="1"/>
  <c r="G48" i="60"/>
  <c r="C122" i="20"/>
  <c r="E48" i="60"/>
  <c r="E2" i="47" s="1"/>
  <c r="F241" i="80"/>
  <c r="F269" i="80" s="1"/>
  <c r="AC241" i="80"/>
  <c r="E127" i="80"/>
  <c r="E155" i="80" s="1"/>
  <c r="W127" i="80"/>
  <c r="AG52" i="80"/>
  <c r="AD279" i="80"/>
  <c r="F279" i="80"/>
  <c r="AA279" i="80"/>
  <c r="V279" i="80"/>
  <c r="J279" i="80"/>
  <c r="AC279" i="80"/>
  <c r="P279" i="80"/>
  <c r="L279" i="80"/>
  <c r="G279" i="80"/>
  <c r="AB279" i="80"/>
  <c r="H279" i="80"/>
  <c r="AF279" i="80"/>
  <c r="R279" i="80"/>
  <c r="W279" i="80"/>
  <c r="N279" i="80"/>
  <c r="AE279" i="80"/>
  <c r="M127" i="80"/>
  <c r="O127" i="80"/>
  <c r="Z127" i="80"/>
  <c r="J127" i="80"/>
  <c r="V127" i="80"/>
  <c r="S127" i="80"/>
  <c r="N127" i="80"/>
  <c r="G89" i="80"/>
  <c r="I89" i="80"/>
  <c r="E89" i="80"/>
  <c r="E117" i="80" s="1"/>
  <c r="M89" i="80"/>
  <c r="P89" i="80"/>
  <c r="F89" i="80"/>
  <c r="J89" i="80"/>
  <c r="Z89" i="80"/>
  <c r="AF89" i="80"/>
  <c r="K89" i="80"/>
  <c r="H89" i="80"/>
  <c r="Y89" i="80"/>
  <c r="V89" i="80"/>
  <c r="O89" i="80"/>
  <c r="X89" i="80"/>
  <c r="L89" i="80"/>
  <c r="AA89" i="80"/>
  <c r="T89" i="80"/>
  <c r="Q89" i="80"/>
  <c r="AD89" i="80"/>
  <c r="C277" i="80"/>
  <c r="C307" i="80" s="1"/>
  <c r="E277" i="80"/>
  <c r="AE277" i="80"/>
  <c r="AF277" i="80"/>
  <c r="AD277" i="80"/>
  <c r="W277" i="80"/>
  <c r="Y127" i="80"/>
  <c r="I127" i="80"/>
  <c r="R127" i="80"/>
  <c r="F127" i="80"/>
  <c r="AA127" i="80"/>
  <c r="G127" i="80"/>
  <c r="AC90" i="80"/>
  <c r="P90" i="80"/>
  <c r="W90" i="80"/>
  <c r="AA90" i="80"/>
  <c r="R90" i="80"/>
  <c r="I90" i="80"/>
  <c r="H90" i="80"/>
  <c r="E203" i="80"/>
  <c r="E231" i="80" s="1"/>
  <c r="S203" i="80"/>
  <c r="Y203" i="80"/>
  <c r="V203" i="80"/>
  <c r="M203" i="80"/>
  <c r="K203" i="80"/>
  <c r="Z203" i="80"/>
  <c r="H203" i="80"/>
  <c r="Z241" i="80"/>
  <c r="AA241" i="80"/>
  <c r="W241" i="80"/>
  <c r="Y241" i="80"/>
  <c r="P241" i="80"/>
  <c r="X241" i="80"/>
  <c r="K241" i="80"/>
  <c r="AC51" i="80"/>
  <c r="AF51" i="80"/>
  <c r="F51" i="80"/>
  <c r="E51" i="80"/>
  <c r="I51" i="80"/>
  <c r="W51" i="80"/>
  <c r="X279" i="80"/>
  <c r="Y279" i="80"/>
  <c r="E279" i="80"/>
  <c r="E307" i="80" s="1"/>
  <c r="K279" i="80"/>
  <c r="S279" i="80"/>
  <c r="T279" i="80"/>
  <c r="P127" i="80"/>
  <c r="T127" i="80"/>
  <c r="AE127" i="80"/>
  <c r="U127" i="80"/>
  <c r="AF127" i="80"/>
  <c r="Q127" i="80"/>
  <c r="H127" i="80"/>
  <c r="L241" i="80"/>
  <c r="S90" i="80"/>
  <c r="AD90" i="80"/>
  <c r="L90" i="80"/>
  <c r="AB90" i="80"/>
  <c r="Y90" i="80"/>
  <c r="O90" i="80"/>
  <c r="O203" i="80"/>
  <c r="R203" i="80"/>
  <c r="N203" i="80"/>
  <c r="AF203" i="80"/>
  <c r="AE203" i="80"/>
  <c r="U241" i="80"/>
  <c r="S241" i="80"/>
  <c r="E241" i="80"/>
  <c r="J241" i="80"/>
  <c r="AF241" i="80"/>
  <c r="S89" i="80"/>
  <c r="AC89" i="80"/>
  <c r="O241" i="80"/>
  <c r="G241" i="80"/>
  <c r="T241" i="80"/>
  <c r="P11" i="80"/>
  <c r="R11" i="80"/>
  <c r="X11" i="80"/>
  <c r="E11" i="80"/>
  <c r="T11" i="80"/>
  <c r="O11" i="80"/>
  <c r="R59" i="89"/>
  <c r="R64" i="89"/>
  <c r="I11" i="80"/>
  <c r="Y11" i="80"/>
  <c r="D11" i="80"/>
  <c r="D41" i="80" s="1"/>
  <c r="Q11" i="80"/>
  <c r="L11" i="80"/>
  <c r="AF11" i="80"/>
  <c r="AE11" i="80"/>
  <c r="S11" i="80"/>
  <c r="N11" i="80"/>
  <c r="K11" i="80"/>
  <c r="Z11" i="80"/>
  <c r="AD11" i="80"/>
  <c r="J11" i="80"/>
  <c r="G11" i="80"/>
  <c r="AC11" i="80"/>
  <c r="AA11" i="80"/>
  <c r="F11" i="80"/>
  <c r="M11" i="80"/>
  <c r="U11" i="80"/>
  <c r="AB11" i="80"/>
  <c r="C11" i="80"/>
  <c r="C41" i="80" s="1"/>
  <c r="W11" i="80"/>
  <c r="H49" i="80"/>
  <c r="T49" i="80"/>
  <c r="Z49" i="80"/>
  <c r="Y49" i="80"/>
  <c r="AB49" i="80"/>
  <c r="M49" i="80"/>
  <c r="N49" i="80"/>
  <c r="I49" i="80"/>
  <c r="S49" i="80"/>
  <c r="L49" i="80"/>
  <c r="C49" i="80"/>
  <c r="C79" i="80" s="1"/>
  <c r="J49" i="80"/>
  <c r="AA49" i="80"/>
  <c r="O49" i="80"/>
  <c r="P49" i="80"/>
  <c r="Q11" i="74"/>
  <c r="R3" i="74"/>
  <c r="Q8" i="74"/>
  <c r="Q10" i="74"/>
  <c r="Q9" i="74"/>
  <c r="C385" i="80"/>
  <c r="C386" i="80" s="1"/>
  <c r="D386" i="80" s="1"/>
  <c r="U49" i="80"/>
  <c r="R49" i="80"/>
  <c r="F49" i="80"/>
  <c r="X49" i="80"/>
  <c r="D49" i="80"/>
  <c r="D79" i="80" s="1"/>
  <c r="G49" i="80"/>
  <c r="W49" i="80"/>
  <c r="C45" i="80"/>
  <c r="D45" i="80" s="1"/>
  <c r="E45" i="80" s="1"/>
  <c r="F45" i="80" s="1"/>
  <c r="G45" i="80" s="1"/>
  <c r="H45" i="80" s="1"/>
  <c r="I45" i="80" s="1"/>
  <c r="J45" i="80" s="1"/>
  <c r="K45" i="80" s="1"/>
  <c r="L45" i="80" s="1"/>
  <c r="M45" i="80" s="1"/>
  <c r="N45" i="80" s="1"/>
  <c r="O45" i="80" s="1"/>
  <c r="P45" i="80" s="1"/>
  <c r="Q45" i="80" s="1"/>
  <c r="R45" i="80" s="1"/>
  <c r="S45" i="80" s="1"/>
  <c r="T45" i="80" s="1"/>
  <c r="U45" i="80" s="1"/>
  <c r="V45" i="80" s="1"/>
  <c r="W45" i="80" s="1"/>
  <c r="X45" i="80" s="1"/>
  <c r="Y45" i="80" s="1"/>
  <c r="Z45" i="80" s="1"/>
  <c r="AA45" i="80" s="1"/>
  <c r="AB45" i="80" s="1"/>
  <c r="AC45" i="80" s="1"/>
  <c r="AD45" i="80" s="1"/>
  <c r="AE45" i="80" s="1"/>
  <c r="AF45" i="80" s="1"/>
  <c r="V49" i="80"/>
  <c r="E49" i="80"/>
  <c r="AE49" i="80"/>
  <c r="AD49" i="80"/>
  <c r="AC49" i="80"/>
  <c r="Q49" i="80"/>
  <c r="AF49" i="80"/>
  <c r="C367" i="57"/>
  <c r="D367" i="57" s="1"/>
  <c r="R5" i="75"/>
  <c r="R8" i="75"/>
  <c r="R9" i="75" s="1"/>
  <c r="S7" i="75"/>
  <c r="A127" i="57"/>
  <c r="B127" i="57" s="1"/>
  <c r="C126" i="57"/>
  <c r="D126" i="57"/>
  <c r="E126" i="57"/>
  <c r="F126" i="57"/>
  <c r="G126" i="57"/>
  <c r="H126" i="57"/>
  <c r="I126" i="57"/>
  <c r="J126" i="57"/>
  <c r="K126" i="57"/>
  <c r="A163" i="57"/>
  <c r="B163" i="57" s="1"/>
  <c r="C162" i="57"/>
  <c r="D162" i="57"/>
  <c r="E162" i="57"/>
  <c r="F162" i="57"/>
  <c r="G162" i="57"/>
  <c r="H162" i="57"/>
  <c r="I162" i="57"/>
  <c r="J162" i="57"/>
  <c r="K162" i="57"/>
  <c r="A91" i="57"/>
  <c r="B91" i="57" s="1"/>
  <c r="C90" i="57"/>
  <c r="D90" i="57"/>
  <c r="E90" i="57"/>
  <c r="F90" i="57"/>
  <c r="G90" i="57"/>
  <c r="H90" i="57"/>
  <c r="I90" i="57"/>
  <c r="J90" i="57"/>
  <c r="K90" i="57"/>
  <c r="A55" i="57"/>
  <c r="B55" i="57" s="1"/>
  <c r="C54" i="57"/>
  <c r="D54" i="57"/>
  <c r="E54" i="57"/>
  <c r="F54" i="57"/>
  <c r="G54" i="57"/>
  <c r="H54" i="57"/>
  <c r="I54" i="57"/>
  <c r="J54" i="57"/>
  <c r="K54" i="57"/>
  <c r="A199" i="57"/>
  <c r="B199" i="57" s="1"/>
  <c r="C198" i="57"/>
  <c r="D198" i="57"/>
  <c r="E198" i="57"/>
  <c r="F198" i="57"/>
  <c r="G198" i="57"/>
  <c r="H198" i="57"/>
  <c r="I198" i="57"/>
  <c r="J198" i="57"/>
  <c r="K198" i="57"/>
  <c r="N160" i="47"/>
  <c r="N33" i="60" s="1"/>
  <c r="AG16" i="80"/>
  <c r="G6" i="60"/>
  <c r="H15" i="47"/>
  <c r="N17" i="55"/>
  <c r="G80" i="47"/>
  <c r="I54" i="72"/>
  <c r="J41" i="72"/>
  <c r="AG15" i="80"/>
  <c r="I47" i="72"/>
  <c r="J34" i="72"/>
  <c r="C193" i="80"/>
  <c r="AG163" i="80"/>
  <c r="L409" i="80"/>
  <c r="H409" i="80"/>
  <c r="G400" i="80"/>
  <c r="G402" i="80" s="1"/>
  <c r="G441" i="80" s="1"/>
  <c r="G409" i="80"/>
  <c r="O409" i="80"/>
  <c r="K409" i="80"/>
  <c r="W409" i="80"/>
  <c r="I409" i="80"/>
  <c r="AB409" i="80"/>
  <c r="J409" i="80"/>
  <c r="AE409" i="80"/>
  <c r="AC409" i="80"/>
  <c r="T409" i="80"/>
  <c r="Y409" i="80"/>
  <c r="Z409" i="80"/>
  <c r="N409" i="80"/>
  <c r="V409" i="80"/>
  <c r="P409" i="80"/>
  <c r="U409" i="80"/>
  <c r="S409" i="80"/>
  <c r="M409" i="80"/>
  <c r="X409" i="80"/>
  <c r="AA409" i="80"/>
  <c r="AD409" i="80"/>
  <c r="AF409" i="80"/>
  <c r="Q409" i="80"/>
  <c r="R409" i="80"/>
  <c r="AG17" i="80"/>
  <c r="A209" i="80"/>
  <c r="A96" i="80"/>
  <c r="I49" i="72"/>
  <c r="J36" i="72"/>
  <c r="X412" i="80"/>
  <c r="AA412" i="80"/>
  <c r="M412" i="80"/>
  <c r="AC412" i="80"/>
  <c r="Y412" i="80"/>
  <c r="AF412" i="80"/>
  <c r="AB412" i="80"/>
  <c r="O412" i="80"/>
  <c r="T412" i="80"/>
  <c r="Q412" i="80"/>
  <c r="J412" i="80"/>
  <c r="J400" i="80"/>
  <c r="J402" i="80" s="1"/>
  <c r="J441" i="80" s="1"/>
  <c r="R412" i="80"/>
  <c r="P412" i="80"/>
  <c r="W412" i="80"/>
  <c r="S412" i="80"/>
  <c r="AE412" i="80"/>
  <c r="K412" i="80"/>
  <c r="AD412" i="80"/>
  <c r="Z412" i="80"/>
  <c r="V412" i="80"/>
  <c r="U412" i="80"/>
  <c r="N412" i="80"/>
  <c r="L412" i="80"/>
  <c r="M408" i="80"/>
  <c r="AC408" i="80"/>
  <c r="AB408" i="80"/>
  <c r="O408" i="80"/>
  <c r="J408" i="80"/>
  <c r="I408" i="80"/>
  <c r="G408" i="80"/>
  <c r="R408" i="80"/>
  <c r="AF408" i="80"/>
  <c r="K408" i="80"/>
  <c r="F408" i="80"/>
  <c r="Q408" i="80"/>
  <c r="S408" i="80"/>
  <c r="AE408" i="80"/>
  <c r="AA408" i="80"/>
  <c r="H408" i="80"/>
  <c r="U408" i="80"/>
  <c r="W408" i="80"/>
  <c r="AD408" i="80"/>
  <c r="X408" i="80"/>
  <c r="Z408" i="80"/>
  <c r="N408" i="80"/>
  <c r="T408" i="80"/>
  <c r="F400" i="80"/>
  <c r="F402" i="80" s="1"/>
  <c r="F441" i="80" s="1"/>
  <c r="Y408" i="80"/>
  <c r="P408" i="80"/>
  <c r="V408" i="80"/>
  <c r="L408" i="80"/>
  <c r="M28" i="60"/>
  <c r="M95" i="47"/>
  <c r="N95" i="47" s="1"/>
  <c r="O95" i="47" s="1"/>
  <c r="I53" i="72"/>
  <c r="P410" i="80"/>
  <c r="M410" i="80"/>
  <c r="K410" i="80"/>
  <c r="AF410" i="80"/>
  <c r="N410" i="80"/>
  <c r="AC410" i="80"/>
  <c r="AB410" i="80"/>
  <c r="W410" i="80"/>
  <c r="U410" i="80"/>
  <c r="Z410" i="80"/>
  <c r="Y410" i="80"/>
  <c r="Q410" i="80"/>
  <c r="R410" i="80"/>
  <c r="H400" i="80"/>
  <c r="H402" i="80" s="1"/>
  <c r="H441" i="80" s="1"/>
  <c r="AD410" i="80"/>
  <c r="H410" i="80"/>
  <c r="AA410" i="80"/>
  <c r="O410" i="80"/>
  <c r="I410" i="80"/>
  <c r="J410" i="80"/>
  <c r="L410" i="80"/>
  <c r="S410" i="80"/>
  <c r="T410" i="80"/>
  <c r="AE410" i="80"/>
  <c r="V410" i="80"/>
  <c r="X410" i="80"/>
  <c r="AG87" i="80"/>
  <c r="C117" i="80"/>
  <c r="AG201" i="80"/>
  <c r="C231" i="80"/>
  <c r="A247" i="80"/>
  <c r="A361" i="80" s="1"/>
  <c r="A134" i="80"/>
  <c r="I51" i="72"/>
  <c r="J38" i="72"/>
  <c r="A24" i="57"/>
  <c r="B24" i="57" s="1"/>
  <c r="C23" i="57"/>
  <c r="D23" i="57"/>
  <c r="E23" i="57"/>
  <c r="F23" i="57"/>
  <c r="G23" i="57"/>
  <c r="H23" i="57"/>
  <c r="I23" i="57"/>
  <c r="J23" i="57"/>
  <c r="K23" i="57"/>
  <c r="L23" i="57"/>
  <c r="A171" i="80"/>
  <c r="A284" i="80"/>
  <c r="I52" i="72"/>
  <c r="J39" i="72"/>
  <c r="C269" i="80"/>
  <c r="AG239" i="80"/>
  <c r="C383" i="80"/>
  <c r="AG353" i="80"/>
  <c r="R411" i="80"/>
  <c r="AE411" i="80"/>
  <c r="I400" i="80"/>
  <c r="I402" i="80" s="1"/>
  <c r="I441" i="80" s="1"/>
  <c r="Z411" i="80"/>
  <c r="L411" i="80"/>
  <c r="AA411" i="80"/>
  <c r="Q411" i="80"/>
  <c r="I411" i="80"/>
  <c r="Y411" i="80"/>
  <c r="N411" i="80"/>
  <c r="T411" i="80"/>
  <c r="X411" i="80"/>
  <c r="J411" i="80"/>
  <c r="AF411" i="80"/>
  <c r="AD411" i="80"/>
  <c r="AB411" i="80"/>
  <c r="M411" i="80"/>
  <c r="W411" i="80"/>
  <c r="S411" i="80"/>
  <c r="U411" i="80"/>
  <c r="O411" i="80"/>
  <c r="K411" i="80"/>
  <c r="P411" i="80"/>
  <c r="V411" i="80"/>
  <c r="AC411" i="80"/>
  <c r="M406" i="80"/>
  <c r="O406" i="80"/>
  <c r="Q406" i="80"/>
  <c r="X406" i="80"/>
  <c r="P406" i="80"/>
  <c r="H406" i="80"/>
  <c r="K406" i="80"/>
  <c r="AE406" i="80"/>
  <c r="N406" i="80"/>
  <c r="R406" i="80"/>
  <c r="AB406" i="80"/>
  <c r="I406" i="80"/>
  <c r="F406" i="80"/>
  <c r="S406" i="80"/>
  <c r="AA406" i="80"/>
  <c r="T406" i="80"/>
  <c r="U406" i="80"/>
  <c r="Z406" i="80"/>
  <c r="AF406" i="80"/>
  <c r="AC406" i="80"/>
  <c r="J406" i="80"/>
  <c r="G406" i="80"/>
  <c r="D406" i="80"/>
  <c r="E406" i="80"/>
  <c r="W406" i="80"/>
  <c r="V406" i="80"/>
  <c r="Y406" i="80"/>
  <c r="D400" i="80"/>
  <c r="D402" i="80" s="1"/>
  <c r="D441" i="80" s="1"/>
  <c r="L406" i="80"/>
  <c r="AD406" i="80"/>
  <c r="AG12" i="80"/>
  <c r="AG57" i="80"/>
  <c r="I48" i="72"/>
  <c r="J35" i="72"/>
  <c r="C155" i="80"/>
  <c r="AG125" i="80"/>
  <c r="AG315" i="80"/>
  <c r="C345" i="80"/>
  <c r="O2" i="57"/>
  <c r="N21" i="57"/>
  <c r="N22" i="57"/>
  <c r="N23" i="57"/>
  <c r="N24" i="57"/>
  <c r="A414" i="80"/>
  <c r="A21" i="80"/>
  <c r="K407" i="80"/>
  <c r="M407" i="80"/>
  <c r="H407" i="80"/>
  <c r="AB407" i="80"/>
  <c r="X407" i="80"/>
  <c r="G407" i="80"/>
  <c r="E407" i="80"/>
  <c r="I407" i="80"/>
  <c r="W407" i="80"/>
  <c r="N407" i="80"/>
  <c r="R407" i="80"/>
  <c r="Z407" i="80"/>
  <c r="E400" i="80"/>
  <c r="E402" i="80" s="1"/>
  <c r="E441" i="80" s="1"/>
  <c r="L407" i="80"/>
  <c r="V407" i="80"/>
  <c r="O407" i="80"/>
  <c r="Y407" i="80"/>
  <c r="Q407" i="80"/>
  <c r="P407" i="80"/>
  <c r="AE407" i="80"/>
  <c r="S407" i="80"/>
  <c r="AC407" i="80"/>
  <c r="J407" i="80"/>
  <c r="F407" i="80"/>
  <c r="U407" i="80"/>
  <c r="AD407" i="80"/>
  <c r="T407" i="80"/>
  <c r="AF407" i="80"/>
  <c r="AA407" i="80"/>
  <c r="P405" i="80"/>
  <c r="N405" i="80"/>
  <c r="Y405" i="80"/>
  <c r="X405" i="80"/>
  <c r="H405" i="80"/>
  <c r="V405" i="80"/>
  <c r="L405" i="80"/>
  <c r="G405" i="80"/>
  <c r="R405" i="80"/>
  <c r="I405" i="80"/>
  <c r="AC405" i="80"/>
  <c r="AA405" i="80"/>
  <c r="T405" i="80"/>
  <c r="AB405" i="80"/>
  <c r="AF405" i="80"/>
  <c r="C400" i="80"/>
  <c r="C402" i="80" s="1"/>
  <c r="S405" i="80"/>
  <c r="E405" i="80"/>
  <c r="AE405" i="80"/>
  <c r="D405" i="80"/>
  <c r="F405" i="80"/>
  <c r="Q405" i="80"/>
  <c r="J405" i="80"/>
  <c r="M405" i="80"/>
  <c r="W405" i="80"/>
  <c r="C405" i="80"/>
  <c r="AD405" i="80"/>
  <c r="K405" i="80"/>
  <c r="U405" i="80"/>
  <c r="Z405" i="80"/>
  <c r="O405" i="80"/>
  <c r="I55" i="72"/>
  <c r="J42" i="72"/>
  <c r="W362" i="80"/>
  <c r="AF362" i="80"/>
  <c r="U362" i="80"/>
  <c r="P362" i="80"/>
  <c r="Y362" i="80"/>
  <c r="M362" i="80"/>
  <c r="L362" i="80"/>
  <c r="T362" i="80"/>
  <c r="N362" i="80"/>
  <c r="O362" i="80"/>
  <c r="AD362" i="80"/>
  <c r="S362" i="80"/>
  <c r="V362" i="80"/>
  <c r="X362" i="80"/>
  <c r="AA362" i="80"/>
  <c r="AE362" i="80"/>
  <c r="L360" i="80"/>
  <c r="AB362" i="80"/>
  <c r="AC362" i="80"/>
  <c r="R362" i="80"/>
  <c r="Z362" i="80"/>
  <c r="Q362" i="80"/>
  <c r="AB134" i="80"/>
  <c r="L132" i="80"/>
  <c r="Q134" i="80"/>
  <c r="W134" i="80"/>
  <c r="Y134" i="80"/>
  <c r="AC134" i="80"/>
  <c r="AF134" i="80"/>
  <c r="S134" i="80"/>
  <c r="U134" i="80"/>
  <c r="AA134" i="80"/>
  <c r="O134" i="80"/>
  <c r="L134" i="80"/>
  <c r="P134" i="80"/>
  <c r="Z134" i="80"/>
  <c r="N134" i="80"/>
  <c r="AE134" i="80"/>
  <c r="M134" i="80"/>
  <c r="X134" i="80"/>
  <c r="T134" i="80"/>
  <c r="AD134" i="80"/>
  <c r="V134" i="80"/>
  <c r="R134" i="80"/>
  <c r="AG171" i="80"/>
  <c r="AG323" i="80"/>
  <c r="X286" i="80"/>
  <c r="Y286" i="80"/>
  <c r="L286" i="80"/>
  <c r="W286" i="80"/>
  <c r="V286" i="80"/>
  <c r="AD286" i="80"/>
  <c r="P286" i="80"/>
  <c r="T286" i="80"/>
  <c r="Q286" i="80"/>
  <c r="AE286" i="80"/>
  <c r="AF286" i="80"/>
  <c r="AC286" i="80"/>
  <c r="O286" i="80"/>
  <c r="M286" i="80"/>
  <c r="S286" i="80"/>
  <c r="N286" i="80"/>
  <c r="AA286" i="80"/>
  <c r="R286" i="80"/>
  <c r="AB286" i="80"/>
  <c r="Z286" i="80"/>
  <c r="U286" i="80"/>
  <c r="L284" i="80"/>
  <c r="O96" i="80"/>
  <c r="AC96" i="80"/>
  <c r="R96" i="80"/>
  <c r="AD96" i="80"/>
  <c r="AA96" i="80"/>
  <c r="T96" i="80"/>
  <c r="AB96" i="80"/>
  <c r="AE96" i="80"/>
  <c r="Z96" i="80"/>
  <c r="Q96" i="80"/>
  <c r="P96" i="80"/>
  <c r="M96" i="80"/>
  <c r="N96" i="80"/>
  <c r="Y96" i="80"/>
  <c r="X96" i="80"/>
  <c r="AF96" i="80"/>
  <c r="L96" i="80"/>
  <c r="S96" i="80"/>
  <c r="U96" i="80"/>
  <c r="L94" i="80"/>
  <c r="V96" i="80"/>
  <c r="W96" i="80"/>
  <c r="T324" i="80"/>
  <c r="AD324" i="80"/>
  <c r="L322" i="80"/>
  <c r="X324" i="80"/>
  <c r="AF324" i="80"/>
  <c r="AE324" i="80"/>
  <c r="Z324" i="80"/>
  <c r="L324" i="80"/>
  <c r="AC324" i="80"/>
  <c r="W324" i="80"/>
  <c r="Y324" i="80"/>
  <c r="R324" i="80"/>
  <c r="M324" i="80"/>
  <c r="N324" i="80"/>
  <c r="U324" i="80"/>
  <c r="S324" i="80"/>
  <c r="AB324" i="80"/>
  <c r="P324" i="80"/>
  <c r="Q324" i="80"/>
  <c r="O324" i="80"/>
  <c r="AA324" i="80"/>
  <c r="V324" i="80"/>
  <c r="AG133" i="80"/>
  <c r="AG413" i="80"/>
  <c r="K441" i="80"/>
  <c r="M48" i="60"/>
  <c r="N4" i="60"/>
  <c r="AG285" i="80"/>
  <c r="Y58" i="80"/>
  <c r="T58" i="80"/>
  <c r="Q58" i="80"/>
  <c r="AE58" i="80"/>
  <c r="S58" i="80"/>
  <c r="Z58" i="80"/>
  <c r="M58" i="80"/>
  <c r="W58" i="80"/>
  <c r="AB58" i="80"/>
  <c r="O58" i="80"/>
  <c r="L56" i="80"/>
  <c r="AF58" i="80"/>
  <c r="V58" i="80"/>
  <c r="P58" i="80"/>
  <c r="AA58" i="80"/>
  <c r="AC58" i="80"/>
  <c r="N58" i="80"/>
  <c r="L58" i="80"/>
  <c r="AD58" i="80"/>
  <c r="U58" i="80"/>
  <c r="X58" i="80"/>
  <c r="R58" i="80"/>
  <c r="X248" i="80"/>
  <c r="U248" i="80"/>
  <c r="L246" i="80"/>
  <c r="L248" i="80"/>
  <c r="M248" i="80"/>
  <c r="W248" i="80"/>
  <c r="AD248" i="80"/>
  <c r="S248" i="80"/>
  <c r="V248" i="80"/>
  <c r="Z248" i="80"/>
  <c r="R248" i="80"/>
  <c r="Q248" i="80"/>
  <c r="Y248" i="80"/>
  <c r="O248" i="80"/>
  <c r="P248" i="80"/>
  <c r="AC248" i="80"/>
  <c r="AE248" i="80"/>
  <c r="N248" i="80"/>
  <c r="AA248" i="80"/>
  <c r="T248" i="80"/>
  <c r="AF248" i="80"/>
  <c r="AB248" i="80"/>
  <c r="L2" i="47"/>
  <c r="O414" i="80"/>
  <c r="L414" i="80"/>
  <c r="Z414" i="80"/>
  <c r="X414" i="80"/>
  <c r="AC414" i="80"/>
  <c r="T414" i="80"/>
  <c r="V414" i="80"/>
  <c r="N414" i="80"/>
  <c r="P414" i="80"/>
  <c r="M414" i="80"/>
  <c r="AA414" i="80"/>
  <c r="L400" i="80"/>
  <c r="L402" i="80" s="1"/>
  <c r="L441" i="80" s="1"/>
  <c r="AE414" i="80"/>
  <c r="W414" i="80"/>
  <c r="AF414" i="80"/>
  <c r="Q414" i="80"/>
  <c r="R414" i="80"/>
  <c r="S414" i="80"/>
  <c r="AB414" i="80"/>
  <c r="AD414" i="80"/>
  <c r="Y414" i="80"/>
  <c r="U414" i="80"/>
  <c r="AB210" i="80"/>
  <c r="AF210" i="80"/>
  <c r="Q210" i="80"/>
  <c r="P210" i="80"/>
  <c r="AE210" i="80"/>
  <c r="AA210" i="80"/>
  <c r="M210" i="80"/>
  <c r="AC210" i="80"/>
  <c r="O210" i="80"/>
  <c r="AD210" i="80"/>
  <c r="N210" i="80"/>
  <c r="L208" i="80"/>
  <c r="Y210" i="80"/>
  <c r="Z210" i="80"/>
  <c r="U210" i="80"/>
  <c r="L210" i="80"/>
  <c r="X210" i="80"/>
  <c r="V210" i="80"/>
  <c r="T210" i="80"/>
  <c r="S210" i="80"/>
  <c r="R210" i="80"/>
  <c r="W210" i="80"/>
  <c r="AF172" i="80"/>
  <c r="X172" i="80"/>
  <c r="M172" i="80"/>
  <c r="L172" i="80"/>
  <c r="AD172" i="80"/>
  <c r="R172" i="80"/>
  <c r="T172" i="80"/>
  <c r="O172" i="80"/>
  <c r="S172" i="80"/>
  <c r="Q172" i="80"/>
  <c r="W172" i="80"/>
  <c r="N172" i="80"/>
  <c r="AA172" i="80"/>
  <c r="AE172" i="80"/>
  <c r="P172" i="80"/>
  <c r="L170" i="80"/>
  <c r="V172" i="80"/>
  <c r="Y172" i="80"/>
  <c r="AC172" i="80"/>
  <c r="Z172" i="80"/>
  <c r="AB172" i="80"/>
  <c r="U172" i="80"/>
  <c r="AG95" i="80"/>
  <c r="AG247" i="80"/>
  <c r="X20" i="80"/>
  <c r="L18" i="80"/>
  <c r="AC20" i="80"/>
  <c r="AA20" i="80"/>
  <c r="Z20" i="80"/>
  <c r="Q20" i="80"/>
  <c r="W20" i="80"/>
  <c r="V20" i="80"/>
  <c r="AD20" i="80"/>
  <c r="AB20" i="80"/>
  <c r="AE20" i="80"/>
  <c r="O20" i="80"/>
  <c r="T20" i="80"/>
  <c r="M20" i="80"/>
  <c r="L20" i="80"/>
  <c r="AF20" i="80"/>
  <c r="U20" i="80"/>
  <c r="P20" i="80"/>
  <c r="R20" i="80"/>
  <c r="S20" i="80"/>
  <c r="N20" i="80"/>
  <c r="Y20" i="80"/>
  <c r="M200" i="80"/>
  <c r="M162" i="80"/>
  <c r="M352" i="80"/>
  <c r="M238" i="80"/>
  <c r="M314" i="80"/>
  <c r="M48" i="80"/>
  <c r="M124" i="80"/>
  <c r="N2" i="80"/>
  <c r="M276" i="80"/>
  <c r="M401" i="80"/>
  <c r="M10" i="80"/>
  <c r="M446" i="80"/>
  <c r="M4" i="80"/>
  <c r="M86" i="80"/>
  <c r="AG361" i="80"/>
  <c r="AG209" i="80"/>
  <c r="P4" i="47"/>
  <c r="O27" i="47"/>
  <c r="O35" i="47"/>
  <c r="O49" i="47" s="1"/>
  <c r="O28" i="47"/>
  <c r="O159" i="47"/>
  <c r="O40" i="60" s="1"/>
  <c r="AG19" i="80"/>
  <c r="AD24" i="55"/>
  <c r="W24" i="55"/>
  <c r="X24" i="55" s="1"/>
  <c r="B25" i="55"/>
  <c r="BM29" i="75" l="1"/>
  <c r="BM17" i="75"/>
  <c r="BM43" i="75" s="1"/>
  <c r="BM32" i="75"/>
  <c r="BM49" i="75"/>
  <c r="BM47" i="75"/>
  <c r="BM31" i="75"/>
  <c r="BM28" i="75"/>
  <c r="BM41" i="75"/>
  <c r="AR74" i="89"/>
  <c r="AS54" i="89"/>
  <c r="AS69" i="89" s="1"/>
  <c r="H37" i="72"/>
  <c r="K155" i="80"/>
  <c r="F345" i="80"/>
  <c r="AK27" i="72"/>
  <c r="F258" i="57" s="1"/>
  <c r="F272" i="80" s="1"/>
  <c r="F273" i="80" s="1"/>
  <c r="G273" i="80" s="1"/>
  <c r="H273" i="80" s="1"/>
  <c r="I273" i="80" s="1"/>
  <c r="J273" i="80" s="1"/>
  <c r="K273" i="80" s="1"/>
  <c r="L273" i="80" s="1"/>
  <c r="M273" i="80" s="1"/>
  <c r="N273" i="80" s="1"/>
  <c r="O273" i="80" s="1"/>
  <c r="P273" i="80" s="1"/>
  <c r="Q273" i="80" s="1"/>
  <c r="R273" i="80" s="1"/>
  <c r="S273" i="80" s="1"/>
  <c r="T273" i="80" s="1"/>
  <c r="U273" i="80" s="1"/>
  <c r="V273" i="80" s="1"/>
  <c r="W273" i="80" s="1"/>
  <c r="X273" i="80" s="1"/>
  <c r="Y273" i="80" s="1"/>
  <c r="Z273" i="80" s="1"/>
  <c r="AA273" i="80" s="1"/>
  <c r="AB273" i="80" s="1"/>
  <c r="AC273" i="80" s="1"/>
  <c r="AD273" i="80" s="1"/>
  <c r="AE273" i="80" s="1"/>
  <c r="AF273" i="80" s="1"/>
  <c r="K345" i="80"/>
  <c r="H345" i="80"/>
  <c r="J345" i="80"/>
  <c r="AG317" i="80"/>
  <c r="AG318" i="80"/>
  <c r="G345" i="80"/>
  <c r="J383" i="80"/>
  <c r="F383" i="80"/>
  <c r="K383" i="80"/>
  <c r="AG356" i="80"/>
  <c r="H383" i="80"/>
  <c r="G383" i="80"/>
  <c r="AG355" i="80"/>
  <c r="H231" i="80"/>
  <c r="H155" i="80"/>
  <c r="K231" i="80"/>
  <c r="A308" i="57"/>
  <c r="F307" i="57"/>
  <c r="C307" i="57"/>
  <c r="H307" i="57"/>
  <c r="G307" i="57"/>
  <c r="L307" i="57"/>
  <c r="E307" i="57"/>
  <c r="K307" i="57"/>
  <c r="I307" i="57"/>
  <c r="J307" i="57"/>
  <c r="D307" i="57"/>
  <c r="B307" i="57"/>
  <c r="A272" i="57"/>
  <c r="H271" i="57"/>
  <c r="D271" i="57"/>
  <c r="E271" i="57"/>
  <c r="I271" i="57"/>
  <c r="F271" i="57"/>
  <c r="C271" i="57"/>
  <c r="J271" i="57"/>
  <c r="G271" i="57"/>
  <c r="K271" i="57"/>
  <c r="L271" i="57"/>
  <c r="B271" i="57"/>
  <c r="A236" i="57"/>
  <c r="G235" i="57"/>
  <c r="L235" i="57"/>
  <c r="C235" i="57"/>
  <c r="H235" i="57"/>
  <c r="D235" i="57"/>
  <c r="I235" i="57"/>
  <c r="E235" i="57"/>
  <c r="K235" i="57"/>
  <c r="J235" i="57"/>
  <c r="F235" i="57"/>
  <c r="B235" i="57"/>
  <c r="J155" i="80"/>
  <c r="G117" i="80"/>
  <c r="F117" i="80"/>
  <c r="J269" i="80"/>
  <c r="K117" i="80"/>
  <c r="F231" i="80"/>
  <c r="J231" i="80"/>
  <c r="J79" i="80"/>
  <c r="G269" i="80"/>
  <c r="G79" i="80"/>
  <c r="AG165" i="80"/>
  <c r="AG242" i="80"/>
  <c r="G155" i="80"/>
  <c r="I155" i="80"/>
  <c r="I231" i="80"/>
  <c r="I269" i="80"/>
  <c r="AG204" i="80"/>
  <c r="G231" i="80"/>
  <c r="AG128" i="80"/>
  <c r="J117" i="80"/>
  <c r="F155" i="80"/>
  <c r="F79" i="80"/>
  <c r="H79" i="80"/>
  <c r="K269" i="80"/>
  <c r="I79" i="80"/>
  <c r="H117" i="80"/>
  <c r="AG51" i="80"/>
  <c r="G2" i="47"/>
  <c r="C2" i="47"/>
  <c r="C50" i="60"/>
  <c r="D50" i="60" s="1"/>
  <c r="E50" i="60" s="1"/>
  <c r="F50" i="60" s="1"/>
  <c r="G50" i="60" s="1"/>
  <c r="H50" i="60" s="1"/>
  <c r="I50" i="60" s="1"/>
  <c r="J50" i="60" s="1"/>
  <c r="K50" i="60" s="1"/>
  <c r="L50" i="60" s="1"/>
  <c r="M50" i="60" s="1"/>
  <c r="AG203" i="80"/>
  <c r="AG277" i="80"/>
  <c r="AG127" i="80"/>
  <c r="AG89" i="80"/>
  <c r="AG90" i="80"/>
  <c r="AG279" i="80"/>
  <c r="AG241" i="80"/>
  <c r="E269" i="80"/>
  <c r="E79" i="80"/>
  <c r="I117" i="80"/>
  <c r="D388" i="80"/>
  <c r="D391" i="80" s="1"/>
  <c r="AG11" i="80"/>
  <c r="R74" i="89"/>
  <c r="S49" i="89"/>
  <c r="R10" i="74"/>
  <c r="R11" i="74"/>
  <c r="S3" i="74"/>
  <c r="R9" i="74"/>
  <c r="R8" i="74"/>
  <c r="AG49" i="80"/>
  <c r="S8" i="75"/>
  <c r="S9" i="75" s="1"/>
  <c r="T7" i="75"/>
  <c r="S5" i="75"/>
  <c r="D435" i="80"/>
  <c r="D442" i="80" s="1"/>
  <c r="A164" i="57"/>
  <c r="B164" i="57" s="1"/>
  <c r="C163" i="57"/>
  <c r="D163" i="57"/>
  <c r="E163" i="57"/>
  <c r="F163" i="57"/>
  <c r="G163" i="57"/>
  <c r="H163" i="57"/>
  <c r="I163" i="57"/>
  <c r="J163" i="57"/>
  <c r="K163" i="57"/>
  <c r="L163" i="57"/>
  <c r="A128" i="57"/>
  <c r="B128" i="57" s="1"/>
  <c r="C127" i="57"/>
  <c r="D127" i="57"/>
  <c r="E127" i="57"/>
  <c r="F127" i="57"/>
  <c r="G127" i="57"/>
  <c r="H127" i="57"/>
  <c r="I127" i="57"/>
  <c r="J127" i="57"/>
  <c r="K127" i="57"/>
  <c r="L127" i="57"/>
  <c r="A92" i="57"/>
  <c r="B92" i="57" s="1"/>
  <c r="C91" i="57"/>
  <c r="D91" i="57"/>
  <c r="E91" i="57"/>
  <c r="F91" i="57"/>
  <c r="G91" i="57"/>
  <c r="H91" i="57"/>
  <c r="I91" i="57"/>
  <c r="J91" i="57"/>
  <c r="K91" i="57"/>
  <c r="L91" i="57"/>
  <c r="A200" i="57"/>
  <c r="B200" i="57" s="1"/>
  <c r="C199" i="57"/>
  <c r="D199" i="57"/>
  <c r="E199" i="57"/>
  <c r="F199" i="57"/>
  <c r="G199" i="57"/>
  <c r="H199" i="57"/>
  <c r="I199" i="57"/>
  <c r="J199" i="57"/>
  <c r="K199" i="57"/>
  <c r="L199" i="57"/>
  <c r="A56" i="57"/>
  <c r="B56" i="57" s="1"/>
  <c r="C55" i="57"/>
  <c r="D55" i="57"/>
  <c r="E55" i="57"/>
  <c r="F55" i="57"/>
  <c r="G55" i="57"/>
  <c r="H55" i="57"/>
  <c r="I55" i="57"/>
  <c r="J55" i="57"/>
  <c r="K55" i="57"/>
  <c r="L55" i="57"/>
  <c r="H435" i="80"/>
  <c r="H442" i="80" s="1"/>
  <c r="L231" i="80"/>
  <c r="L155" i="80"/>
  <c r="K435" i="80"/>
  <c r="K442" i="80" s="1"/>
  <c r="G435" i="80"/>
  <c r="G442" i="80" s="1"/>
  <c r="N18" i="55"/>
  <c r="H6" i="60"/>
  <c r="I15" i="47"/>
  <c r="H80" i="47"/>
  <c r="M44" i="60"/>
  <c r="N28" i="60"/>
  <c r="J51" i="72"/>
  <c r="K38" i="72"/>
  <c r="J49" i="72"/>
  <c r="K36" i="72"/>
  <c r="AG406" i="80"/>
  <c r="AG411" i="80"/>
  <c r="J55" i="72"/>
  <c r="K42" i="72"/>
  <c r="C435" i="80"/>
  <c r="C442" i="80" s="1"/>
  <c r="AG405" i="80"/>
  <c r="E435" i="80"/>
  <c r="E442" i="80" s="1"/>
  <c r="I435" i="80"/>
  <c r="I442" i="80" s="1"/>
  <c r="AG407" i="80"/>
  <c r="P2" i="57"/>
  <c r="O24" i="57"/>
  <c r="O22" i="57"/>
  <c r="O23" i="57"/>
  <c r="J48" i="72"/>
  <c r="K35" i="72"/>
  <c r="A135" i="80"/>
  <c r="A248" i="80"/>
  <c r="A362" i="80" s="1"/>
  <c r="AG410" i="80"/>
  <c r="J53" i="72"/>
  <c r="K40" i="72"/>
  <c r="C441" i="80"/>
  <c r="J54" i="72"/>
  <c r="K41" i="72"/>
  <c r="L435" i="80"/>
  <c r="L444" i="80" s="1"/>
  <c r="L101" i="47" s="1"/>
  <c r="J435" i="80"/>
  <c r="J442" i="80" s="1"/>
  <c r="A22" i="80"/>
  <c r="A415" i="80"/>
  <c r="AG58" i="80"/>
  <c r="F435" i="80"/>
  <c r="F442" i="80" s="1"/>
  <c r="C388" i="80"/>
  <c r="J52" i="72"/>
  <c r="K39" i="72"/>
  <c r="A172" i="80"/>
  <c r="A285" i="80"/>
  <c r="A25" i="57"/>
  <c r="C24" i="57"/>
  <c r="D24" i="57"/>
  <c r="E24" i="57"/>
  <c r="F24" i="57"/>
  <c r="G24" i="57"/>
  <c r="H24" i="57"/>
  <c r="I24" i="57"/>
  <c r="J24" i="57"/>
  <c r="K24" i="57"/>
  <c r="L24" i="57"/>
  <c r="M24" i="57"/>
  <c r="AG408" i="80"/>
  <c r="AG412" i="80"/>
  <c r="A210" i="80"/>
  <c r="A97" i="80"/>
  <c r="AG409" i="80"/>
  <c r="J47" i="72"/>
  <c r="K34" i="72"/>
  <c r="AC97" i="80"/>
  <c r="M97" i="80"/>
  <c r="AA97" i="80"/>
  <c r="T97" i="80"/>
  <c r="AB97" i="80"/>
  <c r="Z97" i="80"/>
  <c r="O97" i="80"/>
  <c r="AD97" i="80"/>
  <c r="X97" i="80"/>
  <c r="V97" i="80"/>
  <c r="U97" i="80"/>
  <c r="W97" i="80"/>
  <c r="N97" i="80"/>
  <c r="Q97" i="80"/>
  <c r="S97" i="80"/>
  <c r="AF97" i="80"/>
  <c r="R97" i="80"/>
  <c r="AE97" i="80"/>
  <c r="Y97" i="80"/>
  <c r="P97" i="80"/>
  <c r="M94" i="80"/>
  <c r="T59" i="80"/>
  <c r="S59" i="80"/>
  <c r="X59" i="80"/>
  <c r="AE59" i="80"/>
  <c r="M56" i="80"/>
  <c r="R59" i="80"/>
  <c r="P59" i="80"/>
  <c r="AA59" i="80"/>
  <c r="AC59" i="80"/>
  <c r="AF59" i="80"/>
  <c r="Z59" i="80"/>
  <c r="Q59" i="80"/>
  <c r="AD59" i="80"/>
  <c r="AB59" i="80"/>
  <c r="U59" i="80"/>
  <c r="Y59" i="80"/>
  <c r="W59" i="80"/>
  <c r="V59" i="80"/>
  <c r="M59" i="80"/>
  <c r="O59" i="80"/>
  <c r="N59" i="80"/>
  <c r="AG248" i="80"/>
  <c r="V325" i="80"/>
  <c r="AA325" i="80"/>
  <c r="S325" i="80"/>
  <c r="T325" i="80"/>
  <c r="Q325" i="80"/>
  <c r="R325" i="80"/>
  <c r="AD325" i="80"/>
  <c r="M325" i="80"/>
  <c r="Z325" i="80"/>
  <c r="X325" i="80"/>
  <c r="Y325" i="80"/>
  <c r="U325" i="80"/>
  <c r="N325" i="80"/>
  <c r="M322" i="80"/>
  <c r="P325" i="80"/>
  <c r="AB325" i="80"/>
  <c r="W325" i="80"/>
  <c r="AF325" i="80"/>
  <c r="O325" i="80"/>
  <c r="AE325" i="80"/>
  <c r="AC325" i="80"/>
  <c r="AG20" i="80"/>
  <c r="AG414" i="80"/>
  <c r="L269" i="80"/>
  <c r="L345" i="80"/>
  <c r="AG96" i="80"/>
  <c r="AG286" i="80"/>
  <c r="AG362" i="80"/>
  <c r="O160" i="47"/>
  <c r="O33" i="60" s="1"/>
  <c r="Q4" i="47"/>
  <c r="P95" i="47"/>
  <c r="P35" i="47"/>
  <c r="P49" i="47" s="1"/>
  <c r="P159" i="47"/>
  <c r="P40" i="60" s="1"/>
  <c r="P27" i="47"/>
  <c r="P28" i="47"/>
  <c r="N401" i="80"/>
  <c r="N314" i="80"/>
  <c r="N352" i="80"/>
  <c r="N124" i="80"/>
  <c r="N48" i="80"/>
  <c r="N276" i="80"/>
  <c r="N446" i="80"/>
  <c r="N200" i="80"/>
  <c r="N10" i="80"/>
  <c r="N4" i="80"/>
  <c r="N162" i="80"/>
  <c r="N238" i="80"/>
  <c r="N86" i="80"/>
  <c r="O2" i="80"/>
  <c r="X249" i="80"/>
  <c r="U249" i="80"/>
  <c r="AE249" i="80"/>
  <c r="O249" i="80"/>
  <c r="T249" i="80"/>
  <c r="S249" i="80"/>
  <c r="M246" i="80"/>
  <c r="AB249" i="80"/>
  <c r="Y249" i="80"/>
  <c r="Z249" i="80"/>
  <c r="M249" i="80"/>
  <c r="AF249" i="80"/>
  <c r="AA249" i="80"/>
  <c r="P249" i="80"/>
  <c r="AC249" i="80"/>
  <c r="W249" i="80"/>
  <c r="AD249" i="80"/>
  <c r="V249" i="80"/>
  <c r="N249" i="80"/>
  <c r="Q249" i="80"/>
  <c r="R249" i="80"/>
  <c r="N48" i="60"/>
  <c r="O4" i="60"/>
  <c r="L117" i="80"/>
  <c r="AG134" i="80"/>
  <c r="Z415" i="80"/>
  <c r="Q415" i="80"/>
  <c r="AF415" i="80"/>
  <c r="AA415" i="80"/>
  <c r="M415" i="80"/>
  <c r="T415" i="80"/>
  <c r="AB415" i="80"/>
  <c r="M400" i="80"/>
  <c r="M402" i="80" s="1"/>
  <c r="M441" i="80" s="1"/>
  <c r="R415" i="80"/>
  <c r="V415" i="80"/>
  <c r="O415" i="80"/>
  <c r="N415" i="80"/>
  <c r="AC415" i="80"/>
  <c r="S415" i="80"/>
  <c r="U415" i="80"/>
  <c r="Y415" i="80"/>
  <c r="X415" i="80"/>
  <c r="P415" i="80"/>
  <c r="AD415" i="80"/>
  <c r="W415" i="80"/>
  <c r="AE415" i="80"/>
  <c r="M170" i="80"/>
  <c r="AD173" i="80"/>
  <c r="O173" i="80"/>
  <c r="Z173" i="80"/>
  <c r="N173" i="80"/>
  <c r="Q173" i="80"/>
  <c r="U173" i="80"/>
  <c r="R173" i="80"/>
  <c r="AA173" i="80"/>
  <c r="Y173" i="80"/>
  <c r="AC173" i="80"/>
  <c r="V173" i="80"/>
  <c r="AB173" i="80"/>
  <c r="S173" i="80"/>
  <c r="P173" i="80"/>
  <c r="M173" i="80"/>
  <c r="AF173" i="80"/>
  <c r="W173" i="80"/>
  <c r="X173" i="80"/>
  <c r="T173" i="80"/>
  <c r="AE173" i="80"/>
  <c r="AG324" i="80"/>
  <c r="U287" i="80"/>
  <c r="O287" i="80"/>
  <c r="S287" i="80"/>
  <c r="R287" i="80"/>
  <c r="T287" i="80"/>
  <c r="M284" i="80"/>
  <c r="AE287" i="80"/>
  <c r="AD287" i="80"/>
  <c r="AF287" i="80"/>
  <c r="N287" i="80"/>
  <c r="AA287" i="80"/>
  <c r="M287" i="80"/>
  <c r="W287" i="80"/>
  <c r="Z287" i="80"/>
  <c r="V287" i="80"/>
  <c r="Y287" i="80"/>
  <c r="AC287" i="80"/>
  <c r="P287" i="80"/>
  <c r="Q287" i="80"/>
  <c r="AB287" i="80"/>
  <c r="X287" i="80"/>
  <c r="AE211" i="80"/>
  <c r="W211" i="80"/>
  <c r="M211" i="80"/>
  <c r="Y211" i="80"/>
  <c r="T211" i="80"/>
  <c r="AA211" i="80"/>
  <c r="U211" i="80"/>
  <c r="P211" i="80"/>
  <c r="N211" i="80"/>
  <c r="R211" i="80"/>
  <c r="M208" i="80"/>
  <c r="M231" i="80" s="1"/>
  <c r="AF211" i="80"/>
  <c r="AB211" i="80"/>
  <c r="X211" i="80"/>
  <c r="O211" i="80"/>
  <c r="AD211" i="80"/>
  <c r="Z211" i="80"/>
  <c r="V211" i="80"/>
  <c r="S211" i="80"/>
  <c r="AC211" i="80"/>
  <c r="Q211" i="80"/>
  <c r="AG210" i="80"/>
  <c r="AB21" i="80"/>
  <c r="AC21" i="80"/>
  <c r="AE21" i="80"/>
  <c r="V21" i="80"/>
  <c r="AA21" i="80"/>
  <c r="R21" i="80"/>
  <c r="M18" i="80"/>
  <c r="M21" i="80"/>
  <c r="N21" i="80"/>
  <c r="Q21" i="80"/>
  <c r="W21" i="80"/>
  <c r="P21" i="80"/>
  <c r="U21" i="80"/>
  <c r="X21" i="80"/>
  <c r="AD21" i="80"/>
  <c r="T21" i="80"/>
  <c r="Y21" i="80"/>
  <c r="Z21" i="80"/>
  <c r="O21" i="80"/>
  <c r="S21" i="80"/>
  <c r="AF21" i="80"/>
  <c r="P135" i="80"/>
  <c r="R135" i="80"/>
  <c r="Z135" i="80"/>
  <c r="Q135" i="80"/>
  <c r="AB135" i="80"/>
  <c r="O135" i="80"/>
  <c r="M135" i="80"/>
  <c r="M132" i="80"/>
  <c r="AC135" i="80"/>
  <c r="S135" i="80"/>
  <c r="N135" i="80"/>
  <c r="AA135" i="80"/>
  <c r="AE135" i="80"/>
  <c r="X135" i="80"/>
  <c r="V135" i="80"/>
  <c r="AF135" i="80"/>
  <c r="Y135" i="80"/>
  <c r="AD135" i="80"/>
  <c r="W135" i="80"/>
  <c r="T135" i="80"/>
  <c r="U135" i="80"/>
  <c r="N363" i="80"/>
  <c r="AF363" i="80"/>
  <c r="Y363" i="80"/>
  <c r="V363" i="80"/>
  <c r="X363" i="80"/>
  <c r="Q363" i="80"/>
  <c r="R363" i="80"/>
  <c r="AA363" i="80"/>
  <c r="M360" i="80"/>
  <c r="T363" i="80"/>
  <c r="AB363" i="80"/>
  <c r="AC363" i="80"/>
  <c r="O363" i="80"/>
  <c r="U363" i="80"/>
  <c r="AD363" i="80"/>
  <c r="M363" i="80"/>
  <c r="S363" i="80"/>
  <c r="W363" i="80"/>
  <c r="P363" i="80"/>
  <c r="AE363" i="80"/>
  <c r="Z363" i="80"/>
  <c r="AG172" i="80"/>
  <c r="L79" i="80"/>
  <c r="M2" i="47"/>
  <c r="L383" i="80"/>
  <c r="AD25" i="55"/>
  <c r="W25" i="55"/>
  <c r="X25" i="55" s="1"/>
  <c r="B26" i="55"/>
  <c r="BM35" i="75" l="1"/>
  <c r="BM36" i="75" s="1"/>
  <c r="F259" i="57"/>
  <c r="G259" i="57" s="1"/>
  <c r="H259" i="57" s="1"/>
  <c r="I259" i="57" s="1"/>
  <c r="J259" i="57" s="1"/>
  <c r="K259" i="57" s="1"/>
  <c r="L259" i="57" s="1"/>
  <c r="M259" i="57" s="1"/>
  <c r="N259" i="57" s="1"/>
  <c r="O259" i="57" s="1"/>
  <c r="P259" i="57" s="1"/>
  <c r="Q259" i="57" s="1"/>
  <c r="R259" i="57" s="1"/>
  <c r="S259" i="57" s="1"/>
  <c r="T259" i="57" s="1"/>
  <c r="U259" i="57" s="1"/>
  <c r="V259" i="57" s="1"/>
  <c r="W259" i="57" s="1"/>
  <c r="X259" i="57" s="1"/>
  <c r="Y259" i="57" s="1"/>
  <c r="Z259" i="57" s="1"/>
  <c r="AA259" i="57" s="1"/>
  <c r="AB259" i="57" s="1"/>
  <c r="AC259" i="57" s="1"/>
  <c r="AD259" i="57" s="1"/>
  <c r="AE259" i="57" s="1"/>
  <c r="AF259" i="57" s="1"/>
  <c r="B264" i="57"/>
  <c r="H50" i="72"/>
  <c r="I37" i="72"/>
  <c r="AT54" i="89"/>
  <c r="AT69" i="89" s="1"/>
  <c r="AS74" i="89"/>
  <c r="O25" i="57"/>
  <c r="B25" i="57"/>
  <c r="A237" i="57"/>
  <c r="G236" i="57"/>
  <c r="L236" i="57"/>
  <c r="C236" i="57"/>
  <c r="H236" i="57"/>
  <c r="D236" i="57"/>
  <c r="J236" i="57"/>
  <c r="F236" i="57"/>
  <c r="K236" i="57"/>
  <c r="E236" i="57"/>
  <c r="M236" i="57"/>
  <c r="I236" i="57"/>
  <c r="B236" i="57"/>
  <c r="A273" i="57"/>
  <c r="D272" i="57"/>
  <c r="L272" i="57"/>
  <c r="M272" i="57"/>
  <c r="J272" i="57"/>
  <c r="C272" i="57"/>
  <c r="G272" i="57"/>
  <c r="E272" i="57"/>
  <c r="K272" i="57"/>
  <c r="I272" i="57"/>
  <c r="F272" i="57"/>
  <c r="H272" i="57"/>
  <c r="B272" i="57"/>
  <c r="A309" i="57"/>
  <c r="J308" i="57"/>
  <c r="K308" i="57"/>
  <c r="H308" i="57"/>
  <c r="L308" i="57"/>
  <c r="M308" i="57"/>
  <c r="C308" i="57"/>
  <c r="F308" i="57"/>
  <c r="G308" i="57"/>
  <c r="D308" i="57"/>
  <c r="I308" i="57"/>
  <c r="E308" i="57"/>
  <c r="B308" i="57"/>
  <c r="L280" i="80"/>
  <c r="L307" i="80" s="1"/>
  <c r="AF280" i="80"/>
  <c r="AE280" i="80"/>
  <c r="O280" i="80"/>
  <c r="AC280" i="80"/>
  <c r="U280" i="80"/>
  <c r="AB280" i="80"/>
  <c r="W280" i="80"/>
  <c r="I280" i="80"/>
  <c r="I307" i="80" s="1"/>
  <c r="P280" i="80"/>
  <c r="Q280" i="80"/>
  <c r="V280" i="80"/>
  <c r="S280" i="80"/>
  <c r="X280" i="80"/>
  <c r="K280" i="80"/>
  <c r="K307" i="80" s="1"/>
  <c r="J280" i="80"/>
  <c r="J307" i="80" s="1"/>
  <c r="G280" i="80"/>
  <c r="G307" i="80" s="1"/>
  <c r="AD280" i="80"/>
  <c r="Z280" i="80"/>
  <c r="H280" i="80"/>
  <c r="H307" i="80" s="1"/>
  <c r="Y280" i="80"/>
  <c r="M280" i="80"/>
  <c r="M307" i="80" s="1"/>
  <c r="N280" i="80"/>
  <c r="R280" i="80"/>
  <c r="F280" i="80"/>
  <c r="T280" i="80"/>
  <c r="AA280" i="80"/>
  <c r="D99" i="47"/>
  <c r="S64" i="89"/>
  <c r="S59" i="89"/>
  <c r="S11" i="74"/>
  <c r="S10" i="74"/>
  <c r="T3" i="74"/>
  <c r="S9" i="74"/>
  <c r="S8" i="74"/>
  <c r="L442" i="80"/>
  <c r="T5" i="75"/>
  <c r="T8" i="75"/>
  <c r="T9" i="75" s="1"/>
  <c r="U7" i="75"/>
  <c r="D444" i="80"/>
  <c r="D101" i="47" s="1"/>
  <c r="A57" i="57"/>
  <c r="B57" i="57" s="1"/>
  <c r="C56" i="57"/>
  <c r="D56" i="57"/>
  <c r="E56" i="57"/>
  <c r="F56" i="57"/>
  <c r="G56" i="57"/>
  <c r="H56" i="57"/>
  <c r="I56" i="57"/>
  <c r="J56" i="57"/>
  <c r="K56" i="57"/>
  <c r="L56" i="57"/>
  <c r="M56" i="57"/>
  <c r="A165" i="57"/>
  <c r="B165" i="57" s="1"/>
  <c r="C164" i="57"/>
  <c r="D164" i="57"/>
  <c r="E164" i="57"/>
  <c r="F164" i="57"/>
  <c r="G164" i="57"/>
  <c r="H164" i="57"/>
  <c r="I164" i="57"/>
  <c r="J164" i="57"/>
  <c r="K164" i="57"/>
  <c r="L164" i="57"/>
  <c r="M164" i="57"/>
  <c r="A201" i="57"/>
  <c r="B201" i="57" s="1"/>
  <c r="C200" i="57"/>
  <c r="D200" i="57"/>
  <c r="E200" i="57"/>
  <c r="F200" i="57"/>
  <c r="G200" i="57"/>
  <c r="H200" i="57"/>
  <c r="I200" i="57"/>
  <c r="J200" i="57"/>
  <c r="K200" i="57"/>
  <c r="L200" i="57"/>
  <c r="M200" i="57"/>
  <c r="A93" i="57"/>
  <c r="B93" i="57" s="1"/>
  <c r="C92" i="57"/>
  <c r="D92" i="57"/>
  <c r="E92" i="57"/>
  <c r="F92" i="57"/>
  <c r="G92" i="57"/>
  <c r="H92" i="57"/>
  <c r="I92" i="57"/>
  <c r="J92" i="57"/>
  <c r="K92" i="57"/>
  <c r="L92" i="57"/>
  <c r="M92" i="57"/>
  <c r="A129" i="57"/>
  <c r="B129" i="57" s="1"/>
  <c r="C128" i="57"/>
  <c r="D128" i="57"/>
  <c r="E128" i="57"/>
  <c r="F128" i="57"/>
  <c r="G128" i="57"/>
  <c r="H128" i="57"/>
  <c r="I128" i="57"/>
  <c r="J128" i="57"/>
  <c r="K128" i="57"/>
  <c r="L128" i="57"/>
  <c r="M128" i="57"/>
  <c r="G444" i="80"/>
  <c r="G392" i="80" s="1"/>
  <c r="H444" i="80"/>
  <c r="H392" i="80" s="1"/>
  <c r="E444" i="80"/>
  <c r="E392" i="80" s="1"/>
  <c r="I444" i="80"/>
  <c r="I392" i="80" s="1"/>
  <c r="K444" i="80"/>
  <c r="K392" i="80" s="1"/>
  <c r="C443" i="80"/>
  <c r="D440" i="80" s="1"/>
  <c r="D443" i="80" s="1"/>
  <c r="E440" i="80" s="1"/>
  <c r="E443" i="80" s="1"/>
  <c r="F440" i="80" s="1"/>
  <c r="F443" i="80" s="1"/>
  <c r="G440" i="80" s="1"/>
  <c r="G443" i="80" s="1"/>
  <c r="H440" i="80" s="1"/>
  <c r="H443" i="80" s="1"/>
  <c r="I440" i="80" s="1"/>
  <c r="I443" i="80" s="1"/>
  <c r="J440" i="80" s="1"/>
  <c r="J443" i="80" s="1"/>
  <c r="K440" i="80" s="1"/>
  <c r="K443" i="80" s="1"/>
  <c r="L440" i="80" s="1"/>
  <c r="C444" i="80"/>
  <c r="C392" i="80" s="1"/>
  <c r="J15" i="47"/>
  <c r="I6" i="60"/>
  <c r="N19" i="55"/>
  <c r="I80" i="47"/>
  <c r="A173" i="80"/>
  <c r="A286" i="80"/>
  <c r="C99" i="47"/>
  <c r="C389" i="80"/>
  <c r="D389" i="80" s="1"/>
  <c r="C391" i="80"/>
  <c r="K53" i="72"/>
  <c r="L40" i="72"/>
  <c r="A136" i="80"/>
  <c r="A249" i="80"/>
  <c r="A363" i="80" s="1"/>
  <c r="A98" i="80"/>
  <c r="A211" i="80"/>
  <c r="K52" i="72"/>
  <c r="L39" i="72"/>
  <c r="A26" i="57"/>
  <c r="B26" i="57" s="1"/>
  <c r="C25" i="57"/>
  <c r="D25" i="57"/>
  <c r="E25" i="57"/>
  <c r="F25" i="57"/>
  <c r="G25" i="57"/>
  <c r="H25" i="57"/>
  <c r="I25" i="57"/>
  <c r="J25" i="57"/>
  <c r="K25" i="57"/>
  <c r="L25" i="57"/>
  <c r="M25" i="57"/>
  <c r="N25" i="57"/>
  <c r="A416" i="80"/>
  <c r="A23" i="80"/>
  <c r="F444" i="80"/>
  <c r="K48" i="72"/>
  <c r="L35" i="72"/>
  <c r="K51" i="72"/>
  <c r="L38" i="72"/>
  <c r="N44" i="60"/>
  <c r="O28" i="60"/>
  <c r="AG363" i="80"/>
  <c r="M269" i="80"/>
  <c r="M79" i="80"/>
  <c r="K55" i="72"/>
  <c r="L42" i="72"/>
  <c r="J444" i="80"/>
  <c r="K54" i="72"/>
  <c r="L41" i="72"/>
  <c r="Q2" i="57"/>
  <c r="P25" i="57"/>
  <c r="P24" i="57"/>
  <c r="P26" i="57"/>
  <c r="P23" i="57"/>
  <c r="K47" i="72"/>
  <c r="L34" i="72"/>
  <c r="L392" i="80"/>
  <c r="P160" i="47"/>
  <c r="P33" i="60" s="1"/>
  <c r="M117" i="80"/>
  <c r="K49" i="72"/>
  <c r="L36" i="72"/>
  <c r="AG249" i="80"/>
  <c r="AG325" i="80"/>
  <c r="M155" i="80"/>
  <c r="AG211" i="80"/>
  <c r="AG287" i="80"/>
  <c r="AC250" i="80"/>
  <c r="Z250" i="80"/>
  <c r="Y250" i="80"/>
  <c r="T250" i="80"/>
  <c r="AD250" i="80"/>
  <c r="AB250" i="80"/>
  <c r="X250" i="80"/>
  <c r="S250" i="80"/>
  <c r="U250" i="80"/>
  <c r="Q250" i="80"/>
  <c r="AE250" i="80"/>
  <c r="AA250" i="80"/>
  <c r="AF250" i="80"/>
  <c r="V250" i="80"/>
  <c r="N250" i="80"/>
  <c r="O250" i="80"/>
  <c r="P250" i="80"/>
  <c r="W250" i="80"/>
  <c r="R250" i="80"/>
  <c r="N246" i="80"/>
  <c r="V212" i="80"/>
  <c r="P212" i="80"/>
  <c r="AD212" i="80"/>
  <c r="O212" i="80"/>
  <c r="S212" i="80"/>
  <c r="AB212" i="80"/>
  <c r="AF212" i="80"/>
  <c r="N208" i="80"/>
  <c r="AA212" i="80"/>
  <c r="Y212" i="80"/>
  <c r="T212" i="80"/>
  <c r="Q212" i="80"/>
  <c r="R212" i="80"/>
  <c r="N212" i="80"/>
  <c r="W212" i="80"/>
  <c r="AE212" i="80"/>
  <c r="AC212" i="80"/>
  <c r="Z212" i="80"/>
  <c r="U212" i="80"/>
  <c r="X212" i="80"/>
  <c r="X136" i="80"/>
  <c r="S136" i="80"/>
  <c r="R136" i="80"/>
  <c r="Z136" i="80"/>
  <c r="P136" i="80"/>
  <c r="AD136" i="80"/>
  <c r="T136" i="80"/>
  <c r="U136" i="80"/>
  <c r="AC136" i="80"/>
  <c r="O136" i="80"/>
  <c r="AF136" i="80"/>
  <c r="AB136" i="80"/>
  <c r="AA136" i="80"/>
  <c r="AE136" i="80"/>
  <c r="W136" i="80"/>
  <c r="Y136" i="80"/>
  <c r="N132" i="80"/>
  <c r="V136" i="80"/>
  <c r="Q136" i="80"/>
  <c r="N136" i="80"/>
  <c r="AG97" i="80"/>
  <c r="N50" i="60"/>
  <c r="N2" i="47"/>
  <c r="W98" i="80"/>
  <c r="AE98" i="80"/>
  <c r="Z98" i="80"/>
  <c r="S98" i="80"/>
  <c r="AC98" i="80"/>
  <c r="U98" i="80"/>
  <c r="AF98" i="80"/>
  <c r="P98" i="80"/>
  <c r="AD98" i="80"/>
  <c r="AB98" i="80"/>
  <c r="T98" i="80"/>
  <c r="R98" i="80"/>
  <c r="N94" i="80"/>
  <c r="N98" i="80"/>
  <c r="AA98" i="80"/>
  <c r="O98" i="80"/>
  <c r="Q98" i="80"/>
  <c r="Y98" i="80"/>
  <c r="V98" i="80"/>
  <c r="X98" i="80"/>
  <c r="T22" i="80"/>
  <c r="Z22" i="80"/>
  <c r="AA22" i="80"/>
  <c r="AD22" i="80"/>
  <c r="AF22" i="80"/>
  <c r="N22" i="80"/>
  <c r="V22" i="80"/>
  <c r="R22" i="80"/>
  <c r="Q22" i="80"/>
  <c r="X22" i="80"/>
  <c r="U22" i="80"/>
  <c r="S22" i="80"/>
  <c r="AC22" i="80"/>
  <c r="O22" i="80"/>
  <c r="W22" i="80"/>
  <c r="P22" i="80"/>
  <c r="AB22" i="80"/>
  <c r="AE22" i="80"/>
  <c r="Y22" i="80"/>
  <c r="N18" i="80"/>
  <c r="Q60" i="80"/>
  <c r="Y60" i="80"/>
  <c r="X60" i="80"/>
  <c r="AC60" i="80"/>
  <c r="AD60" i="80"/>
  <c r="S60" i="80"/>
  <c r="R60" i="80"/>
  <c r="N60" i="80"/>
  <c r="V60" i="80"/>
  <c r="T60" i="80"/>
  <c r="P60" i="80"/>
  <c r="U60" i="80"/>
  <c r="N56" i="80"/>
  <c r="AE60" i="80"/>
  <c r="AF60" i="80"/>
  <c r="W60" i="80"/>
  <c r="Z60" i="80"/>
  <c r="AB60" i="80"/>
  <c r="AA60" i="80"/>
  <c r="O60" i="80"/>
  <c r="R416" i="80"/>
  <c r="AB416" i="80"/>
  <c r="AA416" i="80"/>
  <c r="T416" i="80"/>
  <c r="AC416" i="80"/>
  <c r="AE416" i="80"/>
  <c r="N400" i="80"/>
  <c r="N402" i="80" s="1"/>
  <c r="N441" i="80" s="1"/>
  <c r="AD416" i="80"/>
  <c r="Q416" i="80"/>
  <c r="P416" i="80"/>
  <c r="Z416" i="80"/>
  <c r="X416" i="80"/>
  <c r="Y416" i="80"/>
  <c r="W416" i="80"/>
  <c r="AF416" i="80"/>
  <c r="O416" i="80"/>
  <c r="N416" i="80"/>
  <c r="S416" i="80"/>
  <c r="V416" i="80"/>
  <c r="U416" i="80"/>
  <c r="AG135" i="80"/>
  <c r="AG21" i="80"/>
  <c r="O174" i="80"/>
  <c r="P174" i="80"/>
  <c r="N174" i="80"/>
  <c r="X174" i="80"/>
  <c r="AB174" i="80"/>
  <c r="AA174" i="80"/>
  <c r="Y174" i="80"/>
  <c r="N170" i="80"/>
  <c r="AF174" i="80"/>
  <c r="R174" i="80"/>
  <c r="T174" i="80"/>
  <c r="W174" i="80"/>
  <c r="V174" i="80"/>
  <c r="Q174" i="80"/>
  <c r="AE174" i="80"/>
  <c r="AD174" i="80"/>
  <c r="U174" i="80"/>
  <c r="AC174" i="80"/>
  <c r="S174" i="80"/>
  <c r="Z174" i="80"/>
  <c r="V364" i="80"/>
  <c r="O364" i="80"/>
  <c r="T364" i="80"/>
  <c r="Y364" i="80"/>
  <c r="AB364" i="80"/>
  <c r="AA364" i="80"/>
  <c r="AE364" i="80"/>
  <c r="Z364" i="80"/>
  <c r="N364" i="80"/>
  <c r="N360" i="80"/>
  <c r="AD364" i="80"/>
  <c r="S364" i="80"/>
  <c r="R364" i="80"/>
  <c r="U364" i="80"/>
  <c r="AC364" i="80"/>
  <c r="AF364" i="80"/>
  <c r="W364" i="80"/>
  <c r="P364" i="80"/>
  <c r="Q364" i="80"/>
  <c r="X364" i="80"/>
  <c r="M345" i="80"/>
  <c r="Q95" i="47"/>
  <c r="Q159" i="47"/>
  <c r="Q40" i="60" s="1"/>
  <c r="Q27" i="47"/>
  <c r="Q35" i="47"/>
  <c r="Q49" i="47" s="1"/>
  <c r="R4" i="47"/>
  <c r="Q28" i="47"/>
  <c r="M383" i="80"/>
  <c r="AG173" i="80"/>
  <c r="AG415" i="80"/>
  <c r="O48" i="60"/>
  <c r="P4" i="60"/>
  <c r="O124" i="80"/>
  <c r="O10" i="80"/>
  <c r="O314" i="80"/>
  <c r="O238" i="80"/>
  <c r="O200" i="80"/>
  <c r="O446" i="80"/>
  <c r="O48" i="80"/>
  <c r="O86" i="80"/>
  <c r="O276" i="80"/>
  <c r="O401" i="80"/>
  <c r="P2" i="80"/>
  <c r="O4" i="80"/>
  <c r="O352" i="80"/>
  <c r="O162" i="80"/>
  <c r="AD288" i="80"/>
  <c r="O288" i="80"/>
  <c r="AE288" i="80"/>
  <c r="U288" i="80"/>
  <c r="T288" i="80"/>
  <c r="AC288" i="80"/>
  <c r="AF288" i="80"/>
  <c r="Y288" i="80"/>
  <c r="V288" i="80"/>
  <c r="N284" i="80"/>
  <c r="S288" i="80"/>
  <c r="W288" i="80"/>
  <c r="Z288" i="80"/>
  <c r="N288" i="80"/>
  <c r="R288" i="80"/>
  <c r="AA288" i="80"/>
  <c r="Q288" i="80"/>
  <c r="AB288" i="80"/>
  <c r="P288" i="80"/>
  <c r="X288" i="80"/>
  <c r="O326" i="80"/>
  <c r="S326" i="80"/>
  <c r="N322" i="80"/>
  <c r="P326" i="80"/>
  <c r="V326" i="80"/>
  <c r="Y326" i="80"/>
  <c r="U326" i="80"/>
  <c r="X326" i="80"/>
  <c r="AD326" i="80"/>
  <c r="AA326" i="80"/>
  <c r="AF326" i="80"/>
  <c r="W326" i="80"/>
  <c r="Q326" i="80"/>
  <c r="Z326" i="80"/>
  <c r="T326" i="80"/>
  <c r="AE326" i="80"/>
  <c r="N326" i="80"/>
  <c r="R326" i="80"/>
  <c r="AC326" i="80"/>
  <c r="AB326" i="80"/>
  <c r="AG59" i="80"/>
  <c r="M435" i="80"/>
  <c r="M442" i="80" s="1"/>
  <c r="B27" i="55"/>
  <c r="AD26" i="55"/>
  <c r="W26" i="55"/>
  <c r="X26" i="55" s="1"/>
  <c r="AU54" i="89" l="1"/>
  <c r="AU69" i="89" s="1"/>
  <c r="AT74" i="89"/>
  <c r="I50" i="72"/>
  <c r="A274" i="57"/>
  <c r="N273" i="57"/>
  <c r="I273" i="57"/>
  <c r="C273" i="57"/>
  <c r="D273" i="57"/>
  <c r="M273" i="57"/>
  <c r="G273" i="57"/>
  <c r="H273" i="57"/>
  <c r="J273" i="57"/>
  <c r="F273" i="57"/>
  <c r="K273" i="57"/>
  <c r="L273" i="57"/>
  <c r="E273" i="57"/>
  <c r="B273" i="57"/>
  <c r="A310" i="57"/>
  <c r="N309" i="57"/>
  <c r="G309" i="57"/>
  <c r="D309" i="57"/>
  <c r="E309" i="57"/>
  <c r="H309" i="57"/>
  <c r="I309" i="57"/>
  <c r="F309" i="57"/>
  <c r="C309" i="57"/>
  <c r="L309" i="57"/>
  <c r="M309" i="57"/>
  <c r="J309" i="57"/>
  <c r="K309" i="57"/>
  <c r="B309" i="57"/>
  <c r="A238" i="57"/>
  <c r="C237" i="57"/>
  <c r="J237" i="57"/>
  <c r="F237" i="57"/>
  <c r="K237" i="57"/>
  <c r="G237" i="57"/>
  <c r="L237" i="57"/>
  <c r="D237" i="57"/>
  <c r="H237" i="57"/>
  <c r="N237" i="57"/>
  <c r="I237" i="57"/>
  <c r="E237" i="57"/>
  <c r="M237" i="57"/>
  <c r="B237" i="57"/>
  <c r="AG280" i="80"/>
  <c r="F307" i="80"/>
  <c r="S74" i="89"/>
  <c r="T49" i="89"/>
  <c r="H79" i="89"/>
  <c r="T10" i="74"/>
  <c r="U3" i="74"/>
  <c r="T9" i="74"/>
  <c r="T11" i="74"/>
  <c r="T8" i="74"/>
  <c r="L443" i="80"/>
  <c r="M440" i="80" s="1"/>
  <c r="M443" i="80" s="1"/>
  <c r="N440" i="80" s="1"/>
  <c r="D392" i="80"/>
  <c r="U8" i="75"/>
  <c r="U9" i="75" s="1"/>
  <c r="V7" i="75"/>
  <c r="U5" i="75"/>
  <c r="G101" i="47"/>
  <c r="A130" i="57"/>
  <c r="B130" i="57" s="1"/>
  <c r="C129" i="57"/>
  <c r="D129" i="57"/>
  <c r="E129" i="57"/>
  <c r="F129" i="57"/>
  <c r="G129" i="57"/>
  <c r="H129" i="57"/>
  <c r="I129" i="57"/>
  <c r="J129" i="57"/>
  <c r="K129" i="57"/>
  <c r="L129" i="57"/>
  <c r="M129" i="57"/>
  <c r="N129" i="57"/>
  <c r="A94" i="57"/>
  <c r="B94" i="57" s="1"/>
  <c r="C93" i="57"/>
  <c r="D93" i="57"/>
  <c r="E93" i="57"/>
  <c r="F93" i="57"/>
  <c r="G93" i="57"/>
  <c r="H93" i="57"/>
  <c r="I93" i="57"/>
  <c r="J93" i="57"/>
  <c r="K93" i="57"/>
  <c r="L93" i="57"/>
  <c r="M93" i="57"/>
  <c r="N93" i="57"/>
  <c r="A58" i="57"/>
  <c r="B58" i="57" s="1"/>
  <c r="C57" i="57"/>
  <c r="D57" i="57"/>
  <c r="E57" i="57"/>
  <c r="F57" i="57"/>
  <c r="G57" i="57"/>
  <c r="H57" i="57"/>
  <c r="I57" i="57"/>
  <c r="J57" i="57"/>
  <c r="K57" i="57"/>
  <c r="L57" i="57"/>
  <c r="M57" i="57"/>
  <c r="N57" i="57"/>
  <c r="A202" i="57"/>
  <c r="B202" i="57" s="1"/>
  <c r="C201" i="57"/>
  <c r="D201" i="57"/>
  <c r="E201" i="57"/>
  <c r="F201" i="57"/>
  <c r="G201" i="57"/>
  <c r="H201" i="57"/>
  <c r="I201" i="57"/>
  <c r="J201" i="57"/>
  <c r="K201" i="57"/>
  <c r="L201" i="57"/>
  <c r="M201" i="57"/>
  <c r="N201" i="57"/>
  <c r="A166" i="57"/>
  <c r="B166" i="57" s="1"/>
  <c r="C165" i="57"/>
  <c r="D165" i="57"/>
  <c r="E165" i="57"/>
  <c r="F165" i="57"/>
  <c r="G165" i="57"/>
  <c r="H165" i="57"/>
  <c r="I165" i="57"/>
  <c r="J165" i="57"/>
  <c r="K165" i="57"/>
  <c r="L165" i="57"/>
  <c r="M165" i="57"/>
  <c r="N165" i="57"/>
  <c r="H101" i="47"/>
  <c r="E101" i="47"/>
  <c r="K101" i="47"/>
  <c r="I101" i="47"/>
  <c r="N79" i="80"/>
  <c r="N269" i="80"/>
  <c r="N117" i="80"/>
  <c r="C101" i="47"/>
  <c r="AG326" i="80"/>
  <c r="J80" i="47"/>
  <c r="K15" i="47"/>
  <c r="N20" i="55"/>
  <c r="J6" i="60"/>
  <c r="F101" i="47"/>
  <c r="F392" i="80"/>
  <c r="L52" i="72"/>
  <c r="M39" i="72"/>
  <c r="N383" i="80"/>
  <c r="N155" i="80"/>
  <c r="L55" i="72"/>
  <c r="M42" i="72"/>
  <c r="A24" i="80"/>
  <c r="A417" i="80"/>
  <c r="A27" i="57"/>
  <c r="B27" i="57" s="1"/>
  <c r="C26" i="57"/>
  <c r="D26" i="57"/>
  <c r="E26" i="57"/>
  <c r="F26" i="57"/>
  <c r="G26" i="57"/>
  <c r="H26" i="57"/>
  <c r="I26" i="57"/>
  <c r="J26" i="57"/>
  <c r="K26" i="57"/>
  <c r="L26" i="57"/>
  <c r="M26" i="57"/>
  <c r="N26" i="57"/>
  <c r="O26" i="57"/>
  <c r="A287" i="80"/>
  <c r="A174" i="80"/>
  <c r="L47" i="72"/>
  <c r="M34" i="72"/>
  <c r="L51" i="72"/>
  <c r="M38" i="72"/>
  <c r="R2" i="57"/>
  <c r="Q25" i="57"/>
  <c r="Q24" i="57"/>
  <c r="Q26" i="57"/>
  <c r="Q27" i="57"/>
  <c r="J392" i="80"/>
  <c r="J101" i="47"/>
  <c r="O44" i="60"/>
  <c r="P28" i="60"/>
  <c r="A137" i="80"/>
  <c r="A250" i="80"/>
  <c r="A364" i="80" s="1"/>
  <c r="L49" i="72"/>
  <c r="M36" i="72"/>
  <c r="Q160" i="47"/>
  <c r="Q33" i="60" s="1"/>
  <c r="L54" i="72"/>
  <c r="M41" i="72"/>
  <c r="L48" i="72"/>
  <c r="M35" i="72"/>
  <c r="A212" i="80"/>
  <c r="A99" i="80"/>
  <c r="L53" i="72"/>
  <c r="M40" i="72"/>
  <c r="M444" i="80"/>
  <c r="M392" i="80" s="1"/>
  <c r="AG416" i="80"/>
  <c r="O2" i="47"/>
  <c r="O50" i="60"/>
  <c r="R95" i="47"/>
  <c r="R35" i="47"/>
  <c r="R49" i="47" s="1"/>
  <c r="R27" i="47"/>
  <c r="S4" i="47"/>
  <c r="R159" i="47"/>
  <c r="R40" i="60" s="1"/>
  <c r="R28" i="47"/>
  <c r="AG212" i="80"/>
  <c r="Z175" i="80"/>
  <c r="S175" i="80"/>
  <c r="V175" i="80"/>
  <c r="AD175" i="80"/>
  <c r="O170" i="80"/>
  <c r="AE175" i="80"/>
  <c r="Y175" i="80"/>
  <c r="R175" i="80"/>
  <c r="AF175" i="80"/>
  <c r="Q175" i="80"/>
  <c r="X175" i="80"/>
  <c r="U175" i="80"/>
  <c r="W175" i="80"/>
  <c r="AB175" i="80"/>
  <c r="T175" i="80"/>
  <c r="AA175" i="80"/>
  <c r="AC175" i="80"/>
  <c r="P175" i="80"/>
  <c r="O175" i="80"/>
  <c r="AA417" i="80"/>
  <c r="O400" i="80"/>
  <c r="O402" i="80" s="1"/>
  <c r="Z417" i="80"/>
  <c r="AD417" i="80"/>
  <c r="W417" i="80"/>
  <c r="U417" i="80"/>
  <c r="S417" i="80"/>
  <c r="AE417" i="80"/>
  <c r="Q417" i="80"/>
  <c r="Y417" i="80"/>
  <c r="O417" i="80"/>
  <c r="O435" i="80" s="1"/>
  <c r="O442" i="80" s="1"/>
  <c r="R417" i="80"/>
  <c r="AB417" i="80"/>
  <c r="AC417" i="80"/>
  <c r="T417" i="80"/>
  <c r="X417" i="80"/>
  <c r="AF417" i="80"/>
  <c r="P417" i="80"/>
  <c r="V417" i="80"/>
  <c r="AC23" i="80"/>
  <c r="S23" i="80"/>
  <c r="V23" i="80"/>
  <c r="AF23" i="80"/>
  <c r="P23" i="80"/>
  <c r="Q23" i="80"/>
  <c r="AB23" i="80"/>
  <c r="R23" i="80"/>
  <c r="O18" i="80"/>
  <c r="W23" i="80"/>
  <c r="AD23" i="80"/>
  <c r="U23" i="80"/>
  <c r="AE23" i="80"/>
  <c r="T23" i="80"/>
  <c r="O23" i="80"/>
  <c r="AA23" i="80"/>
  <c r="X23" i="80"/>
  <c r="Y23" i="80"/>
  <c r="Z23" i="80"/>
  <c r="AG174" i="80"/>
  <c r="AG60" i="80"/>
  <c r="P124" i="80"/>
  <c r="P10" i="80"/>
  <c r="P86" i="80"/>
  <c r="Q2" i="80"/>
  <c r="P446" i="80"/>
  <c r="P238" i="80"/>
  <c r="P4" i="80"/>
  <c r="P352" i="80"/>
  <c r="P314" i="80"/>
  <c r="P48" i="80"/>
  <c r="P401" i="80"/>
  <c r="P162" i="80"/>
  <c r="P276" i="80"/>
  <c r="P200" i="80"/>
  <c r="AA61" i="80"/>
  <c r="U61" i="80"/>
  <c r="W61" i="80"/>
  <c r="Y61" i="80"/>
  <c r="S61" i="80"/>
  <c r="P61" i="80"/>
  <c r="AC61" i="80"/>
  <c r="T61" i="80"/>
  <c r="AD61" i="80"/>
  <c r="Z61" i="80"/>
  <c r="V61" i="80"/>
  <c r="X61" i="80"/>
  <c r="O61" i="80"/>
  <c r="AF61" i="80"/>
  <c r="O56" i="80"/>
  <c r="AE61" i="80"/>
  <c r="R61" i="80"/>
  <c r="Q61" i="80"/>
  <c r="AB61" i="80"/>
  <c r="Q327" i="80"/>
  <c r="X327" i="80"/>
  <c r="AF327" i="80"/>
  <c r="O322" i="80"/>
  <c r="AC327" i="80"/>
  <c r="AB327" i="80"/>
  <c r="S327" i="80"/>
  <c r="Z327" i="80"/>
  <c r="AE327" i="80"/>
  <c r="W327" i="80"/>
  <c r="Y327" i="80"/>
  <c r="P327" i="80"/>
  <c r="AA327" i="80"/>
  <c r="AD327" i="80"/>
  <c r="T327" i="80"/>
  <c r="O327" i="80"/>
  <c r="U327" i="80"/>
  <c r="R327" i="80"/>
  <c r="V327" i="80"/>
  <c r="N345" i="80"/>
  <c r="Z365" i="80"/>
  <c r="S365" i="80"/>
  <c r="AB365" i="80"/>
  <c r="V365" i="80"/>
  <c r="T365" i="80"/>
  <c r="P365" i="80"/>
  <c r="AA365" i="80"/>
  <c r="W365" i="80"/>
  <c r="X365" i="80"/>
  <c r="R365" i="80"/>
  <c r="O365" i="80"/>
  <c r="U365" i="80"/>
  <c r="Y365" i="80"/>
  <c r="AF365" i="80"/>
  <c r="AE365" i="80"/>
  <c r="AC365" i="80"/>
  <c r="AD365" i="80"/>
  <c r="O360" i="80"/>
  <c r="Q365" i="80"/>
  <c r="AB289" i="80"/>
  <c r="AE289" i="80"/>
  <c r="O284" i="80"/>
  <c r="V289" i="80"/>
  <c r="Q289" i="80"/>
  <c r="T289" i="80"/>
  <c r="U289" i="80"/>
  <c r="Y289" i="80"/>
  <c r="X289" i="80"/>
  <c r="AF289" i="80"/>
  <c r="AD289" i="80"/>
  <c r="AC289" i="80"/>
  <c r="O289" i="80"/>
  <c r="AA289" i="80"/>
  <c r="S289" i="80"/>
  <c r="P289" i="80"/>
  <c r="W289" i="80"/>
  <c r="R289" i="80"/>
  <c r="Z289" i="80"/>
  <c r="W213" i="80"/>
  <c r="O208" i="80"/>
  <c r="O213" i="80"/>
  <c r="AB213" i="80"/>
  <c r="P213" i="80"/>
  <c r="AC213" i="80"/>
  <c r="AE213" i="80"/>
  <c r="S213" i="80"/>
  <c r="Q213" i="80"/>
  <c r="AA213" i="80"/>
  <c r="T213" i="80"/>
  <c r="Z213" i="80"/>
  <c r="Y213" i="80"/>
  <c r="AF213" i="80"/>
  <c r="X213" i="80"/>
  <c r="R213" i="80"/>
  <c r="V213" i="80"/>
  <c r="U213" i="80"/>
  <c r="AD213" i="80"/>
  <c r="S137" i="80"/>
  <c r="O137" i="80"/>
  <c r="Q137" i="80"/>
  <c r="AA137" i="80"/>
  <c r="Z137" i="80"/>
  <c r="Y137" i="80"/>
  <c r="W137" i="80"/>
  <c r="U137" i="80"/>
  <c r="T137" i="80"/>
  <c r="AE137" i="80"/>
  <c r="R137" i="80"/>
  <c r="AF137" i="80"/>
  <c r="AD137" i="80"/>
  <c r="P137" i="80"/>
  <c r="AC137" i="80"/>
  <c r="V137" i="80"/>
  <c r="AB137" i="80"/>
  <c r="X137" i="80"/>
  <c r="O132" i="80"/>
  <c r="AG136" i="80"/>
  <c r="N231" i="80"/>
  <c r="AG288" i="80"/>
  <c r="N307" i="80"/>
  <c r="O99" i="80"/>
  <c r="R99" i="80"/>
  <c r="V99" i="80"/>
  <c r="W99" i="80"/>
  <c r="AB99" i="80"/>
  <c r="Z99" i="80"/>
  <c r="AD99" i="80"/>
  <c r="AC99" i="80"/>
  <c r="AE99" i="80"/>
  <c r="Q99" i="80"/>
  <c r="U99" i="80"/>
  <c r="T99" i="80"/>
  <c r="AF99" i="80"/>
  <c r="S99" i="80"/>
  <c r="Y99" i="80"/>
  <c r="O94" i="80"/>
  <c r="AA99" i="80"/>
  <c r="X99" i="80"/>
  <c r="P99" i="80"/>
  <c r="AC251" i="80"/>
  <c r="AF251" i="80"/>
  <c r="V251" i="80"/>
  <c r="AA251" i="80"/>
  <c r="AE251" i="80"/>
  <c r="U251" i="80"/>
  <c r="W251" i="80"/>
  <c r="S251" i="80"/>
  <c r="P251" i="80"/>
  <c r="Y251" i="80"/>
  <c r="Z251" i="80"/>
  <c r="X251" i="80"/>
  <c r="AD251" i="80"/>
  <c r="AB251" i="80"/>
  <c r="R251" i="80"/>
  <c r="T251" i="80"/>
  <c r="Q251" i="80"/>
  <c r="O251" i="80"/>
  <c r="O246" i="80"/>
  <c r="P48" i="60"/>
  <c r="Q4" i="60"/>
  <c r="AG364" i="80"/>
  <c r="AG22" i="80"/>
  <c r="AG98" i="80"/>
  <c r="AG250" i="80"/>
  <c r="N435" i="80"/>
  <c r="AD27" i="55"/>
  <c r="W27" i="55"/>
  <c r="X27" i="55" s="1"/>
  <c r="B28" i="55"/>
  <c r="AV54" i="89" l="1"/>
  <c r="AV69" i="89" s="1"/>
  <c r="AU74" i="89"/>
  <c r="A311" i="57"/>
  <c r="F310" i="57"/>
  <c r="C310" i="57"/>
  <c r="M310" i="57"/>
  <c r="J310" i="57"/>
  <c r="G310" i="57"/>
  <c r="D310" i="57"/>
  <c r="E310" i="57"/>
  <c r="N310" i="57"/>
  <c r="K310" i="57"/>
  <c r="H310" i="57"/>
  <c r="O310" i="57"/>
  <c r="L310" i="57"/>
  <c r="I310" i="57"/>
  <c r="B310" i="57"/>
  <c r="A275" i="57"/>
  <c r="H274" i="57"/>
  <c r="E274" i="57"/>
  <c r="F274" i="57"/>
  <c r="K274" i="57"/>
  <c r="I274" i="57"/>
  <c r="J274" i="57"/>
  <c r="O274" i="57"/>
  <c r="D274" i="57"/>
  <c r="M274" i="57"/>
  <c r="N274" i="57"/>
  <c r="C274" i="57"/>
  <c r="G274" i="57"/>
  <c r="L274" i="57"/>
  <c r="B274" i="57"/>
  <c r="A239" i="57"/>
  <c r="D238" i="57"/>
  <c r="H238" i="57"/>
  <c r="N238" i="57"/>
  <c r="C238" i="57"/>
  <c r="J238" i="57"/>
  <c r="O238" i="57"/>
  <c r="F238" i="57"/>
  <c r="K238" i="57"/>
  <c r="G238" i="57"/>
  <c r="L238" i="57"/>
  <c r="M238" i="57"/>
  <c r="I238" i="57"/>
  <c r="E238" i="57"/>
  <c r="B238" i="57"/>
  <c r="H89" i="89"/>
  <c r="G60" i="72"/>
  <c r="G20" i="72" s="1"/>
  <c r="T59" i="89"/>
  <c r="T64" i="89"/>
  <c r="U10" i="74"/>
  <c r="V3" i="74"/>
  <c r="U11" i="74"/>
  <c r="U8" i="74"/>
  <c r="U9" i="74"/>
  <c r="V5" i="75"/>
  <c r="V8" i="75"/>
  <c r="V9" i="75" s="1"/>
  <c r="W7" i="75"/>
  <c r="A95" i="57"/>
  <c r="B95" i="57" s="1"/>
  <c r="C94" i="57"/>
  <c r="D94" i="57"/>
  <c r="E94" i="57"/>
  <c r="F94" i="57"/>
  <c r="G94" i="57"/>
  <c r="H94" i="57"/>
  <c r="I94" i="57"/>
  <c r="J94" i="57"/>
  <c r="K94" i="57"/>
  <c r="L94" i="57"/>
  <c r="M94" i="57"/>
  <c r="N94" i="57"/>
  <c r="O94" i="57"/>
  <c r="A167" i="57"/>
  <c r="B167" i="57" s="1"/>
  <c r="C166" i="57"/>
  <c r="D166" i="57"/>
  <c r="E166" i="57"/>
  <c r="F166" i="57"/>
  <c r="G166" i="57"/>
  <c r="H166" i="57"/>
  <c r="I166" i="57"/>
  <c r="J166" i="57"/>
  <c r="K166" i="57"/>
  <c r="L166" i="57"/>
  <c r="M166" i="57"/>
  <c r="N166" i="57"/>
  <c r="O166" i="57"/>
  <c r="A59" i="57"/>
  <c r="B59" i="57" s="1"/>
  <c r="C58" i="57"/>
  <c r="D58" i="57"/>
  <c r="E58" i="57"/>
  <c r="F58" i="57"/>
  <c r="G58" i="57"/>
  <c r="H58" i="57"/>
  <c r="I58" i="57"/>
  <c r="J58" i="57"/>
  <c r="K58" i="57"/>
  <c r="L58" i="57"/>
  <c r="M58" i="57"/>
  <c r="N58" i="57"/>
  <c r="O58" i="57"/>
  <c r="A203" i="57"/>
  <c r="B203" i="57" s="1"/>
  <c r="C202" i="57"/>
  <c r="D202" i="57"/>
  <c r="E202" i="57"/>
  <c r="F202" i="57"/>
  <c r="G202" i="57"/>
  <c r="H202" i="57"/>
  <c r="I202" i="57"/>
  <c r="J202" i="57"/>
  <c r="K202" i="57"/>
  <c r="L202" i="57"/>
  <c r="M202" i="57"/>
  <c r="N202" i="57"/>
  <c r="O202" i="57"/>
  <c r="A131" i="57"/>
  <c r="B131" i="57" s="1"/>
  <c r="C130" i="57"/>
  <c r="D130" i="57"/>
  <c r="E130" i="57"/>
  <c r="F130" i="57"/>
  <c r="G130" i="57"/>
  <c r="H130" i="57"/>
  <c r="I130" i="57"/>
  <c r="J130" i="57"/>
  <c r="K130" i="57"/>
  <c r="L130" i="57"/>
  <c r="M130" i="57"/>
  <c r="N130" i="57"/>
  <c r="O130" i="57"/>
  <c r="O117" i="80"/>
  <c r="O269" i="80"/>
  <c r="M101" i="47"/>
  <c r="K80" i="47"/>
  <c r="N21" i="55"/>
  <c r="K6" i="60"/>
  <c r="L15" i="47"/>
  <c r="M48" i="72"/>
  <c r="N35" i="72"/>
  <c r="S2" i="57"/>
  <c r="R27" i="57"/>
  <c r="R25" i="57"/>
  <c r="R26" i="57"/>
  <c r="M51" i="72"/>
  <c r="N38" i="72"/>
  <c r="A288" i="80"/>
  <c r="A175" i="80"/>
  <c r="A25" i="80"/>
  <c r="A418" i="80"/>
  <c r="M52" i="72"/>
  <c r="N39" i="72"/>
  <c r="M53" i="72"/>
  <c r="N40" i="72"/>
  <c r="A28" i="57"/>
  <c r="B28" i="57" s="1"/>
  <c r="C27" i="57"/>
  <c r="D27" i="57"/>
  <c r="E27" i="57"/>
  <c r="F27" i="57"/>
  <c r="G27" i="57"/>
  <c r="H27" i="57"/>
  <c r="I27" i="57"/>
  <c r="J27" i="57"/>
  <c r="K27" i="57"/>
  <c r="L27" i="57"/>
  <c r="M27" i="57"/>
  <c r="N27" i="57"/>
  <c r="O27" i="57"/>
  <c r="P27" i="57"/>
  <c r="M55" i="72"/>
  <c r="N42" i="72"/>
  <c r="M49" i="72"/>
  <c r="N36" i="72"/>
  <c r="A251" i="80"/>
  <c r="A365" i="80" s="1"/>
  <c r="A138" i="80"/>
  <c r="M47" i="72"/>
  <c r="N34" i="72"/>
  <c r="AG365" i="80"/>
  <c r="A100" i="80"/>
  <c r="A213" i="80"/>
  <c r="M54" i="72"/>
  <c r="N41" i="72"/>
  <c r="P44" i="60"/>
  <c r="Q28" i="60"/>
  <c r="U100" i="80"/>
  <c r="T100" i="80"/>
  <c r="AC100" i="80"/>
  <c r="S100" i="80"/>
  <c r="P94" i="80"/>
  <c r="X100" i="80"/>
  <c r="P100" i="80"/>
  <c r="AF100" i="80"/>
  <c r="AA100" i="80"/>
  <c r="AB100" i="80"/>
  <c r="Q100" i="80"/>
  <c r="Z100" i="80"/>
  <c r="W100" i="80"/>
  <c r="R100" i="80"/>
  <c r="V100" i="80"/>
  <c r="Y100" i="80"/>
  <c r="AE100" i="80"/>
  <c r="AD100" i="80"/>
  <c r="AG251" i="80"/>
  <c r="AG99" i="80"/>
  <c r="O307" i="80"/>
  <c r="O383" i="80"/>
  <c r="AC214" i="80"/>
  <c r="P208" i="80"/>
  <c r="AE214" i="80"/>
  <c r="AF214" i="80"/>
  <c r="P214" i="80"/>
  <c r="AB214" i="80"/>
  <c r="Q214" i="80"/>
  <c r="U214" i="80"/>
  <c r="AD214" i="80"/>
  <c r="W214" i="80"/>
  <c r="AA214" i="80"/>
  <c r="T214" i="80"/>
  <c r="S214" i="80"/>
  <c r="X214" i="80"/>
  <c r="V214" i="80"/>
  <c r="Z214" i="80"/>
  <c r="Y214" i="80"/>
  <c r="R214" i="80"/>
  <c r="V62" i="80"/>
  <c r="AE62" i="80"/>
  <c r="U62" i="80"/>
  <c r="T62" i="80"/>
  <c r="AC62" i="80"/>
  <c r="AA62" i="80"/>
  <c r="Q62" i="80"/>
  <c r="P56" i="80"/>
  <c r="Y62" i="80"/>
  <c r="AB62" i="80"/>
  <c r="R62" i="80"/>
  <c r="AF62" i="80"/>
  <c r="S62" i="80"/>
  <c r="Z62" i="80"/>
  <c r="AD62" i="80"/>
  <c r="W62" i="80"/>
  <c r="X62" i="80"/>
  <c r="P62" i="80"/>
  <c r="U252" i="80"/>
  <c r="AE252" i="80"/>
  <c r="P246" i="80"/>
  <c r="Q252" i="80"/>
  <c r="X252" i="80"/>
  <c r="AC252" i="80"/>
  <c r="AF252" i="80"/>
  <c r="V252" i="80"/>
  <c r="T252" i="80"/>
  <c r="Y252" i="80"/>
  <c r="S252" i="80"/>
  <c r="W252" i="80"/>
  <c r="AA252" i="80"/>
  <c r="P252" i="80"/>
  <c r="R252" i="80"/>
  <c r="AB252" i="80"/>
  <c r="AD252" i="80"/>
  <c r="Z252" i="80"/>
  <c r="P24" i="80"/>
  <c r="Y24" i="80"/>
  <c r="AD24" i="80"/>
  <c r="Q24" i="80"/>
  <c r="AE24" i="80"/>
  <c r="P18" i="80"/>
  <c r="AB24" i="80"/>
  <c r="AF24" i="80"/>
  <c r="S24" i="80"/>
  <c r="W24" i="80"/>
  <c r="AC24" i="80"/>
  <c r="U24" i="80"/>
  <c r="AA24" i="80"/>
  <c r="V24" i="80"/>
  <c r="X24" i="80"/>
  <c r="Z24" i="80"/>
  <c r="R24" i="80"/>
  <c r="T24" i="80"/>
  <c r="AG175" i="80"/>
  <c r="R160" i="47"/>
  <c r="R33" i="60" s="1"/>
  <c r="AG61" i="80"/>
  <c r="X418" i="80"/>
  <c r="T418" i="80"/>
  <c r="AA418" i="80"/>
  <c r="AE418" i="80"/>
  <c r="AD418" i="80"/>
  <c r="Y418" i="80"/>
  <c r="Q418" i="80"/>
  <c r="AB418" i="80"/>
  <c r="U418" i="80"/>
  <c r="S418" i="80"/>
  <c r="W418" i="80"/>
  <c r="P400" i="80"/>
  <c r="P402" i="80" s="1"/>
  <c r="Z418" i="80"/>
  <c r="P418" i="80"/>
  <c r="P435" i="80" s="1"/>
  <c r="P442" i="80" s="1"/>
  <c r="V418" i="80"/>
  <c r="R418" i="80"/>
  <c r="AF418" i="80"/>
  <c r="AC418" i="80"/>
  <c r="N442" i="80"/>
  <c r="N443" i="80" s="1"/>
  <c r="O440" i="80" s="1"/>
  <c r="N444" i="80"/>
  <c r="R4" i="60"/>
  <c r="Q48" i="60"/>
  <c r="AG213" i="80"/>
  <c r="AG327" i="80"/>
  <c r="O345" i="80"/>
  <c r="O79" i="80"/>
  <c r="AA290" i="80"/>
  <c r="AB290" i="80"/>
  <c r="V290" i="80"/>
  <c r="AC290" i="80"/>
  <c r="Q290" i="80"/>
  <c r="S290" i="80"/>
  <c r="T290" i="80"/>
  <c r="P290" i="80"/>
  <c r="AD290" i="80"/>
  <c r="AE290" i="80"/>
  <c r="U290" i="80"/>
  <c r="Z290" i="80"/>
  <c r="Y290" i="80"/>
  <c r="X290" i="80"/>
  <c r="P284" i="80"/>
  <c r="AF290" i="80"/>
  <c r="W290" i="80"/>
  <c r="R290" i="80"/>
  <c r="Y328" i="80"/>
  <c r="P322" i="80"/>
  <c r="AE328" i="80"/>
  <c r="V328" i="80"/>
  <c r="R328" i="80"/>
  <c r="AB328" i="80"/>
  <c r="AD328" i="80"/>
  <c r="AA328" i="80"/>
  <c r="X328" i="80"/>
  <c r="Z328" i="80"/>
  <c r="U328" i="80"/>
  <c r="Q328" i="80"/>
  <c r="AF328" i="80"/>
  <c r="S328" i="80"/>
  <c r="P328" i="80"/>
  <c r="W328" i="80"/>
  <c r="AC328" i="80"/>
  <c r="T328" i="80"/>
  <c r="V138" i="80"/>
  <c r="AB138" i="80"/>
  <c r="T138" i="80"/>
  <c r="Q138" i="80"/>
  <c r="Z138" i="80"/>
  <c r="X138" i="80"/>
  <c r="AC138" i="80"/>
  <c r="Y138" i="80"/>
  <c r="U138" i="80"/>
  <c r="P138" i="80"/>
  <c r="S138" i="80"/>
  <c r="P132" i="80"/>
  <c r="AD138" i="80"/>
  <c r="AE138" i="80"/>
  <c r="AF138" i="80"/>
  <c r="W138" i="80"/>
  <c r="R138" i="80"/>
  <c r="AA138" i="80"/>
  <c r="AG417" i="80"/>
  <c r="S95" i="47"/>
  <c r="T4" i="47"/>
  <c r="S27" i="47"/>
  <c r="S159" i="47"/>
  <c r="S40" i="60" s="1"/>
  <c r="S35" i="47"/>
  <c r="S49" i="47" s="1"/>
  <c r="S28" i="47"/>
  <c r="AG137" i="80"/>
  <c r="P50" i="60"/>
  <c r="P2" i="47"/>
  <c r="O155" i="80"/>
  <c r="O231" i="80"/>
  <c r="AG289" i="80"/>
  <c r="AE176" i="80"/>
  <c r="AF176" i="80"/>
  <c r="P170" i="80"/>
  <c r="P176" i="80"/>
  <c r="T176" i="80"/>
  <c r="AC176" i="80"/>
  <c r="U176" i="80"/>
  <c r="Z176" i="80"/>
  <c r="AA176" i="80"/>
  <c r="V176" i="80"/>
  <c r="R176" i="80"/>
  <c r="Y176" i="80"/>
  <c r="AB176" i="80"/>
  <c r="AD176" i="80"/>
  <c r="X176" i="80"/>
  <c r="S176" i="80"/>
  <c r="Q176" i="80"/>
  <c r="W176" i="80"/>
  <c r="X366" i="80"/>
  <c r="P360" i="80"/>
  <c r="AA366" i="80"/>
  <c r="Q366" i="80"/>
  <c r="P366" i="80"/>
  <c r="S366" i="80"/>
  <c r="AF366" i="80"/>
  <c r="R366" i="80"/>
  <c r="T366" i="80"/>
  <c r="AC366" i="80"/>
  <c r="V366" i="80"/>
  <c r="Y366" i="80"/>
  <c r="AD366" i="80"/>
  <c r="W366" i="80"/>
  <c r="U366" i="80"/>
  <c r="AE366" i="80"/>
  <c r="AB366" i="80"/>
  <c r="Z366" i="80"/>
  <c r="Q200" i="80"/>
  <c r="Q86" i="80"/>
  <c r="Q4" i="80"/>
  <c r="Q124" i="80"/>
  <c r="Q314" i="80"/>
  <c r="Q238" i="80"/>
  <c r="Q10" i="80"/>
  <c r="Q276" i="80"/>
  <c r="Q401" i="80"/>
  <c r="Q352" i="80"/>
  <c r="Q48" i="80"/>
  <c r="R2" i="80"/>
  <c r="Q162" i="80"/>
  <c r="Q446" i="80"/>
  <c r="AG23" i="80"/>
  <c r="O441" i="80"/>
  <c r="O444" i="80"/>
  <c r="B29" i="55"/>
  <c r="AD28" i="55"/>
  <c r="W28" i="55"/>
  <c r="X28" i="55" s="1"/>
  <c r="AV74" i="89" l="1"/>
  <c r="AW54" i="89"/>
  <c r="AW69" i="89" s="1"/>
  <c r="A240" i="57"/>
  <c r="G239" i="57"/>
  <c r="M239" i="57"/>
  <c r="D239" i="57"/>
  <c r="I239" i="57"/>
  <c r="N239" i="57"/>
  <c r="E239" i="57"/>
  <c r="J239" i="57"/>
  <c r="O239" i="57"/>
  <c r="F239" i="57"/>
  <c r="K239" i="57"/>
  <c r="P239" i="57"/>
  <c r="L239" i="57"/>
  <c r="H239" i="57"/>
  <c r="C239" i="57"/>
  <c r="B239" i="57"/>
  <c r="A276" i="57"/>
  <c r="K275" i="57"/>
  <c r="H275" i="57"/>
  <c r="I275" i="57"/>
  <c r="N275" i="57"/>
  <c r="G275" i="57"/>
  <c r="L275" i="57"/>
  <c r="M275" i="57"/>
  <c r="C275" i="57"/>
  <c r="P275" i="57"/>
  <c r="F275" i="57"/>
  <c r="D275" i="57"/>
  <c r="E275" i="57"/>
  <c r="J275" i="57"/>
  <c r="O275" i="57"/>
  <c r="B275" i="57"/>
  <c r="A312" i="57"/>
  <c r="H311" i="57"/>
  <c r="E311" i="57"/>
  <c r="F311" i="57"/>
  <c r="L311" i="57"/>
  <c r="I311" i="57"/>
  <c r="J311" i="57"/>
  <c r="K311" i="57"/>
  <c r="P311" i="57"/>
  <c r="M311" i="57"/>
  <c r="N311" i="57"/>
  <c r="G311" i="57"/>
  <c r="D311" i="57"/>
  <c r="O311" i="57"/>
  <c r="C311" i="57"/>
  <c r="B311" i="57"/>
  <c r="G70" i="72"/>
  <c r="T74" i="89"/>
  <c r="U49" i="89"/>
  <c r="V11" i="74"/>
  <c r="V8" i="74"/>
  <c r="V9" i="74"/>
  <c r="V10" i="74"/>
  <c r="W3" i="74"/>
  <c r="W8" i="75"/>
  <c r="W9" i="75" s="1"/>
  <c r="X7" i="75"/>
  <c r="W5" i="75"/>
  <c r="A168" i="57"/>
  <c r="B168" i="57" s="1"/>
  <c r="C167" i="57"/>
  <c r="D167" i="57"/>
  <c r="E167" i="57"/>
  <c r="F167" i="57"/>
  <c r="G167" i="57"/>
  <c r="H167" i="57"/>
  <c r="I167" i="57"/>
  <c r="J167" i="57"/>
  <c r="K167" i="57"/>
  <c r="L167" i="57"/>
  <c r="M167" i="57"/>
  <c r="N167" i="57"/>
  <c r="O167" i="57"/>
  <c r="P167" i="57"/>
  <c r="A204" i="57"/>
  <c r="B204" i="57" s="1"/>
  <c r="C203" i="57"/>
  <c r="D203" i="57"/>
  <c r="E203" i="57"/>
  <c r="F203" i="57"/>
  <c r="G203" i="57"/>
  <c r="H203" i="57"/>
  <c r="I203" i="57"/>
  <c r="J203" i="57"/>
  <c r="K203" i="57"/>
  <c r="L203" i="57"/>
  <c r="M203" i="57"/>
  <c r="N203" i="57"/>
  <c r="O203" i="57"/>
  <c r="P203" i="57"/>
  <c r="A132" i="57"/>
  <c r="B132" i="57" s="1"/>
  <c r="C131" i="57"/>
  <c r="D131" i="57"/>
  <c r="E131" i="57"/>
  <c r="F131" i="57"/>
  <c r="G131" i="57"/>
  <c r="H131" i="57"/>
  <c r="I131" i="57"/>
  <c r="J131" i="57"/>
  <c r="K131" i="57"/>
  <c r="L131" i="57"/>
  <c r="M131" i="57"/>
  <c r="N131" i="57"/>
  <c r="O131" i="57"/>
  <c r="P131" i="57"/>
  <c r="A60" i="57"/>
  <c r="B60" i="57" s="1"/>
  <c r="C59" i="57"/>
  <c r="D59" i="57"/>
  <c r="E59" i="57"/>
  <c r="F59" i="57"/>
  <c r="G59" i="57"/>
  <c r="H59" i="57"/>
  <c r="I59" i="57"/>
  <c r="J59" i="57"/>
  <c r="K59" i="57"/>
  <c r="L59" i="57"/>
  <c r="M59" i="57"/>
  <c r="N59" i="57"/>
  <c r="O59" i="57"/>
  <c r="P59" i="57"/>
  <c r="A96" i="57"/>
  <c r="B96" i="57" s="1"/>
  <c r="C95" i="57"/>
  <c r="D95" i="57"/>
  <c r="E95" i="57"/>
  <c r="F95" i="57"/>
  <c r="G95" i="57"/>
  <c r="H95" i="57"/>
  <c r="I95" i="57"/>
  <c r="J95" i="57"/>
  <c r="K95" i="57"/>
  <c r="L95" i="57"/>
  <c r="M95" i="57"/>
  <c r="N95" i="57"/>
  <c r="O95" i="57"/>
  <c r="P95" i="57"/>
  <c r="S160" i="47"/>
  <c r="S33" i="60" s="1"/>
  <c r="P269" i="80"/>
  <c r="M15" i="47"/>
  <c r="L6" i="60"/>
  <c r="N22" i="55"/>
  <c r="L80" i="47"/>
  <c r="P383" i="80"/>
  <c r="AG214" i="80"/>
  <c r="A101" i="80"/>
  <c r="A214" i="80"/>
  <c r="N49" i="72"/>
  <c r="O36" i="72"/>
  <c r="A29" i="57"/>
  <c r="B29" i="57" s="1"/>
  <c r="C28" i="57"/>
  <c r="D28" i="57"/>
  <c r="E28" i="57"/>
  <c r="F28" i="57"/>
  <c r="G28" i="57"/>
  <c r="H28" i="57"/>
  <c r="I28" i="57"/>
  <c r="J28" i="57"/>
  <c r="K28" i="57"/>
  <c r="L28" i="57"/>
  <c r="M28" i="57"/>
  <c r="N28" i="57"/>
  <c r="O28" i="57"/>
  <c r="P28" i="57"/>
  <c r="Q28" i="57"/>
  <c r="A176" i="80"/>
  <c r="A289" i="80"/>
  <c r="N48" i="72"/>
  <c r="O35" i="72"/>
  <c r="R28" i="60"/>
  <c r="Q44" i="60"/>
  <c r="N53" i="72"/>
  <c r="O40" i="72"/>
  <c r="AG138" i="80"/>
  <c r="N47" i="72"/>
  <c r="O34" i="72"/>
  <c r="A252" i="80"/>
  <c r="A366" i="80" s="1"/>
  <c r="A139" i="80"/>
  <c r="A26" i="80"/>
  <c r="A419" i="80"/>
  <c r="N51" i="72"/>
  <c r="O38" i="72"/>
  <c r="S26" i="57"/>
  <c r="S28" i="57"/>
  <c r="S27" i="57"/>
  <c r="T2" i="57"/>
  <c r="S29" i="57"/>
  <c r="N54" i="72"/>
  <c r="O41" i="72"/>
  <c r="N55" i="72"/>
  <c r="O42" i="72"/>
  <c r="N52" i="72"/>
  <c r="O39" i="72"/>
  <c r="R28" i="57"/>
  <c r="W419" i="80"/>
  <c r="AE419" i="80"/>
  <c r="S419" i="80"/>
  <c r="AA419" i="80"/>
  <c r="R419" i="80"/>
  <c r="Z419" i="80"/>
  <c r="X419" i="80"/>
  <c r="AD419" i="80"/>
  <c r="AB419" i="80"/>
  <c r="AF419" i="80"/>
  <c r="AC419" i="80"/>
  <c r="T419" i="80"/>
  <c r="Q400" i="80"/>
  <c r="Q402" i="80" s="1"/>
  <c r="Q441" i="80" s="1"/>
  <c r="U419" i="80"/>
  <c r="Q419" i="80"/>
  <c r="V419" i="80"/>
  <c r="Y419" i="80"/>
  <c r="U215" i="80"/>
  <c r="AB215" i="80"/>
  <c r="AE215" i="80"/>
  <c r="S215" i="80"/>
  <c r="R215" i="80"/>
  <c r="Q215" i="80"/>
  <c r="T215" i="80"/>
  <c r="V215" i="80"/>
  <c r="AD215" i="80"/>
  <c r="AC215" i="80"/>
  <c r="X215" i="80"/>
  <c r="AF215" i="80"/>
  <c r="Y215" i="80"/>
  <c r="W215" i="80"/>
  <c r="AA215" i="80"/>
  <c r="Z215" i="80"/>
  <c r="Q208" i="80"/>
  <c r="AE139" i="80"/>
  <c r="R139" i="80"/>
  <c r="AB139" i="80"/>
  <c r="U139" i="80"/>
  <c r="Q139" i="80"/>
  <c r="S139" i="80"/>
  <c r="X139" i="80"/>
  <c r="AD139" i="80"/>
  <c r="AA139" i="80"/>
  <c r="Z139" i="80"/>
  <c r="Y139" i="80"/>
  <c r="V139" i="80"/>
  <c r="Q132" i="80"/>
  <c r="Q155" i="80" s="1"/>
  <c r="AC139" i="80"/>
  <c r="T139" i="80"/>
  <c r="AF139" i="80"/>
  <c r="W139" i="80"/>
  <c r="AG328" i="80"/>
  <c r="O443" i="80"/>
  <c r="P440" i="80" s="1"/>
  <c r="AG62" i="80"/>
  <c r="AG100" i="80"/>
  <c r="P441" i="80"/>
  <c r="P444" i="80"/>
  <c r="R446" i="80"/>
  <c r="R314" i="80"/>
  <c r="R48" i="80"/>
  <c r="R200" i="80"/>
  <c r="R162" i="80"/>
  <c r="R276" i="80"/>
  <c r="R124" i="80"/>
  <c r="R238" i="80"/>
  <c r="R4" i="80"/>
  <c r="R352" i="80"/>
  <c r="R401" i="80"/>
  <c r="R10" i="80"/>
  <c r="R86" i="80"/>
  <c r="S2" i="80"/>
  <c r="V63" i="80"/>
  <c r="R63" i="80"/>
  <c r="S63" i="80"/>
  <c r="X63" i="80"/>
  <c r="AF63" i="80"/>
  <c r="W63" i="80"/>
  <c r="Z63" i="80"/>
  <c r="AE63" i="80"/>
  <c r="AB63" i="80"/>
  <c r="AA63" i="80"/>
  <c r="T63" i="80"/>
  <c r="Q63" i="80"/>
  <c r="Y63" i="80"/>
  <c r="AC63" i="80"/>
  <c r="Q56" i="80"/>
  <c r="U63" i="80"/>
  <c r="AD63" i="80"/>
  <c r="S25" i="80"/>
  <c r="X25" i="80"/>
  <c r="Q25" i="80"/>
  <c r="Q18" i="80"/>
  <c r="AC25" i="80"/>
  <c r="AB25" i="80"/>
  <c r="AD25" i="80"/>
  <c r="Y25" i="80"/>
  <c r="AA25" i="80"/>
  <c r="AF25" i="80"/>
  <c r="V25" i="80"/>
  <c r="W25" i="80"/>
  <c r="T25" i="80"/>
  <c r="U25" i="80"/>
  <c r="R25" i="80"/>
  <c r="Z25" i="80"/>
  <c r="AE25" i="80"/>
  <c r="AG366" i="80"/>
  <c r="T95" i="47"/>
  <c r="T35" i="47"/>
  <c r="T49" i="47" s="1"/>
  <c r="U4" i="47"/>
  <c r="T159" i="47"/>
  <c r="T40" i="60" s="1"/>
  <c r="T27" i="47"/>
  <c r="T28" i="47"/>
  <c r="P155" i="80"/>
  <c r="P345" i="80"/>
  <c r="AG290" i="80"/>
  <c r="Q2" i="47"/>
  <c r="Q50" i="60"/>
  <c r="AG418" i="80"/>
  <c r="AG24" i="80"/>
  <c r="T177" i="80"/>
  <c r="Y177" i="80"/>
  <c r="Q170" i="80"/>
  <c r="R177" i="80"/>
  <c r="AA177" i="80"/>
  <c r="X177" i="80"/>
  <c r="AC177" i="80"/>
  <c r="S177" i="80"/>
  <c r="U177" i="80"/>
  <c r="AE177" i="80"/>
  <c r="AD177" i="80"/>
  <c r="AB177" i="80"/>
  <c r="V177" i="80"/>
  <c r="Q177" i="80"/>
  <c r="W177" i="80"/>
  <c r="AF177" i="80"/>
  <c r="Z177" i="80"/>
  <c r="V329" i="80"/>
  <c r="Y329" i="80"/>
  <c r="AE329" i="80"/>
  <c r="W329" i="80"/>
  <c r="AD329" i="80"/>
  <c r="S329" i="80"/>
  <c r="AA329" i="80"/>
  <c r="T329" i="80"/>
  <c r="AF329" i="80"/>
  <c r="AC329" i="80"/>
  <c r="X329" i="80"/>
  <c r="Q322" i="80"/>
  <c r="AB329" i="80"/>
  <c r="R329" i="80"/>
  <c r="Q329" i="80"/>
  <c r="U329" i="80"/>
  <c r="Z329" i="80"/>
  <c r="N101" i="47"/>
  <c r="N392" i="80"/>
  <c r="AC291" i="80"/>
  <c r="W291" i="80"/>
  <c r="AB291" i="80"/>
  <c r="Y291" i="80"/>
  <c r="Q284" i="80"/>
  <c r="R291" i="80"/>
  <c r="S291" i="80"/>
  <c r="Q291" i="80"/>
  <c r="AF291" i="80"/>
  <c r="X291" i="80"/>
  <c r="V291" i="80"/>
  <c r="AE291" i="80"/>
  <c r="T291" i="80"/>
  <c r="Z291" i="80"/>
  <c r="U291" i="80"/>
  <c r="AD291" i="80"/>
  <c r="AA291" i="80"/>
  <c r="AG176" i="80"/>
  <c r="O101" i="47"/>
  <c r="O392" i="80"/>
  <c r="R367" i="80"/>
  <c r="S367" i="80"/>
  <c r="U367" i="80"/>
  <c r="AE367" i="80"/>
  <c r="V367" i="80"/>
  <c r="AA367" i="80"/>
  <c r="Y367" i="80"/>
  <c r="T367" i="80"/>
  <c r="AB367" i="80"/>
  <c r="W367" i="80"/>
  <c r="Q360" i="80"/>
  <c r="Z367" i="80"/>
  <c r="AD367" i="80"/>
  <c r="AF367" i="80"/>
  <c r="Q367" i="80"/>
  <c r="X367" i="80"/>
  <c r="AC367" i="80"/>
  <c r="AB253" i="80"/>
  <c r="U253" i="80"/>
  <c r="S253" i="80"/>
  <c r="X253" i="80"/>
  <c r="T253" i="80"/>
  <c r="Z253" i="80"/>
  <c r="AD253" i="80"/>
  <c r="AC253" i="80"/>
  <c r="AE253" i="80"/>
  <c r="Q253" i="80"/>
  <c r="Y253" i="80"/>
  <c r="V253" i="80"/>
  <c r="AF253" i="80"/>
  <c r="AA253" i="80"/>
  <c r="R253" i="80"/>
  <c r="Q246" i="80"/>
  <c r="W253" i="80"/>
  <c r="X101" i="80"/>
  <c r="Z101" i="80"/>
  <c r="T101" i="80"/>
  <c r="AB101" i="80"/>
  <c r="U101" i="80"/>
  <c r="AC101" i="80"/>
  <c r="Q101" i="80"/>
  <c r="AE101" i="80"/>
  <c r="Y101" i="80"/>
  <c r="S101" i="80"/>
  <c r="W101" i="80"/>
  <c r="AD101" i="80"/>
  <c r="R101" i="80"/>
  <c r="Q94" i="80"/>
  <c r="AA101" i="80"/>
  <c r="AF101" i="80"/>
  <c r="V101" i="80"/>
  <c r="P307" i="80"/>
  <c r="R48" i="60"/>
  <c r="S4" i="60"/>
  <c r="AG252" i="80"/>
  <c r="P79" i="80"/>
  <c r="P231" i="80"/>
  <c r="P117" i="80"/>
  <c r="AD29" i="55"/>
  <c r="W29" i="55"/>
  <c r="X29" i="55" s="1"/>
  <c r="B30" i="55"/>
  <c r="BB54" i="89" l="1"/>
  <c r="AW74" i="89"/>
  <c r="AY54" i="89"/>
  <c r="BC54" i="89"/>
  <c r="AX54" i="89"/>
  <c r="BA54" i="89"/>
  <c r="AZ54" i="89"/>
  <c r="BD69" i="89"/>
  <c r="K84" i="89"/>
  <c r="A313" i="57"/>
  <c r="P312" i="57"/>
  <c r="I312" i="57"/>
  <c r="J312" i="57"/>
  <c r="G312" i="57"/>
  <c r="L312" i="57"/>
  <c r="M312" i="57"/>
  <c r="N312" i="57"/>
  <c r="K312" i="57"/>
  <c r="Q312" i="57"/>
  <c r="O312" i="57"/>
  <c r="H312" i="57"/>
  <c r="E312" i="57"/>
  <c r="F312" i="57"/>
  <c r="C312" i="57"/>
  <c r="D312" i="57"/>
  <c r="B312" i="57"/>
  <c r="A277" i="57"/>
  <c r="M276" i="57"/>
  <c r="I276" i="57"/>
  <c r="J276" i="57"/>
  <c r="K276" i="57"/>
  <c r="P276" i="57"/>
  <c r="E276" i="57"/>
  <c r="N276" i="57"/>
  <c r="O276" i="57"/>
  <c r="D276" i="57"/>
  <c r="C276" i="57"/>
  <c r="H276" i="57"/>
  <c r="Q276" i="57"/>
  <c r="F276" i="57"/>
  <c r="G276" i="57"/>
  <c r="L276" i="57"/>
  <c r="B276" i="57"/>
  <c r="A241" i="57"/>
  <c r="F240" i="57"/>
  <c r="J240" i="57"/>
  <c r="N240" i="57"/>
  <c r="D240" i="57"/>
  <c r="G240" i="57"/>
  <c r="K240" i="57"/>
  <c r="O240" i="57"/>
  <c r="C240" i="57"/>
  <c r="H240" i="57"/>
  <c r="L240" i="57"/>
  <c r="P240" i="57"/>
  <c r="E240" i="57"/>
  <c r="I240" i="57"/>
  <c r="M240" i="57"/>
  <c r="Q240" i="57"/>
  <c r="B240" i="57"/>
  <c r="U59" i="89"/>
  <c r="U64" i="89"/>
  <c r="G33" i="72"/>
  <c r="G30" i="72"/>
  <c r="C84" i="47" s="1"/>
  <c r="W8" i="74"/>
  <c r="W11" i="74"/>
  <c r="X3" i="74"/>
  <c r="W10" i="74"/>
  <c r="W9" i="74"/>
  <c r="X5" i="75"/>
  <c r="X8" i="75"/>
  <c r="X9" i="75" s="1"/>
  <c r="Y7" i="75"/>
  <c r="A205" i="57"/>
  <c r="B205" i="57" s="1"/>
  <c r="C204" i="57"/>
  <c r="D204" i="57"/>
  <c r="E204" i="57"/>
  <c r="F204" i="57"/>
  <c r="G204" i="57"/>
  <c r="H204" i="57"/>
  <c r="I204" i="57"/>
  <c r="J204" i="57"/>
  <c r="K204" i="57"/>
  <c r="L204" i="57"/>
  <c r="M204" i="57"/>
  <c r="N204" i="57"/>
  <c r="O204" i="57"/>
  <c r="P204" i="57"/>
  <c r="Q204" i="57"/>
  <c r="A169" i="57"/>
  <c r="B169" i="57" s="1"/>
  <c r="C168" i="57"/>
  <c r="D168" i="57"/>
  <c r="E168" i="57"/>
  <c r="F168" i="57"/>
  <c r="G168" i="57"/>
  <c r="H168" i="57"/>
  <c r="I168" i="57"/>
  <c r="J168" i="57"/>
  <c r="K168" i="57"/>
  <c r="L168" i="57"/>
  <c r="M168" i="57"/>
  <c r="N168" i="57"/>
  <c r="O168" i="57"/>
  <c r="P168" i="57"/>
  <c r="Q168" i="57"/>
  <c r="A61" i="57"/>
  <c r="B61" i="57" s="1"/>
  <c r="C60" i="57"/>
  <c r="D60" i="57"/>
  <c r="E60" i="57"/>
  <c r="F60" i="57"/>
  <c r="G60" i="57"/>
  <c r="H60" i="57"/>
  <c r="I60" i="57"/>
  <c r="J60" i="57"/>
  <c r="K60" i="57"/>
  <c r="L60" i="57"/>
  <c r="M60" i="57"/>
  <c r="N60" i="57"/>
  <c r="O60" i="57"/>
  <c r="P60" i="57"/>
  <c r="Q60" i="57"/>
  <c r="A133" i="57"/>
  <c r="B133" i="57" s="1"/>
  <c r="C132" i="57"/>
  <c r="D132" i="57"/>
  <c r="E132" i="57"/>
  <c r="F132" i="57"/>
  <c r="G132" i="57"/>
  <c r="H132" i="57"/>
  <c r="I132" i="57"/>
  <c r="J132" i="57"/>
  <c r="K132" i="57"/>
  <c r="L132" i="57"/>
  <c r="M132" i="57"/>
  <c r="N132" i="57"/>
  <c r="O132" i="57"/>
  <c r="P132" i="57"/>
  <c r="Q132" i="57"/>
  <c r="A97" i="57"/>
  <c r="B97" i="57" s="1"/>
  <c r="C96" i="57"/>
  <c r="D96" i="57"/>
  <c r="E96" i="57"/>
  <c r="F96" i="57"/>
  <c r="G96" i="57"/>
  <c r="H96" i="57"/>
  <c r="I96" i="57"/>
  <c r="J96" i="57"/>
  <c r="K96" i="57"/>
  <c r="L96" i="57"/>
  <c r="M96" i="57"/>
  <c r="N96" i="57"/>
  <c r="O96" i="57"/>
  <c r="P96" i="57"/>
  <c r="Q96" i="57"/>
  <c r="Q231" i="80"/>
  <c r="Q117" i="80"/>
  <c r="N15" i="47"/>
  <c r="M6" i="60"/>
  <c r="M80" i="47"/>
  <c r="N23" i="55"/>
  <c r="U2" i="57"/>
  <c r="T28" i="57"/>
  <c r="T27" i="57"/>
  <c r="T29" i="57"/>
  <c r="A27" i="80"/>
  <c r="A420" i="80"/>
  <c r="R44" i="60"/>
  <c r="S28" i="60"/>
  <c r="O49" i="72"/>
  <c r="P36" i="72"/>
  <c r="O52" i="72"/>
  <c r="P39" i="72"/>
  <c r="O54" i="72"/>
  <c r="P41" i="72"/>
  <c r="O51" i="72"/>
  <c r="P38" i="72"/>
  <c r="A253" i="80"/>
  <c r="A367" i="80" s="1"/>
  <c r="A140" i="80"/>
  <c r="A177" i="80"/>
  <c r="A290" i="80"/>
  <c r="A102" i="80"/>
  <c r="A215" i="80"/>
  <c r="Q269" i="80"/>
  <c r="T160" i="47"/>
  <c r="T33" i="60" s="1"/>
  <c r="AG63" i="80"/>
  <c r="O48" i="72"/>
  <c r="P35" i="72"/>
  <c r="A30" i="57"/>
  <c r="C29" i="57"/>
  <c r="D29" i="57"/>
  <c r="E29" i="57"/>
  <c r="F29" i="57"/>
  <c r="G29" i="57"/>
  <c r="H29" i="57"/>
  <c r="I29" i="57"/>
  <c r="J29" i="57"/>
  <c r="K29" i="57"/>
  <c r="L29" i="57"/>
  <c r="M29" i="57"/>
  <c r="N29" i="57"/>
  <c r="O29" i="57"/>
  <c r="P29" i="57"/>
  <c r="Q29" i="57"/>
  <c r="R29" i="57"/>
  <c r="AG329" i="80"/>
  <c r="O55" i="72"/>
  <c r="P42" i="72"/>
  <c r="O47" i="72"/>
  <c r="P34" i="72"/>
  <c r="O53" i="72"/>
  <c r="P40" i="72"/>
  <c r="AD140" i="80"/>
  <c r="X140" i="80"/>
  <c r="AF140" i="80"/>
  <c r="T140" i="80"/>
  <c r="Z140" i="80"/>
  <c r="R140" i="80"/>
  <c r="R132" i="80"/>
  <c r="AC140" i="80"/>
  <c r="U140" i="80"/>
  <c r="S140" i="80"/>
  <c r="AA140" i="80"/>
  <c r="W140" i="80"/>
  <c r="AB140" i="80"/>
  <c r="Y140" i="80"/>
  <c r="V140" i="80"/>
  <c r="AE140" i="80"/>
  <c r="S48" i="60"/>
  <c r="T4" i="60"/>
  <c r="AG253" i="80"/>
  <c r="AG367" i="80"/>
  <c r="Q383" i="80"/>
  <c r="Q79" i="80"/>
  <c r="S124" i="80"/>
  <c r="T2" i="80"/>
  <c r="S10" i="80"/>
  <c r="S48" i="80"/>
  <c r="S446" i="80"/>
  <c r="S401" i="80"/>
  <c r="S4" i="80"/>
  <c r="S238" i="80"/>
  <c r="S86" i="80"/>
  <c r="S200" i="80"/>
  <c r="S162" i="80"/>
  <c r="S352" i="80"/>
  <c r="S276" i="80"/>
  <c r="S314" i="80"/>
  <c r="W368" i="80"/>
  <c r="R360" i="80"/>
  <c r="T368" i="80"/>
  <c r="Z368" i="80"/>
  <c r="V368" i="80"/>
  <c r="AC368" i="80"/>
  <c r="AD368" i="80"/>
  <c r="AA368" i="80"/>
  <c r="AF368" i="80"/>
  <c r="R368" i="80"/>
  <c r="U368" i="80"/>
  <c r="S368" i="80"/>
  <c r="Y368" i="80"/>
  <c r="AB368" i="80"/>
  <c r="AE368" i="80"/>
  <c r="X368" i="80"/>
  <c r="S292" i="80"/>
  <c r="AF292" i="80"/>
  <c r="U292" i="80"/>
  <c r="AA292" i="80"/>
  <c r="W292" i="80"/>
  <c r="T292" i="80"/>
  <c r="V292" i="80"/>
  <c r="Y292" i="80"/>
  <c r="AE292" i="80"/>
  <c r="R284" i="80"/>
  <c r="R292" i="80"/>
  <c r="Z292" i="80"/>
  <c r="X292" i="80"/>
  <c r="AC292" i="80"/>
  <c r="AB292" i="80"/>
  <c r="AD292" i="80"/>
  <c r="S330" i="80"/>
  <c r="U330" i="80"/>
  <c r="AE330" i="80"/>
  <c r="T330" i="80"/>
  <c r="AD330" i="80"/>
  <c r="Z330" i="80"/>
  <c r="AF330" i="80"/>
  <c r="AC330" i="80"/>
  <c r="AA330" i="80"/>
  <c r="W330" i="80"/>
  <c r="Y330" i="80"/>
  <c r="R322" i="80"/>
  <c r="AB330" i="80"/>
  <c r="V330" i="80"/>
  <c r="R330" i="80"/>
  <c r="X330" i="80"/>
  <c r="AG291" i="80"/>
  <c r="AG25" i="80"/>
  <c r="R420" i="80"/>
  <c r="T420" i="80"/>
  <c r="AA420" i="80"/>
  <c r="U420" i="80"/>
  <c r="Z420" i="80"/>
  <c r="AE420" i="80"/>
  <c r="S420" i="80"/>
  <c r="AB420" i="80"/>
  <c r="X420" i="80"/>
  <c r="Y420" i="80"/>
  <c r="R400" i="80"/>
  <c r="R402" i="80" s="1"/>
  <c r="R441" i="80" s="1"/>
  <c r="AD420" i="80"/>
  <c r="AC420" i="80"/>
  <c r="AF420" i="80"/>
  <c r="V420" i="80"/>
  <c r="W420" i="80"/>
  <c r="AD64" i="80"/>
  <c r="T64" i="80"/>
  <c r="W64" i="80"/>
  <c r="Y64" i="80"/>
  <c r="AB64" i="80"/>
  <c r="V64" i="80"/>
  <c r="R64" i="80"/>
  <c r="U64" i="80"/>
  <c r="Z64" i="80"/>
  <c r="AA64" i="80"/>
  <c r="AC64" i="80"/>
  <c r="AF64" i="80"/>
  <c r="S64" i="80"/>
  <c r="R56" i="80"/>
  <c r="AE64" i="80"/>
  <c r="X64" i="80"/>
  <c r="R2" i="47"/>
  <c r="R50" i="60"/>
  <c r="AG177" i="80"/>
  <c r="T102" i="80"/>
  <c r="U102" i="80"/>
  <c r="AB102" i="80"/>
  <c r="AA102" i="80"/>
  <c r="Y102" i="80"/>
  <c r="R102" i="80"/>
  <c r="AC102" i="80"/>
  <c r="AF102" i="80"/>
  <c r="W102" i="80"/>
  <c r="AD102" i="80"/>
  <c r="Z102" i="80"/>
  <c r="AE102" i="80"/>
  <c r="S102" i="80"/>
  <c r="X102" i="80"/>
  <c r="V102" i="80"/>
  <c r="R94" i="80"/>
  <c r="Y178" i="80"/>
  <c r="T178" i="80"/>
  <c r="U178" i="80"/>
  <c r="AB178" i="80"/>
  <c r="AF178" i="80"/>
  <c r="V178" i="80"/>
  <c r="R178" i="80"/>
  <c r="X178" i="80"/>
  <c r="W178" i="80"/>
  <c r="AA178" i="80"/>
  <c r="AE178" i="80"/>
  <c r="Z178" i="80"/>
  <c r="AC178" i="80"/>
  <c r="AD178" i="80"/>
  <c r="S178" i="80"/>
  <c r="R170" i="80"/>
  <c r="P443" i="80"/>
  <c r="Q440" i="80" s="1"/>
  <c r="AG215" i="80"/>
  <c r="Q435" i="80"/>
  <c r="AG419" i="80"/>
  <c r="AG101" i="80"/>
  <c r="Q307" i="80"/>
  <c r="Q345" i="80"/>
  <c r="U159" i="47"/>
  <c r="U40" i="60" s="1"/>
  <c r="U95" i="47"/>
  <c r="U35" i="47"/>
  <c r="U49" i="47" s="1"/>
  <c r="V4" i="47"/>
  <c r="U27" i="47"/>
  <c r="U28" i="47"/>
  <c r="S26" i="80"/>
  <c r="Y26" i="80"/>
  <c r="AD26" i="80"/>
  <c r="X26" i="80"/>
  <c r="Z26" i="80"/>
  <c r="U26" i="80"/>
  <c r="V26" i="80"/>
  <c r="R26" i="80"/>
  <c r="R18" i="80"/>
  <c r="AB26" i="80"/>
  <c r="W26" i="80"/>
  <c r="AA26" i="80"/>
  <c r="T26" i="80"/>
  <c r="AE26" i="80"/>
  <c r="AF26" i="80"/>
  <c r="AC26" i="80"/>
  <c r="Y254" i="80"/>
  <c r="S254" i="80"/>
  <c r="V254" i="80"/>
  <c r="AA254" i="80"/>
  <c r="W254" i="80"/>
  <c r="AC254" i="80"/>
  <c r="AB254" i="80"/>
  <c r="T254" i="80"/>
  <c r="AD254" i="80"/>
  <c r="AE254" i="80"/>
  <c r="X254" i="80"/>
  <c r="U254" i="80"/>
  <c r="R246" i="80"/>
  <c r="R254" i="80"/>
  <c r="Z254" i="80"/>
  <c r="AF254" i="80"/>
  <c r="AA216" i="80"/>
  <c r="Y216" i="80"/>
  <c r="U216" i="80"/>
  <c r="S216" i="80"/>
  <c r="AC216" i="80"/>
  <c r="AB216" i="80"/>
  <c r="AF216" i="80"/>
  <c r="X216" i="80"/>
  <c r="T216" i="80"/>
  <c r="AD216" i="80"/>
  <c r="V216" i="80"/>
  <c r="R216" i="80"/>
  <c r="Z216" i="80"/>
  <c r="AE216" i="80"/>
  <c r="R208" i="80"/>
  <c r="W216" i="80"/>
  <c r="P392" i="80"/>
  <c r="P101" i="47"/>
  <c r="AG139" i="80"/>
  <c r="W30" i="55"/>
  <c r="X30" i="55" s="1"/>
  <c r="B31" i="55"/>
  <c r="AD30" i="55"/>
  <c r="J64" i="72" l="1"/>
  <c r="K89" i="89"/>
  <c r="L84" i="89"/>
  <c r="L24" i="89" s="1"/>
  <c r="M24" i="89" s="1"/>
  <c r="A242" i="57"/>
  <c r="D241" i="57"/>
  <c r="G241" i="57"/>
  <c r="K241" i="57"/>
  <c r="O241" i="57"/>
  <c r="C241" i="57"/>
  <c r="H241" i="57"/>
  <c r="L241" i="57"/>
  <c r="P241" i="57"/>
  <c r="E241" i="57"/>
  <c r="I241" i="57"/>
  <c r="M241" i="57"/>
  <c r="Q241" i="57"/>
  <c r="F241" i="57"/>
  <c r="J241" i="57"/>
  <c r="N241" i="57"/>
  <c r="R241" i="57"/>
  <c r="B241" i="57"/>
  <c r="A278" i="57"/>
  <c r="D277" i="57"/>
  <c r="L277" i="57"/>
  <c r="M277" i="57"/>
  <c r="N277" i="57"/>
  <c r="O277" i="57"/>
  <c r="Q277" i="57"/>
  <c r="R277" i="57"/>
  <c r="C277" i="57"/>
  <c r="E277" i="57"/>
  <c r="F277" i="57"/>
  <c r="G277" i="57"/>
  <c r="P277" i="57"/>
  <c r="I277" i="57"/>
  <c r="J277" i="57"/>
  <c r="K277" i="57"/>
  <c r="H277" i="57"/>
  <c r="B277" i="57"/>
  <c r="T30" i="57"/>
  <c r="B30" i="57"/>
  <c r="A314" i="57"/>
  <c r="I313" i="57"/>
  <c r="N313" i="57"/>
  <c r="G313" i="57"/>
  <c r="M313" i="57"/>
  <c r="R313" i="57"/>
  <c r="K313" i="57"/>
  <c r="H313" i="57"/>
  <c r="Q313" i="57"/>
  <c r="F313" i="57"/>
  <c r="O313" i="57"/>
  <c r="L313" i="57"/>
  <c r="E313" i="57"/>
  <c r="J313" i="57"/>
  <c r="C313" i="57"/>
  <c r="D313" i="57"/>
  <c r="P313" i="57"/>
  <c r="B313" i="57"/>
  <c r="G43" i="72"/>
  <c r="C118" i="47" s="1"/>
  <c r="G46" i="72"/>
  <c r="G56" i="72" s="1"/>
  <c r="U74" i="89"/>
  <c r="V49" i="89"/>
  <c r="Y3" i="74"/>
  <c r="X9" i="74"/>
  <c r="X8" i="74"/>
  <c r="X11" i="74"/>
  <c r="X10" i="74"/>
  <c r="Y5" i="75"/>
  <c r="Y8" i="75"/>
  <c r="Y9" i="75" s="1"/>
  <c r="Z7" i="75"/>
  <c r="A62" i="57"/>
  <c r="B62" i="57" s="1"/>
  <c r="C61" i="57"/>
  <c r="D61" i="57"/>
  <c r="E61" i="57"/>
  <c r="F61" i="57"/>
  <c r="G61" i="57"/>
  <c r="H61" i="57"/>
  <c r="I61" i="57"/>
  <c r="J61" i="57"/>
  <c r="K61" i="57"/>
  <c r="L61" i="57"/>
  <c r="M61" i="57"/>
  <c r="N61" i="57"/>
  <c r="O61" i="57"/>
  <c r="P61" i="57"/>
  <c r="Q61" i="57"/>
  <c r="R61" i="57"/>
  <c r="A170" i="57"/>
  <c r="B170" i="57" s="1"/>
  <c r="C169" i="57"/>
  <c r="D169" i="57"/>
  <c r="E169" i="57"/>
  <c r="F169" i="57"/>
  <c r="G169" i="57"/>
  <c r="H169" i="57"/>
  <c r="I169" i="57"/>
  <c r="J169" i="57"/>
  <c r="K169" i="57"/>
  <c r="L169" i="57"/>
  <c r="M169" i="57"/>
  <c r="N169" i="57"/>
  <c r="O169" i="57"/>
  <c r="P169" i="57"/>
  <c r="Q169" i="57"/>
  <c r="R169" i="57"/>
  <c r="A134" i="57"/>
  <c r="B134" i="57" s="1"/>
  <c r="C133" i="57"/>
  <c r="D133" i="57"/>
  <c r="E133" i="57"/>
  <c r="F133" i="57"/>
  <c r="G133" i="57"/>
  <c r="H133" i="57"/>
  <c r="I133" i="57"/>
  <c r="J133" i="57"/>
  <c r="K133" i="57"/>
  <c r="L133" i="57"/>
  <c r="M133" i="57"/>
  <c r="N133" i="57"/>
  <c r="O133" i="57"/>
  <c r="P133" i="57"/>
  <c r="Q133" i="57"/>
  <c r="R133" i="57"/>
  <c r="A206" i="57"/>
  <c r="B206" i="57" s="1"/>
  <c r="C205" i="57"/>
  <c r="D205" i="57"/>
  <c r="E205" i="57"/>
  <c r="F205" i="57"/>
  <c r="G205" i="57"/>
  <c r="H205" i="57"/>
  <c r="I205" i="57"/>
  <c r="J205" i="57"/>
  <c r="K205" i="57"/>
  <c r="L205" i="57"/>
  <c r="M205" i="57"/>
  <c r="N205" i="57"/>
  <c r="O205" i="57"/>
  <c r="P205" i="57"/>
  <c r="Q205" i="57"/>
  <c r="R205" i="57"/>
  <c r="A98" i="57"/>
  <c r="B98" i="57" s="1"/>
  <c r="C97" i="57"/>
  <c r="D97" i="57"/>
  <c r="E97" i="57"/>
  <c r="F97" i="57"/>
  <c r="G97" i="57"/>
  <c r="H97" i="57"/>
  <c r="I97" i="57"/>
  <c r="J97" i="57"/>
  <c r="K97" i="57"/>
  <c r="L97" i="57"/>
  <c r="M97" i="57"/>
  <c r="N97" i="57"/>
  <c r="O97" i="57"/>
  <c r="P97" i="57"/>
  <c r="Q97" i="57"/>
  <c r="R97" i="57"/>
  <c r="R345" i="80"/>
  <c r="N6" i="60"/>
  <c r="O15" i="47"/>
  <c r="N80" i="47"/>
  <c r="N24" i="55"/>
  <c r="R231" i="80"/>
  <c r="P53" i="72"/>
  <c r="Q40" i="72"/>
  <c r="P51" i="72"/>
  <c r="Q38" i="72"/>
  <c r="R117" i="80"/>
  <c r="A31" i="57"/>
  <c r="B31" i="57" s="1"/>
  <c r="C30" i="57"/>
  <c r="D30" i="57"/>
  <c r="E30" i="57"/>
  <c r="F30" i="57"/>
  <c r="G30" i="57"/>
  <c r="H30" i="57"/>
  <c r="I30" i="57"/>
  <c r="J30" i="57"/>
  <c r="K30" i="57"/>
  <c r="L30" i="57"/>
  <c r="M30" i="57"/>
  <c r="N30" i="57"/>
  <c r="O30" i="57"/>
  <c r="P30" i="57"/>
  <c r="Q30" i="57"/>
  <c r="R30" i="57"/>
  <c r="S30" i="57"/>
  <c r="A291" i="80"/>
  <c r="A178" i="80"/>
  <c r="P49" i="72"/>
  <c r="Q36" i="72"/>
  <c r="V2" i="57"/>
  <c r="U29" i="57"/>
  <c r="U31" i="57"/>
  <c r="U30" i="57"/>
  <c r="U28" i="57"/>
  <c r="P47" i="72"/>
  <c r="Q34" i="72"/>
  <c r="P55" i="72"/>
  <c r="Q42" i="72"/>
  <c r="P48" i="72"/>
  <c r="Q35" i="72"/>
  <c r="A216" i="80"/>
  <c r="A103" i="80"/>
  <c r="A141" i="80"/>
  <c r="A254" i="80"/>
  <c r="A368" i="80" s="1"/>
  <c r="P54" i="72"/>
  <c r="Q41" i="72"/>
  <c r="A421" i="80"/>
  <c r="A28" i="80"/>
  <c r="P52" i="72"/>
  <c r="Q39" i="72"/>
  <c r="S44" i="60"/>
  <c r="T28" i="60"/>
  <c r="R435" i="80"/>
  <c r="AG420" i="80"/>
  <c r="AD27" i="80"/>
  <c r="S18" i="80"/>
  <c r="V27" i="80"/>
  <c r="AC27" i="80"/>
  <c r="Y27" i="80"/>
  <c r="W27" i="80"/>
  <c r="T27" i="80"/>
  <c r="AE27" i="80"/>
  <c r="AA27" i="80"/>
  <c r="U27" i="80"/>
  <c r="Z27" i="80"/>
  <c r="X27" i="80"/>
  <c r="AB27" i="80"/>
  <c r="S27" i="80"/>
  <c r="AF27" i="80"/>
  <c r="U4" i="60"/>
  <c r="T48" i="60"/>
  <c r="AG140" i="80"/>
  <c r="AG254" i="80"/>
  <c r="V159" i="47"/>
  <c r="V40" i="60" s="1"/>
  <c r="V95" i="47"/>
  <c r="W4" i="47"/>
  <c r="V27" i="47"/>
  <c r="V28" i="47"/>
  <c r="Q442" i="80"/>
  <c r="Q443" i="80" s="1"/>
  <c r="R440" i="80" s="1"/>
  <c r="Q444" i="80"/>
  <c r="AG178" i="80"/>
  <c r="AB331" i="80"/>
  <c r="AF331" i="80"/>
  <c r="Y331" i="80"/>
  <c r="AE331" i="80"/>
  <c r="Z331" i="80"/>
  <c r="U331" i="80"/>
  <c r="T331" i="80"/>
  <c r="X331" i="80"/>
  <c r="W331" i="80"/>
  <c r="S322" i="80"/>
  <c r="AD331" i="80"/>
  <c r="S331" i="80"/>
  <c r="AA331" i="80"/>
  <c r="V331" i="80"/>
  <c r="AC331" i="80"/>
  <c r="Z217" i="80"/>
  <c r="S217" i="80"/>
  <c r="AA217" i="80"/>
  <c r="AE217" i="80"/>
  <c r="X217" i="80"/>
  <c r="AB217" i="80"/>
  <c r="AD217" i="80"/>
  <c r="Y217" i="80"/>
  <c r="U217" i="80"/>
  <c r="AF217" i="80"/>
  <c r="W217" i="80"/>
  <c r="AC217" i="80"/>
  <c r="V217" i="80"/>
  <c r="T217" i="80"/>
  <c r="S208" i="80"/>
  <c r="U421" i="80"/>
  <c r="AC421" i="80"/>
  <c r="AD421" i="80"/>
  <c r="T421" i="80"/>
  <c r="W421" i="80"/>
  <c r="AB421" i="80"/>
  <c r="S400" i="80"/>
  <c r="S402" i="80" s="1"/>
  <c r="S441" i="80" s="1"/>
  <c r="S421" i="80"/>
  <c r="X421" i="80"/>
  <c r="AE421" i="80"/>
  <c r="V421" i="80"/>
  <c r="Y421" i="80"/>
  <c r="AA421" i="80"/>
  <c r="Z421" i="80"/>
  <c r="AF421" i="80"/>
  <c r="T86" i="80"/>
  <c r="T10" i="80"/>
  <c r="U2" i="80"/>
  <c r="T4" i="80"/>
  <c r="T48" i="80"/>
  <c r="T352" i="80"/>
  <c r="T162" i="80"/>
  <c r="T276" i="80"/>
  <c r="T446" i="80"/>
  <c r="T401" i="80"/>
  <c r="T124" i="80"/>
  <c r="T238" i="80"/>
  <c r="T314" i="80"/>
  <c r="T200" i="80"/>
  <c r="S50" i="60"/>
  <c r="S2" i="47"/>
  <c r="R269" i="80"/>
  <c r="AG102" i="80"/>
  <c r="AG64" i="80"/>
  <c r="AG330" i="80"/>
  <c r="AG292" i="80"/>
  <c r="S284" i="80"/>
  <c r="AE293" i="80"/>
  <c r="X293" i="80"/>
  <c r="AB293" i="80"/>
  <c r="S293" i="80"/>
  <c r="AF293" i="80"/>
  <c r="AA293" i="80"/>
  <c r="U293" i="80"/>
  <c r="T293" i="80"/>
  <c r="W293" i="80"/>
  <c r="Z293" i="80"/>
  <c r="Y293" i="80"/>
  <c r="AD293" i="80"/>
  <c r="V293" i="80"/>
  <c r="AC293" i="80"/>
  <c r="AB103" i="80"/>
  <c r="AE103" i="80"/>
  <c r="S103" i="80"/>
  <c r="X103" i="80"/>
  <c r="AC103" i="80"/>
  <c r="W103" i="80"/>
  <c r="AA103" i="80"/>
  <c r="Y103" i="80"/>
  <c r="AF103" i="80"/>
  <c r="AD103" i="80"/>
  <c r="U103" i="80"/>
  <c r="S94" i="80"/>
  <c r="V103" i="80"/>
  <c r="Z103" i="80"/>
  <c r="T103" i="80"/>
  <c r="V141" i="80"/>
  <c r="AF141" i="80"/>
  <c r="AA141" i="80"/>
  <c r="AB141" i="80"/>
  <c r="S141" i="80"/>
  <c r="AC141" i="80"/>
  <c r="W141" i="80"/>
  <c r="T141" i="80"/>
  <c r="U141" i="80"/>
  <c r="X141" i="80"/>
  <c r="AE141" i="80"/>
  <c r="AD141" i="80"/>
  <c r="Z141" i="80"/>
  <c r="S132" i="80"/>
  <c r="Y141" i="80"/>
  <c r="Y179" i="80"/>
  <c r="AE179" i="80"/>
  <c r="X179" i="80"/>
  <c r="AD179" i="80"/>
  <c r="Z179" i="80"/>
  <c r="T179" i="80"/>
  <c r="AA179" i="80"/>
  <c r="AC179" i="80"/>
  <c r="AB179" i="80"/>
  <c r="W179" i="80"/>
  <c r="S170" i="80"/>
  <c r="V179" i="80"/>
  <c r="S179" i="80"/>
  <c r="U179" i="80"/>
  <c r="AF179" i="80"/>
  <c r="AG216" i="80"/>
  <c r="AG26" i="80"/>
  <c r="U160" i="47"/>
  <c r="U33" i="60" s="1"/>
  <c r="R79" i="80"/>
  <c r="R307" i="80"/>
  <c r="AG368" i="80"/>
  <c r="R383" i="80"/>
  <c r="AC369" i="80"/>
  <c r="AD369" i="80"/>
  <c r="Y369" i="80"/>
  <c r="T369" i="80"/>
  <c r="V369" i="80"/>
  <c r="X369" i="80"/>
  <c r="S369" i="80"/>
  <c r="W369" i="80"/>
  <c r="U369" i="80"/>
  <c r="AA369" i="80"/>
  <c r="AB369" i="80"/>
  <c r="S360" i="80"/>
  <c r="AE369" i="80"/>
  <c r="Z369" i="80"/>
  <c r="AF369" i="80"/>
  <c r="U255" i="80"/>
  <c r="Z255" i="80"/>
  <c r="AF255" i="80"/>
  <c r="Y255" i="80"/>
  <c r="AD255" i="80"/>
  <c r="AB255" i="80"/>
  <c r="AE255" i="80"/>
  <c r="S246" i="80"/>
  <c r="S255" i="80"/>
  <c r="X255" i="80"/>
  <c r="AA255" i="80"/>
  <c r="AC255" i="80"/>
  <c r="V255" i="80"/>
  <c r="T255" i="80"/>
  <c r="W255" i="80"/>
  <c r="Y65" i="80"/>
  <c r="AB65" i="80"/>
  <c r="U65" i="80"/>
  <c r="S65" i="80"/>
  <c r="AE65" i="80"/>
  <c r="V65" i="80"/>
  <c r="T65" i="80"/>
  <c r="AF65" i="80"/>
  <c r="S56" i="80"/>
  <c r="W65" i="80"/>
  <c r="AD65" i="80"/>
  <c r="Z65" i="80"/>
  <c r="X65" i="80"/>
  <c r="AC65" i="80"/>
  <c r="AA65" i="80"/>
  <c r="R155" i="80"/>
  <c r="B32" i="55"/>
  <c r="AD31" i="55"/>
  <c r="W31" i="55"/>
  <c r="X31" i="55" s="1"/>
  <c r="AK64" i="72" l="1"/>
  <c r="J24" i="72"/>
  <c r="J70" i="72"/>
  <c r="A315" i="57"/>
  <c r="J314" i="57"/>
  <c r="K314" i="57"/>
  <c r="H314" i="57"/>
  <c r="I314" i="57"/>
  <c r="N314" i="57"/>
  <c r="O314" i="57"/>
  <c r="L314" i="57"/>
  <c r="R314" i="57"/>
  <c r="C314" i="57"/>
  <c r="S314" i="57"/>
  <c r="P314" i="57"/>
  <c r="M314" i="57"/>
  <c r="F314" i="57"/>
  <c r="G314" i="57"/>
  <c r="D314" i="57"/>
  <c r="E314" i="57"/>
  <c r="Q314" i="57"/>
  <c r="B314" i="57"/>
  <c r="A279" i="57"/>
  <c r="I278" i="57"/>
  <c r="N278" i="57"/>
  <c r="K278" i="57"/>
  <c r="P278" i="57"/>
  <c r="R278" i="57"/>
  <c r="O278" i="57"/>
  <c r="D278" i="57"/>
  <c r="E278" i="57"/>
  <c r="F278" i="57"/>
  <c r="C278" i="57"/>
  <c r="S278" i="57"/>
  <c r="H278" i="57"/>
  <c r="Q278" i="57"/>
  <c r="J278" i="57"/>
  <c r="G278" i="57"/>
  <c r="L278" i="57"/>
  <c r="M278" i="57"/>
  <c r="B278" i="57"/>
  <c r="A243" i="57"/>
  <c r="D242" i="57"/>
  <c r="H242" i="57"/>
  <c r="L242" i="57"/>
  <c r="P242" i="57"/>
  <c r="E242" i="57"/>
  <c r="I242" i="57"/>
  <c r="M242" i="57"/>
  <c r="Q242" i="57"/>
  <c r="F242" i="57"/>
  <c r="J242" i="57"/>
  <c r="N242" i="57"/>
  <c r="R242" i="57"/>
  <c r="C242" i="57"/>
  <c r="G242" i="57"/>
  <c r="K242" i="57"/>
  <c r="O242" i="57"/>
  <c r="S242" i="57"/>
  <c r="B242" i="57"/>
  <c r="G57" i="72"/>
  <c r="C156" i="47" s="1"/>
  <c r="V64" i="89"/>
  <c r="V59" i="89"/>
  <c r="Z3" i="74"/>
  <c r="Y9" i="74"/>
  <c r="Y10" i="74"/>
  <c r="Y8" i="74"/>
  <c r="Y11" i="74"/>
  <c r="AE77" i="75"/>
  <c r="Z5" i="75"/>
  <c r="Z8" i="75"/>
  <c r="Z9" i="75" s="1"/>
  <c r="AA7" i="75"/>
  <c r="A135" i="57"/>
  <c r="B135" i="57" s="1"/>
  <c r="C134" i="57"/>
  <c r="D134" i="57"/>
  <c r="E134" i="57"/>
  <c r="F134" i="57"/>
  <c r="G134" i="57"/>
  <c r="H134" i="57"/>
  <c r="I134" i="57"/>
  <c r="J134" i="57"/>
  <c r="K134" i="57"/>
  <c r="L134" i="57"/>
  <c r="M134" i="57"/>
  <c r="N134" i="57"/>
  <c r="O134" i="57"/>
  <c r="P134" i="57"/>
  <c r="Q134" i="57"/>
  <c r="R134" i="57"/>
  <c r="S134" i="57"/>
  <c r="A207" i="57"/>
  <c r="B207" i="57" s="1"/>
  <c r="C206" i="57"/>
  <c r="D206" i="57"/>
  <c r="E206" i="57"/>
  <c r="F206" i="57"/>
  <c r="G206" i="57"/>
  <c r="H206" i="57"/>
  <c r="I206" i="57"/>
  <c r="J206" i="57"/>
  <c r="K206" i="57"/>
  <c r="L206" i="57"/>
  <c r="M206" i="57"/>
  <c r="N206" i="57"/>
  <c r="O206" i="57"/>
  <c r="P206" i="57"/>
  <c r="Q206" i="57"/>
  <c r="R206" i="57"/>
  <c r="S206" i="57"/>
  <c r="A63" i="57"/>
  <c r="B63" i="57" s="1"/>
  <c r="C62" i="57"/>
  <c r="D62" i="57"/>
  <c r="E62" i="57"/>
  <c r="F62" i="57"/>
  <c r="G62" i="57"/>
  <c r="H62" i="57"/>
  <c r="I62" i="57"/>
  <c r="J62" i="57"/>
  <c r="K62" i="57"/>
  <c r="L62" i="57"/>
  <c r="M62" i="57"/>
  <c r="N62" i="57"/>
  <c r="O62" i="57"/>
  <c r="P62" i="57"/>
  <c r="Q62" i="57"/>
  <c r="R62" i="57"/>
  <c r="S62" i="57"/>
  <c r="A99" i="57"/>
  <c r="B99" i="57" s="1"/>
  <c r="C98" i="57"/>
  <c r="D98" i="57"/>
  <c r="E98" i="57"/>
  <c r="F98" i="57"/>
  <c r="G98" i="57"/>
  <c r="H98" i="57"/>
  <c r="I98" i="57"/>
  <c r="J98" i="57"/>
  <c r="K98" i="57"/>
  <c r="L98" i="57"/>
  <c r="M98" i="57"/>
  <c r="N98" i="57"/>
  <c r="O98" i="57"/>
  <c r="P98" i="57"/>
  <c r="Q98" i="57"/>
  <c r="R98" i="57"/>
  <c r="S98" i="57"/>
  <c r="A171" i="57"/>
  <c r="B171" i="57" s="1"/>
  <c r="C170" i="57"/>
  <c r="D170" i="57"/>
  <c r="E170" i="57"/>
  <c r="F170" i="57"/>
  <c r="G170" i="57"/>
  <c r="H170" i="57"/>
  <c r="I170" i="57"/>
  <c r="J170" i="57"/>
  <c r="K170" i="57"/>
  <c r="L170" i="57"/>
  <c r="M170" i="57"/>
  <c r="N170" i="57"/>
  <c r="O170" i="57"/>
  <c r="P170" i="57"/>
  <c r="Q170" i="57"/>
  <c r="R170" i="57"/>
  <c r="S170" i="57"/>
  <c r="S79" i="80"/>
  <c r="S155" i="80"/>
  <c r="O80" i="47"/>
  <c r="O6" i="60"/>
  <c r="N25" i="55"/>
  <c r="P15" i="47"/>
  <c r="Q54" i="72"/>
  <c r="R41" i="72"/>
  <c r="A104" i="80"/>
  <c r="A217" i="80"/>
  <c r="Q47" i="72"/>
  <c r="R34" i="72"/>
  <c r="A292" i="80"/>
  <c r="A179" i="80"/>
  <c r="A32" i="57"/>
  <c r="B32" i="57" s="1"/>
  <c r="C31" i="57"/>
  <c r="D31" i="57"/>
  <c r="E31" i="57"/>
  <c r="F31" i="57"/>
  <c r="G31" i="57"/>
  <c r="H31" i="57"/>
  <c r="I31" i="57"/>
  <c r="J31" i="57"/>
  <c r="K31" i="57"/>
  <c r="L31" i="57"/>
  <c r="M31" i="57"/>
  <c r="N31" i="57"/>
  <c r="O31" i="57"/>
  <c r="P31" i="57"/>
  <c r="Q31" i="57"/>
  <c r="R31" i="57"/>
  <c r="S31" i="57"/>
  <c r="T31" i="57"/>
  <c r="T44" i="60"/>
  <c r="U28" i="60"/>
  <c r="A422" i="80"/>
  <c r="A29" i="80"/>
  <c r="V29" i="57"/>
  <c r="V31" i="57"/>
  <c r="V32" i="57"/>
  <c r="V30" i="57"/>
  <c r="W2" i="57"/>
  <c r="Q53" i="72"/>
  <c r="R40" i="72"/>
  <c r="AG255" i="80"/>
  <c r="S383" i="80"/>
  <c r="AG293" i="80"/>
  <c r="S307" i="80"/>
  <c r="AG331" i="80"/>
  <c r="Q48" i="72"/>
  <c r="R35" i="72"/>
  <c r="Q55" i="72"/>
  <c r="R42" i="72"/>
  <c r="Q49" i="72"/>
  <c r="R36" i="72"/>
  <c r="Q52" i="72"/>
  <c r="R39" i="72"/>
  <c r="A255" i="80"/>
  <c r="A369" i="80" s="1"/>
  <c r="A142" i="80"/>
  <c r="Q51" i="72"/>
  <c r="R38" i="72"/>
  <c r="AG369" i="80"/>
  <c r="U218" i="80"/>
  <c r="X218" i="80"/>
  <c r="AB218" i="80"/>
  <c r="AA218" i="80"/>
  <c r="AD218" i="80"/>
  <c r="AF218" i="80"/>
  <c r="AE218" i="80"/>
  <c r="T218" i="80"/>
  <c r="T208" i="80"/>
  <c r="W218" i="80"/>
  <c r="Y218" i="80"/>
  <c r="AC218" i="80"/>
  <c r="Z218" i="80"/>
  <c r="V218" i="80"/>
  <c r="X422" i="80"/>
  <c r="W422" i="80"/>
  <c r="T422" i="80"/>
  <c r="AF422" i="80"/>
  <c r="AE422" i="80"/>
  <c r="Y422" i="80"/>
  <c r="U422" i="80"/>
  <c r="Z422" i="80"/>
  <c r="AB422" i="80"/>
  <c r="V422" i="80"/>
  <c r="AC422" i="80"/>
  <c r="AA422" i="80"/>
  <c r="AD422" i="80"/>
  <c r="T400" i="80"/>
  <c r="T402" i="80" s="1"/>
  <c r="T370" i="80"/>
  <c r="Y370" i="80"/>
  <c r="AE370" i="80"/>
  <c r="U370" i="80"/>
  <c r="W370" i="80"/>
  <c r="AD370" i="80"/>
  <c r="T360" i="80"/>
  <c r="X370" i="80"/>
  <c r="V370" i="80"/>
  <c r="AC370" i="80"/>
  <c r="AF370" i="80"/>
  <c r="Z370" i="80"/>
  <c r="AB370" i="80"/>
  <c r="AA370" i="80"/>
  <c r="AC28" i="80"/>
  <c r="T18" i="80"/>
  <c r="AB28" i="80"/>
  <c r="T28" i="80"/>
  <c r="AE28" i="80"/>
  <c r="U28" i="80"/>
  <c r="W28" i="80"/>
  <c r="V28" i="80"/>
  <c r="AA28" i="80"/>
  <c r="Y28" i="80"/>
  <c r="AD28" i="80"/>
  <c r="AF28" i="80"/>
  <c r="Z28" i="80"/>
  <c r="X28" i="80"/>
  <c r="Q392" i="80"/>
  <c r="Q101" i="47"/>
  <c r="AG27" i="80"/>
  <c r="T170" i="80"/>
  <c r="AB180" i="80"/>
  <c r="AE180" i="80"/>
  <c r="T180" i="80"/>
  <c r="Z180" i="80"/>
  <c r="AA180" i="80"/>
  <c r="AD180" i="80"/>
  <c r="AF180" i="80"/>
  <c r="V180" i="80"/>
  <c r="AC180" i="80"/>
  <c r="U180" i="80"/>
  <c r="Y180" i="80"/>
  <c r="W180" i="80"/>
  <c r="X180" i="80"/>
  <c r="U314" i="80"/>
  <c r="U48" i="80"/>
  <c r="U162" i="80"/>
  <c r="V2" i="80"/>
  <c r="U10" i="80"/>
  <c r="U86" i="80"/>
  <c r="U276" i="80"/>
  <c r="U401" i="80"/>
  <c r="U4" i="80"/>
  <c r="U200" i="80"/>
  <c r="U446" i="80"/>
  <c r="U352" i="80"/>
  <c r="U238" i="80"/>
  <c r="U124" i="80"/>
  <c r="R444" i="80"/>
  <c r="R442" i="80"/>
  <c r="R443" i="80" s="1"/>
  <c r="S440" i="80" s="1"/>
  <c r="S269" i="80"/>
  <c r="AG65" i="80"/>
  <c r="AG179" i="80"/>
  <c r="AG141" i="80"/>
  <c r="S117" i="80"/>
  <c r="T322" i="80"/>
  <c r="W332" i="80"/>
  <c r="Z332" i="80"/>
  <c r="X332" i="80"/>
  <c r="V332" i="80"/>
  <c r="AE332" i="80"/>
  <c r="AA332" i="80"/>
  <c r="AB332" i="80"/>
  <c r="U332" i="80"/>
  <c r="AF332" i="80"/>
  <c r="AD332" i="80"/>
  <c r="Y332" i="80"/>
  <c r="AC332" i="80"/>
  <c r="T332" i="80"/>
  <c r="Y66" i="80"/>
  <c r="V66" i="80"/>
  <c r="AC66" i="80"/>
  <c r="AA66" i="80"/>
  <c r="X66" i="80"/>
  <c r="U66" i="80"/>
  <c r="Z66" i="80"/>
  <c r="W66" i="80"/>
  <c r="AE66" i="80"/>
  <c r="AD66" i="80"/>
  <c r="T56" i="80"/>
  <c r="AB66" i="80"/>
  <c r="T66" i="80"/>
  <c r="AF66" i="80"/>
  <c r="AF104" i="80"/>
  <c r="AA104" i="80"/>
  <c r="AB104" i="80"/>
  <c r="U104" i="80"/>
  <c r="T94" i="80"/>
  <c r="AE104" i="80"/>
  <c r="AD104" i="80"/>
  <c r="X104" i="80"/>
  <c r="Z104" i="80"/>
  <c r="T104" i="80"/>
  <c r="AC104" i="80"/>
  <c r="V104" i="80"/>
  <c r="W104" i="80"/>
  <c r="Y104" i="80"/>
  <c r="AG421" i="80"/>
  <c r="S435" i="80"/>
  <c r="S231" i="80"/>
  <c r="S345" i="80"/>
  <c r="T2" i="47"/>
  <c r="T50" i="60"/>
  <c r="AD142" i="80"/>
  <c r="T142" i="80"/>
  <c r="V142" i="80"/>
  <c r="AA142" i="80"/>
  <c r="AE142" i="80"/>
  <c r="AF142" i="80"/>
  <c r="AC142" i="80"/>
  <c r="AB142" i="80"/>
  <c r="T132" i="80"/>
  <c r="U142" i="80"/>
  <c r="W142" i="80"/>
  <c r="X142" i="80"/>
  <c r="Z142" i="80"/>
  <c r="Y142" i="80"/>
  <c r="AG103" i="80"/>
  <c r="AD256" i="80"/>
  <c r="U256" i="80"/>
  <c r="Z256" i="80"/>
  <c r="AA256" i="80"/>
  <c r="T246" i="80"/>
  <c r="X256" i="80"/>
  <c r="Y256" i="80"/>
  <c r="T256" i="80"/>
  <c r="AE256" i="80"/>
  <c r="AB256" i="80"/>
  <c r="W256" i="80"/>
  <c r="AF256" i="80"/>
  <c r="V256" i="80"/>
  <c r="AC256" i="80"/>
  <c r="X294" i="80"/>
  <c r="AD294" i="80"/>
  <c r="W294" i="80"/>
  <c r="T294" i="80"/>
  <c r="Z294" i="80"/>
  <c r="Y294" i="80"/>
  <c r="AC294" i="80"/>
  <c r="AA294" i="80"/>
  <c r="AE294" i="80"/>
  <c r="T284" i="80"/>
  <c r="AB294" i="80"/>
  <c r="AF294" i="80"/>
  <c r="V294" i="80"/>
  <c r="U294" i="80"/>
  <c r="AG217" i="80"/>
  <c r="V160" i="47"/>
  <c r="V33" i="60" s="1"/>
  <c r="X4" i="47"/>
  <c r="W27" i="47"/>
  <c r="W95" i="47"/>
  <c r="W35" i="47"/>
  <c r="W49" i="47" s="1"/>
  <c r="W159" i="47"/>
  <c r="W40" i="60" s="1"/>
  <c r="W28" i="47"/>
  <c r="U48" i="60"/>
  <c r="V4" i="60"/>
  <c r="AD32" i="55"/>
  <c r="W32" i="55"/>
  <c r="X32" i="55" s="1"/>
  <c r="B33" i="55"/>
  <c r="J30" i="72" l="1"/>
  <c r="F84" i="47" s="1"/>
  <c r="AK24" i="72"/>
  <c r="F150" i="57" s="1"/>
  <c r="J37" i="72"/>
  <c r="C25" i="60"/>
  <c r="C27" i="60" s="1"/>
  <c r="C29" i="60" s="1"/>
  <c r="C13" i="60" s="1"/>
  <c r="A280" i="57"/>
  <c r="R279" i="57"/>
  <c r="K279" i="57"/>
  <c r="H279" i="57"/>
  <c r="Q279" i="57"/>
  <c r="N279" i="57"/>
  <c r="O279" i="57"/>
  <c r="L279" i="57"/>
  <c r="E279" i="57"/>
  <c r="J279" i="57"/>
  <c r="C279" i="57"/>
  <c r="S279" i="57"/>
  <c r="P279" i="57"/>
  <c r="I279" i="57"/>
  <c r="G279" i="57"/>
  <c r="D279" i="57"/>
  <c r="T279" i="57"/>
  <c r="M279" i="57"/>
  <c r="F279" i="57"/>
  <c r="B279" i="57"/>
  <c r="A244" i="57"/>
  <c r="D243" i="57"/>
  <c r="G243" i="57"/>
  <c r="K243" i="57"/>
  <c r="O243" i="57"/>
  <c r="S243" i="57"/>
  <c r="C243" i="57"/>
  <c r="H243" i="57"/>
  <c r="L243" i="57"/>
  <c r="P243" i="57"/>
  <c r="T243" i="57"/>
  <c r="E243" i="57"/>
  <c r="I243" i="57"/>
  <c r="M243" i="57"/>
  <c r="Q243" i="57"/>
  <c r="N243" i="57"/>
  <c r="R243" i="57"/>
  <c r="F243" i="57"/>
  <c r="J243" i="57"/>
  <c r="B243" i="57"/>
  <c r="A316" i="57"/>
  <c r="J315" i="57"/>
  <c r="G315" i="57"/>
  <c r="H315" i="57"/>
  <c r="N315" i="57"/>
  <c r="K315" i="57"/>
  <c r="L315" i="57"/>
  <c r="R315" i="57"/>
  <c r="O315" i="57"/>
  <c r="T315" i="57"/>
  <c r="F315" i="57"/>
  <c r="C315" i="57"/>
  <c r="S315" i="57"/>
  <c r="D315" i="57"/>
  <c r="M315" i="57"/>
  <c r="I315" i="57"/>
  <c r="P315" i="57"/>
  <c r="E315" i="57"/>
  <c r="Q315" i="57"/>
  <c r="B315" i="57"/>
  <c r="V74" i="89"/>
  <c r="W49" i="89"/>
  <c r="Z9" i="74"/>
  <c r="AA3" i="74"/>
  <c r="Z10" i="74"/>
  <c r="Z8" i="74"/>
  <c r="Z11" i="74"/>
  <c r="AA5" i="75"/>
  <c r="AB7" i="75"/>
  <c r="AA8" i="75"/>
  <c r="AA9" i="75" s="1"/>
  <c r="AF77" i="75"/>
  <c r="A208" i="57"/>
  <c r="B208" i="57" s="1"/>
  <c r="C207" i="57"/>
  <c r="D207" i="57"/>
  <c r="E207" i="57"/>
  <c r="F207" i="57"/>
  <c r="G207" i="57"/>
  <c r="H207" i="57"/>
  <c r="I207" i="57"/>
  <c r="J207" i="57"/>
  <c r="K207" i="57"/>
  <c r="L207" i="57"/>
  <c r="M207" i="57"/>
  <c r="N207" i="57"/>
  <c r="O207" i="57"/>
  <c r="P207" i="57"/>
  <c r="Q207" i="57"/>
  <c r="R207" i="57"/>
  <c r="S207" i="57"/>
  <c r="T207" i="57"/>
  <c r="A64" i="57"/>
  <c r="B64" i="57" s="1"/>
  <c r="C63" i="57"/>
  <c r="D63" i="57"/>
  <c r="E63" i="57"/>
  <c r="F63" i="57"/>
  <c r="G63" i="57"/>
  <c r="H63" i="57"/>
  <c r="I63" i="57"/>
  <c r="J63" i="57"/>
  <c r="K63" i="57"/>
  <c r="L63" i="57"/>
  <c r="M63" i="57"/>
  <c r="N63" i="57"/>
  <c r="O63" i="57"/>
  <c r="P63" i="57"/>
  <c r="Q63" i="57"/>
  <c r="R63" i="57"/>
  <c r="S63" i="57"/>
  <c r="T63" i="57"/>
  <c r="A136" i="57"/>
  <c r="B136" i="57" s="1"/>
  <c r="C135" i="57"/>
  <c r="D135" i="57"/>
  <c r="E135" i="57"/>
  <c r="F135" i="57"/>
  <c r="G135" i="57"/>
  <c r="H135" i="57"/>
  <c r="I135" i="57"/>
  <c r="J135" i="57"/>
  <c r="K135" i="57"/>
  <c r="L135" i="57"/>
  <c r="M135" i="57"/>
  <c r="N135" i="57"/>
  <c r="O135" i="57"/>
  <c r="P135" i="57"/>
  <c r="Q135" i="57"/>
  <c r="R135" i="57"/>
  <c r="S135" i="57"/>
  <c r="T135" i="57"/>
  <c r="A172" i="57"/>
  <c r="B172" i="57" s="1"/>
  <c r="C171" i="57"/>
  <c r="D171" i="57"/>
  <c r="E171" i="57"/>
  <c r="F171" i="57"/>
  <c r="G171" i="57"/>
  <c r="H171" i="57"/>
  <c r="I171" i="57"/>
  <c r="J171" i="57"/>
  <c r="K171" i="57"/>
  <c r="L171" i="57"/>
  <c r="M171" i="57"/>
  <c r="N171" i="57"/>
  <c r="O171" i="57"/>
  <c r="P171" i="57"/>
  <c r="Q171" i="57"/>
  <c r="R171" i="57"/>
  <c r="S171" i="57"/>
  <c r="T171" i="57"/>
  <c r="A100" i="57"/>
  <c r="B100" i="57" s="1"/>
  <c r="C99" i="57"/>
  <c r="D99" i="57"/>
  <c r="E99" i="57"/>
  <c r="F99" i="57"/>
  <c r="G99" i="57"/>
  <c r="H99" i="57"/>
  <c r="I99" i="57"/>
  <c r="J99" i="57"/>
  <c r="K99" i="57"/>
  <c r="L99" i="57"/>
  <c r="M99" i="57"/>
  <c r="N99" i="57"/>
  <c r="O99" i="57"/>
  <c r="P99" i="57"/>
  <c r="Q99" i="57"/>
  <c r="R99" i="57"/>
  <c r="S99" i="57"/>
  <c r="T99" i="57"/>
  <c r="T307" i="80"/>
  <c r="T383" i="80"/>
  <c r="AG332" i="80"/>
  <c r="P80" i="47"/>
  <c r="N26" i="55"/>
  <c r="Q15" i="47"/>
  <c r="P6" i="60"/>
  <c r="AG104" i="80"/>
  <c r="R55" i="72"/>
  <c r="S42" i="72"/>
  <c r="A423" i="80"/>
  <c r="A30" i="80"/>
  <c r="A180" i="80"/>
  <c r="A293" i="80"/>
  <c r="R54" i="72"/>
  <c r="S41" i="72"/>
  <c r="T79" i="80"/>
  <c r="R53" i="72"/>
  <c r="S40" i="72"/>
  <c r="T231" i="80"/>
  <c r="R49" i="72"/>
  <c r="S36" i="72"/>
  <c r="R48" i="72"/>
  <c r="S35" i="72"/>
  <c r="V28" i="60"/>
  <c r="U44" i="60"/>
  <c r="R47" i="72"/>
  <c r="S34" i="72"/>
  <c r="AG256" i="80"/>
  <c r="R51" i="72"/>
  <c r="S38" i="72"/>
  <c r="A256" i="80"/>
  <c r="A370" i="80" s="1"/>
  <c r="A143" i="80"/>
  <c r="R52" i="72"/>
  <c r="S39" i="72"/>
  <c r="X2" i="57"/>
  <c r="W31" i="57"/>
  <c r="W32" i="57"/>
  <c r="W30" i="57"/>
  <c r="A33" i="57"/>
  <c r="B33" i="57" s="1"/>
  <c r="C32" i="57"/>
  <c r="D32" i="57"/>
  <c r="E32" i="57"/>
  <c r="F32" i="57"/>
  <c r="G32" i="57"/>
  <c r="H32" i="57"/>
  <c r="I32" i="57"/>
  <c r="J32" i="57"/>
  <c r="K32" i="57"/>
  <c r="L32" i="57"/>
  <c r="M32" i="57"/>
  <c r="N32" i="57"/>
  <c r="O32" i="57"/>
  <c r="P32" i="57"/>
  <c r="Q32" i="57"/>
  <c r="R32" i="57"/>
  <c r="S32" i="57"/>
  <c r="T32" i="57"/>
  <c r="U32" i="57"/>
  <c r="A218" i="80"/>
  <c r="A105" i="80"/>
  <c r="U2" i="47"/>
  <c r="U50" i="60"/>
  <c r="Y219" i="80"/>
  <c r="U208" i="80"/>
  <c r="AC219" i="80"/>
  <c r="W219" i="80"/>
  <c r="AD219" i="80"/>
  <c r="AA219" i="80"/>
  <c r="U219" i="80"/>
  <c r="X219" i="80"/>
  <c r="AB219" i="80"/>
  <c r="V219" i="80"/>
  <c r="AE219" i="80"/>
  <c r="AF219" i="80"/>
  <c r="Z219" i="80"/>
  <c r="T117" i="80"/>
  <c r="T345" i="80"/>
  <c r="AE257" i="80"/>
  <c r="AF257" i="80"/>
  <c r="AB257" i="80"/>
  <c r="X257" i="80"/>
  <c r="U257" i="80"/>
  <c r="U246" i="80"/>
  <c r="Y257" i="80"/>
  <c r="W257" i="80"/>
  <c r="AA257" i="80"/>
  <c r="AC257" i="80"/>
  <c r="AD257" i="80"/>
  <c r="Z257" i="80"/>
  <c r="V257" i="80"/>
  <c r="U18" i="80"/>
  <c r="AE29" i="80"/>
  <c r="X29" i="80"/>
  <c r="AF29" i="80"/>
  <c r="W29" i="80"/>
  <c r="AC29" i="80"/>
  <c r="AA29" i="80"/>
  <c r="Z29" i="80"/>
  <c r="U29" i="80"/>
  <c r="Y29" i="80"/>
  <c r="AB29" i="80"/>
  <c r="AD29" i="80"/>
  <c r="V29" i="80"/>
  <c r="Z333" i="80"/>
  <c r="W333" i="80"/>
  <c r="AA333" i="80"/>
  <c r="U322" i="80"/>
  <c r="AC333" i="80"/>
  <c r="X333" i="80"/>
  <c r="AE333" i="80"/>
  <c r="U333" i="80"/>
  <c r="Y333" i="80"/>
  <c r="AB333" i="80"/>
  <c r="AD333" i="80"/>
  <c r="V333" i="80"/>
  <c r="AF333" i="80"/>
  <c r="AG28" i="80"/>
  <c r="U105" i="80"/>
  <c r="Z105" i="80"/>
  <c r="AB105" i="80"/>
  <c r="V105" i="80"/>
  <c r="AF105" i="80"/>
  <c r="AD105" i="80"/>
  <c r="AE105" i="80"/>
  <c r="X105" i="80"/>
  <c r="U94" i="80"/>
  <c r="U117" i="80" s="1"/>
  <c r="W105" i="80"/>
  <c r="Y105" i="80"/>
  <c r="AC105" i="80"/>
  <c r="AA105" i="80"/>
  <c r="AG180" i="80"/>
  <c r="X95" i="47"/>
  <c r="Y4" i="47"/>
  <c r="X27" i="47"/>
  <c r="X159" i="47"/>
  <c r="X40" i="60" s="1"/>
  <c r="X28" i="47"/>
  <c r="X35" i="47"/>
  <c r="X49" i="47" s="1"/>
  <c r="AG294" i="80"/>
  <c r="AG142" i="80"/>
  <c r="S444" i="80"/>
  <c r="S442" i="80"/>
  <c r="S443" i="80" s="1"/>
  <c r="T440" i="80" s="1"/>
  <c r="Z371" i="80"/>
  <c r="AD371" i="80"/>
  <c r="AC371" i="80"/>
  <c r="AB371" i="80"/>
  <c r="V371" i="80"/>
  <c r="X371" i="80"/>
  <c r="AF371" i="80"/>
  <c r="W371" i="80"/>
  <c r="AA371" i="80"/>
  <c r="AE371" i="80"/>
  <c r="U360" i="80"/>
  <c r="U371" i="80"/>
  <c r="Y371" i="80"/>
  <c r="W423" i="80"/>
  <c r="AB423" i="80"/>
  <c r="AA423" i="80"/>
  <c r="AE423" i="80"/>
  <c r="Z423" i="80"/>
  <c r="AC423" i="80"/>
  <c r="U400" i="80"/>
  <c r="U402" i="80" s="1"/>
  <c r="AD423" i="80"/>
  <c r="U423" i="80"/>
  <c r="AF423" i="80"/>
  <c r="X423" i="80"/>
  <c r="V423" i="80"/>
  <c r="Y423" i="80"/>
  <c r="V124" i="80"/>
  <c r="V401" i="80"/>
  <c r="V446" i="80"/>
  <c r="V200" i="80"/>
  <c r="W2" i="80"/>
  <c r="V4" i="80"/>
  <c r="V238" i="80"/>
  <c r="V276" i="80"/>
  <c r="V162" i="80"/>
  <c r="V86" i="80"/>
  <c r="V352" i="80"/>
  <c r="V314" i="80"/>
  <c r="V10" i="80"/>
  <c r="V48" i="80"/>
  <c r="AG370" i="80"/>
  <c r="T435" i="80"/>
  <c r="T442" i="80" s="1"/>
  <c r="AG422" i="80"/>
  <c r="Z143" i="80"/>
  <c r="AD143" i="80"/>
  <c r="U132" i="80"/>
  <c r="AE143" i="80"/>
  <c r="X143" i="80"/>
  <c r="V143" i="80"/>
  <c r="Y143" i="80"/>
  <c r="AC143" i="80"/>
  <c r="AF143" i="80"/>
  <c r="AB143" i="80"/>
  <c r="AA143" i="80"/>
  <c r="U143" i="80"/>
  <c r="W143" i="80"/>
  <c r="AC67" i="80"/>
  <c r="U67" i="80"/>
  <c r="Y67" i="80"/>
  <c r="AA67" i="80"/>
  <c r="W67" i="80"/>
  <c r="Z67" i="80"/>
  <c r="U56" i="80"/>
  <c r="X67" i="80"/>
  <c r="AE67" i="80"/>
  <c r="AD67" i="80"/>
  <c r="AF67" i="80"/>
  <c r="V67" i="80"/>
  <c r="AB67" i="80"/>
  <c r="V48" i="60"/>
  <c r="W4" i="60"/>
  <c r="W160" i="47"/>
  <c r="W33" i="60" s="1"/>
  <c r="T269" i="80"/>
  <c r="T155" i="80"/>
  <c r="AG66" i="80"/>
  <c r="R101" i="47"/>
  <c r="R392" i="80"/>
  <c r="V295" i="80"/>
  <c r="AE295" i="80"/>
  <c r="U284" i="80"/>
  <c r="AF295" i="80"/>
  <c r="AC295" i="80"/>
  <c r="AB295" i="80"/>
  <c r="AA295" i="80"/>
  <c r="W295" i="80"/>
  <c r="Y295" i="80"/>
  <c r="X295" i="80"/>
  <c r="AD295" i="80"/>
  <c r="Z295" i="80"/>
  <c r="U295" i="80"/>
  <c r="AA181" i="80"/>
  <c r="U170" i="80"/>
  <c r="X181" i="80"/>
  <c r="V181" i="80"/>
  <c r="AD181" i="80"/>
  <c r="AB181" i="80"/>
  <c r="W181" i="80"/>
  <c r="U181" i="80"/>
  <c r="AC181" i="80"/>
  <c r="Y181" i="80"/>
  <c r="AE181" i="80"/>
  <c r="Z181" i="80"/>
  <c r="AF181" i="80"/>
  <c r="T441" i="80"/>
  <c r="AG218" i="80"/>
  <c r="B34" i="55"/>
  <c r="AD33" i="55"/>
  <c r="W33" i="55"/>
  <c r="X33" i="55" s="1"/>
  <c r="J50" i="72" l="1"/>
  <c r="K37" i="72"/>
  <c r="F158" i="80"/>
  <c r="B156" i="57"/>
  <c r="F151" i="57"/>
  <c r="G151" i="57" s="1"/>
  <c r="H151" i="57" s="1"/>
  <c r="I151" i="57" s="1"/>
  <c r="J151" i="57" s="1"/>
  <c r="K151" i="57" s="1"/>
  <c r="L151" i="57" s="1"/>
  <c r="M151" i="57" s="1"/>
  <c r="N151" i="57" s="1"/>
  <c r="O151" i="57" s="1"/>
  <c r="P151" i="57" s="1"/>
  <c r="Q151" i="57" s="1"/>
  <c r="R151" i="57" s="1"/>
  <c r="S151" i="57" s="1"/>
  <c r="T151" i="57" s="1"/>
  <c r="U151" i="57" s="1"/>
  <c r="V151" i="57" s="1"/>
  <c r="W151" i="57" s="1"/>
  <c r="X151" i="57" s="1"/>
  <c r="Y151" i="57" s="1"/>
  <c r="Z151" i="57" s="1"/>
  <c r="AA151" i="57" s="1"/>
  <c r="AB151" i="57" s="1"/>
  <c r="AC151" i="57" s="1"/>
  <c r="AD151" i="57" s="1"/>
  <c r="AE151" i="57" s="1"/>
  <c r="AF151" i="57" s="1"/>
  <c r="A317" i="57"/>
  <c r="L316" i="57"/>
  <c r="J316" i="57"/>
  <c r="C316" i="57"/>
  <c r="S316" i="57"/>
  <c r="M316" i="57"/>
  <c r="H316" i="57"/>
  <c r="Q316" i="57"/>
  <c r="N316" i="57"/>
  <c r="G316" i="57"/>
  <c r="U316" i="57"/>
  <c r="P316" i="57"/>
  <c r="R316" i="57"/>
  <c r="K316" i="57"/>
  <c r="F316" i="57"/>
  <c r="O316" i="57"/>
  <c r="E316" i="57"/>
  <c r="T316" i="57"/>
  <c r="I316" i="57"/>
  <c r="D316" i="57"/>
  <c r="B316" i="57"/>
  <c r="A245" i="57"/>
  <c r="F244" i="57"/>
  <c r="J244" i="57"/>
  <c r="N244" i="57"/>
  <c r="R244" i="57"/>
  <c r="D244" i="57"/>
  <c r="G244" i="57"/>
  <c r="K244" i="57"/>
  <c r="O244" i="57"/>
  <c r="S244" i="57"/>
  <c r="C244" i="57"/>
  <c r="H244" i="57"/>
  <c r="L244" i="57"/>
  <c r="P244" i="57"/>
  <c r="T244" i="57"/>
  <c r="E244" i="57"/>
  <c r="U244" i="57"/>
  <c r="I244" i="57"/>
  <c r="M244" i="57"/>
  <c r="Q244" i="57"/>
  <c r="B244" i="57"/>
  <c r="A281" i="57"/>
  <c r="P280" i="57"/>
  <c r="L280" i="57"/>
  <c r="I280" i="57"/>
  <c r="F280" i="57"/>
  <c r="O280" i="57"/>
  <c r="H280" i="57"/>
  <c r="M280" i="57"/>
  <c r="J280" i="57"/>
  <c r="C280" i="57"/>
  <c r="S280" i="57"/>
  <c r="Q280" i="57"/>
  <c r="N280" i="57"/>
  <c r="G280" i="57"/>
  <c r="D280" i="57"/>
  <c r="E280" i="57"/>
  <c r="U280" i="57"/>
  <c r="R280" i="57"/>
  <c r="K280" i="57"/>
  <c r="T280" i="57"/>
  <c r="B280" i="57"/>
  <c r="W64" i="89"/>
  <c r="W59" i="89"/>
  <c r="AB3" i="74"/>
  <c r="AA10" i="74"/>
  <c r="AA11" i="74"/>
  <c r="AA8" i="74"/>
  <c r="AA9" i="74"/>
  <c r="AB8" i="75"/>
  <c r="AB9" i="75" s="1"/>
  <c r="AC7" i="75"/>
  <c r="AG77" i="75"/>
  <c r="AB5" i="75"/>
  <c r="A101" i="57"/>
  <c r="B101" i="57" s="1"/>
  <c r="C100" i="57"/>
  <c r="D100" i="57"/>
  <c r="E100" i="57"/>
  <c r="F100" i="57"/>
  <c r="G100" i="57"/>
  <c r="H100" i="57"/>
  <c r="I100" i="57"/>
  <c r="J100" i="57"/>
  <c r="K100" i="57"/>
  <c r="L100" i="57"/>
  <c r="M100" i="57"/>
  <c r="N100" i="57"/>
  <c r="O100" i="57"/>
  <c r="P100" i="57"/>
  <c r="Q100" i="57"/>
  <c r="R100" i="57"/>
  <c r="S100" i="57"/>
  <c r="T100" i="57"/>
  <c r="U100" i="57"/>
  <c r="A173" i="57"/>
  <c r="B173" i="57" s="1"/>
  <c r="C172" i="57"/>
  <c r="D172" i="57"/>
  <c r="E172" i="57"/>
  <c r="F172" i="57"/>
  <c r="G172" i="57"/>
  <c r="H172" i="57"/>
  <c r="I172" i="57"/>
  <c r="J172" i="57"/>
  <c r="K172" i="57"/>
  <c r="L172" i="57"/>
  <c r="M172" i="57"/>
  <c r="N172" i="57"/>
  <c r="O172" i="57"/>
  <c r="P172" i="57"/>
  <c r="Q172" i="57"/>
  <c r="R172" i="57"/>
  <c r="S172" i="57"/>
  <c r="T172" i="57"/>
  <c r="U172" i="57"/>
  <c r="A137" i="57"/>
  <c r="B137" i="57" s="1"/>
  <c r="C136" i="57"/>
  <c r="D136" i="57"/>
  <c r="E136" i="57"/>
  <c r="F136" i="57"/>
  <c r="G136" i="57"/>
  <c r="H136" i="57"/>
  <c r="I136" i="57"/>
  <c r="J136" i="57"/>
  <c r="K136" i="57"/>
  <c r="L136" i="57"/>
  <c r="M136" i="57"/>
  <c r="N136" i="57"/>
  <c r="O136" i="57"/>
  <c r="P136" i="57"/>
  <c r="Q136" i="57"/>
  <c r="R136" i="57"/>
  <c r="S136" i="57"/>
  <c r="T136" i="57"/>
  <c r="U136" i="57"/>
  <c r="A209" i="57"/>
  <c r="B209" i="57" s="1"/>
  <c r="C208" i="57"/>
  <c r="D208" i="57"/>
  <c r="E208" i="57"/>
  <c r="F208" i="57"/>
  <c r="G208" i="57"/>
  <c r="H208" i="57"/>
  <c r="I208" i="57"/>
  <c r="J208" i="57"/>
  <c r="K208" i="57"/>
  <c r="L208" i="57"/>
  <c r="M208" i="57"/>
  <c r="N208" i="57"/>
  <c r="O208" i="57"/>
  <c r="P208" i="57"/>
  <c r="Q208" i="57"/>
  <c r="R208" i="57"/>
  <c r="S208" i="57"/>
  <c r="T208" i="57"/>
  <c r="U208" i="57"/>
  <c r="A65" i="57"/>
  <c r="B65" i="57" s="1"/>
  <c r="C64" i="57"/>
  <c r="D64" i="57"/>
  <c r="E64" i="57"/>
  <c r="F64" i="57"/>
  <c r="G64" i="57"/>
  <c r="H64" i="57"/>
  <c r="I64" i="57"/>
  <c r="J64" i="57"/>
  <c r="K64" i="57"/>
  <c r="L64" i="57"/>
  <c r="M64" i="57"/>
  <c r="N64" i="57"/>
  <c r="O64" i="57"/>
  <c r="P64" i="57"/>
  <c r="Q64" i="57"/>
  <c r="R64" i="57"/>
  <c r="S64" i="57"/>
  <c r="T64" i="57"/>
  <c r="U64" i="57"/>
  <c r="U155" i="80"/>
  <c r="Q80" i="47"/>
  <c r="N27" i="55"/>
  <c r="R15" i="47"/>
  <c r="Q6" i="60"/>
  <c r="A106" i="80"/>
  <c r="A219" i="80"/>
  <c r="S47" i="72"/>
  <c r="T34" i="72"/>
  <c r="W28" i="60"/>
  <c r="V44" i="60"/>
  <c r="S49" i="72"/>
  <c r="T36" i="72"/>
  <c r="S53" i="72"/>
  <c r="T40" i="72"/>
  <c r="Y2" i="57"/>
  <c r="X33" i="57"/>
  <c r="X32" i="57"/>
  <c r="X31" i="57"/>
  <c r="S52" i="72"/>
  <c r="T39" i="72"/>
  <c r="S51" i="72"/>
  <c r="T38" i="72"/>
  <c r="S54" i="72"/>
  <c r="T41" i="72"/>
  <c r="S55" i="72"/>
  <c r="T42" i="72"/>
  <c r="U269" i="80"/>
  <c r="U231" i="80"/>
  <c r="A34" i="57"/>
  <c r="C33" i="57"/>
  <c r="D33" i="57"/>
  <c r="E33" i="57"/>
  <c r="F33" i="57"/>
  <c r="G33" i="57"/>
  <c r="H33" i="57"/>
  <c r="I33" i="57"/>
  <c r="J33" i="57"/>
  <c r="K33" i="57"/>
  <c r="L33" i="57"/>
  <c r="M33" i="57"/>
  <c r="N33" i="57"/>
  <c r="O33" i="57"/>
  <c r="P33" i="57"/>
  <c r="Q33" i="57"/>
  <c r="R33" i="57"/>
  <c r="S33" i="57"/>
  <c r="T33" i="57"/>
  <c r="U33" i="57"/>
  <c r="V33" i="57"/>
  <c r="W33" i="57"/>
  <c r="S48" i="72"/>
  <c r="T35" i="72"/>
  <c r="A294" i="80"/>
  <c r="A181" i="80"/>
  <c r="A257" i="80"/>
  <c r="A371" i="80" s="1"/>
  <c r="A144" i="80"/>
  <c r="A424" i="80"/>
  <c r="A31" i="80"/>
  <c r="T443" i="80"/>
  <c r="U440" i="80" s="1"/>
  <c r="U435" i="80"/>
  <c r="U442" i="80" s="1"/>
  <c r="AG423" i="80"/>
  <c r="T444" i="80"/>
  <c r="AG181" i="80"/>
  <c r="AG295" i="80"/>
  <c r="U79" i="80"/>
  <c r="AG143" i="80"/>
  <c r="AE372" i="80"/>
  <c r="AF372" i="80"/>
  <c r="AA372" i="80"/>
  <c r="Z372" i="80"/>
  <c r="V372" i="80"/>
  <c r="X372" i="80"/>
  <c r="V360" i="80"/>
  <c r="AC372" i="80"/>
  <c r="AD372" i="80"/>
  <c r="Y372" i="80"/>
  <c r="AB372" i="80"/>
  <c r="W372" i="80"/>
  <c r="V246" i="80"/>
  <c r="V258" i="80"/>
  <c r="AA258" i="80"/>
  <c r="Y258" i="80"/>
  <c r="X258" i="80"/>
  <c r="AD258" i="80"/>
  <c r="AB258" i="80"/>
  <c r="W258" i="80"/>
  <c r="Z258" i="80"/>
  <c r="AF258" i="80"/>
  <c r="AE258" i="80"/>
  <c r="AC258" i="80"/>
  <c r="S392" i="80"/>
  <c r="S101" i="47"/>
  <c r="AG219" i="80"/>
  <c r="X4" i="60"/>
  <c r="W48" i="60"/>
  <c r="AG67" i="80"/>
  <c r="X68" i="80"/>
  <c r="Z68" i="80"/>
  <c r="W68" i="80"/>
  <c r="AD68" i="80"/>
  <c r="V68" i="80"/>
  <c r="AE68" i="80"/>
  <c r="AB68" i="80"/>
  <c r="AA68" i="80"/>
  <c r="V56" i="80"/>
  <c r="AC68" i="80"/>
  <c r="Y68" i="80"/>
  <c r="AF68" i="80"/>
  <c r="AC106" i="80"/>
  <c r="V94" i="80"/>
  <c r="AB106" i="80"/>
  <c r="AA106" i="80"/>
  <c r="V106" i="80"/>
  <c r="AD106" i="80"/>
  <c r="Y106" i="80"/>
  <c r="AE106" i="80"/>
  <c r="W106" i="80"/>
  <c r="AF106" i="80"/>
  <c r="Z106" i="80"/>
  <c r="X106" i="80"/>
  <c r="W424" i="80"/>
  <c r="V424" i="80"/>
  <c r="AC424" i="80"/>
  <c r="V400" i="80"/>
  <c r="V402" i="80" s="1"/>
  <c r="AF424" i="80"/>
  <c r="Z424" i="80"/>
  <c r="Y424" i="80"/>
  <c r="AE424" i="80"/>
  <c r="AA424" i="80"/>
  <c r="AB424" i="80"/>
  <c r="X424" i="80"/>
  <c r="AD424" i="80"/>
  <c r="U441" i="80"/>
  <c r="AG371" i="80"/>
  <c r="Y95" i="47"/>
  <c r="Y35" i="47"/>
  <c r="Y49" i="47" s="1"/>
  <c r="Y159" i="47"/>
  <c r="Y40" i="60" s="1"/>
  <c r="Y27" i="47"/>
  <c r="Z4" i="47"/>
  <c r="Y28" i="47"/>
  <c r="AG333" i="80"/>
  <c r="U345" i="80"/>
  <c r="AG29" i="80"/>
  <c r="W334" i="80"/>
  <c r="Y334" i="80"/>
  <c r="AC334" i="80"/>
  <c r="AB334" i="80"/>
  <c r="V334" i="80"/>
  <c r="AF334" i="80"/>
  <c r="AE334" i="80"/>
  <c r="X334" i="80"/>
  <c r="AA334" i="80"/>
  <c r="Z334" i="80"/>
  <c r="AD334" i="80"/>
  <c r="V322" i="80"/>
  <c r="X296" i="80"/>
  <c r="Z296" i="80"/>
  <c r="AB296" i="80"/>
  <c r="V296" i="80"/>
  <c r="AE296" i="80"/>
  <c r="AF296" i="80"/>
  <c r="AC296" i="80"/>
  <c r="W296" i="80"/>
  <c r="AD296" i="80"/>
  <c r="V284" i="80"/>
  <c r="Y296" i="80"/>
  <c r="AA296" i="80"/>
  <c r="AF220" i="80"/>
  <c r="X220" i="80"/>
  <c r="V220" i="80"/>
  <c r="W220" i="80"/>
  <c r="AE220" i="80"/>
  <c r="V208" i="80"/>
  <c r="AD220" i="80"/>
  <c r="AC220" i="80"/>
  <c r="AB220" i="80"/>
  <c r="Z220" i="80"/>
  <c r="AA220" i="80"/>
  <c r="Y220" i="80"/>
  <c r="U307" i="80"/>
  <c r="V2" i="47"/>
  <c r="V50" i="60"/>
  <c r="AE30" i="80"/>
  <c r="X30" i="80"/>
  <c r="AD30" i="80"/>
  <c r="W30" i="80"/>
  <c r="AB30" i="80"/>
  <c r="AA30" i="80"/>
  <c r="AC30" i="80"/>
  <c r="V18" i="80"/>
  <c r="Y30" i="80"/>
  <c r="Z30" i="80"/>
  <c r="V30" i="80"/>
  <c r="AF30" i="80"/>
  <c r="Y182" i="80"/>
  <c r="Z182" i="80"/>
  <c r="AC182" i="80"/>
  <c r="V170" i="80"/>
  <c r="AE182" i="80"/>
  <c r="AF182" i="80"/>
  <c r="AA182" i="80"/>
  <c r="W182" i="80"/>
  <c r="X182" i="80"/>
  <c r="AB182" i="80"/>
  <c r="AD182" i="80"/>
  <c r="V182" i="80"/>
  <c r="W446" i="80"/>
  <c r="W48" i="80"/>
  <c r="X2" i="80"/>
  <c r="W200" i="80"/>
  <c r="W238" i="80"/>
  <c r="W10" i="80"/>
  <c r="W86" i="80"/>
  <c r="W162" i="80"/>
  <c r="W4" i="80"/>
  <c r="W314" i="80"/>
  <c r="W352" i="80"/>
  <c r="W401" i="80"/>
  <c r="W276" i="80"/>
  <c r="W124" i="80"/>
  <c r="V132" i="80"/>
  <c r="AB144" i="80"/>
  <c r="W144" i="80"/>
  <c r="AE144" i="80"/>
  <c r="AF144" i="80"/>
  <c r="Y144" i="80"/>
  <c r="Z144" i="80"/>
  <c r="AA144" i="80"/>
  <c r="V144" i="80"/>
  <c r="AD144" i="80"/>
  <c r="AC144" i="80"/>
  <c r="X144" i="80"/>
  <c r="U383" i="80"/>
  <c r="X160" i="47"/>
  <c r="X33" i="60" s="1"/>
  <c r="AG105" i="80"/>
  <c r="AG257" i="80"/>
  <c r="AD34" i="55"/>
  <c r="W34" i="55"/>
  <c r="X34" i="55" s="1"/>
  <c r="B35" i="55"/>
  <c r="AH77" i="75" l="1"/>
  <c r="AD166" i="80"/>
  <c r="U166" i="80"/>
  <c r="U193" i="80" s="1"/>
  <c r="AB166" i="80"/>
  <c r="Q166" i="80"/>
  <c r="Q193" i="80" s="1"/>
  <c r="F166" i="80"/>
  <c r="M166" i="80"/>
  <c r="M193" i="80" s="1"/>
  <c r="G166" i="80"/>
  <c r="G193" i="80" s="1"/>
  <c r="O166" i="80"/>
  <c r="O193" i="80" s="1"/>
  <c r="AC166" i="80"/>
  <c r="AA166" i="80"/>
  <c r="AF166" i="80"/>
  <c r="N166" i="80"/>
  <c r="N193" i="80" s="1"/>
  <c r="V166" i="80"/>
  <c r="H166" i="80"/>
  <c r="H193" i="80" s="1"/>
  <c r="R166" i="80"/>
  <c r="R193" i="80" s="1"/>
  <c r="AE166" i="80"/>
  <c r="S166" i="80"/>
  <c r="S193" i="80" s="1"/>
  <c r="W166" i="80"/>
  <c r="P166" i="80"/>
  <c r="P193" i="80" s="1"/>
  <c r="K166" i="80"/>
  <c r="K193" i="80" s="1"/>
  <c r="I166" i="80"/>
  <c r="I193" i="80" s="1"/>
  <c r="L166" i="80"/>
  <c r="L193" i="80" s="1"/>
  <c r="Z166" i="80"/>
  <c r="Y166" i="80"/>
  <c r="T166" i="80"/>
  <c r="T193" i="80" s="1"/>
  <c r="X166" i="80"/>
  <c r="J166" i="80"/>
  <c r="J193" i="80" s="1"/>
  <c r="F159" i="80"/>
  <c r="G159" i="80" s="1"/>
  <c r="H159" i="80" s="1"/>
  <c r="I159" i="80" s="1"/>
  <c r="J159" i="80" s="1"/>
  <c r="K159" i="80" s="1"/>
  <c r="L159" i="80" s="1"/>
  <c r="M159" i="80" s="1"/>
  <c r="N159" i="80" s="1"/>
  <c r="O159" i="80" s="1"/>
  <c r="P159" i="80" s="1"/>
  <c r="Q159" i="80" s="1"/>
  <c r="R159" i="80" s="1"/>
  <c r="S159" i="80" s="1"/>
  <c r="T159" i="80" s="1"/>
  <c r="U159" i="80" s="1"/>
  <c r="V159" i="80" s="1"/>
  <c r="W159" i="80" s="1"/>
  <c r="X159" i="80" s="1"/>
  <c r="Y159" i="80" s="1"/>
  <c r="Z159" i="80" s="1"/>
  <c r="AA159" i="80" s="1"/>
  <c r="AB159" i="80" s="1"/>
  <c r="AC159" i="80" s="1"/>
  <c r="AD159" i="80" s="1"/>
  <c r="AE159" i="80" s="1"/>
  <c r="AF159" i="80" s="1"/>
  <c r="K50" i="72"/>
  <c r="L37" i="72"/>
  <c r="X34" i="57"/>
  <c r="B34" i="57"/>
  <c r="A282" i="57"/>
  <c r="H281" i="57"/>
  <c r="P281" i="57"/>
  <c r="E281" i="57"/>
  <c r="U281" i="57"/>
  <c r="F281" i="57"/>
  <c r="V281" i="57"/>
  <c r="K281" i="57"/>
  <c r="I281" i="57"/>
  <c r="J281" i="57"/>
  <c r="O281" i="57"/>
  <c r="T281" i="57"/>
  <c r="M281" i="57"/>
  <c r="N281" i="57"/>
  <c r="C281" i="57"/>
  <c r="S281" i="57"/>
  <c r="D281" i="57"/>
  <c r="Q281" i="57"/>
  <c r="R281" i="57"/>
  <c r="G281" i="57"/>
  <c r="L281" i="57"/>
  <c r="B281" i="57"/>
  <c r="A246" i="57"/>
  <c r="E245" i="57"/>
  <c r="I245" i="57"/>
  <c r="M245" i="57"/>
  <c r="Q245" i="57"/>
  <c r="U245" i="57"/>
  <c r="F245" i="57"/>
  <c r="J245" i="57"/>
  <c r="N245" i="57"/>
  <c r="R245" i="57"/>
  <c r="V245" i="57"/>
  <c r="D245" i="57"/>
  <c r="G245" i="57"/>
  <c r="K245" i="57"/>
  <c r="O245" i="57"/>
  <c r="S245" i="57"/>
  <c r="H245" i="57"/>
  <c r="L245" i="57"/>
  <c r="P245" i="57"/>
  <c r="C245" i="57"/>
  <c r="T245" i="57"/>
  <c r="B245" i="57"/>
  <c r="A318" i="57"/>
  <c r="G317" i="57"/>
  <c r="P317" i="57"/>
  <c r="U317" i="57"/>
  <c r="K317" i="57"/>
  <c r="D317" i="57"/>
  <c r="T317" i="57"/>
  <c r="N317" i="57"/>
  <c r="O317" i="57"/>
  <c r="H317" i="57"/>
  <c r="J317" i="57"/>
  <c r="E317" i="57"/>
  <c r="Q317" i="57"/>
  <c r="C317" i="57"/>
  <c r="S317" i="57"/>
  <c r="L317" i="57"/>
  <c r="R317" i="57"/>
  <c r="M317" i="57"/>
  <c r="I317" i="57"/>
  <c r="F317" i="57"/>
  <c r="V317" i="57"/>
  <c r="B317" i="57"/>
  <c r="W74" i="89"/>
  <c r="X49" i="89"/>
  <c r="AB11" i="74"/>
  <c r="AB9" i="74"/>
  <c r="AC3" i="74"/>
  <c r="AB8" i="74"/>
  <c r="AB10" i="74"/>
  <c r="AC8" i="75"/>
  <c r="AC9" i="75" s="1"/>
  <c r="AD7" i="75"/>
  <c r="AC5" i="75"/>
  <c r="V79" i="80"/>
  <c r="A66" i="57"/>
  <c r="B66" i="57" s="1"/>
  <c r="C65" i="57"/>
  <c r="D65" i="57"/>
  <c r="E65" i="57"/>
  <c r="F65" i="57"/>
  <c r="G65" i="57"/>
  <c r="H65" i="57"/>
  <c r="I65" i="57"/>
  <c r="J65" i="57"/>
  <c r="K65" i="57"/>
  <c r="L65" i="57"/>
  <c r="M65" i="57"/>
  <c r="N65" i="57"/>
  <c r="O65" i="57"/>
  <c r="P65" i="57"/>
  <c r="Q65" i="57"/>
  <c r="R65" i="57"/>
  <c r="S65" i="57"/>
  <c r="T65" i="57"/>
  <c r="U65" i="57"/>
  <c r="V65" i="57"/>
  <c r="A138" i="57"/>
  <c r="B138" i="57" s="1"/>
  <c r="C137" i="57"/>
  <c r="D137" i="57"/>
  <c r="E137" i="57"/>
  <c r="F137" i="57"/>
  <c r="G137" i="57"/>
  <c r="H137" i="57"/>
  <c r="I137" i="57"/>
  <c r="J137" i="57"/>
  <c r="K137" i="57"/>
  <c r="L137" i="57"/>
  <c r="M137" i="57"/>
  <c r="N137" i="57"/>
  <c r="O137" i="57"/>
  <c r="P137" i="57"/>
  <c r="Q137" i="57"/>
  <c r="R137" i="57"/>
  <c r="S137" i="57"/>
  <c r="T137" i="57"/>
  <c r="U137" i="57"/>
  <c r="V137" i="57"/>
  <c r="A174" i="57"/>
  <c r="B174" i="57" s="1"/>
  <c r="C173" i="57"/>
  <c r="D173" i="57"/>
  <c r="E173" i="57"/>
  <c r="F173" i="57"/>
  <c r="G173" i="57"/>
  <c r="H173" i="57"/>
  <c r="I173" i="57"/>
  <c r="J173" i="57"/>
  <c r="K173" i="57"/>
  <c r="L173" i="57"/>
  <c r="M173" i="57"/>
  <c r="N173" i="57"/>
  <c r="O173" i="57"/>
  <c r="P173" i="57"/>
  <c r="Q173" i="57"/>
  <c r="R173" i="57"/>
  <c r="S173" i="57"/>
  <c r="T173" i="57"/>
  <c r="U173" i="57"/>
  <c r="V173" i="57"/>
  <c r="A210" i="57"/>
  <c r="B210" i="57" s="1"/>
  <c r="C209" i="57"/>
  <c r="D209" i="57"/>
  <c r="E209" i="57"/>
  <c r="F209" i="57"/>
  <c r="G209" i="57"/>
  <c r="H209" i="57"/>
  <c r="I209" i="57"/>
  <c r="J209" i="57"/>
  <c r="K209" i="57"/>
  <c r="L209" i="57"/>
  <c r="M209" i="57"/>
  <c r="N209" i="57"/>
  <c r="O209" i="57"/>
  <c r="P209" i="57"/>
  <c r="Q209" i="57"/>
  <c r="R209" i="57"/>
  <c r="S209" i="57"/>
  <c r="T209" i="57"/>
  <c r="U209" i="57"/>
  <c r="V209" i="57"/>
  <c r="A102" i="57"/>
  <c r="B102" i="57" s="1"/>
  <c r="C101" i="57"/>
  <c r="D101" i="57"/>
  <c r="E101" i="57"/>
  <c r="F101" i="57"/>
  <c r="G101" i="57"/>
  <c r="H101" i="57"/>
  <c r="I101" i="57"/>
  <c r="J101" i="57"/>
  <c r="K101" i="57"/>
  <c r="L101" i="57"/>
  <c r="M101" i="57"/>
  <c r="N101" i="57"/>
  <c r="O101" i="57"/>
  <c r="P101" i="57"/>
  <c r="Q101" i="57"/>
  <c r="R101" i="57"/>
  <c r="S101" i="57"/>
  <c r="T101" i="57"/>
  <c r="U101" i="57"/>
  <c r="V101" i="57"/>
  <c r="V383" i="80"/>
  <c r="V345" i="80"/>
  <c r="R6" i="60"/>
  <c r="N28" i="55"/>
  <c r="S15" i="47"/>
  <c r="R80" i="47"/>
  <c r="T54" i="72"/>
  <c r="U41" i="72"/>
  <c r="T53" i="72"/>
  <c r="U40" i="72"/>
  <c r="AG68" i="80"/>
  <c r="A32" i="80"/>
  <c r="A425" i="80"/>
  <c r="A182" i="80"/>
  <c r="A295" i="80"/>
  <c r="T52" i="72"/>
  <c r="U39" i="72"/>
  <c r="Y32" i="57"/>
  <c r="Y34" i="57"/>
  <c r="Y33" i="57"/>
  <c r="Z2" i="57"/>
  <c r="W44" i="60"/>
  <c r="X28" i="60"/>
  <c r="V269" i="80"/>
  <c r="T55" i="72"/>
  <c r="U42" i="72"/>
  <c r="T49" i="72"/>
  <c r="U36" i="72"/>
  <c r="T47" i="72"/>
  <c r="U34" i="72"/>
  <c r="A220" i="80"/>
  <c r="A107" i="80"/>
  <c r="A258" i="80"/>
  <c r="A372" i="80" s="1"/>
  <c r="A145" i="80"/>
  <c r="T48" i="72"/>
  <c r="U35" i="72"/>
  <c r="C34" i="57"/>
  <c r="A35" i="57"/>
  <c r="D34" i="57"/>
  <c r="E34" i="57"/>
  <c r="F34" i="57"/>
  <c r="G34" i="57"/>
  <c r="H34" i="57"/>
  <c r="I34" i="57"/>
  <c r="J34" i="57"/>
  <c r="K34" i="57"/>
  <c r="L34" i="57"/>
  <c r="M34" i="57"/>
  <c r="N34" i="57"/>
  <c r="O34" i="57"/>
  <c r="P34" i="57"/>
  <c r="Q34" i="57"/>
  <c r="R34" i="57"/>
  <c r="S34" i="57"/>
  <c r="T34" i="57"/>
  <c r="U34" i="57"/>
  <c r="V34" i="57"/>
  <c r="W34" i="57"/>
  <c r="T51" i="72"/>
  <c r="U38" i="72"/>
  <c r="U443" i="80"/>
  <c r="V440" i="80" s="1"/>
  <c r="U444" i="80"/>
  <c r="U392" i="80" s="1"/>
  <c r="AG144" i="80"/>
  <c r="V155" i="80"/>
  <c r="Z373" i="80"/>
  <c r="AF373" i="80"/>
  <c r="AC373" i="80"/>
  <c r="AB373" i="80"/>
  <c r="X373" i="80"/>
  <c r="W373" i="80"/>
  <c r="W360" i="80"/>
  <c r="AD373" i="80"/>
  <c r="AA373" i="80"/>
  <c r="AE373" i="80"/>
  <c r="Y373" i="80"/>
  <c r="X107" i="80"/>
  <c r="Y107" i="80"/>
  <c r="W107" i="80"/>
  <c r="AA107" i="80"/>
  <c r="W94" i="80"/>
  <c r="AE107" i="80"/>
  <c r="AD107" i="80"/>
  <c r="Z107" i="80"/>
  <c r="AC107" i="80"/>
  <c r="AB107" i="80"/>
  <c r="AF107" i="80"/>
  <c r="X401" i="80"/>
  <c r="X200" i="80"/>
  <c r="X446" i="80"/>
  <c r="Y2" i="80"/>
  <c r="X10" i="80"/>
  <c r="X124" i="80"/>
  <c r="X238" i="80"/>
  <c r="X162" i="80"/>
  <c r="X48" i="80"/>
  <c r="X276" i="80"/>
  <c r="X4" i="80"/>
  <c r="X314" i="80"/>
  <c r="X352" i="80"/>
  <c r="X86" i="80"/>
  <c r="AG30" i="80"/>
  <c r="AG296" i="80"/>
  <c r="V441" i="80"/>
  <c r="X48" i="60"/>
  <c r="Y4" i="60"/>
  <c r="AG372" i="80"/>
  <c r="W132" i="80"/>
  <c r="AF145" i="80"/>
  <c r="Y145" i="80"/>
  <c r="AB145" i="80"/>
  <c r="W145" i="80"/>
  <c r="AA145" i="80"/>
  <c r="AD145" i="80"/>
  <c r="AE145" i="80"/>
  <c r="Z145" i="80"/>
  <c r="AC145" i="80"/>
  <c r="X145" i="80"/>
  <c r="W335" i="80"/>
  <c r="AD335" i="80"/>
  <c r="AC335" i="80"/>
  <c r="Z335" i="80"/>
  <c r="W322" i="80"/>
  <c r="AE335" i="80"/>
  <c r="X335" i="80"/>
  <c r="AF335" i="80"/>
  <c r="Y335" i="80"/>
  <c r="AA335" i="80"/>
  <c r="AB335" i="80"/>
  <c r="W18" i="80"/>
  <c r="Z31" i="80"/>
  <c r="AF31" i="80"/>
  <c r="Y31" i="80"/>
  <c r="AD31" i="80"/>
  <c r="AB31" i="80"/>
  <c r="W31" i="80"/>
  <c r="AE31" i="80"/>
  <c r="AC31" i="80"/>
  <c r="AA31" i="80"/>
  <c r="X31" i="80"/>
  <c r="Z69" i="80"/>
  <c r="AD69" i="80"/>
  <c r="AE69" i="80"/>
  <c r="AB69" i="80"/>
  <c r="X69" i="80"/>
  <c r="AF69" i="80"/>
  <c r="AC69" i="80"/>
  <c r="AA69" i="80"/>
  <c r="W69" i="80"/>
  <c r="Y69" i="80"/>
  <c r="W56" i="80"/>
  <c r="AG220" i="80"/>
  <c r="AD297" i="80"/>
  <c r="AF297" i="80"/>
  <c r="AB297" i="80"/>
  <c r="X297" i="80"/>
  <c r="AE297" i="80"/>
  <c r="AC297" i="80"/>
  <c r="W297" i="80"/>
  <c r="AA297" i="80"/>
  <c r="Y297" i="80"/>
  <c r="W284" i="80"/>
  <c r="Z297" i="80"/>
  <c r="Z259" i="80"/>
  <c r="W259" i="80"/>
  <c r="AF259" i="80"/>
  <c r="AA259" i="80"/>
  <c r="W246" i="80"/>
  <c r="AC259" i="80"/>
  <c r="X259" i="80"/>
  <c r="AB259" i="80"/>
  <c r="AD259" i="80"/>
  <c r="Y259" i="80"/>
  <c r="AE259" i="80"/>
  <c r="V231" i="80"/>
  <c r="V307" i="80"/>
  <c r="Z159" i="47"/>
  <c r="Z40" i="60" s="1"/>
  <c r="AA4" i="47"/>
  <c r="Z27" i="47"/>
  <c r="Z160" i="47"/>
  <c r="Z33" i="60" s="1"/>
  <c r="Z95" i="47"/>
  <c r="Z35" i="47"/>
  <c r="Z49" i="47" s="1"/>
  <c r="Z28" i="47"/>
  <c r="V435" i="80"/>
  <c r="V442" i="80" s="1"/>
  <c r="AG424" i="80"/>
  <c r="V117" i="80"/>
  <c r="T101" i="47"/>
  <c r="T392" i="80"/>
  <c r="W425" i="80"/>
  <c r="AD425" i="80"/>
  <c r="AF425" i="80"/>
  <c r="Z425" i="80"/>
  <c r="X425" i="80"/>
  <c r="W400" i="80"/>
  <c r="W402" i="80" s="1"/>
  <c r="AC425" i="80"/>
  <c r="AE425" i="80"/>
  <c r="AB425" i="80"/>
  <c r="AA425" i="80"/>
  <c r="Y425" i="80"/>
  <c r="AC183" i="80"/>
  <c r="W183" i="80"/>
  <c r="X183" i="80"/>
  <c r="Z183" i="80"/>
  <c r="Y183" i="80"/>
  <c r="AE183" i="80"/>
  <c r="AA183" i="80"/>
  <c r="AD183" i="80"/>
  <c r="W170" i="80"/>
  <c r="AB183" i="80"/>
  <c r="AF183" i="80"/>
  <c r="X221" i="80"/>
  <c r="AB221" i="80"/>
  <c r="W221" i="80"/>
  <c r="AD221" i="80"/>
  <c r="Y221" i="80"/>
  <c r="AA221" i="80"/>
  <c r="W208" i="80"/>
  <c r="AE221" i="80"/>
  <c r="AF221" i="80"/>
  <c r="AC221" i="80"/>
  <c r="Z221" i="80"/>
  <c r="AG182" i="80"/>
  <c r="V193" i="80"/>
  <c r="AG334" i="80"/>
  <c r="Y160" i="47"/>
  <c r="Y33" i="60" s="1"/>
  <c r="AG106" i="80"/>
  <c r="W50" i="60"/>
  <c r="W2" i="47"/>
  <c r="AG258" i="80"/>
  <c r="AD35" i="55"/>
  <c r="W35" i="55"/>
  <c r="X35" i="55" s="1"/>
  <c r="B36" i="55"/>
  <c r="AI77" i="75" l="1"/>
  <c r="F193" i="80"/>
  <c r="AG166" i="80"/>
  <c r="L50" i="72"/>
  <c r="M37" i="72"/>
  <c r="W345" i="80"/>
  <c r="Y35" i="57"/>
  <c r="B35" i="57"/>
  <c r="A319" i="57"/>
  <c r="C318" i="57"/>
  <c r="S318" i="57"/>
  <c r="L318" i="57"/>
  <c r="F318" i="57"/>
  <c r="G318" i="57"/>
  <c r="W318" i="57"/>
  <c r="P318" i="57"/>
  <c r="N318" i="57"/>
  <c r="I318" i="57"/>
  <c r="K318" i="57"/>
  <c r="D318" i="57"/>
  <c r="T318" i="57"/>
  <c r="V318" i="57"/>
  <c r="Q318" i="57"/>
  <c r="J318" i="57"/>
  <c r="O318" i="57"/>
  <c r="H318" i="57"/>
  <c r="M318" i="57"/>
  <c r="U318" i="57"/>
  <c r="E318" i="57"/>
  <c r="R318" i="57"/>
  <c r="B318" i="57"/>
  <c r="A247" i="57"/>
  <c r="F246" i="57"/>
  <c r="J246" i="57"/>
  <c r="N246" i="57"/>
  <c r="R246" i="57"/>
  <c r="V246" i="57"/>
  <c r="D246" i="57"/>
  <c r="G246" i="57"/>
  <c r="K246" i="57"/>
  <c r="O246" i="57"/>
  <c r="S246" i="57"/>
  <c r="W246" i="57"/>
  <c r="C246" i="57"/>
  <c r="H246" i="57"/>
  <c r="L246" i="57"/>
  <c r="P246" i="57"/>
  <c r="T246" i="57"/>
  <c r="M246" i="57"/>
  <c r="Q246" i="57"/>
  <c r="E246" i="57"/>
  <c r="U246" i="57"/>
  <c r="I246" i="57"/>
  <c r="B246" i="57"/>
  <c r="A283" i="57"/>
  <c r="I282" i="57"/>
  <c r="U282" i="57"/>
  <c r="R282" i="57"/>
  <c r="O282" i="57"/>
  <c r="H282" i="57"/>
  <c r="E282" i="57"/>
  <c r="F282" i="57"/>
  <c r="V282" i="57"/>
  <c r="C282" i="57"/>
  <c r="S282" i="57"/>
  <c r="L282" i="57"/>
  <c r="J282" i="57"/>
  <c r="G282" i="57"/>
  <c r="W282" i="57"/>
  <c r="P282" i="57"/>
  <c r="Q282" i="57"/>
  <c r="N282" i="57"/>
  <c r="K282" i="57"/>
  <c r="D282" i="57"/>
  <c r="T282" i="57"/>
  <c r="M282" i="57"/>
  <c r="B282" i="57"/>
  <c r="O71" i="75"/>
  <c r="X59" i="89"/>
  <c r="X64" i="89"/>
  <c r="U101" i="47"/>
  <c r="AC9" i="74"/>
  <c r="AC10" i="74"/>
  <c r="AC11" i="74"/>
  <c r="AC8" i="74"/>
  <c r="AD3" i="74"/>
  <c r="AD8" i="75"/>
  <c r="AD9" i="75" s="1"/>
  <c r="AE7" i="75"/>
  <c r="AD5" i="75"/>
  <c r="AC71" i="75"/>
  <c r="W231" i="80"/>
  <c r="A211" i="57"/>
  <c r="B211" i="57" s="1"/>
  <c r="C210" i="57"/>
  <c r="D210" i="57"/>
  <c r="E210" i="57"/>
  <c r="F210" i="57"/>
  <c r="G210" i="57"/>
  <c r="H210" i="57"/>
  <c r="I210" i="57"/>
  <c r="J210" i="57"/>
  <c r="K210" i="57"/>
  <c r="L210" i="57"/>
  <c r="M210" i="57"/>
  <c r="N210" i="57"/>
  <c r="O210" i="57"/>
  <c r="P210" i="57"/>
  <c r="Q210" i="57"/>
  <c r="R210" i="57"/>
  <c r="S210" i="57"/>
  <c r="T210" i="57"/>
  <c r="U210" i="57"/>
  <c r="V210" i="57"/>
  <c r="W210" i="57"/>
  <c r="A139" i="57"/>
  <c r="B139" i="57" s="1"/>
  <c r="C138" i="57"/>
  <c r="D138" i="57"/>
  <c r="E138" i="57"/>
  <c r="F138" i="57"/>
  <c r="G138" i="57"/>
  <c r="H138" i="57"/>
  <c r="I138" i="57"/>
  <c r="J138" i="57"/>
  <c r="K138" i="57"/>
  <c r="L138" i="57"/>
  <c r="M138" i="57"/>
  <c r="N138" i="57"/>
  <c r="O138" i="57"/>
  <c r="P138" i="57"/>
  <c r="Q138" i="57"/>
  <c r="R138" i="57"/>
  <c r="S138" i="57"/>
  <c r="T138" i="57"/>
  <c r="U138" i="57"/>
  <c r="V138" i="57"/>
  <c r="W138" i="57"/>
  <c r="A103" i="57"/>
  <c r="B103" i="57" s="1"/>
  <c r="C102" i="57"/>
  <c r="D102" i="57"/>
  <c r="E102" i="57"/>
  <c r="F102" i="57"/>
  <c r="G102" i="57"/>
  <c r="H102" i="57"/>
  <c r="I102" i="57"/>
  <c r="J102" i="57"/>
  <c r="K102" i="57"/>
  <c r="L102" i="57"/>
  <c r="M102" i="57"/>
  <c r="N102" i="57"/>
  <c r="O102" i="57"/>
  <c r="P102" i="57"/>
  <c r="Q102" i="57"/>
  <c r="R102" i="57"/>
  <c r="S102" i="57"/>
  <c r="T102" i="57"/>
  <c r="U102" i="57"/>
  <c r="V102" i="57"/>
  <c r="W102" i="57"/>
  <c r="A175" i="57"/>
  <c r="B175" i="57" s="1"/>
  <c r="C174" i="57"/>
  <c r="D174" i="57"/>
  <c r="E174" i="57"/>
  <c r="F174" i="57"/>
  <c r="G174" i="57"/>
  <c r="H174" i="57"/>
  <c r="I174" i="57"/>
  <c r="J174" i="57"/>
  <c r="K174" i="57"/>
  <c r="L174" i="57"/>
  <c r="M174" i="57"/>
  <c r="N174" i="57"/>
  <c r="O174" i="57"/>
  <c r="P174" i="57"/>
  <c r="Q174" i="57"/>
  <c r="R174" i="57"/>
  <c r="S174" i="57"/>
  <c r="T174" i="57"/>
  <c r="U174" i="57"/>
  <c r="V174" i="57"/>
  <c r="W174" i="57"/>
  <c r="A67" i="57"/>
  <c r="B67" i="57" s="1"/>
  <c r="C66" i="57"/>
  <c r="D66" i="57"/>
  <c r="E66" i="57"/>
  <c r="F66" i="57"/>
  <c r="G66" i="57"/>
  <c r="H66" i="57"/>
  <c r="I66" i="57"/>
  <c r="J66" i="57"/>
  <c r="K66" i="57"/>
  <c r="L66" i="57"/>
  <c r="M66" i="57"/>
  <c r="N66" i="57"/>
  <c r="O66" i="57"/>
  <c r="P66" i="57"/>
  <c r="Q66" i="57"/>
  <c r="R66" i="57"/>
  <c r="S66" i="57"/>
  <c r="T66" i="57"/>
  <c r="U66" i="57"/>
  <c r="V66" i="57"/>
  <c r="W66" i="57"/>
  <c r="W307" i="80"/>
  <c r="AG69" i="80"/>
  <c r="W193" i="80"/>
  <c r="W269" i="80"/>
  <c r="T15" i="47"/>
  <c r="S80" i="47"/>
  <c r="N29" i="55"/>
  <c r="S6" i="60"/>
  <c r="U55" i="72"/>
  <c r="V42" i="72"/>
  <c r="Z33" i="57"/>
  <c r="Z35" i="57"/>
  <c r="Z34" i="57"/>
  <c r="AA2" i="57"/>
  <c r="U52" i="72"/>
  <c r="V39" i="72"/>
  <c r="W383" i="80"/>
  <c r="C35" i="57"/>
  <c r="D35" i="57"/>
  <c r="A36" i="57"/>
  <c r="B36" i="57" s="1"/>
  <c r="E35" i="57"/>
  <c r="F35" i="57"/>
  <c r="G35" i="57"/>
  <c r="H35" i="57"/>
  <c r="I35" i="57"/>
  <c r="J35" i="57"/>
  <c r="K35" i="57"/>
  <c r="L35" i="57"/>
  <c r="M35" i="57"/>
  <c r="N35" i="57"/>
  <c r="O35" i="57"/>
  <c r="P35" i="57"/>
  <c r="Q35" i="57"/>
  <c r="R35" i="57"/>
  <c r="S35" i="57"/>
  <c r="T35" i="57"/>
  <c r="U35" i="57"/>
  <c r="V35" i="57"/>
  <c r="W35" i="57"/>
  <c r="X35" i="57"/>
  <c r="A146" i="80"/>
  <c r="A259" i="80"/>
  <c r="A373" i="80" s="1"/>
  <c r="A108" i="80"/>
  <c r="A221" i="80"/>
  <c r="U49" i="72"/>
  <c r="V36" i="72"/>
  <c r="U54" i="72"/>
  <c r="V41" i="72"/>
  <c r="Y28" i="60"/>
  <c r="X44" i="60"/>
  <c r="U53" i="72"/>
  <c r="V40" i="72"/>
  <c r="U51" i="72"/>
  <c r="V38" i="72"/>
  <c r="U48" i="72"/>
  <c r="V35" i="72"/>
  <c r="U47" i="72"/>
  <c r="V34" i="72"/>
  <c r="A183" i="80"/>
  <c r="A296" i="80"/>
  <c r="A426" i="80"/>
  <c r="A33" i="80"/>
  <c r="AG221" i="80"/>
  <c r="AG183" i="80"/>
  <c r="W435" i="80"/>
  <c r="W442" i="80" s="1"/>
  <c r="AG425" i="80"/>
  <c r="AG259" i="80"/>
  <c r="Z4" i="60"/>
  <c r="Y48" i="60"/>
  <c r="X360" i="80"/>
  <c r="AF374" i="80"/>
  <c r="AE374" i="80"/>
  <c r="AC374" i="80"/>
  <c r="Y374" i="80"/>
  <c r="AB374" i="80"/>
  <c r="AA374" i="80"/>
  <c r="Z374" i="80"/>
  <c r="X374" i="80"/>
  <c r="AD374" i="80"/>
  <c r="Z70" i="80"/>
  <c r="AD70" i="80"/>
  <c r="AB70" i="80"/>
  <c r="X56" i="80"/>
  <c r="AE70" i="80"/>
  <c r="AC70" i="80"/>
  <c r="AA70" i="80"/>
  <c r="AF70" i="80"/>
  <c r="Y70" i="80"/>
  <c r="X70" i="80"/>
  <c r="X32" i="80"/>
  <c r="AF32" i="80"/>
  <c r="AC32" i="80"/>
  <c r="Y32" i="80"/>
  <c r="X18" i="80"/>
  <c r="AA32" i="80"/>
  <c r="AB32" i="80"/>
  <c r="AD32" i="80"/>
  <c r="Z32" i="80"/>
  <c r="AE32" i="80"/>
  <c r="X400" i="80"/>
  <c r="X402" i="80" s="1"/>
  <c r="X426" i="80"/>
  <c r="AF426" i="80"/>
  <c r="AC426" i="80"/>
  <c r="AB426" i="80"/>
  <c r="Z426" i="80"/>
  <c r="AA426" i="80"/>
  <c r="AD426" i="80"/>
  <c r="Y426" i="80"/>
  <c r="AE426" i="80"/>
  <c r="X2" i="47"/>
  <c r="X50" i="60"/>
  <c r="Y336" i="80"/>
  <c r="AE336" i="80"/>
  <c r="AD336" i="80"/>
  <c r="AA336" i="80"/>
  <c r="AB336" i="80"/>
  <c r="Z336" i="80"/>
  <c r="X336" i="80"/>
  <c r="AF336" i="80"/>
  <c r="AC336" i="80"/>
  <c r="X322" i="80"/>
  <c r="Y184" i="80"/>
  <c r="AD184" i="80"/>
  <c r="AE184" i="80"/>
  <c r="AC184" i="80"/>
  <c r="X170" i="80"/>
  <c r="AB184" i="80"/>
  <c r="X184" i="80"/>
  <c r="AA184" i="80"/>
  <c r="Z184" i="80"/>
  <c r="AF184" i="80"/>
  <c r="Y200" i="80"/>
  <c r="Y352" i="80"/>
  <c r="Y4" i="80"/>
  <c r="Z2" i="80"/>
  <c r="Y162" i="80"/>
  <c r="Y401" i="80"/>
  <c r="Y10" i="80"/>
  <c r="Y314" i="80"/>
  <c r="Y446" i="80"/>
  <c r="Y86" i="80"/>
  <c r="Y124" i="80"/>
  <c r="Y48" i="80"/>
  <c r="Y238" i="80"/>
  <c r="Y276" i="80"/>
  <c r="AG107" i="80"/>
  <c r="AG373" i="80"/>
  <c r="AG297" i="80"/>
  <c r="AG31" i="80"/>
  <c r="AG145" i="80"/>
  <c r="W155" i="80"/>
  <c r="V443" i="80"/>
  <c r="W440" i="80" s="1"/>
  <c r="AF260" i="80"/>
  <c r="X260" i="80"/>
  <c r="AB260" i="80"/>
  <c r="X246" i="80"/>
  <c r="Z260" i="80"/>
  <c r="AE260" i="80"/>
  <c r="AA260" i="80"/>
  <c r="AD260" i="80"/>
  <c r="Y260" i="80"/>
  <c r="AC260" i="80"/>
  <c r="W441" i="80"/>
  <c r="AA27" i="47"/>
  <c r="AA159" i="47"/>
  <c r="AA40" i="60" s="1"/>
  <c r="AA95" i="47"/>
  <c r="AA28" i="47"/>
  <c r="AA35" i="47"/>
  <c r="AA49" i="47" s="1"/>
  <c r="AB4" i="47"/>
  <c r="E71" i="75"/>
  <c r="D71" i="75"/>
  <c r="G71" i="75"/>
  <c r="F71" i="75"/>
  <c r="J71" i="75"/>
  <c r="H71" i="75"/>
  <c r="I71" i="75"/>
  <c r="L71" i="75"/>
  <c r="M71" i="75"/>
  <c r="K71" i="75"/>
  <c r="N71" i="75"/>
  <c r="W79" i="80"/>
  <c r="AG335" i="80"/>
  <c r="V444" i="80"/>
  <c r="AE108" i="80"/>
  <c r="AF108" i="80"/>
  <c r="Z108" i="80"/>
  <c r="AA108" i="80"/>
  <c r="AC108" i="80"/>
  <c r="X108" i="80"/>
  <c r="AD108" i="80"/>
  <c r="Y108" i="80"/>
  <c r="X94" i="80"/>
  <c r="AB108" i="80"/>
  <c r="AD298" i="80"/>
  <c r="AA298" i="80"/>
  <c r="AE298" i="80"/>
  <c r="AB298" i="80"/>
  <c r="X284" i="80"/>
  <c r="X298" i="80"/>
  <c r="Z298" i="80"/>
  <c r="Y298" i="80"/>
  <c r="AC298" i="80"/>
  <c r="AF298" i="80"/>
  <c r="X146" i="80"/>
  <c r="AB146" i="80"/>
  <c r="AA146" i="80"/>
  <c r="AD146" i="80"/>
  <c r="Z146" i="80"/>
  <c r="AC146" i="80"/>
  <c r="AF146" i="80"/>
  <c r="AE146" i="80"/>
  <c r="Y146" i="80"/>
  <c r="X132" i="80"/>
  <c r="Y222" i="80"/>
  <c r="AF222" i="80"/>
  <c r="X208" i="80"/>
  <c r="AE222" i="80"/>
  <c r="AC222" i="80"/>
  <c r="AA222" i="80"/>
  <c r="Z222" i="80"/>
  <c r="AB222" i="80"/>
  <c r="X222" i="80"/>
  <c r="AD222" i="80"/>
  <c r="W117" i="80"/>
  <c r="B37" i="55"/>
  <c r="AD36" i="55"/>
  <c r="W36" i="55"/>
  <c r="X36" i="55" s="1"/>
  <c r="AJ77" i="75" l="1"/>
  <c r="M50" i="72"/>
  <c r="N37" i="72"/>
  <c r="A248" i="57"/>
  <c r="E247" i="57"/>
  <c r="I247" i="57"/>
  <c r="M247" i="57"/>
  <c r="Q247" i="57"/>
  <c r="U247" i="57"/>
  <c r="F247" i="57"/>
  <c r="J247" i="57"/>
  <c r="N247" i="57"/>
  <c r="R247" i="57"/>
  <c r="V247" i="57"/>
  <c r="D247" i="57"/>
  <c r="G247" i="57"/>
  <c r="K247" i="57"/>
  <c r="O247" i="57"/>
  <c r="S247" i="57"/>
  <c r="W247" i="57"/>
  <c r="P247" i="57"/>
  <c r="C247" i="57"/>
  <c r="T247" i="57"/>
  <c r="H247" i="57"/>
  <c r="X247" i="57"/>
  <c r="L247" i="57"/>
  <c r="B247" i="57"/>
  <c r="A284" i="57"/>
  <c r="N283" i="57"/>
  <c r="K283" i="57"/>
  <c r="H283" i="57"/>
  <c r="X283" i="57"/>
  <c r="E283" i="57"/>
  <c r="U283" i="57"/>
  <c r="V283" i="57"/>
  <c r="O283" i="57"/>
  <c r="L283" i="57"/>
  <c r="I283" i="57"/>
  <c r="F283" i="57"/>
  <c r="C283" i="57"/>
  <c r="S283" i="57"/>
  <c r="P283" i="57"/>
  <c r="M283" i="57"/>
  <c r="R283" i="57"/>
  <c r="J283" i="57"/>
  <c r="G283" i="57"/>
  <c r="W283" i="57"/>
  <c r="D283" i="57"/>
  <c r="T283" i="57"/>
  <c r="Q283" i="57"/>
  <c r="B283" i="57"/>
  <c r="A320" i="57"/>
  <c r="N319" i="57"/>
  <c r="G319" i="57"/>
  <c r="W319" i="57"/>
  <c r="P319" i="57"/>
  <c r="Q319" i="57"/>
  <c r="U319" i="57"/>
  <c r="R319" i="57"/>
  <c r="K319" i="57"/>
  <c r="X319" i="57"/>
  <c r="D319" i="57"/>
  <c r="F319" i="57"/>
  <c r="V319" i="57"/>
  <c r="O319" i="57"/>
  <c r="J319" i="57"/>
  <c r="C319" i="57"/>
  <c r="S319" i="57"/>
  <c r="H319" i="57"/>
  <c r="I319" i="57"/>
  <c r="E319" i="57"/>
  <c r="M319" i="57"/>
  <c r="L319" i="57"/>
  <c r="T319" i="57"/>
  <c r="B319" i="57"/>
  <c r="X74" i="89"/>
  <c r="Y49" i="89"/>
  <c r="AD9" i="74"/>
  <c r="AD11" i="74"/>
  <c r="AD10" i="74"/>
  <c r="AD8" i="74"/>
  <c r="AE3" i="74"/>
  <c r="AE5" i="75"/>
  <c r="AD71" i="75"/>
  <c r="AE8" i="75"/>
  <c r="AE9" i="75" s="1"/>
  <c r="AF7" i="75"/>
  <c r="A104" i="57"/>
  <c r="B104" i="57" s="1"/>
  <c r="C103" i="57"/>
  <c r="D103" i="57"/>
  <c r="E103" i="57"/>
  <c r="F103" i="57"/>
  <c r="G103" i="57"/>
  <c r="H103" i="57"/>
  <c r="I103" i="57"/>
  <c r="J103" i="57"/>
  <c r="K103" i="57"/>
  <c r="L103" i="57"/>
  <c r="M103" i="57"/>
  <c r="N103" i="57"/>
  <c r="O103" i="57"/>
  <c r="P103" i="57"/>
  <c r="Q103" i="57"/>
  <c r="R103" i="57"/>
  <c r="S103" i="57"/>
  <c r="T103" i="57"/>
  <c r="U103" i="57"/>
  <c r="V103" i="57"/>
  <c r="W103" i="57"/>
  <c r="X103" i="57"/>
  <c r="A140" i="57"/>
  <c r="B140" i="57" s="1"/>
  <c r="C139" i="57"/>
  <c r="D139" i="57"/>
  <c r="E139" i="57"/>
  <c r="F139" i="57"/>
  <c r="G139" i="57"/>
  <c r="H139" i="57"/>
  <c r="I139" i="57"/>
  <c r="J139" i="57"/>
  <c r="K139" i="57"/>
  <c r="L139" i="57"/>
  <c r="M139" i="57"/>
  <c r="N139" i="57"/>
  <c r="O139" i="57"/>
  <c r="P139" i="57"/>
  <c r="Q139" i="57"/>
  <c r="R139" i="57"/>
  <c r="S139" i="57"/>
  <c r="T139" i="57"/>
  <c r="U139" i="57"/>
  <c r="V139" i="57"/>
  <c r="W139" i="57"/>
  <c r="X139" i="57"/>
  <c r="A68" i="57"/>
  <c r="B68" i="57" s="1"/>
  <c r="AA68" i="57" s="1"/>
  <c r="C67" i="57"/>
  <c r="D67" i="57"/>
  <c r="E67" i="57"/>
  <c r="F67" i="57"/>
  <c r="G67" i="57"/>
  <c r="H67" i="57"/>
  <c r="I67" i="57"/>
  <c r="J67" i="57"/>
  <c r="K67" i="57"/>
  <c r="L67" i="57"/>
  <c r="M67" i="57"/>
  <c r="N67" i="57"/>
  <c r="O67" i="57"/>
  <c r="P67" i="57"/>
  <c r="Q67" i="57"/>
  <c r="R67" i="57"/>
  <c r="S67" i="57"/>
  <c r="T67" i="57"/>
  <c r="U67" i="57"/>
  <c r="V67" i="57"/>
  <c r="W67" i="57"/>
  <c r="X67" i="57"/>
  <c r="A176" i="57"/>
  <c r="B176" i="57" s="1"/>
  <c r="C175" i="57"/>
  <c r="D175" i="57"/>
  <c r="E175" i="57"/>
  <c r="F175" i="57"/>
  <c r="G175" i="57"/>
  <c r="H175" i="57"/>
  <c r="I175" i="57"/>
  <c r="J175" i="57"/>
  <c r="K175" i="57"/>
  <c r="L175" i="57"/>
  <c r="M175" i="57"/>
  <c r="N175" i="57"/>
  <c r="O175" i="57"/>
  <c r="P175" i="57"/>
  <c r="Q175" i="57"/>
  <c r="R175" i="57"/>
  <c r="S175" i="57"/>
  <c r="T175" i="57"/>
  <c r="U175" i="57"/>
  <c r="V175" i="57"/>
  <c r="W175" i="57"/>
  <c r="X175" i="57"/>
  <c r="A212" i="57"/>
  <c r="B212" i="57" s="1"/>
  <c r="C211" i="57"/>
  <c r="D211" i="57"/>
  <c r="E211" i="57"/>
  <c r="F211" i="57"/>
  <c r="G211" i="57"/>
  <c r="H211" i="57"/>
  <c r="I211" i="57"/>
  <c r="J211" i="57"/>
  <c r="K211" i="57"/>
  <c r="L211" i="57"/>
  <c r="M211" i="57"/>
  <c r="N211" i="57"/>
  <c r="O211" i="57"/>
  <c r="P211" i="57"/>
  <c r="Q211" i="57"/>
  <c r="R211" i="57"/>
  <c r="S211" i="57"/>
  <c r="T211" i="57"/>
  <c r="U211" i="57"/>
  <c r="V211" i="57"/>
  <c r="W211" i="57"/>
  <c r="X211" i="57"/>
  <c r="Z28" i="57"/>
  <c r="X345" i="80"/>
  <c r="X117" i="80"/>
  <c r="AG184" i="80"/>
  <c r="U15" i="47"/>
  <c r="R71" i="75" s="1"/>
  <c r="N30" i="55"/>
  <c r="T6" i="60"/>
  <c r="T80" i="47"/>
  <c r="X231" i="80"/>
  <c r="AA160" i="47"/>
  <c r="AA33" i="60" s="1"/>
  <c r="V53" i="72"/>
  <c r="W40" i="72"/>
  <c r="A147" i="80"/>
  <c r="A260" i="80"/>
  <c r="A374" i="80" s="1"/>
  <c r="V52" i="72"/>
  <c r="W39" i="72"/>
  <c r="W29" i="57"/>
  <c r="X29" i="57"/>
  <c r="Y29" i="57"/>
  <c r="V51" i="72"/>
  <c r="W38" i="72"/>
  <c r="V54" i="72"/>
  <c r="W41" i="72"/>
  <c r="C36" i="57"/>
  <c r="D36" i="57"/>
  <c r="A37" i="57"/>
  <c r="B37" i="57" s="1"/>
  <c r="E36" i="57"/>
  <c r="F36" i="57"/>
  <c r="G36" i="57"/>
  <c r="H36" i="57"/>
  <c r="I36" i="57"/>
  <c r="J36" i="57"/>
  <c r="K36" i="57"/>
  <c r="L36" i="57"/>
  <c r="M36" i="57"/>
  <c r="N36" i="57"/>
  <c r="O36" i="57"/>
  <c r="P36" i="57"/>
  <c r="Q36" i="57"/>
  <c r="R36" i="57"/>
  <c r="S36" i="57"/>
  <c r="T36" i="57"/>
  <c r="U36" i="57"/>
  <c r="V36" i="57"/>
  <c r="W36" i="57"/>
  <c r="X36" i="57"/>
  <c r="Y36" i="57"/>
  <c r="U27" i="57"/>
  <c r="V27" i="57"/>
  <c r="W27" i="57"/>
  <c r="X27" i="57"/>
  <c r="Y27" i="57"/>
  <c r="Z27" i="57"/>
  <c r="V55" i="72"/>
  <c r="W42" i="72"/>
  <c r="A184" i="80"/>
  <c r="A297" i="80"/>
  <c r="A222" i="80"/>
  <c r="A109" i="80"/>
  <c r="AA34" i="57"/>
  <c r="AA36" i="57"/>
  <c r="AA37" i="57"/>
  <c r="AA35" i="57"/>
  <c r="AB2" i="57"/>
  <c r="AA33" i="57"/>
  <c r="AA28" i="57"/>
  <c r="AA29" i="57"/>
  <c r="AA27" i="57"/>
  <c r="AF362" i="57"/>
  <c r="AG362" i="57" s="1"/>
  <c r="AA194" i="57"/>
  <c r="AA192" i="57"/>
  <c r="AA166" i="57"/>
  <c r="Y103" i="57"/>
  <c r="AA205" i="57"/>
  <c r="Z139" i="57"/>
  <c r="AA168" i="57"/>
  <c r="AA199" i="57"/>
  <c r="AA154" i="57"/>
  <c r="AA137" i="57"/>
  <c r="AA156" i="57"/>
  <c r="AA51" i="57"/>
  <c r="AA16" i="57"/>
  <c r="AA175" i="57"/>
  <c r="AA172" i="57"/>
  <c r="AA209" i="57"/>
  <c r="AA200" i="57"/>
  <c r="AA204" i="57"/>
  <c r="AA158" i="57"/>
  <c r="AA160" i="57"/>
  <c r="AA138" i="57"/>
  <c r="AA59" i="57"/>
  <c r="AA190" i="57"/>
  <c r="Y67" i="57"/>
  <c r="Z211" i="57"/>
  <c r="AA136" i="57"/>
  <c r="AA101" i="57"/>
  <c r="AA173" i="57"/>
  <c r="AA196" i="57"/>
  <c r="AA197" i="57"/>
  <c r="AA203" i="57"/>
  <c r="AA19" i="57"/>
  <c r="AA61" i="57"/>
  <c r="AA58" i="57"/>
  <c r="AA167" i="57"/>
  <c r="AA102" i="57"/>
  <c r="AA54" i="57"/>
  <c r="AA201" i="57"/>
  <c r="AA20" i="57"/>
  <c r="AA191" i="57"/>
  <c r="AA45" i="57"/>
  <c r="AA22" i="57"/>
  <c r="AA30" i="57"/>
  <c r="AA26" i="57"/>
  <c r="Z32" i="57"/>
  <c r="A427" i="80"/>
  <c r="A34" i="80"/>
  <c r="V47" i="72"/>
  <c r="W34" i="72"/>
  <c r="V48" i="72"/>
  <c r="W35" i="72"/>
  <c r="Y44" i="60"/>
  <c r="Z28" i="60"/>
  <c r="V49" i="72"/>
  <c r="W36" i="72"/>
  <c r="V28" i="57"/>
  <c r="W28" i="57"/>
  <c r="X28" i="57"/>
  <c r="Y28" i="57"/>
  <c r="Z29" i="57"/>
  <c r="Z36" i="57"/>
  <c r="W444" i="80"/>
  <c r="W392" i="80" s="1"/>
  <c r="W443" i="80"/>
  <c r="X440" i="80" s="1"/>
  <c r="AG222" i="80"/>
  <c r="X307" i="80"/>
  <c r="BL71" i="75"/>
  <c r="BI71" i="75"/>
  <c r="BD71" i="75"/>
  <c r="AB159" i="47"/>
  <c r="AB40" i="60" s="1"/>
  <c r="AB27" i="47"/>
  <c r="AB35" i="47"/>
  <c r="AB49" i="47" s="1"/>
  <c r="AB95" i="47"/>
  <c r="AC4" i="47"/>
  <c r="AB28" i="47"/>
  <c r="AB261" i="80"/>
  <c r="AC261" i="80"/>
  <c r="AD261" i="80"/>
  <c r="Z261" i="80"/>
  <c r="Y261" i="80"/>
  <c r="AE261" i="80"/>
  <c r="Y246" i="80"/>
  <c r="AA261" i="80"/>
  <c r="AF261" i="80"/>
  <c r="Z185" i="80"/>
  <c r="AE185" i="80"/>
  <c r="Y170" i="80"/>
  <c r="AF185" i="80"/>
  <c r="AB185" i="80"/>
  <c r="AC185" i="80"/>
  <c r="AA185" i="80"/>
  <c r="Y185" i="80"/>
  <c r="AD185" i="80"/>
  <c r="Z223" i="80"/>
  <c r="AD223" i="80"/>
  <c r="AA223" i="80"/>
  <c r="Y223" i="80"/>
  <c r="AE223" i="80"/>
  <c r="Y208" i="80"/>
  <c r="AC223" i="80"/>
  <c r="AB223" i="80"/>
  <c r="AF223" i="80"/>
  <c r="X441" i="80"/>
  <c r="AA4" i="60"/>
  <c r="Z48" i="60"/>
  <c r="X155" i="80"/>
  <c r="AG108" i="80"/>
  <c r="BK71" i="75"/>
  <c r="BE71" i="75"/>
  <c r="X269" i="80"/>
  <c r="AC71" i="80"/>
  <c r="AD71" i="80"/>
  <c r="Z71" i="80"/>
  <c r="AE71" i="80"/>
  <c r="AF71" i="80"/>
  <c r="Y56" i="80"/>
  <c r="AA71" i="80"/>
  <c r="Y71" i="80"/>
  <c r="AB71" i="80"/>
  <c r="AF337" i="80"/>
  <c r="Y322" i="80"/>
  <c r="AD337" i="80"/>
  <c r="Z337" i="80"/>
  <c r="Y337" i="80"/>
  <c r="AB337" i="80"/>
  <c r="AC337" i="80"/>
  <c r="AA337" i="80"/>
  <c r="AE337" i="80"/>
  <c r="Z48" i="80"/>
  <c r="Z124" i="80"/>
  <c r="Z238" i="80"/>
  <c r="Z446" i="80"/>
  <c r="Z162" i="80"/>
  <c r="Z4" i="80"/>
  <c r="Z352" i="80"/>
  <c r="Z276" i="80"/>
  <c r="AA2" i="80"/>
  <c r="Z401" i="80"/>
  <c r="Z86" i="80"/>
  <c r="Z10" i="80"/>
  <c r="Z200" i="80"/>
  <c r="Z314" i="80"/>
  <c r="X79" i="80"/>
  <c r="AG146" i="80"/>
  <c r="BM71" i="75"/>
  <c r="BH71" i="75"/>
  <c r="BF71" i="75"/>
  <c r="AB147" i="80"/>
  <c r="Y132" i="80"/>
  <c r="AC147" i="80"/>
  <c r="AE147" i="80"/>
  <c r="AA147" i="80"/>
  <c r="AF147" i="80"/>
  <c r="Y147" i="80"/>
  <c r="AD147" i="80"/>
  <c r="Z147" i="80"/>
  <c r="AD33" i="80"/>
  <c r="Y18" i="80"/>
  <c r="AF33" i="80"/>
  <c r="AA33" i="80"/>
  <c r="AE33" i="80"/>
  <c r="Y33" i="80"/>
  <c r="AC33" i="80"/>
  <c r="AB33" i="80"/>
  <c r="Z33" i="80"/>
  <c r="X193" i="80"/>
  <c r="AG336" i="80"/>
  <c r="AG32" i="80"/>
  <c r="AG374" i="80"/>
  <c r="X383" i="80"/>
  <c r="AG298" i="80"/>
  <c r="V392" i="80"/>
  <c r="V101" i="47"/>
  <c r="BJ71" i="75"/>
  <c r="BG71" i="75"/>
  <c r="BC71" i="75"/>
  <c r="AG260" i="80"/>
  <c r="Y284" i="80"/>
  <c r="AF299" i="80"/>
  <c r="AB299" i="80"/>
  <c r="Y299" i="80"/>
  <c r="AE299" i="80"/>
  <c r="Z299" i="80"/>
  <c r="AD299" i="80"/>
  <c r="AA299" i="80"/>
  <c r="AC299" i="80"/>
  <c r="Y94" i="80"/>
  <c r="Y109" i="80"/>
  <c r="AB109" i="80"/>
  <c r="Z109" i="80"/>
  <c r="AD109" i="80"/>
  <c r="AF109" i="80"/>
  <c r="AC109" i="80"/>
  <c r="AE109" i="80"/>
  <c r="AA109" i="80"/>
  <c r="Y427" i="80"/>
  <c r="AC427" i="80"/>
  <c r="Z427" i="80"/>
  <c r="Y400" i="80"/>
  <c r="Y402" i="80" s="1"/>
  <c r="Y441" i="80" s="1"/>
  <c r="AF427" i="80"/>
  <c r="AA427" i="80"/>
  <c r="AD427" i="80"/>
  <c r="AB427" i="80"/>
  <c r="AE427" i="80"/>
  <c r="Y375" i="80"/>
  <c r="Y360" i="80"/>
  <c r="Z375" i="80"/>
  <c r="AE375" i="80"/>
  <c r="AC375" i="80"/>
  <c r="AD375" i="80"/>
  <c r="AF375" i="80"/>
  <c r="AB375" i="80"/>
  <c r="AA375" i="80"/>
  <c r="X435" i="80"/>
  <c r="X442" i="80" s="1"/>
  <c r="AG426" i="80"/>
  <c r="AG70" i="80"/>
  <c r="Y2" i="47"/>
  <c r="Y50" i="60"/>
  <c r="AD37" i="55"/>
  <c r="W37" i="55"/>
  <c r="X37" i="55" s="1"/>
  <c r="B38" i="55"/>
  <c r="AK77" i="75" l="1"/>
  <c r="O37" i="72"/>
  <c r="N50" i="72"/>
  <c r="AA140" i="57"/>
  <c r="A321" i="57"/>
  <c r="C320" i="57"/>
  <c r="M320" i="57"/>
  <c r="R320" i="57"/>
  <c r="Q320" i="57"/>
  <c r="F320" i="57"/>
  <c r="V320" i="57"/>
  <c r="D320" i="57"/>
  <c r="E320" i="57"/>
  <c r="U320" i="57"/>
  <c r="J320" i="57"/>
  <c r="L320" i="57"/>
  <c r="I320" i="57"/>
  <c r="Y320" i="57"/>
  <c r="N320" i="57"/>
  <c r="T320" i="57"/>
  <c r="O320" i="57"/>
  <c r="W320" i="57"/>
  <c r="H320" i="57"/>
  <c r="S320" i="57"/>
  <c r="P320" i="57"/>
  <c r="K320" i="57"/>
  <c r="G320" i="57"/>
  <c r="X320" i="57"/>
  <c r="B320" i="57"/>
  <c r="AE320" i="57" s="1"/>
  <c r="A285" i="57"/>
  <c r="H284" i="57"/>
  <c r="X284" i="57"/>
  <c r="P284" i="57"/>
  <c r="E284" i="57"/>
  <c r="U284" i="57"/>
  <c r="R284" i="57"/>
  <c r="O284" i="57"/>
  <c r="T284" i="57"/>
  <c r="I284" i="57"/>
  <c r="Y284" i="57"/>
  <c r="F284" i="57"/>
  <c r="V284" i="57"/>
  <c r="D284" i="57"/>
  <c r="M284" i="57"/>
  <c r="J284" i="57"/>
  <c r="G284" i="57"/>
  <c r="W284" i="57"/>
  <c r="Q284" i="57"/>
  <c r="N284" i="57"/>
  <c r="C284" i="57"/>
  <c r="K284" i="57"/>
  <c r="L284" i="57"/>
  <c r="S284" i="57"/>
  <c r="B284" i="57"/>
  <c r="AD284" i="57" s="1"/>
  <c r="A249" i="57"/>
  <c r="E248" i="57"/>
  <c r="I248" i="57"/>
  <c r="M248" i="57"/>
  <c r="Q248" i="57"/>
  <c r="U248" i="57"/>
  <c r="Y248" i="57"/>
  <c r="F248" i="57"/>
  <c r="J248" i="57"/>
  <c r="N248" i="57"/>
  <c r="R248" i="57"/>
  <c r="V248" i="57"/>
  <c r="C248" i="57"/>
  <c r="G248" i="57"/>
  <c r="K248" i="57"/>
  <c r="O248" i="57"/>
  <c r="S248" i="57"/>
  <c r="W248" i="57"/>
  <c r="P248" i="57"/>
  <c r="D248" i="57"/>
  <c r="T248" i="57"/>
  <c r="H248" i="57"/>
  <c r="X248" i="57"/>
  <c r="L248" i="57"/>
  <c r="B248" i="57"/>
  <c r="AF248" i="57" s="1"/>
  <c r="O63" i="75"/>
  <c r="O64" i="75" s="1"/>
  <c r="P63" i="75"/>
  <c r="P64" i="75" s="1"/>
  <c r="T63" i="75"/>
  <c r="T64" i="75" s="1"/>
  <c r="U63" i="75"/>
  <c r="U64" i="75" s="1"/>
  <c r="Z63" i="75"/>
  <c r="Z64" i="75" s="1"/>
  <c r="AC63" i="75"/>
  <c r="AC64" i="75" s="1"/>
  <c r="AD63" i="75"/>
  <c r="AD64" i="75" s="1"/>
  <c r="Y63" i="75"/>
  <c r="Y64" i="75" s="1"/>
  <c r="Y59" i="89"/>
  <c r="Y64" i="89"/>
  <c r="AF3" i="74"/>
  <c r="AE10" i="74"/>
  <c r="AE8" i="74"/>
  <c r="AE9" i="74"/>
  <c r="AE11" i="74"/>
  <c r="AE71" i="75"/>
  <c r="AE63" i="75"/>
  <c r="AE64" i="75" s="1"/>
  <c r="AF5" i="75"/>
  <c r="AF8" i="75"/>
  <c r="AF9" i="75" s="1"/>
  <c r="AG7" i="75"/>
  <c r="AB316" i="57"/>
  <c r="AA316" i="57"/>
  <c r="W316" i="57"/>
  <c r="Z316" i="57"/>
  <c r="Y316" i="57"/>
  <c r="V316" i="57"/>
  <c r="X316" i="57"/>
  <c r="N303" i="57"/>
  <c r="M303" i="57"/>
  <c r="L303" i="57"/>
  <c r="I303" i="57"/>
  <c r="J303" i="57"/>
  <c r="O303" i="57"/>
  <c r="K303" i="57"/>
  <c r="C297" i="57"/>
  <c r="G297" i="57"/>
  <c r="F297" i="57"/>
  <c r="I297" i="57"/>
  <c r="H297" i="57"/>
  <c r="E297" i="57"/>
  <c r="D297" i="57"/>
  <c r="J304" i="57"/>
  <c r="K304" i="57"/>
  <c r="L304" i="57"/>
  <c r="N304" i="57"/>
  <c r="M304" i="57"/>
  <c r="P304" i="57"/>
  <c r="O304" i="57"/>
  <c r="Q308" i="57"/>
  <c r="R308" i="57"/>
  <c r="O308" i="57"/>
  <c r="S308" i="57"/>
  <c r="P308" i="57"/>
  <c r="T308" i="57"/>
  <c r="N308" i="57"/>
  <c r="Q309" i="57"/>
  <c r="U309" i="57"/>
  <c r="O309" i="57"/>
  <c r="S309" i="57"/>
  <c r="T309" i="57"/>
  <c r="R309" i="57"/>
  <c r="P309" i="57"/>
  <c r="T310" i="57"/>
  <c r="P310" i="57"/>
  <c r="Q310" i="57"/>
  <c r="R310" i="57"/>
  <c r="S310" i="57"/>
  <c r="U310" i="57"/>
  <c r="V310" i="57"/>
  <c r="O307" i="57"/>
  <c r="M307" i="57"/>
  <c r="N307" i="57"/>
  <c r="Q307" i="57"/>
  <c r="S307" i="57"/>
  <c r="P307" i="57"/>
  <c r="R307" i="57"/>
  <c r="M306" i="57"/>
  <c r="L306" i="57"/>
  <c r="N306" i="57"/>
  <c r="R306" i="57"/>
  <c r="O306" i="57"/>
  <c r="Q306" i="57"/>
  <c r="P306" i="57"/>
  <c r="F298" i="57"/>
  <c r="I298" i="57"/>
  <c r="D298" i="57"/>
  <c r="G298" i="57"/>
  <c r="H298" i="57"/>
  <c r="J298" i="57"/>
  <c r="E298" i="57"/>
  <c r="L302" i="57"/>
  <c r="N302" i="57"/>
  <c r="K302" i="57"/>
  <c r="M302" i="57"/>
  <c r="H302" i="57"/>
  <c r="I302" i="57"/>
  <c r="J302" i="57"/>
  <c r="P305" i="57"/>
  <c r="O305" i="57"/>
  <c r="N305" i="57"/>
  <c r="M305" i="57"/>
  <c r="Q305" i="57"/>
  <c r="K305" i="57"/>
  <c r="L305" i="57"/>
  <c r="U312" i="57"/>
  <c r="S312" i="57"/>
  <c r="R312" i="57"/>
  <c r="T312" i="57"/>
  <c r="W312" i="57"/>
  <c r="V312" i="57"/>
  <c r="X312" i="57"/>
  <c r="R311" i="57"/>
  <c r="U311" i="57"/>
  <c r="Q311" i="57"/>
  <c r="T311" i="57"/>
  <c r="V311" i="57"/>
  <c r="W311" i="57"/>
  <c r="S311" i="57"/>
  <c r="J300" i="57"/>
  <c r="G300" i="57"/>
  <c r="F300" i="57"/>
  <c r="K300" i="57"/>
  <c r="I300" i="57"/>
  <c r="H300" i="57"/>
  <c r="L300" i="57"/>
  <c r="V314" i="57"/>
  <c r="X314" i="57"/>
  <c r="Y314" i="57"/>
  <c r="U314" i="57"/>
  <c r="Z314" i="57"/>
  <c r="T314" i="57"/>
  <c r="W314" i="57"/>
  <c r="X313" i="57"/>
  <c r="T313" i="57"/>
  <c r="U313" i="57"/>
  <c r="W313" i="57"/>
  <c r="Y313" i="57"/>
  <c r="V313" i="57"/>
  <c r="S313" i="57"/>
  <c r="G301" i="57"/>
  <c r="J301" i="57"/>
  <c r="L301" i="57"/>
  <c r="I301" i="57"/>
  <c r="H301" i="57"/>
  <c r="K301" i="57"/>
  <c r="M301" i="57"/>
  <c r="X315" i="57"/>
  <c r="W315" i="57"/>
  <c r="V315" i="57"/>
  <c r="U315" i="57"/>
  <c r="Y315" i="57"/>
  <c r="Z315" i="57"/>
  <c r="AA315" i="57"/>
  <c r="Y319" i="57"/>
  <c r="AD319" i="57"/>
  <c r="AE319" i="57"/>
  <c r="AA319" i="57"/>
  <c r="AC319" i="57"/>
  <c r="Z319" i="57"/>
  <c r="AB319" i="57"/>
  <c r="X318" i="57"/>
  <c r="AA318" i="57"/>
  <c r="Y318" i="57"/>
  <c r="Z318" i="57"/>
  <c r="AC318" i="57"/>
  <c r="AB318" i="57"/>
  <c r="AD318" i="57"/>
  <c r="AA320" i="57"/>
  <c r="Z320" i="57"/>
  <c r="AF320" i="57"/>
  <c r="H299" i="57"/>
  <c r="G299" i="57"/>
  <c r="E299" i="57"/>
  <c r="J299" i="57"/>
  <c r="F299" i="57"/>
  <c r="I299" i="57"/>
  <c r="K299" i="57"/>
  <c r="AC317" i="57"/>
  <c r="X317" i="57"/>
  <c r="AA317" i="57"/>
  <c r="AB317" i="57"/>
  <c r="Y317" i="57"/>
  <c r="W317" i="57"/>
  <c r="Z317" i="57"/>
  <c r="AF356" i="57"/>
  <c r="AE356" i="57"/>
  <c r="AD356" i="57"/>
  <c r="AB356" i="57"/>
  <c r="AC356" i="57"/>
  <c r="Z356" i="57"/>
  <c r="AA356" i="57"/>
  <c r="AD355" i="57"/>
  <c r="AC355" i="57"/>
  <c r="AB355" i="57"/>
  <c r="Z355" i="57"/>
  <c r="Y355" i="57"/>
  <c r="AA355" i="57"/>
  <c r="AF355" i="57"/>
  <c r="AE355" i="57"/>
  <c r="AF354" i="57"/>
  <c r="Z354" i="57"/>
  <c r="Y354" i="57"/>
  <c r="AE354" i="57"/>
  <c r="AD354" i="57"/>
  <c r="AC354" i="57"/>
  <c r="AB354" i="57"/>
  <c r="X354" i="57"/>
  <c r="AA354" i="57"/>
  <c r="AE342" i="57"/>
  <c r="AD342" i="57"/>
  <c r="AC342" i="57"/>
  <c r="AF342" i="57"/>
  <c r="W342" i="57"/>
  <c r="V342" i="57"/>
  <c r="Q342" i="57"/>
  <c r="S342" i="57"/>
  <c r="AB342" i="57"/>
  <c r="O342" i="57"/>
  <c r="N342" i="57"/>
  <c r="U342" i="57"/>
  <c r="AA342" i="57"/>
  <c r="Z342" i="57"/>
  <c r="R342" i="57"/>
  <c r="T342" i="57"/>
  <c r="L342" i="57"/>
  <c r="P342" i="57"/>
  <c r="X342" i="57"/>
  <c r="Y342" i="57"/>
  <c r="M342" i="57"/>
  <c r="AD358" i="57"/>
  <c r="AF358" i="57"/>
  <c r="AB358" i="57"/>
  <c r="AC358" i="57"/>
  <c r="AE358" i="57"/>
  <c r="AB350" i="57"/>
  <c r="T350" i="57"/>
  <c r="AF350" i="57"/>
  <c r="Z350" i="57"/>
  <c r="AE350" i="57"/>
  <c r="AD350" i="57"/>
  <c r="AC350" i="57"/>
  <c r="W350" i="57"/>
  <c r="V350" i="57"/>
  <c r="Y350" i="57"/>
  <c r="X350" i="57"/>
  <c r="AA350" i="57"/>
  <c r="U350" i="57"/>
  <c r="AF340" i="57"/>
  <c r="AD340" i="57"/>
  <c r="Y340" i="57"/>
  <c r="X340" i="57"/>
  <c r="W340" i="57"/>
  <c r="AB340" i="57"/>
  <c r="U340" i="57"/>
  <c r="AC340" i="57"/>
  <c r="AE340" i="57"/>
  <c r="Q340" i="57"/>
  <c r="P340" i="57"/>
  <c r="J340" i="57"/>
  <c r="S340" i="57"/>
  <c r="O340" i="57"/>
  <c r="Z340" i="57"/>
  <c r="N340" i="57"/>
  <c r="M340" i="57"/>
  <c r="T340" i="57"/>
  <c r="V340" i="57"/>
  <c r="R340" i="57"/>
  <c r="L340" i="57"/>
  <c r="AA340" i="57"/>
  <c r="K340" i="57"/>
  <c r="AE337" i="57"/>
  <c r="AC337" i="57"/>
  <c r="T337" i="57"/>
  <c r="S337" i="57"/>
  <c r="M337" i="57"/>
  <c r="O337" i="57"/>
  <c r="L337" i="57"/>
  <c r="R337" i="57"/>
  <c r="AF337" i="57"/>
  <c r="P337" i="57"/>
  <c r="AB337" i="57"/>
  <c r="AD337" i="57"/>
  <c r="Y337" i="57"/>
  <c r="X337" i="57"/>
  <c r="N337" i="57"/>
  <c r="G337" i="57"/>
  <c r="U337" i="57"/>
  <c r="Z337" i="57"/>
  <c r="J337" i="57"/>
  <c r="Q337" i="57"/>
  <c r="V337" i="57"/>
  <c r="H337" i="57"/>
  <c r="K337" i="57"/>
  <c r="I337" i="57"/>
  <c r="W337" i="57"/>
  <c r="AA337" i="57"/>
  <c r="Z347" i="57"/>
  <c r="Y347" i="57"/>
  <c r="AF347" i="57"/>
  <c r="V347" i="57"/>
  <c r="AD347" i="57"/>
  <c r="AC347" i="57"/>
  <c r="AB347" i="57"/>
  <c r="AE347" i="57"/>
  <c r="R347" i="57"/>
  <c r="Q347" i="57"/>
  <c r="T347" i="57"/>
  <c r="X347" i="57"/>
  <c r="U347" i="57"/>
  <c r="AA347" i="57"/>
  <c r="S347" i="57"/>
  <c r="W347" i="57"/>
  <c r="U344" i="57"/>
  <c r="T344" i="57"/>
  <c r="AF344" i="57"/>
  <c r="AE344" i="57"/>
  <c r="Q344" i="57"/>
  <c r="AC344" i="57"/>
  <c r="AB344" i="57"/>
  <c r="Z344" i="57"/>
  <c r="S344" i="57"/>
  <c r="AD344" i="57"/>
  <c r="O344" i="57"/>
  <c r="AA344" i="57"/>
  <c r="Y344" i="57"/>
  <c r="R344" i="57"/>
  <c r="W344" i="57"/>
  <c r="X344" i="57"/>
  <c r="P344" i="57"/>
  <c r="N344" i="57"/>
  <c r="V344" i="57"/>
  <c r="AE338" i="57"/>
  <c r="Z338" i="57"/>
  <c r="U338" i="57"/>
  <c r="AC338" i="57"/>
  <c r="W338" i="57"/>
  <c r="AF338" i="57"/>
  <c r="S338" i="57"/>
  <c r="R338" i="57"/>
  <c r="P338" i="57"/>
  <c r="L338" i="57"/>
  <c r="K338" i="57"/>
  <c r="AB338" i="57"/>
  <c r="O338" i="57"/>
  <c r="J338" i="57"/>
  <c r="I338" i="57"/>
  <c r="AD338" i="57"/>
  <c r="X338" i="57"/>
  <c r="Y338" i="57"/>
  <c r="M338" i="57"/>
  <c r="AA338" i="57"/>
  <c r="Q338" i="57"/>
  <c r="N338" i="57"/>
  <c r="V338" i="57"/>
  <c r="T338" i="57"/>
  <c r="H338" i="57"/>
  <c r="AB339" i="57"/>
  <c r="R339" i="57"/>
  <c r="Q339" i="57"/>
  <c r="W339" i="57"/>
  <c r="K339" i="57"/>
  <c r="J339" i="57"/>
  <c r="AE339" i="57"/>
  <c r="N339" i="57"/>
  <c r="AC339" i="57"/>
  <c r="Z339" i="57"/>
  <c r="Y339" i="57"/>
  <c r="O339" i="57"/>
  <c r="AF339" i="57"/>
  <c r="V339" i="57"/>
  <c r="L339" i="57"/>
  <c r="X339" i="57"/>
  <c r="S339" i="57"/>
  <c r="AD339" i="57"/>
  <c r="U339" i="57"/>
  <c r="AA339" i="57"/>
  <c r="P339" i="57"/>
  <c r="T339" i="57"/>
  <c r="I339" i="57"/>
  <c r="M339" i="57"/>
  <c r="AC359" i="57"/>
  <c r="AD359" i="57"/>
  <c r="AF359" i="57"/>
  <c r="AE359" i="57"/>
  <c r="AB349" i="57"/>
  <c r="X349" i="57"/>
  <c r="W349" i="57"/>
  <c r="T349" i="57"/>
  <c r="AC349" i="57"/>
  <c r="S349" i="57"/>
  <c r="Z349" i="57"/>
  <c r="AA349" i="57"/>
  <c r="U349" i="57"/>
  <c r="AF349" i="57"/>
  <c r="Y349" i="57"/>
  <c r="AE349" i="57"/>
  <c r="AD349" i="57"/>
  <c r="V349" i="57"/>
  <c r="R336" i="57"/>
  <c r="F336" i="57"/>
  <c r="AF336" i="57"/>
  <c r="AD336" i="57"/>
  <c r="Y336" i="57"/>
  <c r="AB336" i="57"/>
  <c r="U336" i="57"/>
  <c r="T336" i="57"/>
  <c r="W336" i="57"/>
  <c r="M336" i="57"/>
  <c r="Q336" i="57"/>
  <c r="J336" i="57"/>
  <c r="S336" i="57"/>
  <c r="AA336" i="57"/>
  <c r="AE336" i="57"/>
  <c r="I336" i="57"/>
  <c r="K336" i="57"/>
  <c r="V336" i="57"/>
  <c r="AC336" i="57"/>
  <c r="Z336" i="57"/>
  <c r="O336" i="57"/>
  <c r="L336" i="57"/>
  <c r="G336" i="57"/>
  <c r="X336" i="57"/>
  <c r="P336" i="57"/>
  <c r="N336" i="57"/>
  <c r="H336" i="57"/>
  <c r="AF357" i="57"/>
  <c r="AE357" i="57"/>
  <c r="AD357" i="57"/>
  <c r="AC357" i="57"/>
  <c r="AB357" i="57"/>
  <c r="AA357" i="57"/>
  <c r="AD360" i="57"/>
  <c r="AE360" i="57"/>
  <c r="AF360" i="57"/>
  <c r="N343" i="57"/>
  <c r="S343" i="57"/>
  <c r="Z343" i="57"/>
  <c r="Y343" i="57"/>
  <c r="AF343" i="57"/>
  <c r="AE343" i="57"/>
  <c r="V343" i="57"/>
  <c r="U343" i="57"/>
  <c r="X343" i="57"/>
  <c r="AC343" i="57"/>
  <c r="R343" i="57"/>
  <c r="P343" i="57"/>
  <c r="O343" i="57"/>
  <c r="AB343" i="57"/>
  <c r="Q343" i="57"/>
  <c r="T343" i="57"/>
  <c r="M343" i="57"/>
  <c r="W343" i="57"/>
  <c r="AA343" i="57"/>
  <c r="AD343" i="57"/>
  <c r="X333" i="57"/>
  <c r="W333" i="57"/>
  <c r="AE333" i="57"/>
  <c r="AC333" i="57"/>
  <c r="T333" i="57"/>
  <c r="AF333" i="57"/>
  <c r="P333" i="57"/>
  <c r="I333" i="57"/>
  <c r="R333" i="57"/>
  <c r="H333" i="57"/>
  <c r="V333" i="57"/>
  <c r="AA333" i="57"/>
  <c r="U333" i="57"/>
  <c r="E333" i="57"/>
  <c r="C333" i="57"/>
  <c r="D333" i="57"/>
  <c r="K333" i="57"/>
  <c r="N333" i="57"/>
  <c r="Q333" i="57"/>
  <c r="O333" i="57"/>
  <c r="M333" i="57"/>
  <c r="Z333" i="57"/>
  <c r="L333" i="57"/>
  <c r="G333" i="57"/>
  <c r="J333" i="57"/>
  <c r="AD333" i="57"/>
  <c r="S333" i="57"/>
  <c r="Y333" i="57"/>
  <c r="F333" i="57"/>
  <c r="AB333" i="57"/>
  <c r="AD334" i="57"/>
  <c r="AB334" i="57"/>
  <c r="O334" i="57"/>
  <c r="H334" i="57"/>
  <c r="Y334" i="57"/>
  <c r="AE334" i="57"/>
  <c r="Z334" i="57"/>
  <c r="AC334" i="57"/>
  <c r="W334" i="57"/>
  <c r="V334" i="57"/>
  <c r="T334" i="57"/>
  <c r="P334" i="57"/>
  <c r="J334" i="57"/>
  <c r="AF334" i="57"/>
  <c r="S334" i="57"/>
  <c r="U334" i="57"/>
  <c r="F334" i="57"/>
  <c r="R334" i="57"/>
  <c r="L334" i="57"/>
  <c r="D334" i="57"/>
  <c r="Q334" i="57"/>
  <c r="K334" i="57"/>
  <c r="I334" i="57"/>
  <c r="E334" i="57"/>
  <c r="AA334" i="57"/>
  <c r="N334" i="57"/>
  <c r="M334" i="57"/>
  <c r="X334" i="57"/>
  <c r="G334" i="57"/>
  <c r="S346" i="57"/>
  <c r="R346" i="57"/>
  <c r="X346" i="57"/>
  <c r="AF346" i="57"/>
  <c r="Z346" i="57"/>
  <c r="AC346" i="57"/>
  <c r="Q346" i="57"/>
  <c r="AA346" i="57"/>
  <c r="V346" i="57"/>
  <c r="P346" i="57"/>
  <c r="U346" i="57"/>
  <c r="T346" i="57"/>
  <c r="AE346" i="57"/>
  <c r="W346" i="57"/>
  <c r="AD346" i="57"/>
  <c r="AB346" i="57"/>
  <c r="Y346" i="57"/>
  <c r="AD335" i="57"/>
  <c r="AF335" i="57"/>
  <c r="V335" i="57"/>
  <c r="U335" i="57"/>
  <c r="P335" i="57"/>
  <c r="AB335" i="57"/>
  <c r="R335" i="57"/>
  <c r="AE335" i="57"/>
  <c r="N335" i="57"/>
  <c r="G335" i="57"/>
  <c r="X335" i="57"/>
  <c r="O335" i="57"/>
  <c r="J335" i="57"/>
  <c r="M335" i="57"/>
  <c r="I335" i="57"/>
  <c r="H335" i="57"/>
  <c r="F335" i="57"/>
  <c r="W335" i="57"/>
  <c r="L335" i="57"/>
  <c r="AC335" i="57"/>
  <c r="Q335" i="57"/>
  <c r="T335" i="57"/>
  <c r="Z335" i="57"/>
  <c r="Y335" i="57"/>
  <c r="S335" i="57"/>
  <c r="K335" i="57"/>
  <c r="E335" i="57"/>
  <c r="AA335" i="57"/>
  <c r="Y353" i="57"/>
  <c r="AF353" i="57"/>
  <c r="AE353" i="57"/>
  <c r="AD353" i="57"/>
  <c r="AC353" i="57"/>
  <c r="AB353" i="57"/>
  <c r="X353" i="57"/>
  <c r="AA353" i="57"/>
  <c r="W353" i="57"/>
  <c r="Z353" i="57"/>
  <c r="AF348" i="57"/>
  <c r="AE348" i="57"/>
  <c r="AD348" i="57"/>
  <c r="AC348" i="57"/>
  <c r="AB348" i="57"/>
  <c r="Y348" i="57"/>
  <c r="X348" i="57"/>
  <c r="V348" i="57"/>
  <c r="T348" i="57"/>
  <c r="R348" i="57"/>
  <c r="AA348" i="57"/>
  <c r="S348" i="57"/>
  <c r="Z348" i="57"/>
  <c r="U348" i="57"/>
  <c r="W348" i="57"/>
  <c r="AF345" i="57"/>
  <c r="AE345" i="57"/>
  <c r="AD345" i="57"/>
  <c r="V345" i="57"/>
  <c r="AB345" i="57"/>
  <c r="AC345" i="57"/>
  <c r="X345" i="57"/>
  <c r="T345" i="57"/>
  <c r="S345" i="57"/>
  <c r="Q345" i="57"/>
  <c r="P345" i="57"/>
  <c r="Z345" i="57"/>
  <c r="R345" i="57"/>
  <c r="O345" i="57"/>
  <c r="AA345" i="57"/>
  <c r="U345" i="57"/>
  <c r="W345" i="57"/>
  <c r="Y345" i="57"/>
  <c r="AF351" i="57"/>
  <c r="AE351" i="57"/>
  <c r="V351" i="57"/>
  <c r="U351" i="57"/>
  <c r="AD351" i="57"/>
  <c r="AC351" i="57"/>
  <c r="AB351" i="57"/>
  <c r="W351" i="57"/>
  <c r="AA351" i="57"/>
  <c r="Z351" i="57"/>
  <c r="Y351" i="57"/>
  <c r="X351" i="57"/>
  <c r="AC352" i="57"/>
  <c r="AB352" i="57"/>
  <c r="W352" i="57"/>
  <c r="Y352" i="57"/>
  <c r="V352" i="57"/>
  <c r="AF352" i="57"/>
  <c r="X352" i="57"/>
  <c r="Z352" i="57"/>
  <c r="AE352" i="57"/>
  <c r="AA352" i="57"/>
  <c r="AD352" i="57"/>
  <c r="AF361" i="57"/>
  <c r="AE361" i="57"/>
  <c r="AF341" i="57"/>
  <c r="P341" i="57"/>
  <c r="Z341" i="57"/>
  <c r="N341" i="57"/>
  <c r="AB341" i="57"/>
  <c r="AD341" i="57"/>
  <c r="X341" i="57"/>
  <c r="W341" i="57"/>
  <c r="U341" i="57"/>
  <c r="AE341" i="57"/>
  <c r="M341" i="57"/>
  <c r="R341" i="57"/>
  <c r="L341" i="57"/>
  <c r="V341" i="57"/>
  <c r="S341" i="57"/>
  <c r="T341" i="57"/>
  <c r="Q341" i="57"/>
  <c r="AA341" i="57"/>
  <c r="K341" i="57"/>
  <c r="Y341" i="57"/>
  <c r="O341" i="57"/>
  <c r="AC341" i="57"/>
  <c r="AA176" i="57"/>
  <c r="Q239" i="57"/>
  <c r="U239" i="57"/>
  <c r="W239" i="57"/>
  <c r="R239" i="57"/>
  <c r="T239" i="57"/>
  <c r="AA239" i="57"/>
  <c r="AB239" i="57"/>
  <c r="S239" i="57"/>
  <c r="X239" i="57"/>
  <c r="Z239" i="57"/>
  <c r="V239" i="57"/>
  <c r="Y239" i="57"/>
  <c r="AE239" i="57"/>
  <c r="AC239" i="57"/>
  <c r="AF239" i="57"/>
  <c r="AD239" i="57"/>
  <c r="V240" i="57"/>
  <c r="U240" i="57"/>
  <c r="W240" i="57"/>
  <c r="T240" i="57"/>
  <c r="AB240" i="57"/>
  <c r="S240" i="57"/>
  <c r="Y240" i="57"/>
  <c r="X240" i="57"/>
  <c r="R240" i="57"/>
  <c r="Z240" i="57"/>
  <c r="AA240" i="57"/>
  <c r="AC240" i="57"/>
  <c r="AF240" i="57"/>
  <c r="AD240" i="57"/>
  <c r="AE240" i="57"/>
  <c r="L234" i="57"/>
  <c r="N234" i="57"/>
  <c r="X234" i="57"/>
  <c r="R234" i="57"/>
  <c r="Y234" i="57"/>
  <c r="U234" i="57"/>
  <c r="T234" i="57"/>
  <c r="W234" i="57"/>
  <c r="S234" i="57"/>
  <c r="V234" i="57"/>
  <c r="O234" i="57"/>
  <c r="Z234" i="57"/>
  <c r="AA234" i="57"/>
  <c r="Q234" i="57"/>
  <c r="P234" i="57"/>
  <c r="M234" i="57"/>
  <c r="AB234" i="57"/>
  <c r="AC234" i="57"/>
  <c r="AD234" i="57"/>
  <c r="AE234" i="57"/>
  <c r="AF234" i="57"/>
  <c r="S235" i="57"/>
  <c r="P235" i="57"/>
  <c r="O235" i="57"/>
  <c r="AB235" i="57"/>
  <c r="M235" i="57"/>
  <c r="Y235" i="57"/>
  <c r="U235" i="57"/>
  <c r="V235" i="57"/>
  <c r="R235" i="57"/>
  <c r="T235" i="57"/>
  <c r="N235" i="57"/>
  <c r="X235" i="57"/>
  <c r="W235" i="57"/>
  <c r="Q235" i="57"/>
  <c r="Z235" i="57"/>
  <c r="AA235" i="57"/>
  <c r="AE235" i="57"/>
  <c r="AC235" i="57"/>
  <c r="AF235" i="57"/>
  <c r="AD235" i="57"/>
  <c r="AA229" i="57"/>
  <c r="Q229" i="57"/>
  <c r="W229" i="57"/>
  <c r="N229" i="57"/>
  <c r="M229" i="57"/>
  <c r="Z229" i="57"/>
  <c r="AB229" i="57"/>
  <c r="U229" i="57"/>
  <c r="S229" i="57"/>
  <c r="G229" i="57"/>
  <c r="H229" i="57"/>
  <c r="V229" i="57"/>
  <c r="R229" i="57"/>
  <c r="T229" i="57"/>
  <c r="I229" i="57"/>
  <c r="L229" i="57"/>
  <c r="J229" i="57"/>
  <c r="K229" i="57"/>
  <c r="O229" i="57"/>
  <c r="Y229" i="57"/>
  <c r="P229" i="57"/>
  <c r="X229" i="57"/>
  <c r="AC229" i="57"/>
  <c r="AD229" i="57"/>
  <c r="AF229" i="57"/>
  <c r="AE229" i="57"/>
  <c r="AA248" i="57"/>
  <c r="AA238" i="57"/>
  <c r="T238" i="57"/>
  <c r="U238" i="57"/>
  <c r="Y238" i="57"/>
  <c r="AB238" i="57"/>
  <c r="R238" i="57"/>
  <c r="Q238" i="57"/>
  <c r="Z238" i="57"/>
  <c r="X238" i="57"/>
  <c r="S238" i="57"/>
  <c r="W238" i="57"/>
  <c r="P238" i="57"/>
  <c r="V238" i="57"/>
  <c r="AD238" i="57"/>
  <c r="AC238" i="57"/>
  <c r="AE238" i="57"/>
  <c r="AF238" i="57"/>
  <c r="AB247" i="57"/>
  <c r="AC247" i="57"/>
  <c r="Y247" i="57"/>
  <c r="AD247" i="57"/>
  <c r="AA247" i="57"/>
  <c r="AF247" i="57"/>
  <c r="Z247" i="57"/>
  <c r="AE247" i="57"/>
  <c r="AA227" i="57"/>
  <c r="AB227" i="57"/>
  <c r="V227" i="57"/>
  <c r="K227" i="57"/>
  <c r="I227" i="57"/>
  <c r="Q227" i="57"/>
  <c r="J227" i="57"/>
  <c r="M227" i="57"/>
  <c r="F227" i="57"/>
  <c r="R227" i="57"/>
  <c r="X227" i="57"/>
  <c r="N227" i="57"/>
  <c r="T227" i="57"/>
  <c r="G227" i="57"/>
  <c r="H227" i="57"/>
  <c r="W227" i="57"/>
  <c r="L227" i="57"/>
  <c r="Y227" i="57"/>
  <c r="Z227" i="57"/>
  <c r="U227" i="57"/>
  <c r="S227" i="57"/>
  <c r="O227" i="57"/>
  <c r="E227" i="57"/>
  <c r="P227" i="57"/>
  <c r="AC227" i="57"/>
  <c r="AD227" i="57"/>
  <c r="AE227" i="57"/>
  <c r="AF227" i="57"/>
  <c r="Y243" i="57"/>
  <c r="U243" i="57"/>
  <c r="X243" i="57"/>
  <c r="Z243" i="57"/>
  <c r="AA243" i="57"/>
  <c r="AB243" i="57"/>
  <c r="V243" i="57"/>
  <c r="W243" i="57"/>
  <c r="AD243" i="57"/>
  <c r="AE243" i="57"/>
  <c r="AF243" i="57"/>
  <c r="AC243" i="57"/>
  <c r="R228" i="57"/>
  <c r="O228" i="57"/>
  <c r="L228" i="57"/>
  <c r="M228" i="57"/>
  <c r="G228" i="57"/>
  <c r="Z228" i="57"/>
  <c r="Y228" i="57"/>
  <c r="P228" i="57"/>
  <c r="J228" i="57"/>
  <c r="K228" i="57"/>
  <c r="V228" i="57"/>
  <c r="AA228" i="57"/>
  <c r="AB228" i="57"/>
  <c r="N228" i="57"/>
  <c r="I228" i="57"/>
  <c r="T228" i="57"/>
  <c r="F228" i="57"/>
  <c r="W228" i="57"/>
  <c r="H228" i="57"/>
  <c r="X228" i="57"/>
  <c r="U228" i="57"/>
  <c r="S228" i="57"/>
  <c r="Q228" i="57"/>
  <c r="AF228" i="57"/>
  <c r="AC228" i="57"/>
  <c r="AE228" i="57"/>
  <c r="AD228" i="57"/>
  <c r="X241" i="57"/>
  <c r="Y241" i="57"/>
  <c r="AA241" i="57"/>
  <c r="W241" i="57"/>
  <c r="Z241" i="57"/>
  <c r="V241" i="57"/>
  <c r="T241" i="57"/>
  <c r="S241" i="57"/>
  <c r="U241" i="57"/>
  <c r="AB241" i="57"/>
  <c r="AC241" i="57"/>
  <c r="AE241" i="57"/>
  <c r="AF241" i="57"/>
  <c r="AD241" i="57"/>
  <c r="AA232" i="57"/>
  <c r="N232" i="57"/>
  <c r="K232" i="57"/>
  <c r="T232" i="57"/>
  <c r="Y232" i="57"/>
  <c r="Z232" i="57"/>
  <c r="AB232" i="57"/>
  <c r="X232" i="57"/>
  <c r="U232" i="57"/>
  <c r="L232" i="57"/>
  <c r="V232" i="57"/>
  <c r="P232" i="57"/>
  <c r="Q232" i="57"/>
  <c r="S232" i="57"/>
  <c r="O232" i="57"/>
  <c r="R232" i="57"/>
  <c r="M232" i="57"/>
  <c r="J232" i="57"/>
  <c r="W232" i="57"/>
  <c r="AE232" i="57"/>
  <c r="AF232" i="57"/>
  <c r="AC232" i="57"/>
  <c r="AD232" i="57"/>
  <c r="AB245" i="57"/>
  <c r="W245" i="57"/>
  <c r="AA245" i="57"/>
  <c r="X245" i="57"/>
  <c r="Y245" i="57"/>
  <c r="Z245" i="57"/>
  <c r="AD245" i="57"/>
  <c r="AC245" i="57"/>
  <c r="AE245" i="57"/>
  <c r="AF245" i="57"/>
  <c r="Y231" i="57"/>
  <c r="R231" i="57"/>
  <c r="I231" i="57"/>
  <c r="U231" i="57"/>
  <c r="AB231" i="57"/>
  <c r="W231" i="57"/>
  <c r="M231" i="57"/>
  <c r="Q231" i="57"/>
  <c r="K231" i="57"/>
  <c r="X231" i="57"/>
  <c r="N231" i="57"/>
  <c r="J231" i="57"/>
  <c r="O231" i="57"/>
  <c r="S231" i="57"/>
  <c r="Z231" i="57"/>
  <c r="L231" i="57"/>
  <c r="V231" i="57"/>
  <c r="T231" i="57"/>
  <c r="P231" i="57"/>
  <c r="AA231" i="57"/>
  <c r="AC231" i="57"/>
  <c r="AD231" i="57"/>
  <c r="AF231" i="57"/>
  <c r="AE231" i="57"/>
  <c r="AA242" i="57"/>
  <c r="AB242" i="57"/>
  <c r="T242" i="57"/>
  <c r="Z242" i="57"/>
  <c r="U242" i="57"/>
  <c r="AC242" i="57"/>
  <c r="AD242" i="57"/>
  <c r="AF242" i="57"/>
  <c r="V242" i="57"/>
  <c r="AE242" i="57"/>
  <c r="X242" i="57"/>
  <c r="Y242" i="57"/>
  <c r="W242" i="57"/>
  <c r="I225" i="57"/>
  <c r="Y225" i="57"/>
  <c r="S225" i="57"/>
  <c r="P225" i="57"/>
  <c r="F225" i="57"/>
  <c r="G225" i="57"/>
  <c r="AA225" i="57"/>
  <c r="AB225" i="57"/>
  <c r="L225" i="57"/>
  <c r="H225" i="57"/>
  <c r="J225" i="57"/>
  <c r="U225" i="57"/>
  <c r="W225" i="57"/>
  <c r="Z225" i="57"/>
  <c r="M225" i="57"/>
  <c r="E225" i="57"/>
  <c r="Q225" i="57"/>
  <c r="X225" i="57"/>
  <c r="R225" i="57"/>
  <c r="N225" i="57"/>
  <c r="T225" i="57"/>
  <c r="O225" i="57"/>
  <c r="C225" i="57"/>
  <c r="K225" i="57"/>
  <c r="V225" i="57"/>
  <c r="D225" i="57"/>
  <c r="AC225" i="57"/>
  <c r="AD225" i="57"/>
  <c r="AE225" i="57"/>
  <c r="AF225" i="57"/>
  <c r="V244" i="57"/>
  <c r="Z244" i="57"/>
  <c r="AA244" i="57"/>
  <c r="W244" i="57"/>
  <c r="X244" i="57"/>
  <c r="Y244" i="57"/>
  <c r="AB244" i="57"/>
  <c r="AC244" i="57"/>
  <c r="AF244" i="57"/>
  <c r="AD244" i="57"/>
  <c r="AE244" i="57"/>
  <c r="S230" i="57"/>
  <c r="W230" i="57"/>
  <c r="Q230" i="57"/>
  <c r="J230" i="57"/>
  <c r="Z230" i="57"/>
  <c r="K230" i="57"/>
  <c r="R230" i="57"/>
  <c r="V230" i="57"/>
  <c r="Y230" i="57"/>
  <c r="I230" i="57"/>
  <c r="N230" i="57"/>
  <c r="U230" i="57"/>
  <c r="X230" i="57"/>
  <c r="L230" i="57"/>
  <c r="AA230" i="57"/>
  <c r="AB230" i="57"/>
  <c r="P230" i="57"/>
  <c r="O230" i="57"/>
  <c r="M230" i="57"/>
  <c r="H230" i="57"/>
  <c r="T230" i="57"/>
  <c r="AD230" i="57"/>
  <c r="AC230" i="57"/>
  <c r="AE230" i="57"/>
  <c r="AF230" i="57"/>
  <c r="AB233" i="57"/>
  <c r="L233" i="57"/>
  <c r="M233" i="57"/>
  <c r="Q233" i="57"/>
  <c r="K233" i="57"/>
  <c r="R233" i="57"/>
  <c r="O233" i="57"/>
  <c r="S233" i="57"/>
  <c r="P233" i="57"/>
  <c r="Y233" i="57"/>
  <c r="T233" i="57"/>
  <c r="W233" i="57"/>
  <c r="Z233" i="57"/>
  <c r="AA233" i="57"/>
  <c r="U233" i="57"/>
  <c r="X233" i="57"/>
  <c r="V233" i="57"/>
  <c r="N233" i="57"/>
  <c r="AD233" i="57"/>
  <c r="AE233" i="57"/>
  <c r="AC233" i="57"/>
  <c r="AF233" i="57"/>
  <c r="AA246" i="57"/>
  <c r="Z246" i="57"/>
  <c r="Y246" i="57"/>
  <c r="X246" i="57"/>
  <c r="AB246" i="57"/>
  <c r="AC246" i="57"/>
  <c r="AE246" i="57"/>
  <c r="AF246" i="57"/>
  <c r="AD246" i="57"/>
  <c r="V226" i="57"/>
  <c r="G226" i="57"/>
  <c r="Q226" i="57"/>
  <c r="L226" i="57"/>
  <c r="Y226" i="57"/>
  <c r="T226" i="57"/>
  <c r="I226" i="57"/>
  <c r="E226" i="57"/>
  <c r="P226" i="57"/>
  <c r="M226" i="57"/>
  <c r="S226" i="57"/>
  <c r="AB226" i="57"/>
  <c r="X226" i="57"/>
  <c r="R226" i="57"/>
  <c r="N226" i="57"/>
  <c r="O226" i="57"/>
  <c r="H226" i="57"/>
  <c r="W226" i="57"/>
  <c r="AA226" i="57"/>
  <c r="J226" i="57"/>
  <c r="K226" i="57"/>
  <c r="F226" i="57"/>
  <c r="U226" i="57"/>
  <c r="D226" i="57"/>
  <c r="Z226" i="57"/>
  <c r="AC226" i="57"/>
  <c r="AE226" i="57"/>
  <c r="AF226" i="57"/>
  <c r="AD226" i="57"/>
  <c r="P236" i="57"/>
  <c r="O236" i="57"/>
  <c r="S236" i="57"/>
  <c r="AA236" i="57"/>
  <c r="AB236" i="57"/>
  <c r="W236" i="57"/>
  <c r="V236" i="57"/>
  <c r="Y236" i="57"/>
  <c r="T236" i="57"/>
  <c r="N236" i="57"/>
  <c r="R236" i="57"/>
  <c r="Z236" i="57"/>
  <c r="U236" i="57"/>
  <c r="Q236" i="57"/>
  <c r="X236" i="57"/>
  <c r="AD236" i="57"/>
  <c r="AE236" i="57"/>
  <c r="AC236" i="57"/>
  <c r="AF236" i="57"/>
  <c r="V237" i="57"/>
  <c r="T237" i="57"/>
  <c r="Y237" i="57"/>
  <c r="R237" i="57"/>
  <c r="Q237" i="57"/>
  <c r="Z237" i="57"/>
  <c r="AA237" i="57"/>
  <c r="AB237" i="57"/>
  <c r="P237" i="57"/>
  <c r="S237" i="57"/>
  <c r="U237" i="57"/>
  <c r="X237" i="57"/>
  <c r="W237" i="57"/>
  <c r="O237" i="57"/>
  <c r="AD237" i="57"/>
  <c r="AF237" i="57"/>
  <c r="AC237" i="57"/>
  <c r="AE237" i="57"/>
  <c r="T264" i="57"/>
  <c r="R264" i="57"/>
  <c r="H264" i="57"/>
  <c r="I264" i="57"/>
  <c r="N264" i="57"/>
  <c r="Z264" i="57"/>
  <c r="K264" i="57"/>
  <c r="W264" i="57"/>
  <c r="L264" i="57"/>
  <c r="U264" i="57"/>
  <c r="Q264" i="57"/>
  <c r="G264" i="57"/>
  <c r="F264" i="57"/>
  <c r="S264" i="57"/>
  <c r="O264" i="57"/>
  <c r="P264" i="57"/>
  <c r="AB264" i="57"/>
  <c r="V264" i="57"/>
  <c r="M264" i="57"/>
  <c r="J264" i="57"/>
  <c r="Y264" i="57"/>
  <c r="X264" i="57"/>
  <c r="AA264" i="57"/>
  <c r="AE264" i="57"/>
  <c r="AF264" i="57"/>
  <c r="AC264" i="57"/>
  <c r="AD264" i="57"/>
  <c r="AA274" i="57"/>
  <c r="V274" i="57"/>
  <c r="Q274" i="57"/>
  <c r="S274" i="57"/>
  <c r="AB274" i="57"/>
  <c r="R274" i="57"/>
  <c r="P274" i="57"/>
  <c r="Y274" i="57"/>
  <c r="T274" i="57"/>
  <c r="W274" i="57"/>
  <c r="Z274" i="57"/>
  <c r="U274" i="57"/>
  <c r="X274" i="57"/>
  <c r="AE274" i="57"/>
  <c r="AF274" i="57"/>
  <c r="AC274" i="57"/>
  <c r="AD274" i="57"/>
  <c r="W271" i="57"/>
  <c r="S271" i="57"/>
  <c r="O271" i="57"/>
  <c r="Y271" i="57"/>
  <c r="Z271" i="57"/>
  <c r="N271" i="57"/>
  <c r="V271" i="57"/>
  <c r="Q271" i="57"/>
  <c r="X271" i="57"/>
  <c r="M271" i="57"/>
  <c r="T271" i="57"/>
  <c r="AA271" i="57"/>
  <c r="P271" i="57"/>
  <c r="U271" i="57"/>
  <c r="R271" i="57"/>
  <c r="AB271" i="57"/>
  <c r="AC271" i="57"/>
  <c r="AD271" i="57"/>
  <c r="AE271" i="57"/>
  <c r="AF271" i="57"/>
  <c r="AA273" i="57"/>
  <c r="AB273" i="57"/>
  <c r="Q273" i="57"/>
  <c r="W273" i="57"/>
  <c r="R273" i="57"/>
  <c r="O273" i="57"/>
  <c r="V273" i="57"/>
  <c r="Y273" i="57"/>
  <c r="T273" i="57"/>
  <c r="Z273" i="57"/>
  <c r="AC273" i="57"/>
  <c r="P273" i="57"/>
  <c r="X273" i="57"/>
  <c r="AE273" i="57"/>
  <c r="AF273" i="57"/>
  <c r="U273" i="57"/>
  <c r="S273" i="57"/>
  <c r="AD273" i="57"/>
  <c r="Z282" i="57"/>
  <c r="Y282" i="57"/>
  <c r="AA282" i="57"/>
  <c r="X282" i="57"/>
  <c r="AB282" i="57"/>
  <c r="AC282" i="57"/>
  <c r="AD282" i="57"/>
  <c r="AE282" i="57"/>
  <c r="AF282" i="57"/>
  <c r="Y269" i="57"/>
  <c r="O269" i="57"/>
  <c r="X269" i="57"/>
  <c r="P269" i="57"/>
  <c r="AA269" i="57"/>
  <c r="AB269" i="57"/>
  <c r="V269" i="57"/>
  <c r="N269" i="57"/>
  <c r="S269" i="57"/>
  <c r="U269" i="57"/>
  <c r="K269" i="57"/>
  <c r="W269" i="57"/>
  <c r="M269" i="57"/>
  <c r="Q269" i="57"/>
  <c r="T269" i="57"/>
  <c r="L269" i="57"/>
  <c r="R269" i="57"/>
  <c r="Z269" i="57"/>
  <c r="AC269" i="57"/>
  <c r="AF269" i="57"/>
  <c r="AE269" i="57"/>
  <c r="AD269" i="57"/>
  <c r="AA263" i="57"/>
  <c r="AB263" i="57"/>
  <c r="K263" i="57"/>
  <c r="H263" i="57"/>
  <c r="M263" i="57"/>
  <c r="L263" i="57"/>
  <c r="T263" i="57"/>
  <c r="Q263" i="57"/>
  <c r="N263" i="57"/>
  <c r="W263" i="57"/>
  <c r="P263" i="57"/>
  <c r="R263" i="57"/>
  <c r="I263" i="57"/>
  <c r="O263" i="57"/>
  <c r="V263" i="57"/>
  <c r="Y263" i="57"/>
  <c r="J263" i="57"/>
  <c r="X263" i="57"/>
  <c r="Z263" i="57"/>
  <c r="S263" i="57"/>
  <c r="E263" i="57"/>
  <c r="U263" i="57"/>
  <c r="F263" i="57"/>
  <c r="G263" i="57"/>
  <c r="AE263" i="57"/>
  <c r="AD263" i="57"/>
  <c r="AC263" i="57"/>
  <c r="AF263" i="57"/>
  <c r="AB281" i="57"/>
  <c r="X281" i="57"/>
  <c r="Z281" i="57"/>
  <c r="AA281" i="57"/>
  <c r="W281" i="57"/>
  <c r="Y281" i="57"/>
  <c r="AC281" i="57"/>
  <c r="AF281" i="57"/>
  <c r="AD281" i="57"/>
  <c r="AE281" i="57"/>
  <c r="AB283" i="57"/>
  <c r="Y283" i="57"/>
  <c r="Z283" i="57"/>
  <c r="AF283" i="57"/>
  <c r="AA283" i="57"/>
  <c r="AC283" i="57"/>
  <c r="AD283" i="57"/>
  <c r="AE283" i="57"/>
  <c r="S275" i="57"/>
  <c r="W275" i="57"/>
  <c r="Y275" i="57"/>
  <c r="AA275" i="57"/>
  <c r="X275" i="57"/>
  <c r="R275" i="57"/>
  <c r="Z275" i="57"/>
  <c r="AB275" i="57"/>
  <c r="Q275" i="57"/>
  <c r="V275" i="57"/>
  <c r="T275" i="57"/>
  <c r="U275" i="57"/>
  <c r="AD275" i="57"/>
  <c r="AF275" i="57"/>
  <c r="AC275" i="57"/>
  <c r="AE275" i="57"/>
  <c r="P262" i="57"/>
  <c r="X262" i="57"/>
  <c r="J262" i="57"/>
  <c r="Q262" i="57"/>
  <c r="G262" i="57"/>
  <c r="Z262" i="57"/>
  <c r="AB262" i="57"/>
  <c r="O262" i="57"/>
  <c r="U262" i="57"/>
  <c r="N262" i="57"/>
  <c r="E262" i="57"/>
  <c r="S262" i="57"/>
  <c r="AA262" i="57"/>
  <c r="R262" i="57"/>
  <c r="W262" i="57"/>
  <c r="V262" i="57"/>
  <c r="M262" i="57"/>
  <c r="H262" i="57"/>
  <c r="F262" i="57"/>
  <c r="T262" i="57"/>
  <c r="K262" i="57"/>
  <c r="D262" i="57"/>
  <c r="Y262" i="57"/>
  <c r="I262" i="57"/>
  <c r="L262" i="57"/>
  <c r="AD262" i="57"/>
  <c r="AC262" i="57"/>
  <c r="AF262" i="57"/>
  <c r="AE262" i="57"/>
  <c r="AA267" i="57"/>
  <c r="Q267" i="57"/>
  <c r="K267" i="57"/>
  <c r="X267" i="57"/>
  <c r="R267" i="57"/>
  <c r="I267" i="57"/>
  <c r="W267" i="57"/>
  <c r="L267" i="57"/>
  <c r="O267" i="57"/>
  <c r="S267" i="57"/>
  <c r="Z267" i="57"/>
  <c r="P267" i="57"/>
  <c r="Y267" i="57"/>
  <c r="N267" i="57"/>
  <c r="T267" i="57"/>
  <c r="AB267" i="57"/>
  <c r="V267" i="57"/>
  <c r="U267" i="57"/>
  <c r="M267" i="57"/>
  <c r="J267" i="57"/>
  <c r="AC267" i="57"/>
  <c r="AD267" i="57"/>
  <c r="AE267" i="57"/>
  <c r="AF267" i="57"/>
  <c r="Y280" i="57"/>
  <c r="AA280" i="57"/>
  <c r="AB280" i="57"/>
  <c r="W280" i="57"/>
  <c r="V280" i="57"/>
  <c r="X280" i="57"/>
  <c r="Z280" i="57"/>
  <c r="AF280" i="57"/>
  <c r="AC280" i="57"/>
  <c r="AD280" i="57"/>
  <c r="AE280" i="57"/>
  <c r="X277" i="57"/>
  <c r="T277" i="57"/>
  <c r="AA277" i="57"/>
  <c r="AB277" i="57"/>
  <c r="U277" i="57"/>
  <c r="Y277" i="57"/>
  <c r="S277" i="57"/>
  <c r="Z277" i="57"/>
  <c r="V277" i="57"/>
  <c r="W277" i="57"/>
  <c r="AF277" i="57"/>
  <c r="AE277" i="57"/>
  <c r="AC277" i="57"/>
  <c r="AD277" i="57"/>
  <c r="AB278" i="57"/>
  <c r="T278" i="57"/>
  <c r="V278" i="57"/>
  <c r="AA278" i="57"/>
  <c r="X278" i="57"/>
  <c r="U278" i="57"/>
  <c r="W278" i="57"/>
  <c r="AD278" i="57"/>
  <c r="AF278" i="57"/>
  <c r="AC278" i="57"/>
  <c r="Y278" i="57"/>
  <c r="AE278" i="57"/>
  <c r="Z278" i="57"/>
  <c r="V266" i="57"/>
  <c r="Q266" i="57"/>
  <c r="M266" i="57"/>
  <c r="K266" i="57"/>
  <c r="Y266" i="57"/>
  <c r="AA266" i="57"/>
  <c r="L266" i="57"/>
  <c r="I266" i="57"/>
  <c r="R266" i="57"/>
  <c r="J266" i="57"/>
  <c r="Z266" i="57"/>
  <c r="AB266" i="57"/>
  <c r="U266" i="57"/>
  <c r="H266" i="57"/>
  <c r="P266" i="57"/>
  <c r="X266" i="57"/>
  <c r="T266" i="57"/>
  <c r="N266" i="57"/>
  <c r="O266" i="57"/>
  <c r="S266" i="57"/>
  <c r="W266" i="57"/>
  <c r="AD266" i="57"/>
  <c r="AE266" i="57"/>
  <c r="AF266" i="57"/>
  <c r="AC266" i="57"/>
  <c r="U279" i="57"/>
  <c r="AA279" i="57"/>
  <c r="X279" i="57"/>
  <c r="V279" i="57"/>
  <c r="W279" i="57"/>
  <c r="AB279" i="57"/>
  <c r="Y279" i="57"/>
  <c r="Z279" i="57"/>
  <c r="AD279" i="57"/>
  <c r="AC279" i="57"/>
  <c r="AE279" i="57"/>
  <c r="AF279" i="57"/>
  <c r="Y268" i="57"/>
  <c r="X268" i="57"/>
  <c r="R268" i="57"/>
  <c r="U268" i="57"/>
  <c r="Z268" i="57"/>
  <c r="AA268" i="57"/>
  <c r="AB268" i="57"/>
  <c r="M268" i="57"/>
  <c r="L268" i="57"/>
  <c r="W268" i="57"/>
  <c r="Q268" i="57"/>
  <c r="V268" i="57"/>
  <c r="J268" i="57"/>
  <c r="N268" i="57"/>
  <c r="T268" i="57"/>
  <c r="P268" i="57"/>
  <c r="O268" i="57"/>
  <c r="K268" i="57"/>
  <c r="S268" i="57"/>
  <c r="AD268" i="57"/>
  <c r="AF268" i="57"/>
  <c r="AE268" i="57"/>
  <c r="AC268" i="57"/>
  <c r="V270" i="57"/>
  <c r="U270" i="57"/>
  <c r="O270" i="57"/>
  <c r="T270" i="57"/>
  <c r="AB270" i="57"/>
  <c r="AA270" i="57"/>
  <c r="P270" i="57"/>
  <c r="L270" i="57"/>
  <c r="M270" i="57"/>
  <c r="Z270" i="57"/>
  <c r="Q270" i="57"/>
  <c r="S270" i="57"/>
  <c r="W270" i="57"/>
  <c r="Y270" i="57"/>
  <c r="N270" i="57"/>
  <c r="X270" i="57"/>
  <c r="R270" i="57"/>
  <c r="AF270" i="57"/>
  <c r="AC270" i="57"/>
  <c r="AE270" i="57"/>
  <c r="AD270" i="57"/>
  <c r="AB261" i="57"/>
  <c r="D261" i="57"/>
  <c r="E261" i="57"/>
  <c r="X261" i="57"/>
  <c r="Y261" i="57"/>
  <c r="J261" i="57"/>
  <c r="Z261" i="57"/>
  <c r="V261" i="57"/>
  <c r="Q261" i="57"/>
  <c r="R261" i="57"/>
  <c r="F261" i="57"/>
  <c r="M261" i="57"/>
  <c r="W261" i="57"/>
  <c r="P261" i="57"/>
  <c r="T261" i="57"/>
  <c r="I261" i="57"/>
  <c r="L261" i="57"/>
  <c r="U261" i="57"/>
  <c r="N261" i="57"/>
  <c r="S261" i="57"/>
  <c r="K261" i="57"/>
  <c r="O261" i="57"/>
  <c r="G261" i="57"/>
  <c r="H261" i="57"/>
  <c r="C261" i="57"/>
  <c r="AA261" i="57"/>
  <c r="AC261" i="57"/>
  <c r="AD261" i="57"/>
  <c r="AE261" i="57"/>
  <c r="AF261" i="57"/>
  <c r="AB272" i="57"/>
  <c r="AA272" i="57"/>
  <c r="O272" i="57"/>
  <c r="V272" i="57"/>
  <c r="X272" i="57"/>
  <c r="S272" i="57"/>
  <c r="U272" i="57"/>
  <c r="AE272" i="57"/>
  <c r="T272" i="57"/>
  <c r="P272" i="57"/>
  <c r="Y272" i="57"/>
  <c r="AF272" i="57"/>
  <c r="Q272" i="57"/>
  <c r="R272" i="57"/>
  <c r="Z272" i="57"/>
  <c r="W272" i="57"/>
  <c r="N272" i="57"/>
  <c r="AC272" i="57"/>
  <c r="AD272" i="57"/>
  <c r="V276" i="57"/>
  <c r="T276" i="57"/>
  <c r="R276" i="57"/>
  <c r="Y276" i="57"/>
  <c r="AB276" i="57"/>
  <c r="S276" i="57"/>
  <c r="W276" i="57"/>
  <c r="Z276" i="57"/>
  <c r="AA276" i="57"/>
  <c r="X276" i="57"/>
  <c r="U276" i="57"/>
  <c r="AF276" i="57"/>
  <c r="AC276" i="57"/>
  <c r="AD276" i="57"/>
  <c r="AE276" i="57"/>
  <c r="AA265" i="57"/>
  <c r="K265" i="57"/>
  <c r="H265" i="57"/>
  <c r="G265" i="57"/>
  <c r="L265" i="57"/>
  <c r="Z265" i="57"/>
  <c r="X265" i="57"/>
  <c r="Q265" i="57"/>
  <c r="J265" i="57"/>
  <c r="U265" i="57"/>
  <c r="Y265" i="57"/>
  <c r="T265" i="57"/>
  <c r="W265" i="57"/>
  <c r="V265" i="57"/>
  <c r="P265" i="57"/>
  <c r="O265" i="57"/>
  <c r="AB265" i="57"/>
  <c r="N265" i="57"/>
  <c r="S265" i="57"/>
  <c r="R265" i="57"/>
  <c r="M265" i="57"/>
  <c r="I265" i="57"/>
  <c r="AF265" i="57"/>
  <c r="AE265" i="57"/>
  <c r="AC265" i="57"/>
  <c r="AD265" i="57"/>
  <c r="Y210" i="57"/>
  <c r="Z210" i="57"/>
  <c r="X210" i="57"/>
  <c r="H121" i="57"/>
  <c r="I121" i="57"/>
  <c r="G121" i="57"/>
  <c r="J121" i="57"/>
  <c r="K121" i="57"/>
  <c r="L121" i="57"/>
  <c r="M121" i="57"/>
  <c r="W64" i="57"/>
  <c r="V64" i="57"/>
  <c r="X64" i="57"/>
  <c r="Y64" i="57"/>
  <c r="Z64" i="57"/>
  <c r="M90" i="57"/>
  <c r="N90" i="57"/>
  <c r="L90" i="57"/>
  <c r="O90" i="57"/>
  <c r="P90" i="57"/>
  <c r="Q90" i="57"/>
  <c r="R90" i="57"/>
  <c r="H193" i="57"/>
  <c r="G193" i="57"/>
  <c r="I193" i="57"/>
  <c r="J193" i="57"/>
  <c r="K193" i="57"/>
  <c r="L193" i="57"/>
  <c r="M193" i="57"/>
  <c r="N193" i="57"/>
  <c r="O193" i="57"/>
  <c r="P193" i="57"/>
  <c r="Q193" i="57"/>
  <c r="R193" i="57"/>
  <c r="S193" i="57"/>
  <c r="T193" i="57"/>
  <c r="U193" i="57"/>
  <c r="V193" i="57"/>
  <c r="W193" i="57"/>
  <c r="X193" i="57"/>
  <c r="Y193" i="57"/>
  <c r="Z193" i="57"/>
  <c r="N198" i="57"/>
  <c r="L198" i="57"/>
  <c r="M198" i="57"/>
  <c r="O198" i="57"/>
  <c r="P198" i="57"/>
  <c r="Q198" i="57"/>
  <c r="R198" i="57"/>
  <c r="S198" i="57"/>
  <c r="T198" i="57"/>
  <c r="U198" i="57"/>
  <c r="V198" i="57"/>
  <c r="W198" i="57"/>
  <c r="X198" i="57"/>
  <c r="Y198" i="57"/>
  <c r="Z198" i="57"/>
  <c r="J159" i="57"/>
  <c r="I159" i="57"/>
  <c r="K159" i="57"/>
  <c r="L159" i="57"/>
  <c r="M159" i="57"/>
  <c r="N159" i="57"/>
  <c r="O159" i="57"/>
  <c r="P159" i="57"/>
  <c r="Q159" i="57"/>
  <c r="R159" i="57"/>
  <c r="S159" i="57"/>
  <c r="T159" i="57"/>
  <c r="U159" i="57"/>
  <c r="V159" i="57"/>
  <c r="W159" i="57"/>
  <c r="X159" i="57"/>
  <c r="Y159" i="57"/>
  <c r="Z159" i="57"/>
  <c r="M126" i="57"/>
  <c r="L126" i="57"/>
  <c r="N126" i="57"/>
  <c r="O126" i="57"/>
  <c r="P126" i="57"/>
  <c r="Q126" i="57"/>
  <c r="R126" i="57"/>
  <c r="A213" i="57"/>
  <c r="B213" i="57" s="1"/>
  <c r="C212" i="57"/>
  <c r="D212" i="57"/>
  <c r="E212" i="57"/>
  <c r="F212" i="57"/>
  <c r="G212" i="57"/>
  <c r="H212" i="57"/>
  <c r="I212" i="57"/>
  <c r="J212" i="57"/>
  <c r="K212" i="57"/>
  <c r="L212" i="57"/>
  <c r="M212" i="57"/>
  <c r="N212" i="57"/>
  <c r="O212" i="57"/>
  <c r="P212" i="57"/>
  <c r="Q212" i="57"/>
  <c r="R212" i="57"/>
  <c r="S212" i="57"/>
  <c r="T212" i="57"/>
  <c r="U212" i="57"/>
  <c r="V212" i="57"/>
  <c r="W212" i="57"/>
  <c r="X212" i="57"/>
  <c r="Y212" i="57"/>
  <c r="D46" i="57"/>
  <c r="F46" i="57"/>
  <c r="E46" i="57"/>
  <c r="G46" i="57"/>
  <c r="H46" i="57"/>
  <c r="I46" i="57"/>
  <c r="J46" i="57"/>
  <c r="K46" i="57"/>
  <c r="L46" i="57"/>
  <c r="M46" i="57"/>
  <c r="N46" i="57"/>
  <c r="O46" i="57"/>
  <c r="P46" i="57"/>
  <c r="Q46" i="57"/>
  <c r="R46" i="57"/>
  <c r="S46" i="57"/>
  <c r="T46" i="57"/>
  <c r="U46" i="57"/>
  <c r="V46" i="57"/>
  <c r="W46" i="57"/>
  <c r="X46" i="57"/>
  <c r="Y46" i="57"/>
  <c r="Z46" i="57"/>
  <c r="O163" i="57"/>
  <c r="M163" i="57"/>
  <c r="N163" i="57"/>
  <c r="P163" i="57"/>
  <c r="Q163" i="57"/>
  <c r="R163" i="57"/>
  <c r="S163" i="57"/>
  <c r="T163" i="57"/>
  <c r="U163" i="57"/>
  <c r="V163" i="57"/>
  <c r="W163" i="57"/>
  <c r="X163" i="57"/>
  <c r="Y163" i="57"/>
  <c r="Z163" i="57"/>
  <c r="F84" i="57"/>
  <c r="G84" i="57"/>
  <c r="H84" i="57"/>
  <c r="I84" i="57"/>
  <c r="J84" i="57"/>
  <c r="K84" i="57"/>
  <c r="L84" i="57"/>
  <c r="S60" i="57"/>
  <c r="T60" i="57"/>
  <c r="R60" i="57"/>
  <c r="U60" i="57"/>
  <c r="V60" i="57"/>
  <c r="W60" i="57"/>
  <c r="X60" i="57"/>
  <c r="Y60" i="57"/>
  <c r="Z60" i="57"/>
  <c r="J51" i="57"/>
  <c r="I51" i="57"/>
  <c r="K51" i="57"/>
  <c r="L51" i="57"/>
  <c r="M51" i="57"/>
  <c r="N51" i="57"/>
  <c r="O51" i="57"/>
  <c r="P51" i="57"/>
  <c r="Q51" i="57"/>
  <c r="R51" i="57"/>
  <c r="S51" i="57"/>
  <c r="T51" i="57"/>
  <c r="U51" i="57"/>
  <c r="V51" i="57"/>
  <c r="W51" i="57"/>
  <c r="X51" i="57"/>
  <c r="Y51" i="57"/>
  <c r="Z51" i="57"/>
  <c r="N127" i="57"/>
  <c r="O127" i="57"/>
  <c r="M127" i="57"/>
  <c r="P127" i="57"/>
  <c r="Q127" i="57"/>
  <c r="R127" i="57"/>
  <c r="S127" i="57"/>
  <c r="Q202" i="57"/>
  <c r="P202" i="57"/>
  <c r="R202" i="57"/>
  <c r="S202" i="57"/>
  <c r="T202" i="57"/>
  <c r="U202" i="57"/>
  <c r="V202" i="57"/>
  <c r="W202" i="57"/>
  <c r="X202" i="57"/>
  <c r="Y202" i="57"/>
  <c r="Z202" i="57"/>
  <c r="Y66" i="57"/>
  <c r="X66" i="57"/>
  <c r="Z66" i="57"/>
  <c r="K88" i="57"/>
  <c r="J88" i="57"/>
  <c r="L88" i="57"/>
  <c r="M88" i="57"/>
  <c r="N88" i="57"/>
  <c r="O88" i="57"/>
  <c r="P88" i="57"/>
  <c r="D153" i="57"/>
  <c r="C153" i="57"/>
  <c r="E153" i="57"/>
  <c r="F153" i="57"/>
  <c r="G153" i="57"/>
  <c r="H153" i="57"/>
  <c r="I153" i="57"/>
  <c r="J153" i="57"/>
  <c r="K153" i="57"/>
  <c r="L153" i="57"/>
  <c r="M153" i="57"/>
  <c r="N153" i="57"/>
  <c r="O153" i="57"/>
  <c r="P153" i="57"/>
  <c r="Q153" i="57"/>
  <c r="R153" i="57"/>
  <c r="S153" i="57"/>
  <c r="T153" i="57"/>
  <c r="U153" i="57"/>
  <c r="V153" i="57"/>
  <c r="W153" i="57"/>
  <c r="X153" i="57"/>
  <c r="Y153" i="57"/>
  <c r="Z153" i="57"/>
  <c r="N56" i="57"/>
  <c r="O56" i="57"/>
  <c r="P56" i="57"/>
  <c r="Q56" i="57"/>
  <c r="R56" i="57"/>
  <c r="S56" i="57"/>
  <c r="T56" i="57"/>
  <c r="U56" i="57"/>
  <c r="V56" i="57"/>
  <c r="W56" i="57"/>
  <c r="X56" i="57"/>
  <c r="Y56" i="57"/>
  <c r="Z56" i="57"/>
  <c r="R95" i="57"/>
  <c r="Q95" i="57"/>
  <c r="S95" i="57"/>
  <c r="T95" i="57"/>
  <c r="U95" i="57"/>
  <c r="V95" i="57"/>
  <c r="W95" i="57"/>
  <c r="U61" i="57"/>
  <c r="T61" i="57"/>
  <c r="S61" i="57"/>
  <c r="V61" i="57"/>
  <c r="W61" i="57"/>
  <c r="X61" i="57"/>
  <c r="Y61" i="57"/>
  <c r="Z61" i="57"/>
  <c r="L161" i="57"/>
  <c r="K161" i="57"/>
  <c r="M161" i="57"/>
  <c r="N161" i="57"/>
  <c r="O161" i="57"/>
  <c r="P161" i="57"/>
  <c r="Q161" i="57"/>
  <c r="R161" i="57"/>
  <c r="S161" i="57"/>
  <c r="T161" i="57"/>
  <c r="U161" i="57"/>
  <c r="V161" i="57"/>
  <c r="W161" i="57"/>
  <c r="X161" i="57"/>
  <c r="Y161" i="57"/>
  <c r="Z161" i="57"/>
  <c r="H50" i="57"/>
  <c r="I50" i="57"/>
  <c r="J50" i="57"/>
  <c r="K50" i="57"/>
  <c r="L50" i="57"/>
  <c r="M50" i="57"/>
  <c r="N50" i="57"/>
  <c r="O50" i="57"/>
  <c r="P50" i="57"/>
  <c r="Q50" i="57"/>
  <c r="R50" i="57"/>
  <c r="S50" i="57"/>
  <c r="T50" i="57"/>
  <c r="U50" i="57"/>
  <c r="V50" i="57"/>
  <c r="W50" i="57"/>
  <c r="X50" i="57"/>
  <c r="Y50" i="57"/>
  <c r="Z50" i="57"/>
  <c r="N128" i="57"/>
  <c r="P128" i="57"/>
  <c r="O128" i="57"/>
  <c r="Q128" i="57"/>
  <c r="R128" i="57"/>
  <c r="S128" i="57"/>
  <c r="T128" i="57"/>
  <c r="F83" i="57"/>
  <c r="E83" i="57"/>
  <c r="G83" i="57"/>
  <c r="H83" i="57"/>
  <c r="I83" i="57"/>
  <c r="J83" i="57"/>
  <c r="K83" i="57"/>
  <c r="X208" i="57"/>
  <c r="W208" i="57"/>
  <c r="V208" i="57"/>
  <c r="Y208" i="57"/>
  <c r="Z208" i="57"/>
  <c r="F155" i="57"/>
  <c r="G155" i="57"/>
  <c r="E155" i="57"/>
  <c r="H155" i="57"/>
  <c r="I155" i="57"/>
  <c r="J155" i="57"/>
  <c r="K155" i="57"/>
  <c r="L155" i="57"/>
  <c r="M155" i="57"/>
  <c r="N155" i="57"/>
  <c r="O155" i="57"/>
  <c r="P155" i="57"/>
  <c r="Q155" i="57"/>
  <c r="R155" i="57"/>
  <c r="S155" i="57"/>
  <c r="T155" i="57"/>
  <c r="U155" i="57"/>
  <c r="V155" i="57"/>
  <c r="W155" i="57"/>
  <c r="X155" i="57"/>
  <c r="Y155" i="57"/>
  <c r="Z155" i="57"/>
  <c r="L162" i="57"/>
  <c r="M162" i="57"/>
  <c r="N162" i="57"/>
  <c r="O162" i="57"/>
  <c r="P162" i="57"/>
  <c r="Q162" i="57"/>
  <c r="R162" i="57"/>
  <c r="S162" i="57"/>
  <c r="T162" i="57"/>
  <c r="U162" i="57"/>
  <c r="V162" i="57"/>
  <c r="W162" i="57"/>
  <c r="X162" i="57"/>
  <c r="Y162" i="57"/>
  <c r="Z162" i="57"/>
  <c r="V135" i="57"/>
  <c r="U135" i="57"/>
  <c r="W135" i="57"/>
  <c r="X135" i="57"/>
  <c r="Y135" i="57"/>
  <c r="Z135" i="57"/>
  <c r="Z212" i="57"/>
  <c r="P165" i="57"/>
  <c r="Q165" i="57"/>
  <c r="O165" i="57"/>
  <c r="R165" i="57"/>
  <c r="S165" i="57"/>
  <c r="T165" i="57"/>
  <c r="U165" i="57"/>
  <c r="V165" i="57"/>
  <c r="W165" i="57"/>
  <c r="X165" i="57"/>
  <c r="Y165" i="57"/>
  <c r="Z165" i="57"/>
  <c r="F119" i="57"/>
  <c r="E119" i="57"/>
  <c r="G119" i="57"/>
  <c r="H119" i="57"/>
  <c r="I119" i="57"/>
  <c r="J119" i="57"/>
  <c r="K119" i="57"/>
  <c r="U98" i="57"/>
  <c r="T98" i="57"/>
  <c r="V98" i="57"/>
  <c r="W98" i="57"/>
  <c r="X98" i="57"/>
  <c r="Y98" i="57"/>
  <c r="Z98" i="57"/>
  <c r="E154" i="57"/>
  <c r="D154" i="57"/>
  <c r="F154" i="57"/>
  <c r="G154" i="57"/>
  <c r="H154" i="57"/>
  <c r="I154" i="57"/>
  <c r="J154" i="57"/>
  <c r="K154" i="57"/>
  <c r="L154" i="57"/>
  <c r="M154" i="57"/>
  <c r="N154" i="57"/>
  <c r="O154" i="57"/>
  <c r="P154" i="57"/>
  <c r="Q154" i="57"/>
  <c r="R154" i="57"/>
  <c r="S154" i="57"/>
  <c r="T154" i="57"/>
  <c r="U154" i="57"/>
  <c r="V154" i="57"/>
  <c r="W154" i="57"/>
  <c r="X154" i="57"/>
  <c r="Y154" i="57"/>
  <c r="Z154" i="57"/>
  <c r="V134" i="57"/>
  <c r="U134" i="57"/>
  <c r="T134" i="57"/>
  <c r="W134" i="57"/>
  <c r="X134" i="57"/>
  <c r="Y134" i="57"/>
  <c r="Z134" i="57"/>
  <c r="V171" i="57"/>
  <c r="W171" i="57"/>
  <c r="U171" i="57"/>
  <c r="X171" i="57"/>
  <c r="Y171" i="57"/>
  <c r="Z171" i="57"/>
  <c r="L125" i="57"/>
  <c r="M125" i="57"/>
  <c r="K125" i="57"/>
  <c r="N125" i="57"/>
  <c r="O125" i="57"/>
  <c r="P125" i="57"/>
  <c r="Q125" i="57"/>
  <c r="N199" i="57"/>
  <c r="O199" i="57"/>
  <c r="M199" i="57"/>
  <c r="P199" i="57"/>
  <c r="Q199" i="57"/>
  <c r="R199" i="57"/>
  <c r="S199" i="57"/>
  <c r="T199" i="57"/>
  <c r="U199" i="57"/>
  <c r="V199" i="57"/>
  <c r="W199" i="57"/>
  <c r="X199" i="57"/>
  <c r="Y199" i="57"/>
  <c r="Z199" i="57"/>
  <c r="P129" i="57"/>
  <c r="Q129" i="57"/>
  <c r="O129" i="57"/>
  <c r="R129" i="57"/>
  <c r="S129" i="57"/>
  <c r="T129" i="57"/>
  <c r="U129" i="57"/>
  <c r="U62" i="57"/>
  <c r="V62" i="57"/>
  <c r="T62" i="57"/>
  <c r="W62" i="57"/>
  <c r="X62" i="57"/>
  <c r="Y62" i="57"/>
  <c r="Z62" i="57"/>
  <c r="T205" i="57"/>
  <c r="U205" i="57"/>
  <c r="S205" i="57"/>
  <c r="V205" i="57"/>
  <c r="W205" i="57"/>
  <c r="X205" i="57"/>
  <c r="Y205" i="57"/>
  <c r="Z205" i="57"/>
  <c r="Y174" i="57"/>
  <c r="Z174" i="57"/>
  <c r="X174" i="57"/>
  <c r="Q130" i="57"/>
  <c r="R130" i="57"/>
  <c r="P130" i="57"/>
  <c r="S130" i="57"/>
  <c r="T130" i="57"/>
  <c r="U130" i="57"/>
  <c r="V130" i="57"/>
  <c r="G192" i="57"/>
  <c r="H192" i="57"/>
  <c r="F192" i="57"/>
  <c r="I192" i="57"/>
  <c r="J192" i="57"/>
  <c r="K192" i="57"/>
  <c r="L192" i="57"/>
  <c r="M192" i="57"/>
  <c r="N192" i="57"/>
  <c r="O192" i="57"/>
  <c r="P192" i="57"/>
  <c r="Q192" i="57"/>
  <c r="R192" i="57"/>
  <c r="S192" i="57"/>
  <c r="T192" i="57"/>
  <c r="U192" i="57"/>
  <c r="V192" i="57"/>
  <c r="W192" i="57"/>
  <c r="X192" i="57"/>
  <c r="Y192" i="57"/>
  <c r="Z192" i="57"/>
  <c r="G48" i="57"/>
  <c r="H48" i="57"/>
  <c r="F48" i="57"/>
  <c r="I48" i="57"/>
  <c r="J48" i="57"/>
  <c r="K48" i="57"/>
  <c r="L48" i="57"/>
  <c r="M48" i="57"/>
  <c r="N48" i="57"/>
  <c r="O48" i="57"/>
  <c r="P48" i="57"/>
  <c r="Q48" i="57"/>
  <c r="R48" i="57"/>
  <c r="S48" i="57"/>
  <c r="T48" i="57"/>
  <c r="U48" i="57"/>
  <c r="V48" i="57"/>
  <c r="W48" i="57"/>
  <c r="X48" i="57"/>
  <c r="Y48" i="57"/>
  <c r="Z48" i="57"/>
  <c r="K124" i="57"/>
  <c r="J124" i="57"/>
  <c r="L124" i="57"/>
  <c r="M124" i="57"/>
  <c r="N124" i="57"/>
  <c r="O124" i="57"/>
  <c r="P124" i="57"/>
  <c r="Y211" i="57"/>
  <c r="Z103" i="57"/>
  <c r="A141" i="57"/>
  <c r="B141" i="57" s="1"/>
  <c r="C140" i="57"/>
  <c r="D140" i="57"/>
  <c r="E140" i="57"/>
  <c r="F140" i="57"/>
  <c r="G140" i="57"/>
  <c r="H140" i="57"/>
  <c r="I140" i="57"/>
  <c r="J140" i="57"/>
  <c r="K140" i="57"/>
  <c r="L140" i="57"/>
  <c r="M140" i="57"/>
  <c r="N140" i="57"/>
  <c r="O140" i="57"/>
  <c r="P140" i="57"/>
  <c r="Q140" i="57"/>
  <c r="R140" i="57"/>
  <c r="S140" i="57"/>
  <c r="T140" i="57"/>
  <c r="U140" i="57"/>
  <c r="V140" i="57"/>
  <c r="W140" i="57"/>
  <c r="X140" i="57"/>
  <c r="Y140" i="57"/>
  <c r="Z140" i="57"/>
  <c r="A105" i="57"/>
  <c r="B105" i="57" s="1"/>
  <c r="C104" i="57"/>
  <c r="D104" i="57"/>
  <c r="E104" i="57"/>
  <c r="F104" i="57"/>
  <c r="G104" i="57"/>
  <c r="H104" i="57"/>
  <c r="I104" i="57"/>
  <c r="J104" i="57"/>
  <c r="K104" i="57"/>
  <c r="L104" i="57"/>
  <c r="M104" i="57"/>
  <c r="N104" i="57"/>
  <c r="O104" i="57"/>
  <c r="P104" i="57"/>
  <c r="Q104" i="57"/>
  <c r="R104" i="57"/>
  <c r="S104" i="57"/>
  <c r="T104" i="57"/>
  <c r="U104" i="57"/>
  <c r="V104" i="57"/>
  <c r="W104" i="57"/>
  <c r="X104" i="57"/>
  <c r="Y104" i="57"/>
  <c r="Z104" i="57"/>
  <c r="AA66" i="57"/>
  <c r="AA67" i="57"/>
  <c r="AA56" i="57"/>
  <c r="AA104" i="57"/>
  <c r="AA193" i="57"/>
  <c r="AA210" i="57"/>
  <c r="AA211" i="57"/>
  <c r="AA208" i="57"/>
  <c r="AA103" i="57"/>
  <c r="F191" i="57"/>
  <c r="G191" i="57"/>
  <c r="E191" i="57"/>
  <c r="H191" i="57"/>
  <c r="I191" i="57"/>
  <c r="J191" i="57"/>
  <c r="K191" i="57"/>
  <c r="L191" i="57"/>
  <c r="M191" i="57"/>
  <c r="N191" i="57"/>
  <c r="O191" i="57"/>
  <c r="P191" i="57"/>
  <c r="Q191" i="57"/>
  <c r="R191" i="57"/>
  <c r="S191" i="57"/>
  <c r="T191" i="57"/>
  <c r="U191" i="57"/>
  <c r="V191" i="57"/>
  <c r="W191" i="57"/>
  <c r="X191" i="57"/>
  <c r="Y191" i="57"/>
  <c r="Z191" i="57"/>
  <c r="Q58" i="57"/>
  <c r="R58" i="57"/>
  <c r="P58" i="57"/>
  <c r="S58" i="57"/>
  <c r="T58" i="57"/>
  <c r="U58" i="57"/>
  <c r="V58" i="57"/>
  <c r="W58" i="57"/>
  <c r="X58" i="57"/>
  <c r="Y58" i="57"/>
  <c r="Z58" i="57"/>
  <c r="J195" i="57"/>
  <c r="I195" i="57"/>
  <c r="K195" i="57"/>
  <c r="L195" i="57"/>
  <c r="M195" i="57"/>
  <c r="N195" i="57"/>
  <c r="O195" i="57"/>
  <c r="P195" i="57"/>
  <c r="Q195" i="57"/>
  <c r="R195" i="57"/>
  <c r="S195" i="57"/>
  <c r="T195" i="57"/>
  <c r="U195" i="57"/>
  <c r="V195" i="57"/>
  <c r="W195" i="57"/>
  <c r="X195" i="57"/>
  <c r="Y195" i="57"/>
  <c r="Z195" i="57"/>
  <c r="V172" i="57"/>
  <c r="W172" i="57"/>
  <c r="X172" i="57"/>
  <c r="Y172" i="57"/>
  <c r="Z172" i="57"/>
  <c r="S168" i="57"/>
  <c r="T168" i="57"/>
  <c r="R168" i="57"/>
  <c r="U168" i="57"/>
  <c r="V168" i="57"/>
  <c r="W168" i="57"/>
  <c r="X168" i="57"/>
  <c r="Y168" i="57"/>
  <c r="Z168" i="57"/>
  <c r="S169" i="57"/>
  <c r="T169" i="57"/>
  <c r="U169" i="57"/>
  <c r="V169" i="57"/>
  <c r="W169" i="57"/>
  <c r="X169" i="57"/>
  <c r="Y169" i="57"/>
  <c r="Z169" i="57"/>
  <c r="AA64" i="57"/>
  <c r="AA202" i="57"/>
  <c r="D189" i="57"/>
  <c r="E189" i="57"/>
  <c r="C189" i="57"/>
  <c r="F189" i="57"/>
  <c r="G189" i="57"/>
  <c r="H189" i="57"/>
  <c r="I189" i="57"/>
  <c r="J189" i="57"/>
  <c r="K189" i="57"/>
  <c r="L189" i="57"/>
  <c r="M189" i="57"/>
  <c r="N189" i="57"/>
  <c r="O189" i="57"/>
  <c r="P189" i="57"/>
  <c r="Q189" i="57"/>
  <c r="R189" i="57"/>
  <c r="S189" i="57"/>
  <c r="T189" i="57"/>
  <c r="U189" i="57"/>
  <c r="V189" i="57"/>
  <c r="W189" i="57"/>
  <c r="X189" i="57"/>
  <c r="Y189" i="57"/>
  <c r="Z189" i="57"/>
  <c r="E118" i="57"/>
  <c r="F118" i="57"/>
  <c r="D118" i="57"/>
  <c r="G118" i="57"/>
  <c r="H118" i="57"/>
  <c r="I118" i="57"/>
  <c r="J118" i="57"/>
  <c r="H157" i="57"/>
  <c r="I157" i="57"/>
  <c r="G157" i="57"/>
  <c r="J157" i="57"/>
  <c r="K157" i="57"/>
  <c r="L157" i="57"/>
  <c r="M157" i="57"/>
  <c r="N157" i="57"/>
  <c r="O157" i="57"/>
  <c r="P157" i="57"/>
  <c r="Q157" i="57"/>
  <c r="R157" i="57"/>
  <c r="S157" i="57"/>
  <c r="T157" i="57"/>
  <c r="U157" i="57"/>
  <c r="V157" i="57"/>
  <c r="W157" i="57"/>
  <c r="X157" i="57"/>
  <c r="Y157" i="57"/>
  <c r="Z157" i="57"/>
  <c r="H49" i="57"/>
  <c r="G49" i="57"/>
  <c r="I49" i="57"/>
  <c r="J49" i="57"/>
  <c r="K49" i="57"/>
  <c r="L49" i="57"/>
  <c r="M49" i="57"/>
  <c r="N49" i="57"/>
  <c r="O49" i="57"/>
  <c r="P49" i="57"/>
  <c r="Q49" i="57"/>
  <c r="R49" i="57"/>
  <c r="S49" i="57"/>
  <c r="T49" i="57"/>
  <c r="U49" i="57"/>
  <c r="V49" i="57"/>
  <c r="W49" i="57"/>
  <c r="X49" i="57"/>
  <c r="Y49" i="57"/>
  <c r="Z49" i="57"/>
  <c r="N55" i="57"/>
  <c r="O55" i="57"/>
  <c r="M55" i="57"/>
  <c r="P55" i="57"/>
  <c r="Q55" i="57"/>
  <c r="R55" i="57"/>
  <c r="S55" i="57"/>
  <c r="T55" i="57"/>
  <c r="U55" i="57"/>
  <c r="V55" i="57"/>
  <c r="W55" i="57"/>
  <c r="X55" i="57"/>
  <c r="Y55" i="57"/>
  <c r="Z55" i="57"/>
  <c r="M54" i="57"/>
  <c r="L54" i="57"/>
  <c r="N54" i="57"/>
  <c r="O54" i="57"/>
  <c r="P54" i="57"/>
  <c r="Q54" i="57"/>
  <c r="R54" i="57"/>
  <c r="S54" i="57"/>
  <c r="T54" i="57"/>
  <c r="U54" i="57"/>
  <c r="V54" i="57"/>
  <c r="W54" i="57"/>
  <c r="X54" i="57"/>
  <c r="Y54" i="57"/>
  <c r="Z54" i="57"/>
  <c r="S167" i="57"/>
  <c r="Q167" i="57"/>
  <c r="R167" i="57"/>
  <c r="T167" i="57"/>
  <c r="U167" i="57"/>
  <c r="V167" i="57"/>
  <c r="W167" i="57"/>
  <c r="X167" i="57"/>
  <c r="Y167" i="57"/>
  <c r="Z167" i="57"/>
  <c r="L197" i="57"/>
  <c r="M197" i="57"/>
  <c r="K197" i="57"/>
  <c r="N197" i="57"/>
  <c r="O197" i="57"/>
  <c r="P197" i="57"/>
  <c r="Q197" i="57"/>
  <c r="R197" i="57"/>
  <c r="S197" i="57"/>
  <c r="T197" i="57"/>
  <c r="U197" i="57"/>
  <c r="V197" i="57"/>
  <c r="W197" i="57"/>
  <c r="X197" i="57"/>
  <c r="Y197" i="57"/>
  <c r="Z197" i="57"/>
  <c r="L89" i="57"/>
  <c r="K89" i="57"/>
  <c r="M89" i="57"/>
  <c r="N89" i="57"/>
  <c r="O89" i="57"/>
  <c r="P89" i="57"/>
  <c r="Q89" i="57"/>
  <c r="X173" i="57"/>
  <c r="Y173" i="57"/>
  <c r="W173" i="57"/>
  <c r="Z173" i="57"/>
  <c r="P93" i="57"/>
  <c r="Q93" i="57"/>
  <c r="O93" i="57"/>
  <c r="R93" i="57"/>
  <c r="S93" i="57"/>
  <c r="T93" i="57"/>
  <c r="U93" i="57"/>
  <c r="S133" i="57"/>
  <c r="U133" i="57"/>
  <c r="T133" i="57"/>
  <c r="V133" i="57"/>
  <c r="W133" i="57"/>
  <c r="X133" i="57"/>
  <c r="Y133" i="57"/>
  <c r="R59" i="57"/>
  <c r="Q59" i="57"/>
  <c r="S59" i="57"/>
  <c r="T59" i="57"/>
  <c r="U59" i="57"/>
  <c r="V59" i="57"/>
  <c r="W59" i="57"/>
  <c r="X59" i="57"/>
  <c r="Y59" i="57"/>
  <c r="Z59" i="57"/>
  <c r="Y138" i="57"/>
  <c r="X138" i="57"/>
  <c r="Z138" i="57"/>
  <c r="V63" i="57"/>
  <c r="U63" i="57"/>
  <c r="W63" i="57"/>
  <c r="X63" i="57"/>
  <c r="Y63" i="57"/>
  <c r="Z63" i="57"/>
  <c r="X65" i="57"/>
  <c r="Y65" i="57"/>
  <c r="W65" i="57"/>
  <c r="Z65" i="57"/>
  <c r="R132" i="57"/>
  <c r="T132" i="57"/>
  <c r="S132" i="57"/>
  <c r="U132" i="57"/>
  <c r="V132" i="57"/>
  <c r="W132" i="57"/>
  <c r="X132" i="57"/>
  <c r="I158" i="57"/>
  <c r="J158" i="57"/>
  <c r="H158" i="57"/>
  <c r="K158" i="57"/>
  <c r="L158" i="57"/>
  <c r="M158" i="57"/>
  <c r="N158" i="57"/>
  <c r="O158" i="57"/>
  <c r="P158" i="57"/>
  <c r="Q158" i="57"/>
  <c r="R158" i="57"/>
  <c r="S158" i="57"/>
  <c r="T158" i="57"/>
  <c r="U158" i="57"/>
  <c r="V158" i="57"/>
  <c r="W158" i="57"/>
  <c r="X158" i="57"/>
  <c r="Y158" i="57"/>
  <c r="Z158" i="57"/>
  <c r="N200" i="57"/>
  <c r="O200" i="57"/>
  <c r="P200" i="57"/>
  <c r="Q200" i="57"/>
  <c r="R200" i="57"/>
  <c r="S200" i="57"/>
  <c r="T200" i="57"/>
  <c r="U200" i="57"/>
  <c r="V200" i="57"/>
  <c r="W200" i="57"/>
  <c r="X200" i="57"/>
  <c r="Y200" i="57"/>
  <c r="Z200" i="57"/>
  <c r="S96" i="57"/>
  <c r="R96" i="57"/>
  <c r="T96" i="57"/>
  <c r="U96" i="57"/>
  <c r="V96" i="57"/>
  <c r="W96" i="57"/>
  <c r="X96" i="57"/>
  <c r="F156" i="57"/>
  <c r="G156" i="57"/>
  <c r="H156" i="57"/>
  <c r="I156" i="57"/>
  <c r="J156" i="57"/>
  <c r="K156" i="57"/>
  <c r="L156" i="57"/>
  <c r="M156" i="57"/>
  <c r="N156" i="57"/>
  <c r="O156" i="57"/>
  <c r="P156" i="57"/>
  <c r="Q156" i="57"/>
  <c r="R156" i="57"/>
  <c r="S156" i="57"/>
  <c r="T156" i="57"/>
  <c r="U156" i="57"/>
  <c r="V156" i="57"/>
  <c r="W156" i="57"/>
  <c r="X156" i="57"/>
  <c r="Y156" i="57"/>
  <c r="Z156" i="57"/>
  <c r="V100" i="57"/>
  <c r="X100" i="57"/>
  <c r="W100" i="57"/>
  <c r="Y100" i="57"/>
  <c r="Z100" i="57"/>
  <c r="H85" i="57"/>
  <c r="I85" i="57"/>
  <c r="G85" i="57"/>
  <c r="J85" i="57"/>
  <c r="K85" i="57"/>
  <c r="L85" i="57"/>
  <c r="M85" i="57"/>
  <c r="P57" i="57"/>
  <c r="Q57" i="57"/>
  <c r="O57" i="57"/>
  <c r="R57" i="57"/>
  <c r="S57" i="57"/>
  <c r="T57" i="57"/>
  <c r="U57" i="57"/>
  <c r="V57" i="57"/>
  <c r="W57" i="57"/>
  <c r="X57" i="57"/>
  <c r="Y57" i="57"/>
  <c r="Z57" i="57"/>
  <c r="K52" i="57"/>
  <c r="J52" i="57"/>
  <c r="L52" i="57"/>
  <c r="M52" i="57"/>
  <c r="N52" i="57"/>
  <c r="O52" i="57"/>
  <c r="P52" i="57"/>
  <c r="Q52" i="57"/>
  <c r="R52" i="57"/>
  <c r="S52" i="57"/>
  <c r="T52" i="57"/>
  <c r="U52" i="57"/>
  <c r="V52" i="57"/>
  <c r="W52" i="57"/>
  <c r="X52" i="57"/>
  <c r="Y52" i="57"/>
  <c r="Z52" i="57"/>
  <c r="V99" i="57"/>
  <c r="U99" i="57"/>
  <c r="W99" i="57"/>
  <c r="X99" i="57"/>
  <c r="Y99" i="57"/>
  <c r="Z99" i="57"/>
  <c r="U170" i="57"/>
  <c r="V170" i="57"/>
  <c r="T170" i="57"/>
  <c r="W170" i="57"/>
  <c r="X170" i="57"/>
  <c r="Y170" i="57"/>
  <c r="Z170" i="57"/>
  <c r="Q131" i="57"/>
  <c r="R131" i="57"/>
  <c r="S131" i="57"/>
  <c r="T131" i="57"/>
  <c r="U131" i="57"/>
  <c r="V131" i="57"/>
  <c r="W131" i="57"/>
  <c r="N91" i="57"/>
  <c r="O91" i="57"/>
  <c r="M91" i="57"/>
  <c r="P91" i="57"/>
  <c r="Q91" i="57"/>
  <c r="R91" i="57"/>
  <c r="S91" i="57"/>
  <c r="Z175" i="57"/>
  <c r="Z67" i="57"/>
  <c r="A177" i="57"/>
  <c r="B177" i="57" s="1"/>
  <c r="C176" i="57"/>
  <c r="D176" i="57"/>
  <c r="E176" i="57"/>
  <c r="F176" i="57"/>
  <c r="G176" i="57"/>
  <c r="H176" i="57"/>
  <c r="I176" i="57"/>
  <c r="J176" i="57"/>
  <c r="K176" i="57"/>
  <c r="L176" i="57"/>
  <c r="M176" i="57"/>
  <c r="N176" i="57"/>
  <c r="O176" i="57"/>
  <c r="P176" i="57"/>
  <c r="Q176" i="57"/>
  <c r="R176" i="57"/>
  <c r="S176" i="57"/>
  <c r="T176" i="57"/>
  <c r="U176" i="57"/>
  <c r="V176" i="57"/>
  <c r="W176" i="57"/>
  <c r="X176" i="57"/>
  <c r="Y176" i="57"/>
  <c r="Z176" i="57"/>
  <c r="A69" i="57"/>
  <c r="B69" i="57" s="1"/>
  <c r="C68" i="57"/>
  <c r="D68" i="57"/>
  <c r="E68" i="57"/>
  <c r="F68" i="57"/>
  <c r="G68" i="57"/>
  <c r="H68" i="57"/>
  <c r="I68" i="57"/>
  <c r="J68" i="57"/>
  <c r="K68" i="57"/>
  <c r="L68" i="57"/>
  <c r="M68" i="57"/>
  <c r="N68" i="57"/>
  <c r="O68" i="57"/>
  <c r="P68" i="57"/>
  <c r="Q68" i="57"/>
  <c r="R68" i="57"/>
  <c r="S68" i="57"/>
  <c r="T68" i="57"/>
  <c r="U68" i="57"/>
  <c r="V68" i="57"/>
  <c r="W68" i="57"/>
  <c r="X68" i="57"/>
  <c r="Y68" i="57"/>
  <c r="Z68" i="57"/>
  <c r="Y139" i="57"/>
  <c r="AA48" i="57"/>
  <c r="AA63" i="57"/>
  <c r="AA49" i="57"/>
  <c r="AA57" i="57"/>
  <c r="AA50" i="57"/>
  <c r="AA60" i="57"/>
  <c r="AA189" i="57"/>
  <c r="AA159" i="57"/>
  <c r="AA198" i="57"/>
  <c r="AA157" i="57"/>
  <c r="AA135" i="57"/>
  <c r="AA153" i="57"/>
  <c r="AA163" i="57"/>
  <c r="AA171" i="57"/>
  <c r="AA169" i="57"/>
  <c r="AA174" i="57"/>
  <c r="AA162" i="57"/>
  <c r="D81" i="57"/>
  <c r="C81" i="57"/>
  <c r="E81" i="57"/>
  <c r="F81" i="57"/>
  <c r="G81" i="57"/>
  <c r="H81" i="57"/>
  <c r="I81" i="57"/>
  <c r="D82" i="57"/>
  <c r="E82" i="57"/>
  <c r="F82" i="57"/>
  <c r="G82" i="57"/>
  <c r="H82" i="57"/>
  <c r="I82" i="57"/>
  <c r="J82" i="57"/>
  <c r="W136" i="57"/>
  <c r="X136" i="57"/>
  <c r="V136" i="57"/>
  <c r="Y136" i="57"/>
  <c r="Z136" i="57"/>
  <c r="S204" i="57"/>
  <c r="T204" i="57"/>
  <c r="R204" i="57"/>
  <c r="U204" i="57"/>
  <c r="V204" i="57"/>
  <c r="W204" i="57"/>
  <c r="X204" i="57"/>
  <c r="Y204" i="57"/>
  <c r="Z204" i="57"/>
  <c r="F47" i="57"/>
  <c r="E47" i="57"/>
  <c r="G47" i="57"/>
  <c r="H47" i="57"/>
  <c r="I47" i="57"/>
  <c r="J47" i="57"/>
  <c r="K47" i="57"/>
  <c r="L47" i="57"/>
  <c r="M47" i="57"/>
  <c r="N47" i="57"/>
  <c r="O47" i="57"/>
  <c r="P47" i="57"/>
  <c r="Q47" i="57"/>
  <c r="R47" i="57"/>
  <c r="S47" i="57"/>
  <c r="T47" i="57"/>
  <c r="U47" i="57"/>
  <c r="V47" i="57"/>
  <c r="W47" i="57"/>
  <c r="X47" i="57"/>
  <c r="Y47" i="57"/>
  <c r="Z47" i="57"/>
  <c r="J87" i="57"/>
  <c r="I87" i="57"/>
  <c r="K87" i="57"/>
  <c r="L87" i="57"/>
  <c r="M87" i="57"/>
  <c r="N87" i="57"/>
  <c r="O87" i="57"/>
  <c r="I194" i="57"/>
  <c r="J194" i="57"/>
  <c r="H194" i="57"/>
  <c r="K194" i="57"/>
  <c r="L194" i="57"/>
  <c r="M194" i="57"/>
  <c r="N194" i="57"/>
  <c r="O194" i="57"/>
  <c r="P194" i="57"/>
  <c r="Q194" i="57"/>
  <c r="R194" i="57"/>
  <c r="S194" i="57"/>
  <c r="T194" i="57"/>
  <c r="U194" i="57"/>
  <c r="V194" i="57"/>
  <c r="W194" i="57"/>
  <c r="X194" i="57"/>
  <c r="Y194" i="57"/>
  <c r="Z194" i="57"/>
  <c r="E45" i="57"/>
  <c r="C45" i="57"/>
  <c r="D45" i="57"/>
  <c r="F45" i="57"/>
  <c r="G45" i="57"/>
  <c r="H45" i="57"/>
  <c r="I45" i="57"/>
  <c r="J45" i="57"/>
  <c r="K45" i="57"/>
  <c r="L45" i="57"/>
  <c r="M45" i="57"/>
  <c r="N45" i="57"/>
  <c r="O45" i="57"/>
  <c r="P45" i="57"/>
  <c r="Q45" i="57"/>
  <c r="R45" i="57"/>
  <c r="S45" i="57"/>
  <c r="T45" i="57"/>
  <c r="U45" i="57"/>
  <c r="V45" i="57"/>
  <c r="W45" i="57"/>
  <c r="X45" i="57"/>
  <c r="Y45" i="57"/>
  <c r="Z45" i="57"/>
  <c r="P201" i="57"/>
  <c r="Q201" i="57"/>
  <c r="O201" i="57"/>
  <c r="R201" i="57"/>
  <c r="S201" i="57"/>
  <c r="T201" i="57"/>
  <c r="U201" i="57"/>
  <c r="V201" i="57"/>
  <c r="W201" i="57"/>
  <c r="X201" i="57"/>
  <c r="Y201" i="57"/>
  <c r="Z201" i="57"/>
  <c r="Y102" i="57"/>
  <c r="X102" i="57"/>
  <c r="Z102" i="57"/>
  <c r="R203" i="57"/>
  <c r="Q203" i="57"/>
  <c r="S203" i="57"/>
  <c r="T203" i="57"/>
  <c r="U203" i="57"/>
  <c r="V203" i="57"/>
  <c r="W203" i="57"/>
  <c r="X203" i="57"/>
  <c r="Y203" i="57"/>
  <c r="Z203" i="57"/>
  <c r="K196" i="57"/>
  <c r="L196" i="57"/>
  <c r="J196" i="57"/>
  <c r="M196" i="57"/>
  <c r="N196" i="57"/>
  <c r="O196" i="57"/>
  <c r="P196" i="57"/>
  <c r="Q196" i="57"/>
  <c r="R196" i="57"/>
  <c r="S196" i="57"/>
  <c r="T196" i="57"/>
  <c r="U196" i="57"/>
  <c r="V196" i="57"/>
  <c r="W196" i="57"/>
  <c r="X196" i="57"/>
  <c r="Y196" i="57"/>
  <c r="Z196" i="57"/>
  <c r="T206" i="57"/>
  <c r="V206" i="57"/>
  <c r="U206" i="57"/>
  <c r="W206" i="57"/>
  <c r="X206" i="57"/>
  <c r="Y206" i="57"/>
  <c r="Z206" i="57"/>
  <c r="X101" i="57"/>
  <c r="W101" i="57"/>
  <c r="Y101" i="57"/>
  <c r="Z101" i="57"/>
  <c r="U97" i="57"/>
  <c r="T97" i="57"/>
  <c r="S97" i="57"/>
  <c r="V97" i="57"/>
  <c r="W97" i="57"/>
  <c r="X97" i="57"/>
  <c r="Y97" i="57"/>
  <c r="E190" i="57"/>
  <c r="D190" i="57"/>
  <c r="F190" i="57"/>
  <c r="G190" i="57"/>
  <c r="H190" i="57"/>
  <c r="I190" i="57"/>
  <c r="J190" i="57"/>
  <c r="K190" i="57"/>
  <c r="L190" i="57"/>
  <c r="M190" i="57"/>
  <c r="N190" i="57"/>
  <c r="O190" i="57"/>
  <c r="P190" i="57"/>
  <c r="Q190" i="57"/>
  <c r="R190" i="57"/>
  <c r="S190" i="57"/>
  <c r="T190" i="57"/>
  <c r="U190" i="57"/>
  <c r="V190" i="57"/>
  <c r="W190" i="57"/>
  <c r="X190" i="57"/>
  <c r="Y190" i="57"/>
  <c r="Z190" i="57"/>
  <c r="O92" i="57"/>
  <c r="N92" i="57"/>
  <c r="P92" i="57"/>
  <c r="Q92" i="57"/>
  <c r="R92" i="57"/>
  <c r="S92" i="57"/>
  <c r="T92" i="57"/>
  <c r="L160" i="57"/>
  <c r="K160" i="57"/>
  <c r="J160" i="57"/>
  <c r="M160" i="57"/>
  <c r="N160" i="57"/>
  <c r="O160" i="57"/>
  <c r="P160" i="57"/>
  <c r="Q160" i="57"/>
  <c r="R160" i="57"/>
  <c r="S160" i="57"/>
  <c r="T160" i="57"/>
  <c r="U160" i="57"/>
  <c r="V160" i="57"/>
  <c r="W160" i="57"/>
  <c r="X160" i="57"/>
  <c r="Y160" i="57"/>
  <c r="Z160" i="57"/>
  <c r="I122" i="57"/>
  <c r="H122" i="57"/>
  <c r="J122" i="57"/>
  <c r="K122" i="57"/>
  <c r="L122" i="57"/>
  <c r="M122" i="57"/>
  <c r="N122" i="57"/>
  <c r="G120" i="57"/>
  <c r="F120" i="57"/>
  <c r="H120" i="57"/>
  <c r="I120" i="57"/>
  <c r="J120" i="57"/>
  <c r="K120" i="57"/>
  <c r="L120" i="57"/>
  <c r="N164" i="57"/>
  <c r="P164" i="57"/>
  <c r="O164" i="57"/>
  <c r="Q164" i="57"/>
  <c r="R164" i="57"/>
  <c r="S164" i="57"/>
  <c r="T164" i="57"/>
  <c r="U164" i="57"/>
  <c r="V164" i="57"/>
  <c r="W164" i="57"/>
  <c r="X164" i="57"/>
  <c r="Y164" i="57"/>
  <c r="Z164" i="57"/>
  <c r="L53" i="57"/>
  <c r="K53" i="57"/>
  <c r="M53" i="57"/>
  <c r="N53" i="57"/>
  <c r="O53" i="57"/>
  <c r="P53" i="57"/>
  <c r="Q53" i="57"/>
  <c r="R53" i="57"/>
  <c r="S53" i="57"/>
  <c r="T53" i="57"/>
  <c r="U53" i="57"/>
  <c r="V53" i="57"/>
  <c r="W53" i="57"/>
  <c r="X53" i="57"/>
  <c r="Y53" i="57"/>
  <c r="Z53" i="57"/>
  <c r="V207" i="57"/>
  <c r="U207" i="57"/>
  <c r="W207" i="57"/>
  <c r="X207" i="57"/>
  <c r="Y207" i="57"/>
  <c r="Z207" i="57"/>
  <c r="X209" i="57"/>
  <c r="Y209" i="57"/>
  <c r="W209" i="57"/>
  <c r="Z209" i="57"/>
  <c r="J123" i="57"/>
  <c r="I123" i="57"/>
  <c r="K123" i="57"/>
  <c r="L123" i="57"/>
  <c r="M123" i="57"/>
  <c r="N123" i="57"/>
  <c r="O123" i="57"/>
  <c r="X137" i="57"/>
  <c r="W137" i="57"/>
  <c r="Y137" i="57"/>
  <c r="Z137" i="57"/>
  <c r="J86" i="57"/>
  <c r="I86" i="57"/>
  <c r="H86" i="57"/>
  <c r="K86" i="57"/>
  <c r="L86" i="57"/>
  <c r="M86" i="57"/>
  <c r="N86" i="57"/>
  <c r="Q94" i="57"/>
  <c r="R94" i="57"/>
  <c r="P94" i="57"/>
  <c r="S94" i="57"/>
  <c r="T94" i="57"/>
  <c r="U94" i="57"/>
  <c r="V94" i="57"/>
  <c r="D117" i="57"/>
  <c r="E117" i="57"/>
  <c r="C117" i="57"/>
  <c r="F117" i="57"/>
  <c r="G117" i="57"/>
  <c r="H117" i="57"/>
  <c r="I117" i="57"/>
  <c r="Q166" i="57"/>
  <c r="P166" i="57"/>
  <c r="R166" i="57"/>
  <c r="S166" i="57"/>
  <c r="T166" i="57"/>
  <c r="U166" i="57"/>
  <c r="V166" i="57"/>
  <c r="W166" i="57"/>
  <c r="X166" i="57"/>
  <c r="Y166" i="57"/>
  <c r="Z166" i="57"/>
  <c r="AB155" i="57"/>
  <c r="AB164" i="57"/>
  <c r="AB211" i="57"/>
  <c r="AB138" i="57"/>
  <c r="AB201" i="57"/>
  <c r="AB205" i="57"/>
  <c r="AB137" i="57"/>
  <c r="AB199" i="57"/>
  <c r="AB196" i="57"/>
  <c r="AB153" i="57"/>
  <c r="AB208" i="57"/>
  <c r="AB100" i="57"/>
  <c r="AB159" i="57"/>
  <c r="AB174" i="57"/>
  <c r="AB168" i="57"/>
  <c r="AB206" i="57"/>
  <c r="AB170" i="57"/>
  <c r="AB139" i="57"/>
  <c r="AB194" i="57"/>
  <c r="AB207" i="57"/>
  <c r="AB198" i="57"/>
  <c r="AB193" i="57"/>
  <c r="AB197" i="57"/>
  <c r="AB173" i="57"/>
  <c r="AB210" i="57"/>
  <c r="AB156" i="57"/>
  <c r="AB136" i="57"/>
  <c r="AB171" i="57"/>
  <c r="AB190" i="57"/>
  <c r="AB189" i="57"/>
  <c r="AB160" i="57"/>
  <c r="AB167" i="57"/>
  <c r="AB191" i="57"/>
  <c r="AB192" i="57"/>
  <c r="AB101" i="57"/>
  <c r="AB200" i="57"/>
  <c r="AB204" i="57"/>
  <c r="AB202" i="57"/>
  <c r="AB165" i="57"/>
  <c r="AB163" i="57"/>
  <c r="AB158" i="57"/>
  <c r="AB140" i="57"/>
  <c r="AB195" i="57"/>
  <c r="AB209" i="57"/>
  <c r="AB175" i="57"/>
  <c r="AB176" i="57"/>
  <c r="AB166" i="57"/>
  <c r="AB154" i="57"/>
  <c r="AB157" i="57"/>
  <c r="AB161" i="57"/>
  <c r="AB103" i="57"/>
  <c r="AB162" i="57"/>
  <c r="AB169" i="57"/>
  <c r="AB172" i="57"/>
  <c r="AB102" i="57"/>
  <c r="AB104" i="57"/>
  <c r="AB203" i="57"/>
  <c r="AB63" i="57"/>
  <c r="AB65" i="57"/>
  <c r="AB47" i="57"/>
  <c r="AB62" i="57"/>
  <c r="AB49" i="57"/>
  <c r="AB57" i="57"/>
  <c r="AB61" i="57"/>
  <c r="AB66" i="57"/>
  <c r="AB51" i="57"/>
  <c r="AB52" i="57"/>
  <c r="AB56" i="57"/>
  <c r="AB67" i="57"/>
  <c r="AB54" i="57"/>
  <c r="AB55" i="57"/>
  <c r="AB50" i="57"/>
  <c r="AB60" i="57"/>
  <c r="AB46" i="57"/>
  <c r="AB58" i="57"/>
  <c r="AB53" i="57"/>
  <c r="AB45" i="57"/>
  <c r="AB48" i="57"/>
  <c r="AB68" i="57"/>
  <c r="AB64" i="57"/>
  <c r="AB59" i="57"/>
  <c r="Y175" i="57"/>
  <c r="AA46" i="57"/>
  <c r="AA55" i="57"/>
  <c r="AA65" i="57"/>
  <c r="AA47" i="57"/>
  <c r="AA52" i="57"/>
  <c r="AA62" i="57"/>
  <c r="AA53" i="57"/>
  <c r="AA170" i="57"/>
  <c r="AA206" i="57"/>
  <c r="AA161" i="57"/>
  <c r="AA165" i="57"/>
  <c r="AA100" i="57"/>
  <c r="AA195" i="57"/>
  <c r="AA99" i="57"/>
  <c r="AA164" i="57"/>
  <c r="AA207" i="57"/>
  <c r="AA139" i="57"/>
  <c r="AA155" i="57"/>
  <c r="AB160" i="47"/>
  <c r="AB33" i="60" s="1"/>
  <c r="W101" i="47"/>
  <c r="Y79" i="80"/>
  <c r="Y231" i="80"/>
  <c r="B363" i="57"/>
  <c r="U80" i="47"/>
  <c r="V15" i="47"/>
  <c r="S71" i="75" s="1"/>
  <c r="U6" i="60"/>
  <c r="N31" i="55"/>
  <c r="Y193" i="80"/>
  <c r="W49" i="72"/>
  <c r="X36" i="72"/>
  <c r="W48" i="72"/>
  <c r="X35" i="72"/>
  <c r="A35" i="80"/>
  <c r="A428" i="80"/>
  <c r="Y31" i="57"/>
  <c r="Z31" i="57"/>
  <c r="S25" i="57"/>
  <c r="T25" i="57"/>
  <c r="U25" i="57"/>
  <c r="V25" i="57"/>
  <c r="W25" i="57"/>
  <c r="X25" i="57"/>
  <c r="Y25" i="57"/>
  <c r="Z25" i="57"/>
  <c r="H10" i="57"/>
  <c r="K10" i="57"/>
  <c r="F10" i="57"/>
  <c r="G10" i="57"/>
  <c r="I10" i="57"/>
  <c r="J10" i="57"/>
  <c r="D10" i="57"/>
  <c r="E10" i="57"/>
  <c r="L10" i="57"/>
  <c r="M10" i="57"/>
  <c r="N10" i="57"/>
  <c r="O10" i="57"/>
  <c r="P10" i="57"/>
  <c r="Q10" i="57"/>
  <c r="R10" i="57"/>
  <c r="S10" i="57"/>
  <c r="T10" i="57"/>
  <c r="U10" i="57"/>
  <c r="V10" i="57"/>
  <c r="W10" i="57"/>
  <c r="K17" i="57"/>
  <c r="L17" i="57"/>
  <c r="M17" i="57"/>
  <c r="N17" i="57"/>
  <c r="O17" i="57"/>
  <c r="P17" i="57"/>
  <c r="Q17" i="57"/>
  <c r="R17" i="57"/>
  <c r="S17" i="57"/>
  <c r="T17" i="57"/>
  <c r="U17" i="57"/>
  <c r="V17" i="57"/>
  <c r="W17" i="57"/>
  <c r="X17" i="57"/>
  <c r="Y17" i="57"/>
  <c r="Z17" i="57"/>
  <c r="AA17" i="57"/>
  <c r="AA31" i="57"/>
  <c r="AC2" i="57"/>
  <c r="AB35" i="57"/>
  <c r="AB36" i="57"/>
  <c r="AB37" i="57"/>
  <c r="AB34" i="57"/>
  <c r="AB30" i="57"/>
  <c r="AB32" i="57"/>
  <c r="AB15" i="57"/>
  <c r="AB16" i="57"/>
  <c r="AB26" i="57"/>
  <c r="AB17" i="57"/>
  <c r="AB19" i="57"/>
  <c r="AB31" i="57"/>
  <c r="AB22" i="57"/>
  <c r="AB21" i="57"/>
  <c r="AB29" i="57"/>
  <c r="AB33" i="57"/>
  <c r="AB20" i="57"/>
  <c r="AB18" i="57"/>
  <c r="AB25" i="57"/>
  <c r="AB28" i="57"/>
  <c r="AB24" i="57"/>
  <c r="AB23" i="57"/>
  <c r="AB27" i="57"/>
  <c r="A185" i="80"/>
  <c r="A298" i="80"/>
  <c r="W54" i="72"/>
  <c r="X41" i="72"/>
  <c r="Y383" i="80"/>
  <c r="Y307" i="80"/>
  <c r="J63" i="75"/>
  <c r="Y269" i="80"/>
  <c r="R24" i="57"/>
  <c r="S24" i="57"/>
  <c r="T24" i="57"/>
  <c r="U24" i="57"/>
  <c r="V24" i="57"/>
  <c r="W24" i="57"/>
  <c r="X24" i="57"/>
  <c r="Y24" i="57"/>
  <c r="Z24" i="57"/>
  <c r="J9" i="57"/>
  <c r="H9" i="57"/>
  <c r="K9" i="57"/>
  <c r="I9" i="57"/>
  <c r="F9" i="57"/>
  <c r="E9" i="57"/>
  <c r="C9" i="57"/>
  <c r="G9" i="57"/>
  <c r="D9" i="57"/>
  <c r="L9" i="57"/>
  <c r="M9" i="57"/>
  <c r="N9" i="57"/>
  <c r="O9" i="57"/>
  <c r="P9" i="57"/>
  <c r="Q9" i="57"/>
  <c r="R9" i="57"/>
  <c r="S9" i="57"/>
  <c r="T9" i="57"/>
  <c r="U9" i="57"/>
  <c r="V9" i="57"/>
  <c r="J15" i="57"/>
  <c r="I15" i="57"/>
  <c r="K15" i="57"/>
  <c r="L15" i="57"/>
  <c r="M15" i="57"/>
  <c r="N15" i="57"/>
  <c r="O15" i="57"/>
  <c r="P15" i="57"/>
  <c r="Q15" i="57"/>
  <c r="R15" i="57"/>
  <c r="S15" i="57"/>
  <c r="T15" i="57"/>
  <c r="U15" i="57"/>
  <c r="V15" i="57"/>
  <c r="W15" i="57"/>
  <c r="X15" i="57"/>
  <c r="Y15" i="57"/>
  <c r="Z15" i="57"/>
  <c r="I12" i="57"/>
  <c r="G12" i="57"/>
  <c r="H12" i="57"/>
  <c r="K12" i="57"/>
  <c r="F12" i="57"/>
  <c r="J12" i="57"/>
  <c r="L12" i="57"/>
  <c r="M12" i="57"/>
  <c r="N12" i="57"/>
  <c r="O12" i="57"/>
  <c r="P12" i="57"/>
  <c r="Q12" i="57"/>
  <c r="R12" i="57"/>
  <c r="S12" i="57"/>
  <c r="T12" i="57"/>
  <c r="U12" i="57"/>
  <c r="V12" i="57"/>
  <c r="W12" i="57"/>
  <c r="X12" i="57"/>
  <c r="Y12" i="57"/>
  <c r="G13" i="57"/>
  <c r="K13" i="57"/>
  <c r="J13" i="57"/>
  <c r="H13" i="57"/>
  <c r="I13" i="57"/>
  <c r="L13" i="57"/>
  <c r="M13" i="57"/>
  <c r="N13" i="57"/>
  <c r="O13" i="57"/>
  <c r="P13" i="57"/>
  <c r="Q13" i="57"/>
  <c r="R13" i="57"/>
  <c r="S13" i="57"/>
  <c r="T13" i="57"/>
  <c r="U13" i="57"/>
  <c r="V13" i="57"/>
  <c r="W13" i="57"/>
  <c r="X13" i="57"/>
  <c r="Y13" i="57"/>
  <c r="Z13" i="57"/>
  <c r="O21" i="57"/>
  <c r="P21" i="57"/>
  <c r="Q21" i="57"/>
  <c r="R21" i="57"/>
  <c r="S21" i="57"/>
  <c r="T21" i="57"/>
  <c r="U21" i="57"/>
  <c r="V21" i="57"/>
  <c r="W21" i="57"/>
  <c r="X21" i="57"/>
  <c r="Y21" i="57"/>
  <c r="Z21" i="57"/>
  <c r="AA32" i="57"/>
  <c r="AA21" i="57"/>
  <c r="A223" i="80"/>
  <c r="A110" i="80"/>
  <c r="W55" i="72"/>
  <c r="X42" i="72"/>
  <c r="C37" i="57"/>
  <c r="D37" i="57"/>
  <c r="E37" i="57"/>
  <c r="A38" i="57"/>
  <c r="B38" i="57" s="1"/>
  <c r="F37" i="57"/>
  <c r="G37" i="57"/>
  <c r="H37" i="57"/>
  <c r="I37" i="57"/>
  <c r="J37" i="57"/>
  <c r="K37" i="57"/>
  <c r="L37" i="57"/>
  <c r="M37" i="57"/>
  <c r="N37" i="57"/>
  <c r="O37" i="57"/>
  <c r="P37" i="57"/>
  <c r="Q37" i="57"/>
  <c r="R37" i="57"/>
  <c r="S37" i="57"/>
  <c r="T37" i="57"/>
  <c r="U37" i="57"/>
  <c r="V37" i="57"/>
  <c r="W37" i="57"/>
  <c r="X37" i="57"/>
  <c r="Y37" i="57"/>
  <c r="Z37" i="57"/>
  <c r="AA28" i="60"/>
  <c r="Z44" i="60"/>
  <c r="W47" i="72"/>
  <c r="X34" i="72"/>
  <c r="T26" i="57"/>
  <c r="U26" i="57"/>
  <c r="V26" i="57"/>
  <c r="W26" i="57"/>
  <c r="X26" i="57"/>
  <c r="Y26" i="57"/>
  <c r="Z26" i="57"/>
  <c r="P22" i="57"/>
  <c r="Q22" i="57"/>
  <c r="R22" i="57"/>
  <c r="S22" i="57"/>
  <c r="T22" i="57"/>
  <c r="U22" i="57"/>
  <c r="V22" i="57"/>
  <c r="W22" i="57"/>
  <c r="X22" i="57"/>
  <c r="Y22" i="57"/>
  <c r="Z22" i="57"/>
  <c r="N20" i="57"/>
  <c r="O20" i="57"/>
  <c r="P20" i="57"/>
  <c r="Q20" i="57"/>
  <c r="R20" i="57"/>
  <c r="S20" i="57"/>
  <c r="T20" i="57"/>
  <c r="U20" i="57"/>
  <c r="V20" i="57"/>
  <c r="W20" i="57"/>
  <c r="X20" i="57"/>
  <c r="Y20" i="57"/>
  <c r="Z20" i="57"/>
  <c r="L18" i="57"/>
  <c r="M18" i="57"/>
  <c r="N18" i="57"/>
  <c r="O18" i="57"/>
  <c r="P18" i="57"/>
  <c r="Q18" i="57"/>
  <c r="R18" i="57"/>
  <c r="S18" i="57"/>
  <c r="T18" i="57"/>
  <c r="U18" i="57"/>
  <c r="V18" i="57"/>
  <c r="W18" i="57"/>
  <c r="X18" i="57"/>
  <c r="Y18" i="57"/>
  <c r="Z18" i="57"/>
  <c r="J14" i="57"/>
  <c r="K14" i="57"/>
  <c r="I14" i="57"/>
  <c r="H14" i="57"/>
  <c r="L14" i="57"/>
  <c r="M14" i="57"/>
  <c r="N14" i="57"/>
  <c r="O14" i="57"/>
  <c r="P14" i="57"/>
  <c r="Q14" i="57"/>
  <c r="R14" i="57"/>
  <c r="S14" i="57"/>
  <c r="T14" i="57"/>
  <c r="U14" i="57"/>
  <c r="V14" i="57"/>
  <c r="W14" i="57"/>
  <c r="X14" i="57"/>
  <c r="Y14" i="57"/>
  <c r="Z14" i="57"/>
  <c r="AA14" i="57"/>
  <c r="AA18" i="57"/>
  <c r="W51" i="72"/>
  <c r="X38" i="72"/>
  <c r="W52" i="72"/>
  <c r="X39" i="72"/>
  <c r="A148" i="80"/>
  <c r="A261" i="80"/>
  <c r="A375" i="80" s="1"/>
  <c r="X30" i="57"/>
  <c r="Y30" i="57"/>
  <c r="Z30" i="57"/>
  <c r="Q23" i="57"/>
  <c r="R23" i="57"/>
  <c r="S23" i="57"/>
  <c r="T23" i="57"/>
  <c r="U23" i="57"/>
  <c r="V23" i="57"/>
  <c r="W23" i="57"/>
  <c r="X23" i="57"/>
  <c r="Y23" i="57"/>
  <c r="Z23" i="57"/>
  <c r="I11" i="57"/>
  <c r="E11" i="57"/>
  <c r="F11" i="57"/>
  <c r="J11" i="57"/>
  <c r="K11" i="57"/>
  <c r="H11" i="57"/>
  <c r="G11" i="57"/>
  <c r="L11" i="57"/>
  <c r="M11" i="57"/>
  <c r="N11" i="57"/>
  <c r="O11" i="57"/>
  <c r="P11" i="57"/>
  <c r="Q11" i="57"/>
  <c r="R11" i="57"/>
  <c r="S11" i="57"/>
  <c r="T11" i="57"/>
  <c r="U11" i="57"/>
  <c r="V11" i="57"/>
  <c r="W11" i="57"/>
  <c r="X11" i="57"/>
  <c r="M19" i="57"/>
  <c r="N19" i="57"/>
  <c r="O19" i="57"/>
  <c r="P19" i="57"/>
  <c r="Q19" i="57"/>
  <c r="R19" i="57"/>
  <c r="S19" i="57"/>
  <c r="T19" i="57"/>
  <c r="U19" i="57"/>
  <c r="V19" i="57"/>
  <c r="W19" i="57"/>
  <c r="X19" i="57"/>
  <c r="Y19" i="57"/>
  <c r="Z19" i="57"/>
  <c r="K16" i="57"/>
  <c r="J16" i="57"/>
  <c r="L16" i="57"/>
  <c r="M16" i="57"/>
  <c r="N16" i="57"/>
  <c r="O16" i="57"/>
  <c r="P16" i="57"/>
  <c r="Q16" i="57"/>
  <c r="R16" i="57"/>
  <c r="S16" i="57"/>
  <c r="T16" i="57"/>
  <c r="U16" i="57"/>
  <c r="V16" i="57"/>
  <c r="W16" i="57"/>
  <c r="X16" i="57"/>
  <c r="Y16" i="57"/>
  <c r="Z16" i="57"/>
  <c r="AA15" i="57"/>
  <c r="AA25" i="57"/>
  <c r="AA23" i="57"/>
  <c r="AA24" i="57"/>
  <c r="W53" i="72"/>
  <c r="X40" i="72"/>
  <c r="AD34" i="80"/>
  <c r="AC34" i="80"/>
  <c r="AF34" i="80"/>
  <c r="AA34" i="80"/>
  <c r="AB34" i="80"/>
  <c r="Z18" i="80"/>
  <c r="AE34" i="80"/>
  <c r="Z34" i="80"/>
  <c r="AC300" i="80"/>
  <c r="AB300" i="80"/>
  <c r="AA300" i="80"/>
  <c r="Z284" i="80"/>
  <c r="Z300" i="80"/>
  <c r="AE300" i="80"/>
  <c r="AD300" i="80"/>
  <c r="AF300" i="80"/>
  <c r="AG337" i="80"/>
  <c r="X444" i="80"/>
  <c r="AG375" i="80"/>
  <c r="AG299" i="80"/>
  <c r="AG33" i="80"/>
  <c r="AG147" i="80"/>
  <c r="AE110" i="80"/>
  <c r="AB110" i="80"/>
  <c r="Z110" i="80"/>
  <c r="AD110" i="80"/>
  <c r="AA110" i="80"/>
  <c r="AC110" i="80"/>
  <c r="AF110" i="80"/>
  <c r="Z94" i="80"/>
  <c r="AA376" i="80"/>
  <c r="Z360" i="80"/>
  <c r="AB376" i="80"/>
  <c r="AE376" i="80"/>
  <c r="Z376" i="80"/>
  <c r="AF376" i="80"/>
  <c r="AD376" i="80"/>
  <c r="AC376" i="80"/>
  <c r="AB262" i="80"/>
  <c r="AE262" i="80"/>
  <c r="Z246" i="80"/>
  <c r="Z262" i="80"/>
  <c r="AF262" i="80"/>
  <c r="AA262" i="80"/>
  <c r="AD262" i="80"/>
  <c r="AC262" i="80"/>
  <c r="Z2" i="47"/>
  <c r="Z50" i="60"/>
  <c r="AG427" i="80"/>
  <c r="Y435" i="80"/>
  <c r="AG109" i="80"/>
  <c r="Y155" i="80"/>
  <c r="AC338" i="80"/>
  <c r="AB338" i="80"/>
  <c r="Z322" i="80"/>
  <c r="AE338" i="80"/>
  <c r="Z338" i="80"/>
  <c r="AD338" i="80"/>
  <c r="AF338" i="80"/>
  <c r="AA338" i="80"/>
  <c r="AA428" i="80"/>
  <c r="AF428" i="80"/>
  <c r="Z400" i="80"/>
  <c r="Z402" i="80" s="1"/>
  <c r="Z428" i="80"/>
  <c r="AC428" i="80"/>
  <c r="AE428" i="80"/>
  <c r="AB428" i="80"/>
  <c r="AD428" i="80"/>
  <c r="AC148" i="80"/>
  <c r="AD148" i="80"/>
  <c r="AF148" i="80"/>
  <c r="Z132" i="80"/>
  <c r="AE148" i="80"/>
  <c r="AB148" i="80"/>
  <c r="AA148" i="80"/>
  <c r="Z148" i="80"/>
  <c r="AG71" i="80"/>
  <c r="AA48" i="60"/>
  <c r="AB4" i="60"/>
  <c r="AG223" i="80"/>
  <c r="AD4" i="47"/>
  <c r="AC28" i="47"/>
  <c r="AC159" i="47"/>
  <c r="AC40" i="60" s="1"/>
  <c r="AC35" i="47"/>
  <c r="AC49" i="47" s="1"/>
  <c r="AC95" i="47"/>
  <c r="AC27" i="47"/>
  <c r="Y117" i="80"/>
  <c r="AA224" i="80"/>
  <c r="AC224" i="80"/>
  <c r="AD224" i="80"/>
  <c r="Z224" i="80"/>
  <c r="AB224" i="80"/>
  <c r="AF224" i="80"/>
  <c r="AE224" i="80"/>
  <c r="Z208" i="80"/>
  <c r="AA10" i="80"/>
  <c r="AA124" i="80"/>
  <c r="AA4" i="80"/>
  <c r="AA48" i="80"/>
  <c r="AA200" i="80"/>
  <c r="AA238" i="80"/>
  <c r="AA86" i="80"/>
  <c r="AB2" i="80"/>
  <c r="AA401" i="80"/>
  <c r="AA314" i="80"/>
  <c r="AA162" i="80"/>
  <c r="AA276" i="80"/>
  <c r="AA352" i="80"/>
  <c r="AA446" i="80"/>
  <c r="AE186" i="80"/>
  <c r="Z170" i="80"/>
  <c r="AC186" i="80"/>
  <c r="AB186" i="80"/>
  <c r="AD186" i="80"/>
  <c r="Z186" i="80"/>
  <c r="AA186" i="80"/>
  <c r="AF186" i="80"/>
  <c r="AC72" i="80"/>
  <c r="Z56" i="80"/>
  <c r="AE72" i="80"/>
  <c r="AA72" i="80"/>
  <c r="AD72" i="80"/>
  <c r="AB72" i="80"/>
  <c r="AF72" i="80"/>
  <c r="Z72" i="80"/>
  <c r="Y345" i="80"/>
  <c r="K63" i="75"/>
  <c r="K64" i="75" s="1"/>
  <c r="X443" i="80"/>
  <c r="Y440" i="80" s="1"/>
  <c r="AG185" i="80"/>
  <c r="AG261" i="80"/>
  <c r="B39" i="55"/>
  <c r="AD38" i="55"/>
  <c r="W38" i="55"/>
  <c r="X38" i="55" s="1"/>
  <c r="BI63" i="75" l="1"/>
  <c r="BI66" i="75" s="1"/>
  <c r="J64" i="75"/>
  <c r="AL77" i="75"/>
  <c r="J13" i="75"/>
  <c r="G23" i="75"/>
  <c r="D20" i="75"/>
  <c r="G13" i="75"/>
  <c r="I19" i="75"/>
  <c r="H23" i="75"/>
  <c r="O50" i="72"/>
  <c r="P37" i="72"/>
  <c r="AD248" i="57"/>
  <c r="AE248" i="57"/>
  <c r="AC248" i="57"/>
  <c r="Z248" i="57"/>
  <c r="AB248" i="57"/>
  <c r="AC284" i="57"/>
  <c r="AE284" i="57"/>
  <c r="AF284" i="57"/>
  <c r="Z284" i="57"/>
  <c r="AC320" i="57"/>
  <c r="AB320" i="57"/>
  <c r="AB284" i="57"/>
  <c r="AA284" i="57"/>
  <c r="AD320" i="57"/>
  <c r="A250" i="57"/>
  <c r="C249" i="57"/>
  <c r="G249" i="57"/>
  <c r="K249" i="57"/>
  <c r="O249" i="57"/>
  <c r="S249" i="57"/>
  <c r="W249" i="57"/>
  <c r="E249" i="57"/>
  <c r="I249" i="57"/>
  <c r="M249" i="57"/>
  <c r="Q249" i="57"/>
  <c r="U249" i="57"/>
  <c r="Y249" i="57"/>
  <c r="F249" i="57"/>
  <c r="N249" i="57"/>
  <c r="V249" i="57"/>
  <c r="H249" i="57"/>
  <c r="P249" i="57"/>
  <c r="X249" i="57"/>
  <c r="J249" i="57"/>
  <c r="R249" i="57"/>
  <c r="Z249" i="57"/>
  <c r="D249" i="57"/>
  <c r="L249" i="57"/>
  <c r="T249" i="57"/>
  <c r="B249" i="57"/>
  <c r="A322" i="57"/>
  <c r="Z321" i="57"/>
  <c r="I321" i="57"/>
  <c r="E321" i="57"/>
  <c r="W321" i="57"/>
  <c r="K321" i="57"/>
  <c r="F321" i="57"/>
  <c r="O321" i="57"/>
  <c r="J321" i="57"/>
  <c r="S321" i="57"/>
  <c r="P321" i="57"/>
  <c r="C321" i="57"/>
  <c r="U321" i="57"/>
  <c r="V321" i="57"/>
  <c r="R321" i="57"/>
  <c r="T321" i="57"/>
  <c r="H321" i="57"/>
  <c r="Y321" i="57"/>
  <c r="D321" i="57"/>
  <c r="N321" i="57"/>
  <c r="G321" i="57"/>
  <c r="X321" i="57"/>
  <c r="M321" i="57"/>
  <c r="L321" i="57"/>
  <c r="Q321" i="57"/>
  <c r="B321" i="57"/>
  <c r="A286" i="57"/>
  <c r="G285" i="57"/>
  <c r="W285" i="57"/>
  <c r="C285" i="57"/>
  <c r="L285" i="57"/>
  <c r="M285" i="57"/>
  <c r="J285" i="57"/>
  <c r="Z285" i="57"/>
  <c r="P285" i="57"/>
  <c r="Q285" i="57"/>
  <c r="D285" i="57"/>
  <c r="T285" i="57"/>
  <c r="E285" i="57"/>
  <c r="U285" i="57"/>
  <c r="R285" i="57"/>
  <c r="S285" i="57"/>
  <c r="O285" i="57"/>
  <c r="H285" i="57"/>
  <c r="X285" i="57"/>
  <c r="I285" i="57"/>
  <c r="Y285" i="57"/>
  <c r="F285" i="57"/>
  <c r="N285" i="57"/>
  <c r="K285" i="57"/>
  <c r="V285" i="57"/>
  <c r="B285" i="57"/>
  <c r="Y74" i="89"/>
  <c r="Z49" i="89"/>
  <c r="S90" i="57"/>
  <c r="T90" i="57" s="1"/>
  <c r="U90" i="57" s="1"/>
  <c r="R305" i="57"/>
  <c r="R89" i="57"/>
  <c r="S89" i="57" s="1"/>
  <c r="AA98" i="57"/>
  <c r="AB98" i="57" s="1"/>
  <c r="L299" i="57"/>
  <c r="O86" i="57"/>
  <c r="P86" i="57" s="1"/>
  <c r="Q86" i="57" s="1"/>
  <c r="R86" i="57" s="1"/>
  <c r="N301" i="57"/>
  <c r="O301" i="57" s="1"/>
  <c r="P301" i="57" s="1"/>
  <c r="X311" i="57"/>
  <c r="Y311" i="57" s="1"/>
  <c r="M299" i="57"/>
  <c r="N299" i="57" s="1"/>
  <c r="W310" i="57"/>
  <c r="AD317" i="57"/>
  <c r="AE317" i="57" s="1"/>
  <c r="AF317" i="57" s="1"/>
  <c r="AG317" i="57" s="1"/>
  <c r="V309" i="57"/>
  <c r="W309" i="57" s="1"/>
  <c r="AE318" i="57"/>
  <c r="AF318" i="57" s="1"/>
  <c r="AG318" i="57" s="1"/>
  <c r="AF319" i="57"/>
  <c r="AG319" i="57" s="1"/>
  <c r="Z313" i="57"/>
  <c r="AA313" i="57" s="1"/>
  <c r="T307" i="57"/>
  <c r="U307" i="57" s="1"/>
  <c r="J297" i="57"/>
  <c r="K297" i="57" s="1"/>
  <c r="P303" i="57"/>
  <c r="Q303" i="57" s="1"/>
  <c r="AB315" i="57"/>
  <c r="AC315" i="57" s="1"/>
  <c r="M300" i="57"/>
  <c r="N300" i="57" s="1"/>
  <c r="K298" i="57"/>
  <c r="L298" i="57" s="1"/>
  <c r="U308" i="57"/>
  <c r="AC316" i="57"/>
  <c r="AA314" i="57"/>
  <c r="Y312" i="57"/>
  <c r="O302" i="57"/>
  <c r="S306" i="57"/>
  <c r="S305" i="57"/>
  <c r="Q304" i="57"/>
  <c r="Y96" i="57"/>
  <c r="Z96" i="57" s="1"/>
  <c r="AA96" i="57" s="1"/>
  <c r="AB96" i="57" s="1"/>
  <c r="Z97" i="57"/>
  <c r="AA97" i="57" s="1"/>
  <c r="AB97" i="57" s="1"/>
  <c r="AC97" i="57" s="1"/>
  <c r="V93" i="57"/>
  <c r="W93" i="57" s="1"/>
  <c r="M84" i="57"/>
  <c r="N84" i="57" s="1"/>
  <c r="O84" i="57" s="1"/>
  <c r="P84" i="57" s="1"/>
  <c r="P87" i="57"/>
  <c r="Q87" i="57" s="1"/>
  <c r="R87" i="57" s="1"/>
  <c r="Q88" i="57"/>
  <c r="R88" i="57" s="1"/>
  <c r="W94" i="57"/>
  <c r="X94" i="57" s="1"/>
  <c r="Y94" i="57" s="1"/>
  <c r="AB99" i="57"/>
  <c r="AC99" i="57" s="1"/>
  <c r="U92" i="57"/>
  <c r="L83" i="57"/>
  <c r="M83" i="57" s="1"/>
  <c r="N83" i="57" s="1"/>
  <c r="X95" i="57"/>
  <c r="Y95" i="57" s="1"/>
  <c r="K82" i="57"/>
  <c r="L82" i="57" s="1"/>
  <c r="T91" i="57"/>
  <c r="N85" i="57"/>
  <c r="J81" i="57"/>
  <c r="K81" i="57" s="1"/>
  <c r="AG3" i="74"/>
  <c r="AF11" i="74"/>
  <c r="AF10" i="74"/>
  <c r="AF9" i="74"/>
  <c r="AF8" i="74"/>
  <c r="AB212" i="57"/>
  <c r="AA212" i="57"/>
  <c r="AG361" i="57"/>
  <c r="N363" i="57"/>
  <c r="AG360" i="57"/>
  <c r="AG338" i="57"/>
  <c r="AG358" i="57"/>
  <c r="AG355" i="57"/>
  <c r="AG8" i="75"/>
  <c r="AG9" i="75" s="1"/>
  <c r="AF71" i="75"/>
  <c r="AF63" i="75"/>
  <c r="AF64" i="75" s="1"/>
  <c r="AG5" i="75"/>
  <c r="AF18" i="75"/>
  <c r="Z363" i="57"/>
  <c r="H363" i="57"/>
  <c r="AG353" i="57"/>
  <c r="AG346" i="57"/>
  <c r="F363" i="57"/>
  <c r="J363" i="57"/>
  <c r="M363" i="57"/>
  <c r="K363" i="57"/>
  <c r="U363" i="57"/>
  <c r="R363" i="57"/>
  <c r="T363" i="57"/>
  <c r="X363" i="57"/>
  <c r="AG343" i="57"/>
  <c r="AG357" i="57"/>
  <c r="AG339" i="57"/>
  <c r="AG340" i="57"/>
  <c r="AG354" i="57"/>
  <c r="AB363" i="57"/>
  <c r="E363" i="57"/>
  <c r="AF363" i="57"/>
  <c r="AG336" i="57"/>
  <c r="AG350" i="57"/>
  <c r="AG352" i="57"/>
  <c r="AG348" i="57"/>
  <c r="Y363" i="57"/>
  <c r="G363" i="57"/>
  <c r="O363" i="57"/>
  <c r="D363" i="57"/>
  <c r="AA363" i="57"/>
  <c r="I363" i="57"/>
  <c r="AC363" i="57"/>
  <c r="AG349" i="57"/>
  <c r="AG344" i="57"/>
  <c r="AG347" i="57"/>
  <c r="AG337" i="57"/>
  <c r="AG356" i="57"/>
  <c r="AG334" i="57"/>
  <c r="AD363" i="57"/>
  <c r="W363" i="57"/>
  <c r="AG341" i="57"/>
  <c r="AG351" i="57"/>
  <c r="AG345" i="57"/>
  <c r="AG335" i="57"/>
  <c r="S363" i="57"/>
  <c r="L363" i="57"/>
  <c r="Q363" i="57"/>
  <c r="C363" i="57"/>
  <c r="AG333" i="57"/>
  <c r="V363" i="57"/>
  <c r="P363" i="57"/>
  <c r="AE363" i="57"/>
  <c r="AG359" i="57"/>
  <c r="AG342" i="57"/>
  <c r="AG236" i="57"/>
  <c r="AG246" i="57"/>
  <c r="AG232" i="57"/>
  <c r="AG241" i="57"/>
  <c r="AG227" i="57"/>
  <c r="AG247" i="57"/>
  <c r="AG238" i="57"/>
  <c r="AG235" i="57"/>
  <c r="AG234" i="57"/>
  <c r="AG237" i="57"/>
  <c r="AG233" i="57"/>
  <c r="AG244" i="57"/>
  <c r="AG225" i="57"/>
  <c r="AG245" i="57"/>
  <c r="AG243" i="57"/>
  <c r="AG242" i="57"/>
  <c r="AG231" i="57"/>
  <c r="AG228" i="57"/>
  <c r="AG226" i="57"/>
  <c r="AG230" i="57"/>
  <c r="AG229" i="57"/>
  <c r="AG240" i="57"/>
  <c r="AG239" i="57"/>
  <c r="AG270" i="57"/>
  <c r="AG261" i="57"/>
  <c r="AG268" i="57"/>
  <c r="AG279" i="57"/>
  <c r="AG266" i="57"/>
  <c r="AG277" i="57"/>
  <c r="AG267" i="57"/>
  <c r="AG281" i="57"/>
  <c r="AG263" i="57"/>
  <c r="AG269" i="57"/>
  <c r="AG282" i="57"/>
  <c r="AG265" i="57"/>
  <c r="AG276" i="57"/>
  <c r="AG278" i="57"/>
  <c r="AG280" i="57"/>
  <c r="AG262" i="57"/>
  <c r="AG283" i="57"/>
  <c r="AG273" i="57"/>
  <c r="AG271" i="57"/>
  <c r="AG274" i="57"/>
  <c r="AG272" i="57"/>
  <c r="AG275" i="57"/>
  <c r="AG264" i="57"/>
  <c r="U128" i="57"/>
  <c r="V128" i="57" s="1"/>
  <c r="P123" i="57"/>
  <c r="Q123" i="57" s="1"/>
  <c r="R123" i="57" s="1"/>
  <c r="S123" i="57" s="1"/>
  <c r="Y132" i="57"/>
  <c r="Z132" i="57" s="1"/>
  <c r="AA132" i="57" s="1"/>
  <c r="AB132" i="57" s="1"/>
  <c r="V129" i="57"/>
  <c r="W129" i="57" s="1"/>
  <c r="X129" i="57" s="1"/>
  <c r="R125" i="57"/>
  <c r="S125" i="57" s="1"/>
  <c r="AB135" i="57"/>
  <c r="AC135" i="57" s="1"/>
  <c r="W130" i="57"/>
  <c r="X130" i="57" s="1"/>
  <c r="T127" i="57"/>
  <c r="U127" i="57" s="1"/>
  <c r="S126" i="57"/>
  <c r="T126" i="57" s="1"/>
  <c r="U126" i="57" s="1"/>
  <c r="V126" i="57" s="1"/>
  <c r="AA134" i="57"/>
  <c r="AB134" i="57" s="1"/>
  <c r="AC134" i="57" s="1"/>
  <c r="N121" i="57"/>
  <c r="O121" i="57" s="1"/>
  <c r="M120" i="57"/>
  <c r="N120" i="57" s="1"/>
  <c r="K118" i="57"/>
  <c r="A106" i="57"/>
  <c r="B106" i="57" s="1"/>
  <c r="C105" i="57"/>
  <c r="C111" i="57" s="1"/>
  <c r="D105" i="57"/>
  <c r="D111" i="57" s="1"/>
  <c r="E105" i="57"/>
  <c r="E111" i="57" s="1"/>
  <c r="F105" i="57"/>
  <c r="F111" i="57" s="1"/>
  <c r="G105" i="57"/>
  <c r="G111" i="57" s="1"/>
  <c r="H105" i="57"/>
  <c r="H111" i="57" s="1"/>
  <c r="I105" i="57"/>
  <c r="I111" i="57" s="1"/>
  <c r="J105" i="57"/>
  <c r="K105" i="57"/>
  <c r="L105" i="57"/>
  <c r="M105" i="57"/>
  <c r="N105" i="57"/>
  <c r="O105" i="57"/>
  <c r="P105" i="57"/>
  <c r="Q105" i="57"/>
  <c r="R105" i="57"/>
  <c r="S105" i="57"/>
  <c r="T105" i="57"/>
  <c r="U105" i="57"/>
  <c r="V105" i="57"/>
  <c r="W105" i="57"/>
  <c r="X105" i="57"/>
  <c r="Y105" i="57"/>
  <c r="Z105" i="57"/>
  <c r="AA105" i="57"/>
  <c r="L119" i="57"/>
  <c r="M119" i="57" s="1"/>
  <c r="A214" i="57"/>
  <c r="B214" i="57" s="1"/>
  <c r="C213" i="57"/>
  <c r="D213" i="57"/>
  <c r="E213" i="57"/>
  <c r="F213" i="57"/>
  <c r="G213" i="57"/>
  <c r="H213" i="57"/>
  <c r="I213" i="57"/>
  <c r="J213" i="57"/>
  <c r="K213" i="57"/>
  <c r="L213" i="57"/>
  <c r="M213" i="57"/>
  <c r="N213" i="57"/>
  <c r="O213" i="57"/>
  <c r="P213" i="57"/>
  <c r="Q213" i="57"/>
  <c r="R213" i="57"/>
  <c r="S213" i="57"/>
  <c r="T213" i="57"/>
  <c r="U213" i="57"/>
  <c r="V213" i="57"/>
  <c r="W213" i="57"/>
  <c r="X213" i="57"/>
  <c r="Y213" i="57"/>
  <c r="Z213" i="57"/>
  <c r="AC213" i="57"/>
  <c r="O122" i="57"/>
  <c r="A70" i="57"/>
  <c r="B70" i="57" s="1"/>
  <c r="C69" i="57"/>
  <c r="D69" i="57"/>
  <c r="E69" i="57"/>
  <c r="F69" i="57"/>
  <c r="G69" i="57"/>
  <c r="H69" i="57"/>
  <c r="I69" i="57"/>
  <c r="J69" i="57"/>
  <c r="K69" i="57"/>
  <c r="L69" i="57"/>
  <c r="M69" i="57"/>
  <c r="N69" i="57"/>
  <c r="O69" i="57"/>
  <c r="P69" i="57"/>
  <c r="Q69" i="57"/>
  <c r="R69" i="57"/>
  <c r="S69" i="57"/>
  <c r="T69" i="57"/>
  <c r="U69" i="57"/>
  <c r="V69" i="57"/>
  <c r="W69" i="57"/>
  <c r="X69" i="57"/>
  <c r="Y69" i="57"/>
  <c r="Z69" i="57"/>
  <c r="AA69" i="57"/>
  <c r="X131" i="57"/>
  <c r="A142" i="57"/>
  <c r="B142" i="57" s="1"/>
  <c r="C141" i="57"/>
  <c r="D141" i="57"/>
  <c r="E141" i="57"/>
  <c r="F141" i="57"/>
  <c r="G141" i="57"/>
  <c r="H141" i="57"/>
  <c r="I141" i="57"/>
  <c r="J141" i="57"/>
  <c r="K141" i="57"/>
  <c r="L141" i="57"/>
  <c r="M141" i="57"/>
  <c r="N141" i="57"/>
  <c r="O141" i="57"/>
  <c r="P141" i="57"/>
  <c r="Q141" i="57"/>
  <c r="R141" i="57"/>
  <c r="S141" i="57"/>
  <c r="T141" i="57"/>
  <c r="U141" i="57"/>
  <c r="V141" i="57"/>
  <c r="W141" i="57"/>
  <c r="X141" i="57"/>
  <c r="Y141" i="57"/>
  <c r="Z141" i="57"/>
  <c r="AA141" i="57"/>
  <c r="Q124" i="57"/>
  <c r="AC176" i="57"/>
  <c r="AC165" i="57"/>
  <c r="AC168" i="57"/>
  <c r="AC206" i="57"/>
  <c r="AC137" i="57"/>
  <c r="AC167" i="57"/>
  <c r="AC207" i="57"/>
  <c r="AC196" i="57"/>
  <c r="AC162" i="57"/>
  <c r="AC154" i="57"/>
  <c r="AC210" i="57"/>
  <c r="AC212" i="57"/>
  <c r="AC155" i="57"/>
  <c r="AC161" i="57"/>
  <c r="AC203" i="57"/>
  <c r="AC171" i="57"/>
  <c r="AC205" i="57"/>
  <c r="AC200" i="57"/>
  <c r="AC138" i="57"/>
  <c r="AC139" i="57"/>
  <c r="AC193" i="57"/>
  <c r="AC192" i="57"/>
  <c r="AC189" i="57"/>
  <c r="AC100" i="57"/>
  <c r="AC153" i="57"/>
  <c r="AC199" i="57"/>
  <c r="AC190" i="57"/>
  <c r="AC209" i="57"/>
  <c r="AC64" i="57"/>
  <c r="AC101" i="57"/>
  <c r="AC65" i="57"/>
  <c r="AC66" i="57"/>
  <c r="AC175" i="57"/>
  <c r="AC158" i="57"/>
  <c r="AC157" i="57"/>
  <c r="AC156" i="57"/>
  <c r="AC160" i="57"/>
  <c r="AC204" i="57"/>
  <c r="AC166" i="57"/>
  <c r="AC169" i="57"/>
  <c r="AC208" i="57"/>
  <c r="AC197" i="57"/>
  <c r="AC163" i="57"/>
  <c r="AC164" i="57"/>
  <c r="AC173" i="57"/>
  <c r="AC174" i="57"/>
  <c r="AC211" i="57"/>
  <c r="AC140" i="57"/>
  <c r="AC170" i="57"/>
  <c r="AC194" i="57"/>
  <c r="AC102" i="57"/>
  <c r="AC202" i="57"/>
  <c r="AC104" i="57"/>
  <c r="AC159" i="57"/>
  <c r="AC198" i="57"/>
  <c r="AC103" i="57"/>
  <c r="AC191" i="57"/>
  <c r="AC195" i="57"/>
  <c r="AC201" i="57"/>
  <c r="AC172" i="57"/>
  <c r="AC136" i="57"/>
  <c r="AC62" i="57"/>
  <c r="AC58" i="57"/>
  <c r="AC67" i="57"/>
  <c r="AC63" i="57"/>
  <c r="AC57" i="57"/>
  <c r="AC55" i="57"/>
  <c r="AC59" i="57"/>
  <c r="AC56" i="57"/>
  <c r="AC49" i="57"/>
  <c r="AC46" i="57"/>
  <c r="AC45" i="57"/>
  <c r="AC51" i="57"/>
  <c r="AC68" i="57"/>
  <c r="AC60" i="57"/>
  <c r="AC50" i="57"/>
  <c r="AC54" i="57"/>
  <c r="AC53" i="57"/>
  <c r="AC61" i="57"/>
  <c r="AC48" i="57"/>
  <c r="AC52" i="57"/>
  <c r="AC47" i="57"/>
  <c r="J117" i="57"/>
  <c r="A178" i="57"/>
  <c r="B178" i="57" s="1"/>
  <c r="C177" i="57"/>
  <c r="D177" i="57"/>
  <c r="E177" i="57"/>
  <c r="F177" i="57"/>
  <c r="G177" i="57"/>
  <c r="H177" i="57"/>
  <c r="I177" i="57"/>
  <c r="J177" i="57"/>
  <c r="K177" i="57"/>
  <c r="L177" i="57"/>
  <c r="M177" i="57"/>
  <c r="N177" i="57"/>
  <c r="O177" i="57"/>
  <c r="P177" i="57"/>
  <c r="Q177" i="57"/>
  <c r="R177" i="57"/>
  <c r="S177" i="57"/>
  <c r="T177" i="57"/>
  <c r="U177" i="57"/>
  <c r="V177" i="57"/>
  <c r="W177" i="57"/>
  <c r="X177" i="57"/>
  <c r="Y177" i="57"/>
  <c r="Z177" i="57"/>
  <c r="Z133" i="57"/>
  <c r="Z231" i="80"/>
  <c r="AC160" i="47"/>
  <c r="AC33" i="60" s="1"/>
  <c r="Z307" i="80"/>
  <c r="Z269" i="80"/>
  <c r="W9" i="57"/>
  <c r="X9" i="57" s="1"/>
  <c r="Y9" i="57" s="1"/>
  <c r="AA13" i="57"/>
  <c r="AB13" i="57" s="1"/>
  <c r="AC13" i="57" s="1"/>
  <c r="Z12" i="57"/>
  <c r="AA12" i="57" s="1"/>
  <c r="Y11" i="57"/>
  <c r="Z11" i="57" s="1"/>
  <c r="AA11" i="57" s="1"/>
  <c r="AB11" i="57" s="1"/>
  <c r="AC11" i="57" s="1"/>
  <c r="AB14" i="57"/>
  <c r="AC14" i="57" s="1"/>
  <c r="V6" i="60"/>
  <c r="W15" i="47"/>
  <c r="N32" i="55"/>
  <c r="V80" i="47"/>
  <c r="X53" i="72"/>
  <c r="Y40" i="72"/>
  <c r="X51" i="72"/>
  <c r="Y38" i="72"/>
  <c r="AB28" i="60"/>
  <c r="AA44" i="60"/>
  <c r="C38" i="57"/>
  <c r="C39" i="57" s="1"/>
  <c r="D38" i="57"/>
  <c r="D39" i="57" s="1"/>
  <c r="E38" i="57"/>
  <c r="E39" i="57" s="1"/>
  <c r="F38" i="57"/>
  <c r="F39" i="57" s="1"/>
  <c r="G38" i="57"/>
  <c r="G39" i="57" s="1"/>
  <c r="H38" i="57"/>
  <c r="H39" i="57" s="1"/>
  <c r="I38" i="57"/>
  <c r="I39" i="57" s="1"/>
  <c r="J38" i="57"/>
  <c r="J39" i="57" s="1"/>
  <c r="K38" i="57"/>
  <c r="K39" i="57" s="1"/>
  <c r="L38" i="57"/>
  <c r="L39" i="57" s="1"/>
  <c r="M38" i="57"/>
  <c r="M39" i="57" s="1"/>
  <c r="N38" i="57"/>
  <c r="N39" i="57" s="1"/>
  <c r="O38" i="57"/>
  <c r="O39" i="57" s="1"/>
  <c r="P38" i="57"/>
  <c r="P39" i="57" s="1"/>
  <c r="Q38" i="57"/>
  <c r="Q39" i="57" s="1"/>
  <c r="R38" i="57"/>
  <c r="R39" i="57" s="1"/>
  <c r="S38" i="57"/>
  <c r="S39" i="57" s="1"/>
  <c r="T38" i="57"/>
  <c r="T39" i="57" s="1"/>
  <c r="U38" i="57"/>
  <c r="U39" i="57" s="1"/>
  <c r="V38" i="57"/>
  <c r="V39" i="57" s="1"/>
  <c r="W38" i="57"/>
  <c r="X38" i="57"/>
  <c r="Y38" i="57"/>
  <c r="Z38" i="57"/>
  <c r="AA38" i="57"/>
  <c r="X55" i="72"/>
  <c r="Y42" i="72"/>
  <c r="AD2" i="57"/>
  <c r="AC38" i="57"/>
  <c r="AC36" i="57"/>
  <c r="AC37" i="57"/>
  <c r="AC35" i="57"/>
  <c r="AC34" i="57"/>
  <c r="AC32" i="57"/>
  <c r="AC20" i="57"/>
  <c r="AC28" i="57"/>
  <c r="AC17" i="57"/>
  <c r="AC25" i="57"/>
  <c r="AC27" i="57"/>
  <c r="AC22" i="57"/>
  <c r="AC15" i="57"/>
  <c r="AC16" i="57"/>
  <c r="AC26" i="57"/>
  <c r="AC23" i="57"/>
  <c r="AC30" i="57"/>
  <c r="AC31" i="57"/>
  <c r="AC18" i="57"/>
  <c r="AC24" i="57"/>
  <c r="AC29" i="57"/>
  <c r="AC19" i="57"/>
  <c r="AC21" i="57"/>
  <c r="AC33" i="57"/>
  <c r="Z79" i="80"/>
  <c r="A149" i="80"/>
  <c r="A262" i="80"/>
  <c r="A376" i="80" s="1"/>
  <c r="X47" i="72"/>
  <c r="Y34" i="72"/>
  <c r="X54" i="72"/>
  <c r="Y41" i="72"/>
  <c r="A299" i="80"/>
  <c r="A186" i="80"/>
  <c r="X49" i="72"/>
  <c r="Y36" i="72"/>
  <c r="X52" i="72"/>
  <c r="Y39" i="72"/>
  <c r="A224" i="80"/>
  <c r="A111" i="80"/>
  <c r="AB38" i="57"/>
  <c r="X10" i="57"/>
  <c r="A429" i="80"/>
  <c r="A36" i="80"/>
  <c r="X48" i="72"/>
  <c r="Y35" i="72"/>
  <c r="AG34" i="80"/>
  <c r="AG186" i="80"/>
  <c r="Z193" i="80"/>
  <c r="AB301" i="80"/>
  <c r="AA284" i="80"/>
  <c r="AF301" i="80"/>
  <c r="AD301" i="80"/>
  <c r="AE301" i="80"/>
  <c r="AA301" i="80"/>
  <c r="AC301" i="80"/>
  <c r="AB4" i="80"/>
  <c r="AB10" i="80"/>
  <c r="AB124" i="80"/>
  <c r="AB238" i="80"/>
  <c r="AB86" i="80"/>
  <c r="AB314" i="80"/>
  <c r="AB352" i="80"/>
  <c r="AB162" i="80"/>
  <c r="AB276" i="80"/>
  <c r="AB200" i="80"/>
  <c r="AC2" i="80"/>
  <c r="AB446" i="80"/>
  <c r="AB401" i="80"/>
  <c r="AB48" i="80"/>
  <c r="AD73" i="80"/>
  <c r="AC73" i="80"/>
  <c r="AA56" i="80"/>
  <c r="AE73" i="80"/>
  <c r="AF73" i="80"/>
  <c r="AB73" i="80"/>
  <c r="AA73" i="80"/>
  <c r="AG224" i="80"/>
  <c r="AA2" i="47"/>
  <c r="AA50" i="60"/>
  <c r="AG148" i="80"/>
  <c r="Z155" i="80"/>
  <c r="Z435" i="80"/>
  <c r="Z442" i="80" s="1"/>
  <c r="AG428" i="80"/>
  <c r="AG376" i="80"/>
  <c r="X101" i="47"/>
  <c r="X392" i="80"/>
  <c r="AE187" i="80"/>
  <c r="AB187" i="80"/>
  <c r="AC187" i="80"/>
  <c r="AA170" i="80"/>
  <c r="AA187" i="80"/>
  <c r="AF187" i="80"/>
  <c r="AD187" i="80"/>
  <c r="AA111" i="80"/>
  <c r="AD111" i="80"/>
  <c r="AB111" i="80"/>
  <c r="AA94" i="80"/>
  <c r="AC111" i="80"/>
  <c r="AF111" i="80"/>
  <c r="AE111" i="80"/>
  <c r="AD27" i="47"/>
  <c r="AE4" i="47"/>
  <c r="AD159" i="47"/>
  <c r="AD40" i="60" s="1"/>
  <c r="AD28" i="47"/>
  <c r="AD95" i="47"/>
  <c r="AD35" i="47"/>
  <c r="AD49" i="47" s="1"/>
  <c r="Z441" i="80"/>
  <c r="Z345" i="80"/>
  <c r="AG262" i="80"/>
  <c r="Z117" i="80"/>
  <c r="AG300" i="80"/>
  <c r="BJ63" i="75"/>
  <c r="BJ66" i="75" s="1"/>
  <c r="AG72" i="80"/>
  <c r="AB339" i="80"/>
  <c r="AF339" i="80"/>
  <c r="AC339" i="80"/>
  <c r="AD339" i="80"/>
  <c r="AE339" i="80"/>
  <c r="AA339" i="80"/>
  <c r="AA322" i="80"/>
  <c r="AD263" i="80"/>
  <c r="AE263" i="80"/>
  <c r="AF263" i="80"/>
  <c r="AA246" i="80"/>
  <c r="AB263" i="80"/>
  <c r="AC263" i="80"/>
  <c r="AA263" i="80"/>
  <c r="AE149" i="80"/>
  <c r="AA132" i="80"/>
  <c r="AB149" i="80"/>
  <c r="AA149" i="80"/>
  <c r="AD149" i="80"/>
  <c r="AC149" i="80"/>
  <c r="AF149" i="80"/>
  <c r="AG110" i="80"/>
  <c r="AA360" i="80"/>
  <c r="AD377" i="80"/>
  <c r="AF377" i="80"/>
  <c r="AC377" i="80"/>
  <c r="AE377" i="80"/>
  <c r="AB377" i="80"/>
  <c r="AA377" i="80"/>
  <c r="AA429" i="80"/>
  <c r="AF429" i="80"/>
  <c r="AC429" i="80"/>
  <c r="AD429" i="80"/>
  <c r="AB429" i="80"/>
  <c r="AE429" i="80"/>
  <c r="AA400" i="80"/>
  <c r="AA402" i="80" s="1"/>
  <c r="AA441" i="80" s="1"/>
  <c r="AB225" i="80"/>
  <c r="AD225" i="80"/>
  <c r="AA208" i="80"/>
  <c r="AE225" i="80"/>
  <c r="AC225" i="80"/>
  <c r="AA225" i="80"/>
  <c r="AF225" i="80"/>
  <c r="AA35" i="80"/>
  <c r="AE35" i="80"/>
  <c r="AD35" i="80"/>
  <c r="AB35" i="80"/>
  <c r="AF35" i="80"/>
  <c r="AA18" i="80"/>
  <c r="AC35" i="80"/>
  <c r="AB48" i="60"/>
  <c r="AC4" i="60"/>
  <c r="AG338" i="80"/>
  <c r="Y442" i="80"/>
  <c r="Y443" i="80" s="1"/>
  <c r="Z440" i="80" s="1"/>
  <c r="Y444" i="80"/>
  <c r="Z383" i="80"/>
  <c r="B40" i="55"/>
  <c r="AD39" i="55"/>
  <c r="W39" i="55"/>
  <c r="X39" i="55" s="1"/>
  <c r="D22" i="75" l="1"/>
  <c r="D34" i="75" s="1"/>
  <c r="D21" i="75"/>
  <c r="D33" i="75" s="1"/>
  <c r="I21" i="75"/>
  <c r="I33" i="75" s="1"/>
  <c r="U20" i="75"/>
  <c r="U32" i="75" s="1"/>
  <c r="N20" i="75"/>
  <c r="N32" i="75" s="1"/>
  <c r="E22" i="75"/>
  <c r="E34" i="75" s="1"/>
  <c r="M22" i="75"/>
  <c r="M34" i="75" s="1"/>
  <c r="G21" i="75"/>
  <c r="G33" i="75" s="1"/>
  <c r="F22" i="75"/>
  <c r="F34" i="75" s="1"/>
  <c r="F20" i="75"/>
  <c r="N22" i="75"/>
  <c r="N34" i="75" s="1"/>
  <c r="T22" i="75"/>
  <c r="T34" i="75" s="1"/>
  <c r="J22" i="75"/>
  <c r="J34" i="75" s="1"/>
  <c r="R20" i="75"/>
  <c r="R32" i="75" s="1"/>
  <c r="W20" i="75"/>
  <c r="Q20" i="75"/>
  <c r="Q32" i="75" s="1"/>
  <c r="U22" i="75"/>
  <c r="U34" i="75" s="1"/>
  <c r="F21" i="75"/>
  <c r="F33" i="75" s="1"/>
  <c r="H21" i="75"/>
  <c r="H33" i="75" s="1"/>
  <c r="O20" i="75"/>
  <c r="O32" i="75" s="1"/>
  <c r="K22" i="75"/>
  <c r="K34" i="75" s="1"/>
  <c r="M20" i="75"/>
  <c r="M32" i="75" s="1"/>
  <c r="J21" i="75"/>
  <c r="E21" i="75"/>
  <c r="E33" i="75" s="1"/>
  <c r="V22" i="75"/>
  <c r="V34" i="75" s="1"/>
  <c r="L22" i="75"/>
  <c r="L34" i="75" s="1"/>
  <c r="W22" i="75"/>
  <c r="Q22" i="75"/>
  <c r="Q34" i="75" s="1"/>
  <c r="T20" i="75"/>
  <c r="T32" i="75" s="1"/>
  <c r="S22" i="75"/>
  <c r="S34" i="75" s="1"/>
  <c r="H20" i="75"/>
  <c r="E20" i="75"/>
  <c r="R22" i="75"/>
  <c r="R34" i="75" s="1"/>
  <c r="J20" i="75"/>
  <c r="K20" i="75" s="1"/>
  <c r="V20" i="75"/>
  <c r="V32" i="75" s="1"/>
  <c r="O22" i="75"/>
  <c r="O34" i="75" s="1"/>
  <c r="P20" i="75"/>
  <c r="P32" i="75" s="1"/>
  <c r="H22" i="75"/>
  <c r="H34" i="75" s="1"/>
  <c r="L20" i="75"/>
  <c r="L32" i="75" s="1"/>
  <c r="G20" i="75"/>
  <c r="I22" i="75"/>
  <c r="I34" i="75" s="1"/>
  <c r="G22" i="75"/>
  <c r="G34" i="75" s="1"/>
  <c r="I20" i="75"/>
  <c r="S20" i="75"/>
  <c r="S32" i="75" s="1"/>
  <c r="P22" i="75"/>
  <c r="P34" i="75" s="1"/>
  <c r="I23" i="75"/>
  <c r="D13" i="75"/>
  <c r="I12" i="75"/>
  <c r="H12" i="75"/>
  <c r="J19" i="75"/>
  <c r="K19" i="75" s="1"/>
  <c r="L19" i="75" s="1"/>
  <c r="F16" i="75"/>
  <c r="E13" i="75"/>
  <c r="D19" i="75"/>
  <c r="D12" i="75"/>
  <c r="H13" i="75"/>
  <c r="E12" i="75"/>
  <c r="E16" i="75"/>
  <c r="G12" i="75"/>
  <c r="D16" i="75"/>
  <c r="J16" i="75"/>
  <c r="K16" i="75" s="1"/>
  <c r="L16" i="75" s="1"/>
  <c r="J12" i="75"/>
  <c r="K12" i="75" s="1"/>
  <c r="L12" i="75" s="1"/>
  <c r="M12" i="75" s="1"/>
  <c r="N12" i="75" s="1"/>
  <c r="D15" i="75"/>
  <c r="E15" i="75" s="1"/>
  <c r="F15" i="75" s="1"/>
  <c r="G15" i="75" s="1"/>
  <c r="H15" i="75" s="1"/>
  <c r="I15" i="75" s="1"/>
  <c r="J15" i="75" s="1"/>
  <c r="K15" i="75" s="1"/>
  <c r="L15" i="75" s="1"/>
  <c r="M15" i="75" s="1"/>
  <c r="N15" i="75" s="1"/>
  <c r="O15" i="75" s="1"/>
  <c r="P15" i="75" s="1"/>
  <c r="Q15" i="75" s="1"/>
  <c r="R15" i="75" s="1"/>
  <c r="S15" i="75" s="1"/>
  <c r="T15" i="75" s="1"/>
  <c r="U15" i="75" s="1"/>
  <c r="V15" i="75" s="1"/>
  <c r="W15" i="75" s="1"/>
  <c r="X15" i="75" s="1"/>
  <c r="Y15" i="75" s="1"/>
  <c r="Z15" i="75" s="1"/>
  <c r="AA15" i="75" s="1"/>
  <c r="AB15" i="75" s="1"/>
  <c r="AC15" i="75" s="1"/>
  <c r="AD15" i="75" s="1"/>
  <c r="AE15" i="75" s="1"/>
  <c r="AF15" i="75" s="1"/>
  <c r="AG15" i="75" s="1"/>
  <c r="I13" i="75"/>
  <c r="F13" i="75"/>
  <c r="H19" i="75"/>
  <c r="F19" i="75"/>
  <c r="F12" i="75"/>
  <c r="I16" i="75"/>
  <c r="H16" i="75"/>
  <c r="J23" i="75"/>
  <c r="K23" i="75" s="1"/>
  <c r="G19" i="75"/>
  <c r="E23" i="75"/>
  <c r="E19" i="75"/>
  <c r="O12" i="75"/>
  <c r="P12" i="75" s="1"/>
  <c r="Q12" i="75" s="1"/>
  <c r="R12" i="75" s="1"/>
  <c r="S12" i="75" s="1"/>
  <c r="T12" i="75" s="1"/>
  <c r="U12" i="75" s="1"/>
  <c r="V12" i="75" s="1"/>
  <c r="W12" i="75" s="1"/>
  <c r="X12" i="75" s="1"/>
  <c r="L23" i="75"/>
  <c r="M23" i="75" s="1"/>
  <c r="N23" i="75" s="1"/>
  <c r="O23" i="75" s="1"/>
  <c r="P23" i="75" s="1"/>
  <c r="Q23" i="75" s="1"/>
  <c r="R23" i="75" s="1"/>
  <c r="S23" i="75" s="1"/>
  <c r="T23" i="75" s="1"/>
  <c r="U23" i="75" s="1"/>
  <c r="V23" i="75" s="1"/>
  <c r="W23" i="75" s="1"/>
  <c r="X23" i="75" s="1"/>
  <c r="Y23" i="75" s="1"/>
  <c r="Z23" i="75" s="1"/>
  <c r="AA23" i="75" s="1"/>
  <c r="AB23" i="75" s="1"/>
  <c r="AC23" i="75" s="1"/>
  <c r="AD23" i="75" s="1"/>
  <c r="AE23" i="75" s="1"/>
  <c r="AF23" i="75" s="1"/>
  <c r="AG23" i="75" s="1"/>
  <c r="G16" i="75"/>
  <c r="M19" i="75"/>
  <c r="N19" i="75" s="1"/>
  <c r="O19" i="75" s="1"/>
  <c r="P19" i="75" s="1"/>
  <c r="Q19" i="75" s="1"/>
  <c r="R19" i="75" s="1"/>
  <c r="S19" i="75" s="1"/>
  <c r="T19" i="75" s="1"/>
  <c r="U19" i="75" s="1"/>
  <c r="V19" i="75" s="1"/>
  <c r="W19" i="75" s="1"/>
  <c r="X19" i="75" s="1"/>
  <c r="Y19" i="75" s="1"/>
  <c r="Z19" i="75" s="1"/>
  <c r="AA19" i="75" s="1"/>
  <c r="AB19" i="75" s="1"/>
  <c r="AC19" i="75" s="1"/>
  <c r="AD19" i="75" s="1"/>
  <c r="AE19" i="75" s="1"/>
  <c r="AF19" i="75" s="1"/>
  <c r="AG19" i="75" s="1"/>
  <c r="D23" i="75"/>
  <c r="F23" i="75"/>
  <c r="M16" i="75"/>
  <c r="N16" i="75" s="1"/>
  <c r="O16" i="75" s="1"/>
  <c r="P16" i="75" s="1"/>
  <c r="Q16" i="75" s="1"/>
  <c r="R16" i="75" s="1"/>
  <c r="S16" i="75" s="1"/>
  <c r="T16" i="75" s="1"/>
  <c r="U16" i="75" s="1"/>
  <c r="V16" i="75" s="1"/>
  <c r="W16" i="75" s="1"/>
  <c r="X16" i="75" s="1"/>
  <c r="Y16" i="75" s="1"/>
  <c r="Z16" i="75" s="1"/>
  <c r="AA16" i="75" s="1"/>
  <c r="AB16" i="75" s="1"/>
  <c r="AC16" i="75" s="1"/>
  <c r="AD16" i="75" s="1"/>
  <c r="AE16" i="75" s="1"/>
  <c r="AF16" i="75" s="1"/>
  <c r="AG16" i="75" s="1"/>
  <c r="K13" i="75"/>
  <c r="L13" i="75" s="1"/>
  <c r="M13" i="75" s="1"/>
  <c r="N13" i="75" s="1"/>
  <c r="O13" i="75" s="1"/>
  <c r="P13" i="75" s="1"/>
  <c r="Q13" i="75" s="1"/>
  <c r="R13" i="75" s="1"/>
  <c r="S13" i="75" s="1"/>
  <c r="T13" i="75" s="1"/>
  <c r="U13" i="75" s="1"/>
  <c r="V13" i="75" s="1"/>
  <c r="W13" i="75" s="1"/>
  <c r="X13" i="75" s="1"/>
  <c r="Y13" i="75" s="1"/>
  <c r="Z13" i="75" s="1"/>
  <c r="AA13" i="75" s="1"/>
  <c r="AB13" i="75" s="1"/>
  <c r="P50" i="72"/>
  <c r="Q37" i="72"/>
  <c r="AG248" i="57"/>
  <c r="AG284" i="57"/>
  <c r="AG320" i="57"/>
  <c r="AE321" i="57"/>
  <c r="AF321" i="57"/>
  <c r="AA321" i="57"/>
  <c r="AC321" i="57"/>
  <c r="AB321" i="57"/>
  <c r="AD321" i="57"/>
  <c r="A323" i="57"/>
  <c r="R322" i="57"/>
  <c r="M322" i="57"/>
  <c r="F322" i="57"/>
  <c r="V322" i="57"/>
  <c r="J322" i="57"/>
  <c r="Z322" i="57"/>
  <c r="N322" i="57"/>
  <c r="G322" i="57"/>
  <c r="W322" i="57"/>
  <c r="L322" i="57"/>
  <c r="Q322" i="57"/>
  <c r="K322" i="57"/>
  <c r="AA322" i="57"/>
  <c r="P322" i="57"/>
  <c r="O322" i="57"/>
  <c r="D322" i="57"/>
  <c r="T322" i="57"/>
  <c r="Y322" i="57"/>
  <c r="U322" i="57"/>
  <c r="C322" i="57"/>
  <c r="S322" i="57"/>
  <c r="H322" i="57"/>
  <c r="X322" i="57"/>
  <c r="I322" i="57"/>
  <c r="E322" i="57"/>
  <c r="B322" i="57"/>
  <c r="AF322" i="57" s="1"/>
  <c r="AA285" i="57"/>
  <c r="AC285" i="57"/>
  <c r="AB285" i="57"/>
  <c r="AF285" i="57"/>
  <c r="AE285" i="57"/>
  <c r="AD285" i="57"/>
  <c r="AE249" i="57"/>
  <c r="AA249" i="57"/>
  <c r="AD249" i="57"/>
  <c r="AB249" i="57"/>
  <c r="AC249" i="57"/>
  <c r="AF249" i="57"/>
  <c r="A287" i="57"/>
  <c r="Y286" i="57"/>
  <c r="D286" i="57"/>
  <c r="Q286" i="57"/>
  <c r="E286" i="57"/>
  <c r="F286" i="57"/>
  <c r="V286" i="57"/>
  <c r="O286" i="57"/>
  <c r="X286" i="57"/>
  <c r="U286" i="57"/>
  <c r="I286" i="57"/>
  <c r="J286" i="57"/>
  <c r="Z286" i="57"/>
  <c r="P286" i="57"/>
  <c r="L286" i="57"/>
  <c r="M286" i="57"/>
  <c r="N286" i="57"/>
  <c r="G286" i="57"/>
  <c r="W286" i="57"/>
  <c r="T286" i="57"/>
  <c r="R286" i="57"/>
  <c r="K286" i="57"/>
  <c r="H286" i="57"/>
  <c r="S286" i="57"/>
  <c r="AA286" i="57"/>
  <c r="C286" i="57"/>
  <c r="B286" i="57"/>
  <c r="AD286" i="57" s="1"/>
  <c r="D250" i="57"/>
  <c r="G250" i="57"/>
  <c r="K250" i="57"/>
  <c r="O250" i="57"/>
  <c r="S250" i="57"/>
  <c r="W250" i="57"/>
  <c r="AA250" i="57"/>
  <c r="C250" i="57"/>
  <c r="I250" i="57"/>
  <c r="N250" i="57"/>
  <c r="T250" i="57"/>
  <c r="Y250" i="57"/>
  <c r="E250" i="57"/>
  <c r="J250" i="57"/>
  <c r="P250" i="57"/>
  <c r="U250" i="57"/>
  <c r="Z250" i="57"/>
  <c r="F250" i="57"/>
  <c r="L250" i="57"/>
  <c r="Q250" i="57"/>
  <c r="V250" i="57"/>
  <c r="H250" i="57"/>
  <c r="M250" i="57"/>
  <c r="R250" i="57"/>
  <c r="X250" i="57"/>
  <c r="A251" i="57"/>
  <c r="B250" i="57"/>
  <c r="AF250" i="57" s="1"/>
  <c r="Z59" i="89"/>
  <c r="Z64" i="89"/>
  <c r="S88" i="57"/>
  <c r="T88" i="57" s="1"/>
  <c r="AC98" i="57"/>
  <c r="AD98" i="57" s="1"/>
  <c r="V90" i="57"/>
  <c r="W90" i="57" s="1"/>
  <c r="J111" i="57"/>
  <c r="O83" i="57"/>
  <c r="P83" i="57" s="1"/>
  <c r="Q83" i="57" s="1"/>
  <c r="X310" i="57"/>
  <c r="Y310" i="57" s="1"/>
  <c r="Z310" i="57" s="1"/>
  <c r="AA310" i="57" s="1"/>
  <c r="Z311" i="57"/>
  <c r="AA311" i="57" s="1"/>
  <c r="AB311" i="57" s="1"/>
  <c r="O299" i="57"/>
  <c r="P299" i="57" s="1"/>
  <c r="X309" i="57"/>
  <c r="Y309" i="57" s="1"/>
  <c r="P302" i="57"/>
  <c r="Z312" i="57"/>
  <c r="AB314" i="57"/>
  <c r="AC314" i="57" s="1"/>
  <c r="AD316" i="57"/>
  <c r="Q302" i="57"/>
  <c r="Q301" i="57"/>
  <c r="R301" i="57" s="1"/>
  <c r="S301" i="57" s="1"/>
  <c r="R303" i="57"/>
  <c r="T306" i="57"/>
  <c r="T305" i="57"/>
  <c r="AB313" i="57"/>
  <c r="L297" i="57"/>
  <c r="R304" i="57"/>
  <c r="S304" i="57" s="1"/>
  <c r="AD315" i="57"/>
  <c r="AE315" i="57" s="1"/>
  <c r="V308" i="57"/>
  <c r="O300" i="57"/>
  <c r="M298" i="57"/>
  <c r="V307" i="57"/>
  <c r="X93" i="57"/>
  <c r="Y93" i="57" s="1"/>
  <c r="V92" i="57"/>
  <c r="AC96" i="57"/>
  <c r="AD96" i="57" s="1"/>
  <c r="K111" i="57"/>
  <c r="Z94" i="57"/>
  <c r="AA94" i="57" s="1"/>
  <c r="AB94" i="57" s="1"/>
  <c r="Z95" i="57"/>
  <c r="T89" i="57"/>
  <c r="U89" i="57" s="1"/>
  <c r="V89" i="57" s="1"/>
  <c r="L81" i="57"/>
  <c r="M81" i="57" s="1"/>
  <c r="U91" i="57"/>
  <c r="V91" i="57" s="1"/>
  <c r="M82" i="57"/>
  <c r="S86" i="57"/>
  <c r="T86" i="57" s="1"/>
  <c r="Q84" i="57"/>
  <c r="R84" i="57" s="1"/>
  <c r="O85" i="57"/>
  <c r="P85" i="57" s="1"/>
  <c r="S87" i="57"/>
  <c r="T87" i="57" s="1"/>
  <c r="AG11" i="74"/>
  <c r="AH11" i="74" s="1"/>
  <c r="AG10" i="74"/>
  <c r="AH10" i="74" s="1"/>
  <c r="AG8" i="74"/>
  <c r="AH8" i="74" s="1"/>
  <c r="AG9" i="74"/>
  <c r="AH9" i="74" s="1"/>
  <c r="AF45" i="75"/>
  <c r="AF30" i="75"/>
  <c r="I18" i="75"/>
  <c r="G18" i="75"/>
  <c r="F72" i="75"/>
  <c r="E65" i="75"/>
  <c r="D65" i="75"/>
  <c r="D72" i="75"/>
  <c r="D18" i="75"/>
  <c r="I72" i="75"/>
  <c r="H72" i="75"/>
  <c r="E72" i="75"/>
  <c r="H18" i="75"/>
  <c r="G72" i="75"/>
  <c r="F65" i="75"/>
  <c r="G65" i="75" s="1"/>
  <c r="H65" i="75" s="1"/>
  <c r="I65" i="75" s="1"/>
  <c r="J65" i="75" s="1"/>
  <c r="J66" i="75" s="1"/>
  <c r="F18" i="75"/>
  <c r="E18" i="75"/>
  <c r="J72" i="75"/>
  <c r="K72" i="75" s="1"/>
  <c r="L72" i="75" s="1"/>
  <c r="M72" i="75" s="1"/>
  <c r="N72" i="75" s="1"/>
  <c r="O72" i="75" s="1"/>
  <c r="K18" i="75"/>
  <c r="J18" i="75"/>
  <c r="O18" i="75"/>
  <c r="M18" i="75"/>
  <c r="P18" i="75"/>
  <c r="L18" i="75"/>
  <c r="R18" i="75"/>
  <c r="Q18" i="75"/>
  <c r="N18" i="75"/>
  <c r="S18" i="75"/>
  <c r="T18" i="75"/>
  <c r="U18" i="75"/>
  <c r="V18" i="75"/>
  <c r="W18" i="75"/>
  <c r="Z18" i="75"/>
  <c r="AB18" i="75"/>
  <c r="AA18" i="75"/>
  <c r="AD18" i="75"/>
  <c r="Y18" i="75"/>
  <c r="AC18" i="75"/>
  <c r="AE18" i="75"/>
  <c r="X18" i="75"/>
  <c r="AG63" i="75"/>
  <c r="AG64" i="75" s="1"/>
  <c r="AG18" i="75"/>
  <c r="AG71" i="75"/>
  <c r="AG363" i="57"/>
  <c r="AC141" i="57"/>
  <c r="AC69" i="57"/>
  <c r="Y129" i="57"/>
  <c r="Z129" i="57" s="1"/>
  <c r="T123" i="57"/>
  <c r="U123" i="57" s="1"/>
  <c r="V123" i="57" s="1"/>
  <c r="AC105" i="57"/>
  <c r="AA133" i="57"/>
  <c r="AB133" i="57" s="1"/>
  <c r="AC132" i="57"/>
  <c r="AD132" i="57" s="1"/>
  <c r="AB213" i="57"/>
  <c r="A107" i="57"/>
  <c r="B107" i="57" s="1"/>
  <c r="C106" i="57"/>
  <c r="D106" i="57"/>
  <c r="E106" i="57"/>
  <c r="F106" i="57"/>
  <c r="G106" i="57"/>
  <c r="H106" i="57"/>
  <c r="I106" i="57"/>
  <c r="J106" i="57"/>
  <c r="K106" i="57"/>
  <c r="L106" i="57"/>
  <c r="M106" i="57"/>
  <c r="N106" i="57"/>
  <c r="O106" i="57"/>
  <c r="P106" i="57"/>
  <c r="Q106" i="57"/>
  <c r="R106" i="57"/>
  <c r="S106" i="57"/>
  <c r="T106" i="57"/>
  <c r="U106" i="57"/>
  <c r="V106" i="57"/>
  <c r="W106" i="57"/>
  <c r="X106" i="57"/>
  <c r="Y106" i="57"/>
  <c r="Z106" i="57"/>
  <c r="AC106" i="57"/>
  <c r="AA106" i="57"/>
  <c r="L118" i="57"/>
  <c r="M118" i="57" s="1"/>
  <c r="T125" i="57"/>
  <c r="U125" i="57" s="1"/>
  <c r="AD167" i="57"/>
  <c r="AD155" i="57"/>
  <c r="AD203" i="57"/>
  <c r="AD166" i="57"/>
  <c r="AD171" i="57"/>
  <c r="AD198" i="57"/>
  <c r="AD190" i="57"/>
  <c r="AD173" i="57"/>
  <c r="AD100" i="57"/>
  <c r="AD99" i="57"/>
  <c r="AD211" i="57"/>
  <c r="AD59" i="57"/>
  <c r="AD177" i="57"/>
  <c r="AD161" i="57"/>
  <c r="AD165" i="57"/>
  <c r="AD168" i="57"/>
  <c r="AD204" i="57"/>
  <c r="AD200" i="57"/>
  <c r="AD140" i="57"/>
  <c r="AD206" i="57"/>
  <c r="AD193" i="57"/>
  <c r="AD207" i="57"/>
  <c r="AD194" i="57"/>
  <c r="AD208" i="57"/>
  <c r="AD162" i="57"/>
  <c r="AD196" i="57"/>
  <c r="AD210" i="57"/>
  <c r="AD97" i="57"/>
  <c r="AD174" i="57"/>
  <c r="AD175" i="57"/>
  <c r="AD158" i="57"/>
  <c r="AD55" i="57"/>
  <c r="AD213" i="57"/>
  <c r="AD157" i="57"/>
  <c r="AD138" i="57"/>
  <c r="AD191" i="57"/>
  <c r="AD154" i="57"/>
  <c r="AD197" i="57"/>
  <c r="AD192" i="57"/>
  <c r="AD163" i="57"/>
  <c r="AD101" i="57"/>
  <c r="AD102" i="57"/>
  <c r="AD49" i="57"/>
  <c r="AD105" i="57"/>
  <c r="AD141" i="57"/>
  <c r="AD199" i="57"/>
  <c r="AD57" i="57"/>
  <c r="AD160" i="57"/>
  <c r="AD169" i="57"/>
  <c r="AD139" i="57"/>
  <c r="AD202" i="57"/>
  <c r="AD195" i="57"/>
  <c r="AD159" i="57"/>
  <c r="AD172" i="57"/>
  <c r="AD209" i="57"/>
  <c r="AD103" i="57"/>
  <c r="AD54" i="57"/>
  <c r="AD189" i="57"/>
  <c r="AD104" i="57"/>
  <c r="AD156" i="57"/>
  <c r="AD170" i="57"/>
  <c r="AD205" i="57"/>
  <c r="AD164" i="57"/>
  <c r="AD153" i="57"/>
  <c r="AD212" i="57"/>
  <c r="AD176" i="57"/>
  <c r="AD201" i="57"/>
  <c r="AD68" i="57"/>
  <c r="AD62" i="57"/>
  <c r="AD65" i="57"/>
  <c r="AD53" i="57"/>
  <c r="AD48" i="57"/>
  <c r="AD64" i="57"/>
  <c r="AD60" i="57"/>
  <c r="AD51" i="57"/>
  <c r="AD67" i="57"/>
  <c r="AD50" i="57"/>
  <c r="AD45" i="57"/>
  <c r="AD47" i="57"/>
  <c r="AD61" i="57"/>
  <c r="AD58" i="57"/>
  <c r="AD52" i="57"/>
  <c r="AD63" i="57"/>
  <c r="AD56" i="57"/>
  <c r="AD46" i="57"/>
  <c r="AD66" i="57"/>
  <c r="AD69" i="57"/>
  <c r="AD134" i="57"/>
  <c r="AD135" i="57"/>
  <c r="AD137" i="57"/>
  <c r="AB177" i="57"/>
  <c r="N119" i="57"/>
  <c r="O119" i="57" s="1"/>
  <c r="C142" i="57"/>
  <c r="A143" i="57"/>
  <c r="B143" i="57" s="1"/>
  <c r="D142" i="57"/>
  <c r="E142" i="57"/>
  <c r="F142" i="57"/>
  <c r="G142" i="57"/>
  <c r="H142" i="57"/>
  <c r="I142" i="57"/>
  <c r="J142" i="57"/>
  <c r="K142" i="57"/>
  <c r="L142" i="57"/>
  <c r="M142" i="57"/>
  <c r="N142" i="57"/>
  <c r="O142" i="57"/>
  <c r="P142" i="57"/>
  <c r="Q142" i="57"/>
  <c r="R142" i="57"/>
  <c r="S142" i="57"/>
  <c r="T142" i="57"/>
  <c r="U142" i="57"/>
  <c r="V142" i="57"/>
  <c r="W142" i="57"/>
  <c r="X142" i="57"/>
  <c r="Y142" i="57"/>
  <c r="Z142" i="57"/>
  <c r="AA142" i="57"/>
  <c r="AC142" i="57"/>
  <c r="Y131" i="57"/>
  <c r="Z131" i="57" s="1"/>
  <c r="A71" i="57"/>
  <c r="B71" i="57" s="1"/>
  <c r="C70" i="57"/>
  <c r="D70" i="57"/>
  <c r="E70" i="57"/>
  <c r="F70" i="57"/>
  <c r="G70" i="57"/>
  <c r="H70" i="57"/>
  <c r="I70" i="57"/>
  <c r="J70" i="57"/>
  <c r="K70" i="57"/>
  <c r="L70" i="57"/>
  <c r="M70" i="57"/>
  <c r="N70" i="57"/>
  <c r="O70" i="57"/>
  <c r="P70" i="57"/>
  <c r="Q70" i="57"/>
  <c r="R70" i="57"/>
  <c r="S70" i="57"/>
  <c r="T70" i="57"/>
  <c r="U70" i="57"/>
  <c r="V70" i="57"/>
  <c r="W70" i="57"/>
  <c r="X70" i="57"/>
  <c r="Y70" i="57"/>
  <c r="Z70" i="57"/>
  <c r="AC70" i="57"/>
  <c r="AA70" i="57"/>
  <c r="P122" i="57"/>
  <c r="Q122" i="57" s="1"/>
  <c r="K117" i="57"/>
  <c r="A215" i="57"/>
  <c r="B215" i="57" s="1"/>
  <c r="C214" i="57"/>
  <c r="D214" i="57"/>
  <c r="E214" i="57"/>
  <c r="F214" i="57"/>
  <c r="G214" i="57"/>
  <c r="H214" i="57"/>
  <c r="I214" i="57"/>
  <c r="J214" i="57"/>
  <c r="K214" i="57"/>
  <c r="L214" i="57"/>
  <c r="M214" i="57"/>
  <c r="N214" i="57"/>
  <c r="O214" i="57"/>
  <c r="P214" i="57"/>
  <c r="Q214" i="57"/>
  <c r="R214" i="57"/>
  <c r="S214" i="57"/>
  <c r="T214" i="57"/>
  <c r="U214" i="57"/>
  <c r="V214" i="57"/>
  <c r="W214" i="57"/>
  <c r="X214" i="57"/>
  <c r="Y214" i="57"/>
  <c r="Z214" i="57"/>
  <c r="AC214" i="57"/>
  <c r="AA214" i="57"/>
  <c r="AA177" i="57"/>
  <c r="AD136" i="57"/>
  <c r="P121" i="57"/>
  <c r="V127" i="57"/>
  <c r="O120" i="57"/>
  <c r="A179" i="57"/>
  <c r="B179" i="57" s="1"/>
  <c r="C178" i="57"/>
  <c r="D178" i="57"/>
  <c r="E178" i="57"/>
  <c r="F178" i="57"/>
  <c r="G178" i="57"/>
  <c r="H178" i="57"/>
  <c r="I178" i="57"/>
  <c r="J178" i="57"/>
  <c r="K178" i="57"/>
  <c r="L178" i="57"/>
  <c r="M178" i="57"/>
  <c r="N178" i="57"/>
  <c r="O178" i="57"/>
  <c r="P178" i="57"/>
  <c r="Q178" i="57"/>
  <c r="R178" i="57"/>
  <c r="S178" i="57"/>
  <c r="T178" i="57"/>
  <c r="U178" i="57"/>
  <c r="V178" i="57"/>
  <c r="W178" i="57"/>
  <c r="X178" i="57"/>
  <c r="Y178" i="57"/>
  <c r="Z178" i="57"/>
  <c r="AA178" i="57"/>
  <c r="AC178" i="57"/>
  <c r="AC177" i="57"/>
  <c r="AB141" i="57"/>
  <c r="AB69" i="57"/>
  <c r="AA213" i="57"/>
  <c r="W128" i="57"/>
  <c r="AB105" i="57"/>
  <c r="B111" i="57"/>
  <c r="W126" i="57"/>
  <c r="Y130" i="57"/>
  <c r="R124" i="57"/>
  <c r="Z444" i="80"/>
  <c r="Z101" i="47" s="1"/>
  <c r="AG73" i="80"/>
  <c r="AB12" i="57"/>
  <c r="AC12" i="57" s="1"/>
  <c r="AD12" i="57" s="1"/>
  <c r="W39" i="57"/>
  <c r="Z9" i="57"/>
  <c r="X39" i="57"/>
  <c r="AG377" i="80"/>
  <c r="AA269" i="80"/>
  <c r="AA345" i="80"/>
  <c r="AD13" i="57"/>
  <c r="Y10" i="57"/>
  <c r="Y39" i="57" s="1"/>
  <c r="AD15" i="57"/>
  <c r="N33" i="55"/>
  <c r="W80" i="47"/>
  <c r="W6" i="60"/>
  <c r="X15" i="47"/>
  <c r="Y48" i="72"/>
  <c r="Z35" i="72"/>
  <c r="Y52" i="72"/>
  <c r="Z39" i="72"/>
  <c r="A187" i="80"/>
  <c r="A300" i="80"/>
  <c r="Y55" i="72"/>
  <c r="Z42" i="72"/>
  <c r="Y51" i="72"/>
  <c r="Z38" i="72"/>
  <c r="AA231" i="80"/>
  <c r="AD160" i="47"/>
  <c r="AD33" i="60" s="1"/>
  <c r="AA117" i="80"/>
  <c r="AG301" i="80"/>
  <c r="Z10" i="57"/>
  <c r="Y49" i="72"/>
  <c r="Z36" i="72"/>
  <c r="AC28" i="60"/>
  <c r="AB44" i="60"/>
  <c r="A37" i="80"/>
  <c r="A430" i="80"/>
  <c r="Y54" i="72"/>
  <c r="Z41" i="72"/>
  <c r="Y47" i="72"/>
  <c r="Z34" i="72"/>
  <c r="A150" i="80"/>
  <c r="A263" i="80"/>
  <c r="A377" i="80" s="1"/>
  <c r="A112" i="80"/>
  <c r="A225" i="80"/>
  <c r="AE2" i="57"/>
  <c r="AD38" i="57"/>
  <c r="AD37" i="57"/>
  <c r="AD34" i="57"/>
  <c r="AD35" i="57"/>
  <c r="AD36" i="57"/>
  <c r="AD31" i="57"/>
  <c r="AD20" i="57"/>
  <c r="AD29" i="57"/>
  <c r="AD24" i="57"/>
  <c r="AD32" i="57"/>
  <c r="AD17" i="57"/>
  <c r="AD23" i="57"/>
  <c r="AD25" i="57"/>
  <c r="AD33" i="57"/>
  <c r="AD22" i="57"/>
  <c r="AD21" i="57"/>
  <c r="AD28" i="57"/>
  <c r="AD26" i="57"/>
  <c r="AD27" i="57"/>
  <c r="AD30" i="57"/>
  <c r="AD19" i="57"/>
  <c r="AD18" i="57"/>
  <c r="AD16" i="57"/>
  <c r="AD14" i="57"/>
  <c r="AE14" i="57" s="1"/>
  <c r="AD11" i="57"/>
  <c r="AE11" i="57" s="1"/>
  <c r="Y53" i="72"/>
  <c r="Z40" i="72"/>
  <c r="AA9" i="57"/>
  <c r="AB9" i="57" s="1"/>
  <c r="Z443" i="80"/>
  <c r="AA440" i="80" s="1"/>
  <c r="Y101" i="47"/>
  <c r="Y392" i="80"/>
  <c r="AB2" i="47"/>
  <c r="AB50" i="60"/>
  <c r="AG225" i="80"/>
  <c r="AG429" i="80"/>
  <c r="AA435" i="80"/>
  <c r="AA155" i="80"/>
  <c r="AG111" i="80"/>
  <c r="AA193" i="80"/>
  <c r="AF74" i="80"/>
  <c r="AB56" i="80"/>
  <c r="AC74" i="80"/>
  <c r="AD74" i="80"/>
  <c r="AE74" i="80"/>
  <c r="AB74" i="80"/>
  <c r="AB208" i="80"/>
  <c r="AF226" i="80"/>
  <c r="AB226" i="80"/>
  <c r="AC226" i="80"/>
  <c r="AE226" i="80"/>
  <c r="AD226" i="80"/>
  <c r="AF340" i="80"/>
  <c r="AB340" i="80"/>
  <c r="AD340" i="80"/>
  <c r="AC340" i="80"/>
  <c r="AE340" i="80"/>
  <c r="AB322" i="80"/>
  <c r="AE36" i="80"/>
  <c r="AF36" i="80"/>
  <c r="AB18" i="80"/>
  <c r="AC36" i="80"/>
  <c r="AD36" i="80"/>
  <c r="AB36" i="80"/>
  <c r="AA79" i="80"/>
  <c r="AF430" i="80"/>
  <c r="AC430" i="80"/>
  <c r="AE430" i="80"/>
  <c r="AB400" i="80"/>
  <c r="AB402" i="80" s="1"/>
  <c r="AB430" i="80"/>
  <c r="AD430" i="80"/>
  <c r="AF302" i="80"/>
  <c r="AB284" i="80"/>
  <c r="AB302" i="80"/>
  <c r="AE302" i="80"/>
  <c r="AD302" i="80"/>
  <c r="AC302" i="80"/>
  <c r="AF112" i="80"/>
  <c r="AB94" i="80"/>
  <c r="AB112" i="80"/>
  <c r="AC112" i="80"/>
  <c r="AD112" i="80"/>
  <c r="AE112" i="80"/>
  <c r="AG35" i="80"/>
  <c r="AG149" i="80"/>
  <c r="AG263" i="80"/>
  <c r="AG339" i="80"/>
  <c r="AC188" i="80"/>
  <c r="AB170" i="80"/>
  <c r="AD188" i="80"/>
  <c r="AB188" i="80"/>
  <c r="AF188" i="80"/>
  <c r="AE188" i="80"/>
  <c r="AE264" i="80"/>
  <c r="AF264" i="80"/>
  <c r="AD264" i="80"/>
  <c r="AB246" i="80"/>
  <c r="AC264" i="80"/>
  <c r="AB264" i="80"/>
  <c r="AD4" i="60"/>
  <c r="AC48" i="60"/>
  <c r="AA383" i="80"/>
  <c r="AF4" i="47"/>
  <c r="AE35" i="47"/>
  <c r="AE49" i="47" s="1"/>
  <c r="AE159" i="47"/>
  <c r="AE40" i="60" s="1"/>
  <c r="AE27" i="47"/>
  <c r="AE95" i="47"/>
  <c r="AE28" i="47"/>
  <c r="AG187" i="80"/>
  <c r="AC86" i="80"/>
  <c r="AC4" i="80"/>
  <c r="AD2" i="80"/>
  <c r="AC48" i="80"/>
  <c r="AC401" i="80"/>
  <c r="AC238" i="80"/>
  <c r="AC352" i="80"/>
  <c r="AC446" i="80"/>
  <c r="AC314" i="80"/>
  <c r="AC162" i="80"/>
  <c r="AC200" i="80"/>
  <c r="AC276" i="80"/>
  <c r="AC10" i="80"/>
  <c r="AC124" i="80"/>
  <c r="AB378" i="80"/>
  <c r="AD378" i="80"/>
  <c r="AC378" i="80"/>
  <c r="AF378" i="80"/>
  <c r="AE378" i="80"/>
  <c r="AB360" i="80"/>
  <c r="AF150" i="80"/>
  <c r="AE150" i="80"/>
  <c r="AB132" i="80"/>
  <c r="AD150" i="80"/>
  <c r="AC150" i="80"/>
  <c r="AB150" i="80"/>
  <c r="AA307" i="80"/>
  <c r="AD40" i="55"/>
  <c r="W40" i="55"/>
  <c r="X40" i="55" s="1"/>
  <c r="B41" i="55"/>
  <c r="K21" i="75" l="1"/>
  <c r="J33" i="75"/>
  <c r="X20" i="75"/>
  <c r="W32" i="75"/>
  <c r="X22" i="75"/>
  <c r="W34" i="75"/>
  <c r="K65" i="75"/>
  <c r="K66" i="75" s="1"/>
  <c r="Y12" i="75"/>
  <c r="Z12" i="75" s="1"/>
  <c r="AA12" i="75" s="1"/>
  <c r="AB12" i="75" s="1"/>
  <c r="AC12" i="75" s="1"/>
  <c r="AD12" i="75" s="1"/>
  <c r="AE12" i="75" s="1"/>
  <c r="AF12" i="75" s="1"/>
  <c r="AG12" i="75" s="1"/>
  <c r="X26" i="75"/>
  <c r="X39" i="75"/>
  <c r="AC13" i="75"/>
  <c r="AD13" i="75" s="1"/>
  <c r="AE13" i="75" s="1"/>
  <c r="AF13" i="75" s="1"/>
  <c r="AG13" i="75" s="1"/>
  <c r="AG14" i="75" s="1"/>
  <c r="AG40" i="75" s="1"/>
  <c r="AB27" i="75"/>
  <c r="AB14" i="75"/>
  <c r="AB40" i="75" s="1"/>
  <c r="O73" i="75"/>
  <c r="O44" i="75" s="1"/>
  <c r="P72" i="75"/>
  <c r="Q72" i="75" s="1"/>
  <c r="R72" i="75" s="1"/>
  <c r="X49" i="75"/>
  <c r="Q50" i="72"/>
  <c r="R37" i="72"/>
  <c r="AB345" i="80"/>
  <c r="AF286" i="57"/>
  <c r="AE286" i="57"/>
  <c r="AB286" i="57"/>
  <c r="AD322" i="57"/>
  <c r="AD250" i="57"/>
  <c r="AC250" i="57"/>
  <c r="AB250" i="57"/>
  <c r="AE250" i="57"/>
  <c r="AC286" i="57"/>
  <c r="A288" i="57"/>
  <c r="V287" i="57"/>
  <c r="R287" i="57"/>
  <c r="Z287" i="57"/>
  <c r="G287" i="57"/>
  <c r="N287" i="57"/>
  <c r="Y287" i="57"/>
  <c r="F287" i="57"/>
  <c r="X287" i="57"/>
  <c r="C287" i="57"/>
  <c r="L287" i="57"/>
  <c r="U287" i="57"/>
  <c r="T287" i="57"/>
  <c r="Q287" i="57"/>
  <c r="P287" i="57"/>
  <c r="D287" i="57"/>
  <c r="W287" i="57"/>
  <c r="M287" i="57"/>
  <c r="AB287" i="57"/>
  <c r="K287" i="57"/>
  <c r="H287" i="57"/>
  <c r="I287" i="57"/>
  <c r="AA287" i="57"/>
  <c r="S287" i="57"/>
  <c r="O287" i="57"/>
  <c r="E287" i="57"/>
  <c r="J287" i="57"/>
  <c r="B287" i="57"/>
  <c r="AC287" i="57" s="1"/>
  <c r="AG249" i="57"/>
  <c r="AG285" i="57"/>
  <c r="AH6" i="74"/>
  <c r="AB322" i="57"/>
  <c r="AG321" i="57"/>
  <c r="AE322" i="57"/>
  <c r="R323" i="57"/>
  <c r="X323" i="57"/>
  <c r="G323" i="57"/>
  <c r="W323" i="57"/>
  <c r="K323" i="57"/>
  <c r="AA323" i="57"/>
  <c r="O323" i="57"/>
  <c r="H323" i="57"/>
  <c r="M323" i="57"/>
  <c r="C323" i="57"/>
  <c r="S323" i="57"/>
  <c r="L323" i="57"/>
  <c r="J323" i="57"/>
  <c r="T323" i="57"/>
  <c r="AB323" i="57"/>
  <c r="F323" i="57"/>
  <c r="Z323" i="57"/>
  <c r="E323" i="57"/>
  <c r="N323" i="57"/>
  <c r="V323" i="57"/>
  <c r="U323" i="57"/>
  <c r="I323" i="57"/>
  <c r="Q323" i="57"/>
  <c r="P323" i="57"/>
  <c r="Y323" i="57"/>
  <c r="D323" i="57"/>
  <c r="A324" i="57"/>
  <c r="B323" i="57"/>
  <c r="AD323" i="57" s="1"/>
  <c r="E251" i="57"/>
  <c r="I251" i="57"/>
  <c r="M251" i="57"/>
  <c r="Q251" i="57"/>
  <c r="U251" i="57"/>
  <c r="F251" i="57"/>
  <c r="K251" i="57"/>
  <c r="P251" i="57"/>
  <c r="V251" i="57"/>
  <c r="Z251" i="57"/>
  <c r="G251" i="57"/>
  <c r="L251" i="57"/>
  <c r="R251" i="57"/>
  <c r="W251" i="57"/>
  <c r="AA251" i="57"/>
  <c r="D251" i="57"/>
  <c r="H251" i="57"/>
  <c r="N251" i="57"/>
  <c r="S251" i="57"/>
  <c r="X251" i="57"/>
  <c r="AB251" i="57"/>
  <c r="C251" i="57"/>
  <c r="J251" i="57"/>
  <c r="O251" i="57"/>
  <c r="T251" i="57"/>
  <c r="Y251" i="57"/>
  <c r="A252" i="57"/>
  <c r="B251" i="57"/>
  <c r="AC251" i="57" s="1"/>
  <c r="AC322" i="57"/>
  <c r="X90" i="57"/>
  <c r="Y90" i="57" s="1"/>
  <c r="AH5" i="74"/>
  <c r="U71" i="75"/>
  <c r="Y71" i="75"/>
  <c r="U88" i="57"/>
  <c r="V88" i="57" s="1"/>
  <c r="Z74" i="89"/>
  <c r="AA49" i="89"/>
  <c r="M297" i="57"/>
  <c r="U306" i="57"/>
  <c r="V306" i="57" s="1"/>
  <c r="W306" i="57" s="1"/>
  <c r="AD314" i="57"/>
  <c r="AE314" i="57" s="1"/>
  <c r="W307" i="57"/>
  <c r="X307" i="57" s="1"/>
  <c r="Q299" i="57"/>
  <c r="R299" i="57" s="1"/>
  <c r="AC311" i="57"/>
  <c r="U305" i="57"/>
  <c r="N298" i="57"/>
  <c r="AA312" i="57"/>
  <c r="AF315" i="57"/>
  <c r="AG315" i="57" s="1"/>
  <c r="W308" i="57"/>
  <c r="O298" i="57"/>
  <c r="T304" i="57"/>
  <c r="U304" i="57" s="1"/>
  <c r="P300" i="57"/>
  <c r="AC313" i="57"/>
  <c r="AD313" i="57" s="1"/>
  <c r="AE316" i="57"/>
  <c r="AF316" i="57" s="1"/>
  <c r="R302" i="57"/>
  <c r="Z309" i="57"/>
  <c r="S303" i="57"/>
  <c r="T301" i="57"/>
  <c r="AD311" i="57"/>
  <c r="AB310" i="57"/>
  <c r="AC310" i="57" s="1"/>
  <c r="Z93" i="57"/>
  <c r="AA93" i="57" s="1"/>
  <c r="AB93" i="57" s="1"/>
  <c r="W92" i="57"/>
  <c r="X92" i="57" s="1"/>
  <c r="AC94" i="57"/>
  <c r="AD94" i="57" s="1"/>
  <c r="AE94" i="57" s="1"/>
  <c r="W89" i="57"/>
  <c r="X89" i="57" s="1"/>
  <c r="Q85" i="57"/>
  <c r="R85" i="57" s="1"/>
  <c r="M111" i="57"/>
  <c r="N82" i="57"/>
  <c r="O82" i="57" s="1"/>
  <c r="S84" i="57"/>
  <c r="W91" i="57"/>
  <c r="X91" i="57" s="1"/>
  <c r="N81" i="57"/>
  <c r="U87" i="57"/>
  <c r="L111" i="57"/>
  <c r="R83" i="57"/>
  <c r="S83" i="57" s="1"/>
  <c r="U86" i="57"/>
  <c r="V86" i="57" s="1"/>
  <c r="AA95" i="57"/>
  <c r="AG29" i="75"/>
  <c r="AF17" i="75"/>
  <c r="AF43" i="75" s="1"/>
  <c r="AF29" i="75"/>
  <c r="AD41" i="75"/>
  <c r="AD28" i="75"/>
  <c r="AF47" i="75"/>
  <c r="AF31" i="75"/>
  <c r="Y17" i="75"/>
  <c r="Y43" i="75" s="1"/>
  <c r="Y29" i="75"/>
  <c r="AE31" i="75"/>
  <c r="AE47" i="75"/>
  <c r="AC31" i="75"/>
  <c r="AC47" i="75"/>
  <c r="X17" i="75"/>
  <c r="X43" i="75" s="1"/>
  <c r="X29" i="75"/>
  <c r="Y41" i="75"/>
  <c r="Y28" i="75"/>
  <c r="Y27" i="75"/>
  <c r="Y14" i="75"/>
  <c r="Y40" i="75" s="1"/>
  <c r="AC28" i="75"/>
  <c r="AC41" i="75"/>
  <c r="AE17" i="75"/>
  <c r="AE43" i="75" s="1"/>
  <c r="AE29" i="75"/>
  <c r="AA30" i="75"/>
  <c r="AA45" i="75"/>
  <c r="Y26" i="75"/>
  <c r="Z47" i="75"/>
  <c r="Z31" i="75"/>
  <c r="W31" i="75"/>
  <c r="W47" i="75"/>
  <c r="V31" i="75"/>
  <c r="V47" i="75"/>
  <c r="W14" i="75"/>
  <c r="W40" i="75" s="1"/>
  <c r="W27" i="75"/>
  <c r="W28" i="75"/>
  <c r="W41" i="75"/>
  <c r="T47" i="75"/>
  <c r="T31" i="75"/>
  <c r="T26" i="75"/>
  <c r="T39" i="75"/>
  <c r="W26" i="75"/>
  <c r="W39" i="75"/>
  <c r="S30" i="75"/>
  <c r="S45" i="75"/>
  <c r="S27" i="75"/>
  <c r="S14" i="75"/>
  <c r="S40" i="75" s="1"/>
  <c r="S26" i="75"/>
  <c r="S39" i="75"/>
  <c r="BM72" i="75"/>
  <c r="BM73" i="75" s="1"/>
  <c r="BM44" i="75" s="1"/>
  <c r="N73" i="75"/>
  <c r="N44" i="75" s="1"/>
  <c r="N17" i="75"/>
  <c r="N43" i="75" s="1"/>
  <c r="N29" i="75"/>
  <c r="Q14" i="75"/>
  <c r="Q40" i="75" s="1"/>
  <c r="Q27" i="75"/>
  <c r="N30" i="75"/>
  <c r="N45" i="75"/>
  <c r="Q45" i="75"/>
  <c r="Q30" i="75"/>
  <c r="Q26" i="75"/>
  <c r="Q39" i="75"/>
  <c r="R14" i="75"/>
  <c r="R40" i="75" s="1"/>
  <c r="R27" i="75"/>
  <c r="O28" i="75"/>
  <c r="O41" i="75"/>
  <c r="P49" i="75"/>
  <c r="O49" i="75"/>
  <c r="L26" i="75"/>
  <c r="L39" i="75"/>
  <c r="P31" i="75"/>
  <c r="P47" i="75"/>
  <c r="BK72" i="75"/>
  <c r="BK73" i="75" s="1"/>
  <c r="BK44" i="75" s="1"/>
  <c r="L73" i="75"/>
  <c r="L44" i="75" s="1"/>
  <c r="J45" i="75"/>
  <c r="J30" i="75"/>
  <c r="K29" i="75"/>
  <c r="K17" i="75"/>
  <c r="K43" i="75" s="1"/>
  <c r="J47" i="75"/>
  <c r="J31" i="75"/>
  <c r="J26" i="75"/>
  <c r="J39" i="75"/>
  <c r="I31" i="75"/>
  <c r="I47" i="75"/>
  <c r="H39" i="75"/>
  <c r="H26" i="75"/>
  <c r="I32" i="75"/>
  <c r="I49" i="75"/>
  <c r="E47" i="75"/>
  <c r="E31" i="75"/>
  <c r="J14" i="75"/>
  <c r="J40" i="75" s="1"/>
  <c r="J27" i="75"/>
  <c r="D49" i="75"/>
  <c r="D32" i="75"/>
  <c r="D41" i="75"/>
  <c r="D28" i="75"/>
  <c r="BG72" i="75"/>
  <c r="BG73" i="75" s="1"/>
  <c r="BG44" i="75" s="1"/>
  <c r="H73" i="75"/>
  <c r="H44" i="75" s="1"/>
  <c r="I28" i="75"/>
  <c r="I41" i="75"/>
  <c r="F41" i="75"/>
  <c r="F28" i="75"/>
  <c r="H49" i="75"/>
  <c r="H32" i="75"/>
  <c r="E32" i="75"/>
  <c r="E49" i="75"/>
  <c r="AG47" i="75"/>
  <c r="AG31" i="75"/>
  <c r="AD31" i="75"/>
  <c r="AD47" i="75"/>
  <c r="AA31" i="75"/>
  <c r="AA47" i="75"/>
  <c r="AD17" i="75"/>
  <c r="AD43" i="75" s="1"/>
  <c r="AD29" i="75"/>
  <c r="AB29" i="75"/>
  <c r="AB17" i="75"/>
  <c r="AB43" i="75" s="1"/>
  <c r="AB31" i="75"/>
  <c r="AB47" i="75"/>
  <c r="AC30" i="75"/>
  <c r="AC45" i="75"/>
  <c r="X41" i="75"/>
  <c r="X28" i="75"/>
  <c r="X14" i="75"/>
  <c r="X40" i="75" s="1"/>
  <c r="X27" i="75"/>
  <c r="W30" i="75"/>
  <c r="W45" i="75"/>
  <c r="V26" i="75"/>
  <c r="V39" i="75"/>
  <c r="V28" i="75"/>
  <c r="V41" i="75"/>
  <c r="U28" i="75"/>
  <c r="U41" i="75"/>
  <c r="T29" i="75"/>
  <c r="T17" i="75"/>
  <c r="T43" i="75" s="1"/>
  <c r="T49" i="75"/>
  <c r="U26" i="75"/>
  <c r="U39" i="75"/>
  <c r="U14" i="75"/>
  <c r="U40" i="75" s="1"/>
  <c r="U27" i="75"/>
  <c r="S31" i="75"/>
  <c r="S47" i="75"/>
  <c r="N27" i="75"/>
  <c r="N14" i="75"/>
  <c r="N40" i="75" s="1"/>
  <c r="Q29" i="75"/>
  <c r="Q17" i="75"/>
  <c r="Q43" i="75" s="1"/>
  <c r="Q41" i="75"/>
  <c r="Q28" i="75"/>
  <c r="R31" i="75"/>
  <c r="R47" i="75"/>
  <c r="R17" i="75"/>
  <c r="R43" i="75" s="1"/>
  <c r="R29" i="75"/>
  <c r="M47" i="75"/>
  <c r="M31" i="75"/>
  <c r="M45" i="75"/>
  <c r="M30" i="75"/>
  <c r="BL72" i="75"/>
  <c r="BL73" i="75" s="1"/>
  <c r="BL44" i="75" s="1"/>
  <c r="M73" i="75"/>
  <c r="M44" i="75" s="1"/>
  <c r="L14" i="75"/>
  <c r="L40" i="75" s="1"/>
  <c r="L27" i="75"/>
  <c r="M49" i="75"/>
  <c r="P27" i="75"/>
  <c r="P14" i="75"/>
  <c r="P40" i="75" s="1"/>
  <c r="O45" i="75"/>
  <c r="O30" i="75"/>
  <c r="P29" i="75"/>
  <c r="P17" i="75"/>
  <c r="P43" i="75" s="1"/>
  <c r="K39" i="75"/>
  <c r="K26" i="75"/>
  <c r="BI72" i="75"/>
  <c r="BI73" i="75" s="1"/>
  <c r="BI44" i="75" s="1"/>
  <c r="J73" i="75"/>
  <c r="J44" i="75" s="1"/>
  <c r="K32" i="75"/>
  <c r="K49" i="75"/>
  <c r="K28" i="75"/>
  <c r="K41" i="75"/>
  <c r="H14" i="75"/>
  <c r="H40" i="75" s="1"/>
  <c r="H27" i="75"/>
  <c r="F45" i="75"/>
  <c r="F30" i="75"/>
  <c r="BF72" i="75"/>
  <c r="BF73" i="75" s="1"/>
  <c r="BF44" i="75" s="1"/>
  <c r="G73" i="75"/>
  <c r="G44" i="75" s="1"/>
  <c r="H47" i="75"/>
  <c r="H31" i="75"/>
  <c r="J17" i="75"/>
  <c r="J43" i="75" s="1"/>
  <c r="J29" i="75"/>
  <c r="G14" i="75"/>
  <c r="G40" i="75" s="1"/>
  <c r="G27" i="75"/>
  <c r="E14" i="75"/>
  <c r="E40" i="75" s="1"/>
  <c r="E27" i="75"/>
  <c r="BH72" i="75"/>
  <c r="BH73" i="75" s="1"/>
  <c r="BH44" i="75" s="1"/>
  <c r="I73" i="75"/>
  <c r="I44" i="75" s="1"/>
  <c r="D30" i="75"/>
  <c r="D45" i="75"/>
  <c r="E39" i="75"/>
  <c r="E26" i="75"/>
  <c r="H41" i="75"/>
  <c r="H28" i="75"/>
  <c r="G30" i="75"/>
  <c r="G45" i="75"/>
  <c r="AG45" i="75"/>
  <c r="AG30" i="75"/>
  <c r="AE41" i="75"/>
  <c r="AE28" i="75"/>
  <c r="AC17" i="75"/>
  <c r="AC43" i="75" s="1"/>
  <c r="AC29" i="75"/>
  <c r="AE45" i="75"/>
  <c r="AE30" i="75"/>
  <c r="AA17" i="75"/>
  <c r="AA43" i="75" s="1"/>
  <c r="AA29" i="75"/>
  <c r="AD30" i="75"/>
  <c r="AD45" i="75"/>
  <c r="AB45" i="75"/>
  <c r="AB30" i="75"/>
  <c r="X31" i="75"/>
  <c r="X47" i="75"/>
  <c r="AA41" i="75"/>
  <c r="AA28" i="75"/>
  <c r="V14" i="75"/>
  <c r="V40" i="75" s="1"/>
  <c r="V27" i="75"/>
  <c r="V30" i="75"/>
  <c r="V45" i="75"/>
  <c r="V29" i="75"/>
  <c r="V17" i="75"/>
  <c r="V43" i="75" s="1"/>
  <c r="W17" i="75"/>
  <c r="W43" i="75" s="1"/>
  <c r="W29" i="75"/>
  <c r="U31" i="75"/>
  <c r="U47" i="75"/>
  <c r="T30" i="75"/>
  <c r="T45" i="75"/>
  <c r="S49" i="75"/>
  <c r="S29" i="75"/>
  <c r="S17" i="75"/>
  <c r="S43" i="75" s="1"/>
  <c r="N31" i="75"/>
  <c r="N47" i="75"/>
  <c r="N28" i="75"/>
  <c r="N41" i="75"/>
  <c r="Q31" i="75"/>
  <c r="Q47" i="75"/>
  <c r="N49" i="75"/>
  <c r="M39" i="75"/>
  <c r="M26" i="75"/>
  <c r="M17" i="75"/>
  <c r="M43" i="75" s="1"/>
  <c r="M29" i="75"/>
  <c r="L49" i="75"/>
  <c r="L30" i="75"/>
  <c r="L45" i="75"/>
  <c r="M28" i="75"/>
  <c r="M41" i="75"/>
  <c r="O31" i="75"/>
  <c r="O47" i="75"/>
  <c r="P28" i="75"/>
  <c r="P41" i="75"/>
  <c r="M27" i="75"/>
  <c r="M14" i="75"/>
  <c r="M40" i="75" s="1"/>
  <c r="L28" i="75"/>
  <c r="L41" i="75"/>
  <c r="BJ72" i="75"/>
  <c r="BJ73" i="75" s="1"/>
  <c r="BJ44" i="75" s="1"/>
  <c r="K73" i="75"/>
  <c r="K44" i="75" s="1"/>
  <c r="K27" i="75"/>
  <c r="K14" i="75"/>
  <c r="K40" i="75" s="1"/>
  <c r="K47" i="75"/>
  <c r="K31" i="75"/>
  <c r="D29" i="75"/>
  <c r="D17" i="75"/>
  <c r="D43" i="75" s="1"/>
  <c r="I29" i="75"/>
  <c r="I17" i="75"/>
  <c r="I43" i="75" s="1"/>
  <c r="H30" i="75"/>
  <c r="H45" i="75"/>
  <c r="D26" i="75"/>
  <c r="D39" i="75"/>
  <c r="F17" i="75"/>
  <c r="F43" i="75" s="1"/>
  <c r="F29" i="75"/>
  <c r="BD72" i="75"/>
  <c r="BD73" i="75" s="1"/>
  <c r="BD44" i="75" s="1"/>
  <c r="E73" i="75"/>
  <c r="E44" i="75" s="1"/>
  <c r="D31" i="75"/>
  <c r="D47" i="75"/>
  <c r="D27" i="75"/>
  <c r="D14" i="75"/>
  <c r="D40" i="75" s="1"/>
  <c r="G26" i="75"/>
  <c r="G39" i="75"/>
  <c r="BC72" i="75"/>
  <c r="BC73" i="75" s="1"/>
  <c r="BC44" i="75" s="1"/>
  <c r="D73" i="75"/>
  <c r="D44" i="75" s="1"/>
  <c r="I14" i="75"/>
  <c r="I40" i="75" s="1"/>
  <c r="I27" i="75"/>
  <c r="G17" i="75"/>
  <c r="G43" i="75" s="1"/>
  <c r="G29" i="75"/>
  <c r="I30" i="75"/>
  <c r="I45" i="75"/>
  <c r="AG17" i="75"/>
  <c r="AG43" i="75" s="1"/>
  <c r="X30" i="75"/>
  <c r="X45" i="75"/>
  <c r="AA14" i="75"/>
  <c r="AA40" i="75" s="1"/>
  <c r="AA27" i="75"/>
  <c r="Y47" i="75"/>
  <c r="Y31" i="75"/>
  <c r="W49" i="75"/>
  <c r="Z28" i="75"/>
  <c r="Z41" i="75"/>
  <c r="Y30" i="75"/>
  <c r="Y45" i="75"/>
  <c r="AB41" i="75"/>
  <c r="AB28" i="75"/>
  <c r="Z17" i="75"/>
  <c r="Z43" i="75" s="1"/>
  <c r="Z29" i="75"/>
  <c r="Z30" i="75"/>
  <c r="Z45" i="75"/>
  <c r="Z14" i="75"/>
  <c r="Z40" i="75" s="1"/>
  <c r="Z27" i="75"/>
  <c r="V49" i="75"/>
  <c r="U17" i="75"/>
  <c r="U43" i="75" s="1"/>
  <c r="U29" i="75"/>
  <c r="T41" i="75"/>
  <c r="T28" i="75"/>
  <c r="T27" i="75"/>
  <c r="T14" i="75"/>
  <c r="T40" i="75" s="1"/>
  <c r="U45" i="75"/>
  <c r="U30" i="75"/>
  <c r="U49" i="75"/>
  <c r="R26" i="75"/>
  <c r="R39" i="75"/>
  <c r="S28" i="75"/>
  <c r="S41" i="75"/>
  <c r="Q49" i="75"/>
  <c r="N26" i="75"/>
  <c r="N39" i="75"/>
  <c r="R49" i="75"/>
  <c r="R30" i="75"/>
  <c r="R45" i="75"/>
  <c r="R28" i="75"/>
  <c r="R41" i="75"/>
  <c r="O39" i="75"/>
  <c r="O26" i="75"/>
  <c r="P30" i="75"/>
  <c r="P45" i="75"/>
  <c r="L47" i="75"/>
  <c r="L31" i="75"/>
  <c r="O17" i="75"/>
  <c r="O43" i="75" s="1"/>
  <c r="O29" i="75"/>
  <c r="L29" i="75"/>
  <c r="L17" i="75"/>
  <c r="L43" i="75" s="1"/>
  <c r="O27" i="75"/>
  <c r="O14" i="75"/>
  <c r="O40" i="75" s="1"/>
  <c r="P26" i="75"/>
  <c r="P39" i="75"/>
  <c r="K45" i="75"/>
  <c r="K30" i="75"/>
  <c r="J41" i="75"/>
  <c r="J28" i="75"/>
  <c r="J49" i="75"/>
  <c r="J32" i="75"/>
  <c r="F14" i="75"/>
  <c r="F40" i="75" s="1"/>
  <c r="F27" i="75"/>
  <c r="G49" i="75"/>
  <c r="G32" i="75"/>
  <c r="E30" i="75"/>
  <c r="E45" i="75"/>
  <c r="I26" i="75"/>
  <c r="I39" i="75"/>
  <c r="F26" i="75"/>
  <c r="F39" i="75"/>
  <c r="F47" i="75"/>
  <c r="F31" i="75"/>
  <c r="H17" i="75"/>
  <c r="H43" i="75" s="1"/>
  <c r="H29" i="75"/>
  <c r="G41" i="75"/>
  <c r="G28" i="75"/>
  <c r="E29" i="75"/>
  <c r="E17" i="75"/>
  <c r="E43" i="75" s="1"/>
  <c r="F49" i="75"/>
  <c r="F32" i="75"/>
  <c r="E41" i="75"/>
  <c r="E28" i="75"/>
  <c r="G31" i="75"/>
  <c r="G47" i="75"/>
  <c r="BE72" i="75"/>
  <c r="BE73" i="75" s="1"/>
  <c r="BE44" i="75" s="1"/>
  <c r="F73" i="75"/>
  <c r="F44" i="75" s="1"/>
  <c r="AA129" i="57"/>
  <c r="AB129" i="57" s="1"/>
  <c r="AC129" i="57" s="1"/>
  <c r="AD129" i="57" s="1"/>
  <c r="AE129" i="57" s="1"/>
  <c r="AE135" i="57"/>
  <c r="AA131" i="57"/>
  <c r="AB131" i="57" s="1"/>
  <c r="AC131" i="57" s="1"/>
  <c r="AD131" i="57" s="1"/>
  <c r="AE131" i="57" s="1"/>
  <c r="N118" i="57"/>
  <c r="O118" i="57" s="1"/>
  <c r="P118" i="57" s="1"/>
  <c r="Q118" i="57" s="1"/>
  <c r="AB142" i="57"/>
  <c r="Z392" i="80"/>
  <c r="AD106" i="57"/>
  <c r="AC133" i="57"/>
  <c r="W123" i="57"/>
  <c r="X123" i="57" s="1"/>
  <c r="Y123" i="57" s="1"/>
  <c r="Z123" i="57" s="1"/>
  <c r="AA123" i="57" s="1"/>
  <c r="AB123" i="57" s="1"/>
  <c r="AC123" i="57" s="1"/>
  <c r="AD123" i="57" s="1"/>
  <c r="AE123" i="57" s="1"/>
  <c r="X126" i="57"/>
  <c r="P120" i="57"/>
  <c r="Q120" i="57" s="1"/>
  <c r="AB214" i="57"/>
  <c r="AB70" i="57"/>
  <c r="C143" i="57"/>
  <c r="D143" i="57"/>
  <c r="E143" i="57"/>
  <c r="A144" i="57"/>
  <c r="B144" i="57" s="1"/>
  <c r="F143" i="57"/>
  <c r="G143" i="57"/>
  <c r="H143" i="57"/>
  <c r="I143" i="57"/>
  <c r="J143" i="57"/>
  <c r="K143" i="57"/>
  <c r="L143" i="57"/>
  <c r="M143" i="57"/>
  <c r="N143" i="57"/>
  <c r="O143" i="57"/>
  <c r="P143" i="57"/>
  <c r="Q143" i="57"/>
  <c r="R143" i="57"/>
  <c r="S143" i="57"/>
  <c r="T143" i="57"/>
  <c r="U143" i="57"/>
  <c r="V143" i="57"/>
  <c r="W143" i="57"/>
  <c r="X143" i="57"/>
  <c r="Y143" i="57"/>
  <c r="Z143" i="57"/>
  <c r="AE143" i="57"/>
  <c r="AA143" i="57"/>
  <c r="AB143" i="57"/>
  <c r="AD214" i="57"/>
  <c r="P119" i="57"/>
  <c r="Q119" i="57" s="1"/>
  <c r="Z130" i="57"/>
  <c r="AA130" i="57" s="1"/>
  <c r="X128" i="57"/>
  <c r="Y128" i="57" s="1"/>
  <c r="Z128" i="57" s="1"/>
  <c r="R122" i="57"/>
  <c r="S122" i="57" s="1"/>
  <c r="W127" i="57"/>
  <c r="X127" i="57" s="1"/>
  <c r="Y127" i="57" s="1"/>
  <c r="A180" i="57"/>
  <c r="B180" i="57" s="1"/>
  <c r="C179" i="57"/>
  <c r="D179" i="57"/>
  <c r="E179" i="57"/>
  <c r="F179" i="57"/>
  <c r="G179" i="57"/>
  <c r="H179" i="57"/>
  <c r="I179" i="57"/>
  <c r="J179" i="57"/>
  <c r="K179" i="57"/>
  <c r="L179" i="57"/>
  <c r="M179" i="57"/>
  <c r="N179" i="57"/>
  <c r="O179" i="57"/>
  <c r="P179" i="57"/>
  <c r="Q179" i="57"/>
  <c r="R179" i="57"/>
  <c r="S179" i="57"/>
  <c r="T179" i="57"/>
  <c r="U179" i="57"/>
  <c r="V179" i="57"/>
  <c r="W179" i="57"/>
  <c r="X179" i="57"/>
  <c r="Y179" i="57"/>
  <c r="Z179" i="57"/>
  <c r="AA179" i="57"/>
  <c r="AE179" i="57"/>
  <c r="AB179" i="57"/>
  <c r="L117" i="57"/>
  <c r="A108" i="57"/>
  <c r="B108" i="57" s="1"/>
  <c r="C107" i="57"/>
  <c r="D107" i="57"/>
  <c r="E107" i="57"/>
  <c r="F107" i="57"/>
  <c r="G107" i="57"/>
  <c r="H107" i="57"/>
  <c r="I107" i="57"/>
  <c r="J107" i="57"/>
  <c r="K107" i="57"/>
  <c r="L107" i="57"/>
  <c r="M107" i="57"/>
  <c r="N107" i="57"/>
  <c r="O107" i="57"/>
  <c r="P107" i="57"/>
  <c r="Q107" i="57"/>
  <c r="R107" i="57"/>
  <c r="S107" i="57"/>
  <c r="T107" i="57"/>
  <c r="U107" i="57"/>
  <c r="V107" i="57"/>
  <c r="W107" i="57"/>
  <c r="X107" i="57"/>
  <c r="Y107" i="57"/>
  <c r="Z107" i="57"/>
  <c r="AA107" i="57"/>
  <c r="AD107" i="57"/>
  <c r="AB107" i="57"/>
  <c r="S124" i="57"/>
  <c r="T124" i="57" s="1"/>
  <c r="U124" i="57" s="1"/>
  <c r="AE160" i="57"/>
  <c r="AE201" i="57"/>
  <c r="AE202" i="57"/>
  <c r="AE169" i="57"/>
  <c r="AE141" i="57"/>
  <c r="AE207" i="57"/>
  <c r="AE195" i="57"/>
  <c r="AE153" i="57"/>
  <c r="AE199" i="57"/>
  <c r="AE191" i="57"/>
  <c r="AE209" i="57"/>
  <c r="AE101" i="57"/>
  <c r="AE99" i="57"/>
  <c r="AE98" i="57"/>
  <c r="AE102" i="57"/>
  <c r="AE97" i="57"/>
  <c r="AE178" i="57"/>
  <c r="AE167" i="57"/>
  <c r="AE165" i="57"/>
  <c r="AE206" i="57"/>
  <c r="AE171" i="57"/>
  <c r="AE170" i="57"/>
  <c r="AE196" i="57"/>
  <c r="AE192" i="57"/>
  <c r="AE163" i="57"/>
  <c r="AE161" i="57"/>
  <c r="AE174" i="57"/>
  <c r="AE100" i="57"/>
  <c r="AE176" i="57"/>
  <c r="AE213" i="57"/>
  <c r="AE159" i="57"/>
  <c r="AE155" i="57"/>
  <c r="AE166" i="57"/>
  <c r="AE205" i="57"/>
  <c r="AE194" i="57"/>
  <c r="AE96" i="57"/>
  <c r="AE65" i="57"/>
  <c r="AE162" i="57"/>
  <c r="AE157" i="57"/>
  <c r="AE50" i="57"/>
  <c r="AE204" i="57"/>
  <c r="AE139" i="57"/>
  <c r="AE190" i="57"/>
  <c r="AE193" i="57"/>
  <c r="AE197" i="57"/>
  <c r="AE173" i="57"/>
  <c r="AE103" i="57"/>
  <c r="AE211" i="57"/>
  <c r="AE104" i="57"/>
  <c r="AE105" i="57"/>
  <c r="AE106" i="57"/>
  <c r="AE172" i="57"/>
  <c r="AE53" i="57"/>
  <c r="AE142" i="57"/>
  <c r="AE203" i="57"/>
  <c r="AE198" i="57"/>
  <c r="AE210" i="57"/>
  <c r="AE212" i="57"/>
  <c r="AE158" i="57"/>
  <c r="AE214" i="57"/>
  <c r="AE168" i="57"/>
  <c r="AE140" i="57"/>
  <c r="AE189" i="57"/>
  <c r="AE208" i="57"/>
  <c r="AE154" i="57"/>
  <c r="AE60" i="57"/>
  <c r="AE175" i="57"/>
  <c r="AE177" i="57"/>
  <c r="AE200" i="57"/>
  <c r="AE164" i="57"/>
  <c r="AE156" i="57"/>
  <c r="AE67" i="57"/>
  <c r="AE58" i="57"/>
  <c r="AE62" i="57"/>
  <c r="AE63" i="57"/>
  <c r="AE49" i="57"/>
  <c r="AE61" i="57"/>
  <c r="AE136" i="57"/>
  <c r="AE48" i="57"/>
  <c r="AE52" i="57"/>
  <c r="AE66" i="57"/>
  <c r="AE51" i="57"/>
  <c r="AE46" i="57"/>
  <c r="AE64" i="57"/>
  <c r="AE54" i="57"/>
  <c r="AE47" i="57"/>
  <c r="AE137" i="57"/>
  <c r="AE69" i="57"/>
  <c r="AE70" i="57"/>
  <c r="AE56" i="57"/>
  <c r="AE45" i="57"/>
  <c r="AE68" i="57"/>
  <c r="AE55" i="57"/>
  <c r="AE59" i="57"/>
  <c r="AE57" i="57"/>
  <c r="AE132" i="57"/>
  <c r="AE138" i="57"/>
  <c r="AB178" i="57"/>
  <c r="Q121" i="57"/>
  <c r="A216" i="57"/>
  <c r="B216" i="57" s="1"/>
  <c r="C215" i="57"/>
  <c r="D215" i="57"/>
  <c r="E215" i="57"/>
  <c r="F215" i="57"/>
  <c r="G215" i="57"/>
  <c r="H215" i="57"/>
  <c r="I215" i="57"/>
  <c r="J215" i="57"/>
  <c r="K215" i="57"/>
  <c r="L215" i="57"/>
  <c r="M215" i="57"/>
  <c r="N215" i="57"/>
  <c r="O215" i="57"/>
  <c r="P215" i="57"/>
  <c r="Q215" i="57"/>
  <c r="R215" i="57"/>
  <c r="S215" i="57"/>
  <c r="T215" i="57"/>
  <c r="U215" i="57"/>
  <c r="V215" i="57"/>
  <c r="W215" i="57"/>
  <c r="X215" i="57"/>
  <c r="Y215" i="57"/>
  <c r="Z215" i="57"/>
  <c r="AA215" i="57"/>
  <c r="AD215" i="57"/>
  <c r="AB215" i="57"/>
  <c r="A72" i="57"/>
  <c r="B72" i="57" s="1"/>
  <c r="C71" i="57"/>
  <c r="D71" i="57"/>
  <c r="E71" i="57"/>
  <c r="F71" i="57"/>
  <c r="G71" i="57"/>
  <c r="H71" i="57"/>
  <c r="I71" i="57"/>
  <c r="J71" i="57"/>
  <c r="K71" i="57"/>
  <c r="L71" i="57"/>
  <c r="M71" i="57"/>
  <c r="N71" i="57"/>
  <c r="O71" i="57"/>
  <c r="P71" i="57"/>
  <c r="Q71" i="57"/>
  <c r="R71" i="57"/>
  <c r="S71" i="57"/>
  <c r="T71" i="57"/>
  <c r="U71" i="57"/>
  <c r="V71" i="57"/>
  <c r="W71" i="57"/>
  <c r="X71" i="57"/>
  <c r="Y71" i="57"/>
  <c r="Z71" i="57"/>
  <c r="AA71" i="57"/>
  <c r="AB71" i="57"/>
  <c r="AE134" i="57"/>
  <c r="AD70" i="57"/>
  <c r="AD178" i="57"/>
  <c r="AD142" i="57"/>
  <c r="V125" i="57"/>
  <c r="W125" i="57" s="1"/>
  <c r="X125" i="57" s="1"/>
  <c r="Y125" i="57" s="1"/>
  <c r="AB106" i="57"/>
  <c r="AB117" i="80"/>
  <c r="AB231" i="80"/>
  <c r="AG264" i="80"/>
  <c r="AG188" i="80"/>
  <c r="AB383" i="80"/>
  <c r="X6" i="60"/>
  <c r="N34" i="55"/>
  <c r="Y15" i="47"/>
  <c r="Z71" i="75" s="1"/>
  <c r="X80" i="47"/>
  <c r="AB307" i="80"/>
  <c r="AG340" i="80"/>
  <c r="AG74" i="80"/>
  <c r="A113" i="80"/>
  <c r="A226" i="80"/>
  <c r="A264" i="80"/>
  <c r="A378" i="80" s="1"/>
  <c r="A151" i="80"/>
  <c r="Z39" i="57"/>
  <c r="AE160" i="47"/>
  <c r="AE33" i="60" s="1"/>
  <c r="Z47" i="72"/>
  <c r="AA34" i="72"/>
  <c r="AD28" i="60"/>
  <c r="AC44" i="60"/>
  <c r="Z49" i="72"/>
  <c r="AA36" i="72"/>
  <c r="Z51" i="72"/>
  <c r="AA38" i="72"/>
  <c r="Z53" i="72"/>
  <c r="AA40" i="72"/>
  <c r="AF2" i="57"/>
  <c r="AE38" i="57"/>
  <c r="AE35" i="57"/>
  <c r="AE34" i="57"/>
  <c r="AE36" i="57"/>
  <c r="AE37" i="57"/>
  <c r="AE30" i="57"/>
  <c r="AE18" i="57"/>
  <c r="AE25" i="57"/>
  <c r="AE27" i="57"/>
  <c r="AE33" i="57"/>
  <c r="AE22" i="57"/>
  <c r="AE20" i="57"/>
  <c r="AE28" i="57"/>
  <c r="AE17" i="57"/>
  <c r="AE29" i="57"/>
  <c r="AE19" i="57"/>
  <c r="AE31" i="57"/>
  <c r="AE32" i="57"/>
  <c r="AE23" i="57"/>
  <c r="AE21" i="57"/>
  <c r="AE26" i="57"/>
  <c r="AE24" i="57"/>
  <c r="AE15" i="57"/>
  <c r="AF15" i="57" s="1"/>
  <c r="AG15" i="57" s="1"/>
  <c r="AE13" i="57"/>
  <c r="AE12" i="57"/>
  <c r="A431" i="80"/>
  <c r="A38" i="80"/>
  <c r="AA10" i="57"/>
  <c r="A188" i="80"/>
  <c r="A301" i="80"/>
  <c r="AE16" i="57"/>
  <c r="Z54" i="72"/>
  <c r="AA41" i="72"/>
  <c r="Z55" i="72"/>
  <c r="AA42" i="72"/>
  <c r="Z52" i="72"/>
  <c r="AA39" i="72"/>
  <c r="Z48" i="72"/>
  <c r="AA35" i="72"/>
  <c r="AC9" i="57"/>
  <c r="AE37" i="80"/>
  <c r="AF37" i="80"/>
  <c r="AC18" i="80"/>
  <c r="AD37" i="80"/>
  <c r="AC37" i="80"/>
  <c r="AE341" i="80"/>
  <c r="AD341" i="80"/>
  <c r="AF341" i="80"/>
  <c r="AC322" i="80"/>
  <c r="AC341" i="80"/>
  <c r="AF431" i="80"/>
  <c r="AE431" i="80"/>
  <c r="AC431" i="80"/>
  <c r="AC400" i="80"/>
  <c r="AC402" i="80" s="1"/>
  <c r="AD431" i="80"/>
  <c r="AF113" i="80"/>
  <c r="AE113" i="80"/>
  <c r="AC94" i="80"/>
  <c r="AD113" i="80"/>
  <c r="AC113" i="80"/>
  <c r="AG9" i="47"/>
  <c r="AF27" i="47"/>
  <c r="AF159" i="47"/>
  <c r="AF40" i="60" s="1"/>
  <c r="AF28" i="47"/>
  <c r="AG28" i="47" s="1"/>
  <c r="AF95" i="47"/>
  <c r="E38" i="68"/>
  <c r="D45" i="68"/>
  <c r="C23" i="68"/>
  <c r="E23" i="68"/>
  <c r="C38" i="68"/>
  <c r="F38" i="68"/>
  <c r="B38" i="68"/>
  <c r="D38" i="68"/>
  <c r="D32" i="68"/>
  <c r="C45" i="68"/>
  <c r="B23" i="68"/>
  <c r="E45" i="68"/>
  <c r="C32" i="68"/>
  <c r="F45" i="68"/>
  <c r="B32" i="68"/>
  <c r="E32" i="68"/>
  <c r="D23" i="68"/>
  <c r="F23" i="68"/>
  <c r="B45" i="68"/>
  <c r="AE4" i="60"/>
  <c r="AD48" i="60"/>
  <c r="AG302" i="80"/>
  <c r="AB435" i="80"/>
  <c r="AB442" i="80" s="1"/>
  <c r="AG430" i="80"/>
  <c r="AC284" i="80"/>
  <c r="AE303" i="80"/>
  <c r="AF303" i="80"/>
  <c r="AC303" i="80"/>
  <c r="AD303" i="80"/>
  <c r="AD75" i="80"/>
  <c r="AC56" i="80"/>
  <c r="AC75" i="80"/>
  <c r="AF75" i="80"/>
  <c r="AE75" i="80"/>
  <c r="AB441" i="80"/>
  <c r="AB79" i="80"/>
  <c r="AB155" i="80"/>
  <c r="AG378" i="80"/>
  <c r="AC208" i="80"/>
  <c r="AD227" i="80"/>
  <c r="AE227" i="80"/>
  <c r="AF227" i="80"/>
  <c r="AC227" i="80"/>
  <c r="AC379" i="80"/>
  <c r="AD379" i="80"/>
  <c r="AC360" i="80"/>
  <c r="AF379" i="80"/>
  <c r="AE379" i="80"/>
  <c r="AD124" i="80"/>
  <c r="AD314" i="80"/>
  <c r="AD401" i="80"/>
  <c r="AD200" i="80"/>
  <c r="AD48" i="80"/>
  <c r="AD276" i="80"/>
  <c r="AD10" i="80"/>
  <c r="AD352" i="80"/>
  <c r="AD4" i="80"/>
  <c r="AD238" i="80"/>
  <c r="AD446" i="80"/>
  <c r="AD162" i="80"/>
  <c r="AE2" i="80"/>
  <c r="AD86" i="80"/>
  <c r="AG112" i="80"/>
  <c r="AG226" i="80"/>
  <c r="AA442" i="80"/>
  <c r="AA443" i="80" s="1"/>
  <c r="AB440" i="80" s="1"/>
  <c r="AA444" i="80"/>
  <c r="AG150" i="80"/>
  <c r="AD151" i="80"/>
  <c r="AC151" i="80"/>
  <c r="AF151" i="80"/>
  <c r="AC132" i="80"/>
  <c r="AE151" i="80"/>
  <c r="AE189" i="80"/>
  <c r="AC189" i="80"/>
  <c r="AC170" i="80"/>
  <c r="AD189" i="80"/>
  <c r="AF189" i="80"/>
  <c r="AC246" i="80"/>
  <c r="AE265" i="80"/>
  <c r="AC265" i="80"/>
  <c r="AF265" i="80"/>
  <c r="AD265" i="80"/>
  <c r="AC2" i="47"/>
  <c r="AC50" i="60"/>
  <c r="AB269" i="80"/>
  <c r="AB193" i="80"/>
  <c r="AG36" i="80"/>
  <c r="B42" i="55"/>
  <c r="AD41" i="55"/>
  <c r="W41" i="55"/>
  <c r="X41" i="55" s="1"/>
  <c r="Z26" i="75" l="1"/>
  <c r="Y22" i="75"/>
  <c r="X34" i="75"/>
  <c r="D35" i="75"/>
  <c r="Y20" i="75"/>
  <c r="Y49" i="75" s="1"/>
  <c r="X32" i="75"/>
  <c r="L21" i="75"/>
  <c r="K33" i="75"/>
  <c r="K36" i="75" s="1"/>
  <c r="Z39" i="75"/>
  <c r="AD27" i="75"/>
  <c r="Y39" i="75"/>
  <c r="AB26" i="75"/>
  <c r="AE39" i="75"/>
  <c r="AE26" i="75"/>
  <c r="AB39" i="75"/>
  <c r="AC26" i="75"/>
  <c r="AC39" i="75"/>
  <c r="AA39" i="75"/>
  <c r="AE14" i="75"/>
  <c r="AE40" i="75" s="1"/>
  <c r="AD26" i="75"/>
  <c r="AD14" i="75"/>
  <c r="AD40" i="75" s="1"/>
  <c r="AD39" i="75"/>
  <c r="AC14" i="75"/>
  <c r="AC40" i="75" s="1"/>
  <c r="AF27" i="75"/>
  <c r="AC27" i="75"/>
  <c r="AF14" i="75"/>
  <c r="AF40" i="75" s="1"/>
  <c r="R73" i="75"/>
  <c r="R44" i="75" s="1"/>
  <c r="S72" i="75"/>
  <c r="L65" i="75"/>
  <c r="M65" i="75" s="1"/>
  <c r="N65" i="75" s="1"/>
  <c r="O65" i="75" s="1"/>
  <c r="O66" i="75" s="1"/>
  <c r="AE27" i="75"/>
  <c r="AA26" i="75"/>
  <c r="R50" i="72"/>
  <c r="S37" i="72"/>
  <c r="AG286" i="57"/>
  <c r="AG322" i="57"/>
  <c r="AG250" i="57"/>
  <c r="AE323" i="57"/>
  <c r="AF323" i="57"/>
  <c r="AF251" i="57"/>
  <c r="AE251" i="57"/>
  <c r="AF287" i="57"/>
  <c r="AD251" i="57"/>
  <c r="AC323" i="57"/>
  <c r="I324" i="57"/>
  <c r="Y324" i="57"/>
  <c r="U324" i="57"/>
  <c r="C324" i="57"/>
  <c r="Q324" i="57"/>
  <c r="AC324" i="57"/>
  <c r="D324" i="57"/>
  <c r="M324" i="57"/>
  <c r="H324" i="57"/>
  <c r="X324" i="57"/>
  <c r="G324" i="57"/>
  <c r="W324" i="57"/>
  <c r="F324" i="57"/>
  <c r="N324" i="57"/>
  <c r="T324" i="57"/>
  <c r="S324" i="57"/>
  <c r="Z324" i="57"/>
  <c r="J324" i="57"/>
  <c r="P324" i="57"/>
  <c r="O324" i="57"/>
  <c r="V324" i="57"/>
  <c r="E324" i="57"/>
  <c r="AB324" i="57"/>
  <c r="L324" i="57"/>
  <c r="AA324" i="57"/>
  <c r="K324" i="57"/>
  <c r="R324" i="57"/>
  <c r="A325" i="57"/>
  <c r="B324" i="57"/>
  <c r="AE287" i="57"/>
  <c r="F252" i="57"/>
  <c r="J252" i="57"/>
  <c r="N252" i="57"/>
  <c r="R252" i="57"/>
  <c r="V252" i="57"/>
  <c r="Z252" i="57"/>
  <c r="D252" i="57"/>
  <c r="G252" i="57"/>
  <c r="K252" i="57"/>
  <c r="O252" i="57"/>
  <c r="S252" i="57"/>
  <c r="W252" i="57"/>
  <c r="AA252" i="57"/>
  <c r="C252" i="57"/>
  <c r="H252" i="57"/>
  <c r="L252" i="57"/>
  <c r="P252" i="57"/>
  <c r="T252" i="57"/>
  <c r="X252" i="57"/>
  <c r="AB252" i="57"/>
  <c r="E252" i="57"/>
  <c r="I252" i="57"/>
  <c r="M252" i="57"/>
  <c r="Q252" i="57"/>
  <c r="U252" i="57"/>
  <c r="Y252" i="57"/>
  <c r="AC252" i="57"/>
  <c r="A253" i="57"/>
  <c r="B252" i="57"/>
  <c r="AF252" i="57" s="1"/>
  <c r="AD287" i="57"/>
  <c r="A289" i="57"/>
  <c r="K288" i="57"/>
  <c r="AA288" i="57"/>
  <c r="O288" i="57"/>
  <c r="C288" i="57"/>
  <c r="S288" i="57"/>
  <c r="G288" i="57"/>
  <c r="W288" i="57"/>
  <c r="V288" i="57"/>
  <c r="AC288" i="57"/>
  <c r="M288" i="57"/>
  <c r="R288" i="57"/>
  <c r="Y288" i="57"/>
  <c r="I288" i="57"/>
  <c r="J288" i="57"/>
  <c r="U288" i="57"/>
  <c r="E288" i="57"/>
  <c r="Z288" i="57"/>
  <c r="AB288" i="57"/>
  <c r="L288" i="57"/>
  <c r="F288" i="57"/>
  <c r="Q288" i="57"/>
  <c r="T288" i="57"/>
  <c r="P288" i="57"/>
  <c r="H288" i="57"/>
  <c r="N288" i="57"/>
  <c r="X288" i="57"/>
  <c r="D288" i="57"/>
  <c r="B288" i="57"/>
  <c r="AF288" i="57" s="1"/>
  <c r="W88" i="57"/>
  <c r="X88" i="57" s="1"/>
  <c r="AA64" i="89"/>
  <c r="AA59" i="89"/>
  <c r="N297" i="57"/>
  <c r="O297" i="57" s="1"/>
  <c r="S299" i="57"/>
  <c r="AG316" i="57"/>
  <c r="T303" i="57"/>
  <c r="U303" i="57" s="1"/>
  <c r="Y307" i="57"/>
  <c r="Z307" i="57" s="1"/>
  <c r="AA307" i="57" s="1"/>
  <c r="AB307" i="57" s="1"/>
  <c r="S302" i="57"/>
  <c r="P298" i="57"/>
  <c r="X308" i="57"/>
  <c r="X306" i="57"/>
  <c r="U301" i="57"/>
  <c r="Q300" i="57"/>
  <c r="V304" i="57"/>
  <c r="AE313" i="57"/>
  <c r="AF313" i="57" s="1"/>
  <c r="AB312" i="57"/>
  <c r="AA309" i="57"/>
  <c r="AB309" i="57" s="1"/>
  <c r="AE311" i="57"/>
  <c r="AF311" i="57" s="1"/>
  <c r="T299" i="57"/>
  <c r="AF314" i="57"/>
  <c r="AG314" i="57" s="1"/>
  <c r="AD310" i="57"/>
  <c r="AE310" i="57" s="1"/>
  <c r="V305" i="57"/>
  <c r="Y92" i="57"/>
  <c r="Z92" i="57" s="1"/>
  <c r="P82" i="57"/>
  <c r="N111" i="57"/>
  <c r="O81" i="57"/>
  <c r="P81" i="57" s="1"/>
  <c r="S85" i="57"/>
  <c r="AB95" i="57"/>
  <c r="W86" i="57"/>
  <c r="V87" i="57"/>
  <c r="AC93" i="57"/>
  <c r="AD93" i="57" s="1"/>
  <c r="T84" i="57"/>
  <c r="Y91" i="57"/>
  <c r="Y89" i="57"/>
  <c r="Z89" i="57" s="1"/>
  <c r="T83" i="57"/>
  <c r="Z90" i="57"/>
  <c r="AA90" i="57" s="1"/>
  <c r="AF41" i="75"/>
  <c r="AF28" i="75"/>
  <c r="AG27" i="75"/>
  <c r="AF26" i="75"/>
  <c r="AF39" i="75"/>
  <c r="D36" i="75"/>
  <c r="B41" i="68" s="1"/>
  <c r="F36" i="75"/>
  <c r="AF123" i="57"/>
  <c r="AG123" i="57" s="1"/>
  <c r="R120" i="57"/>
  <c r="S120" i="57" s="1"/>
  <c r="T120" i="57" s="1"/>
  <c r="U120" i="57" s="1"/>
  <c r="V120" i="57" s="1"/>
  <c r="W120" i="57" s="1"/>
  <c r="X120" i="57" s="1"/>
  <c r="Y120" i="57" s="1"/>
  <c r="Z120" i="57" s="1"/>
  <c r="AA120" i="57" s="1"/>
  <c r="AB120" i="57" s="1"/>
  <c r="AC120" i="57" s="1"/>
  <c r="AD120" i="57" s="1"/>
  <c r="AE120" i="57" s="1"/>
  <c r="AF120" i="57" s="1"/>
  <c r="AG120" i="57" s="1"/>
  <c r="AD143" i="57"/>
  <c r="AD133" i="57"/>
  <c r="AE133" i="57" s="1"/>
  <c r="AF133" i="57" s="1"/>
  <c r="AG133" i="57" s="1"/>
  <c r="Z125" i="57"/>
  <c r="AA125" i="57" s="1"/>
  <c r="AB125" i="57" s="1"/>
  <c r="AC125" i="57" s="1"/>
  <c r="AD125" i="57" s="1"/>
  <c r="AE125" i="57" s="1"/>
  <c r="AF125" i="57" s="1"/>
  <c r="AG125" i="57" s="1"/>
  <c r="AE107" i="57"/>
  <c r="T122" i="57"/>
  <c r="U122" i="57" s="1"/>
  <c r="V122" i="57" s="1"/>
  <c r="W122" i="57" s="1"/>
  <c r="X122" i="57" s="1"/>
  <c r="R118" i="57"/>
  <c r="S118" i="57" s="1"/>
  <c r="T118" i="57" s="1"/>
  <c r="U118" i="57" s="1"/>
  <c r="V118" i="57" s="1"/>
  <c r="W118" i="57" s="1"/>
  <c r="X118" i="57" s="1"/>
  <c r="Y118" i="57" s="1"/>
  <c r="Z118" i="57" s="1"/>
  <c r="AA118" i="57" s="1"/>
  <c r="AB118" i="57" s="1"/>
  <c r="AC118" i="57" s="1"/>
  <c r="AD118" i="57" s="1"/>
  <c r="AE118" i="57" s="1"/>
  <c r="AF118" i="57" s="1"/>
  <c r="AG118" i="57" s="1"/>
  <c r="Z127" i="57"/>
  <c r="AA127" i="57" s="1"/>
  <c r="AB127" i="57" s="1"/>
  <c r="AC127" i="57" s="1"/>
  <c r="AD127" i="57" s="1"/>
  <c r="AB130" i="57"/>
  <c r="AC130" i="57" s="1"/>
  <c r="AD130" i="57" s="1"/>
  <c r="AE130" i="57" s="1"/>
  <c r="AF130" i="57" s="1"/>
  <c r="V124" i="57"/>
  <c r="W124" i="57" s="1"/>
  <c r="AF11" i="57"/>
  <c r="AG11" i="57" s="1"/>
  <c r="AF162" i="57"/>
  <c r="AG162" i="57" s="1"/>
  <c r="AF163" i="57"/>
  <c r="AG163" i="57" s="1"/>
  <c r="AF159" i="57"/>
  <c r="AG159" i="57" s="1"/>
  <c r="AF171" i="57"/>
  <c r="AG171" i="57" s="1"/>
  <c r="AF155" i="57"/>
  <c r="AG155" i="57" s="1"/>
  <c r="AF202" i="57"/>
  <c r="AG202" i="57" s="1"/>
  <c r="AF167" i="57"/>
  <c r="AG167" i="57" s="1"/>
  <c r="AF200" i="57"/>
  <c r="AG200" i="57" s="1"/>
  <c r="AF201" i="57"/>
  <c r="AG201" i="57" s="1"/>
  <c r="AF141" i="57"/>
  <c r="AG141" i="57" s="1"/>
  <c r="AF199" i="57"/>
  <c r="AG199" i="57" s="1"/>
  <c r="AF192" i="57"/>
  <c r="AG192" i="57" s="1"/>
  <c r="AF153" i="57"/>
  <c r="AF208" i="57"/>
  <c r="AG208" i="57" s="1"/>
  <c r="AF173" i="57"/>
  <c r="AG173" i="57" s="1"/>
  <c r="AF211" i="57"/>
  <c r="AG211" i="57" s="1"/>
  <c r="AF104" i="57"/>
  <c r="AG104" i="57" s="1"/>
  <c r="AF102" i="57"/>
  <c r="AG102" i="57" s="1"/>
  <c r="AF69" i="57"/>
  <c r="AG69" i="57" s="1"/>
  <c r="AF55" i="57"/>
  <c r="AG55" i="57" s="1"/>
  <c r="AF178" i="57"/>
  <c r="AG178" i="57" s="1"/>
  <c r="AF107" i="57"/>
  <c r="AF215" i="57"/>
  <c r="AF170" i="57"/>
  <c r="AG170" i="57" s="1"/>
  <c r="AF138" i="57"/>
  <c r="AG138" i="57" s="1"/>
  <c r="AF206" i="57"/>
  <c r="AG206" i="57" s="1"/>
  <c r="AF142" i="57"/>
  <c r="AG142" i="57" s="1"/>
  <c r="AF204" i="57"/>
  <c r="AG204" i="57" s="1"/>
  <c r="AF169" i="57"/>
  <c r="AG169" i="57" s="1"/>
  <c r="AF197" i="57"/>
  <c r="AG197" i="57" s="1"/>
  <c r="AF196" i="57"/>
  <c r="AG196" i="57" s="1"/>
  <c r="AF191" i="57"/>
  <c r="AG191" i="57" s="1"/>
  <c r="AF189" i="57"/>
  <c r="AF176" i="57"/>
  <c r="AG176" i="57" s="1"/>
  <c r="AF100" i="57"/>
  <c r="AG100" i="57" s="1"/>
  <c r="AF103" i="57"/>
  <c r="AG103" i="57" s="1"/>
  <c r="AF66" i="57"/>
  <c r="AG66" i="57" s="1"/>
  <c r="AF98" i="57"/>
  <c r="AG98" i="57" s="1"/>
  <c r="AF106" i="57"/>
  <c r="AG106" i="57" s="1"/>
  <c r="AF179" i="57"/>
  <c r="AF164" i="57"/>
  <c r="AG164" i="57" s="1"/>
  <c r="AF156" i="57"/>
  <c r="AG156" i="57" s="1"/>
  <c r="AF205" i="57"/>
  <c r="AG205" i="57" s="1"/>
  <c r="AF165" i="57"/>
  <c r="AG165" i="57" s="1"/>
  <c r="AF194" i="57"/>
  <c r="AG194" i="57" s="1"/>
  <c r="AF198" i="57"/>
  <c r="AG198" i="57" s="1"/>
  <c r="AF172" i="57"/>
  <c r="AG172" i="57" s="1"/>
  <c r="AF209" i="57"/>
  <c r="AG209" i="57" s="1"/>
  <c r="AF210" i="57"/>
  <c r="AG210" i="57" s="1"/>
  <c r="AF97" i="57"/>
  <c r="AG97" i="57" s="1"/>
  <c r="AF96" i="57"/>
  <c r="AG96" i="57" s="1"/>
  <c r="AF105" i="57"/>
  <c r="AG105" i="57" s="1"/>
  <c r="AF214" i="57"/>
  <c r="AG214" i="57" s="1"/>
  <c r="AF45" i="57"/>
  <c r="AG45" i="57" s="1"/>
  <c r="AF51" i="57"/>
  <c r="AG51" i="57" s="1"/>
  <c r="AF143" i="57"/>
  <c r="AF160" i="57"/>
  <c r="AG160" i="57" s="1"/>
  <c r="AF157" i="57"/>
  <c r="AG157" i="57" s="1"/>
  <c r="AF175" i="57"/>
  <c r="AG175" i="57" s="1"/>
  <c r="AF94" i="57"/>
  <c r="AG94" i="57" s="1"/>
  <c r="AF158" i="57"/>
  <c r="AG158" i="57" s="1"/>
  <c r="AF166" i="57"/>
  <c r="AG166" i="57" s="1"/>
  <c r="AF195" i="57"/>
  <c r="AG195" i="57" s="1"/>
  <c r="AF154" i="57"/>
  <c r="AG154" i="57" s="1"/>
  <c r="AF190" i="57"/>
  <c r="AG190" i="57" s="1"/>
  <c r="AF99" i="57"/>
  <c r="AG99" i="57" s="1"/>
  <c r="AF213" i="57"/>
  <c r="AG213" i="57" s="1"/>
  <c r="AF212" i="57"/>
  <c r="AG212" i="57" s="1"/>
  <c r="AF203" i="57"/>
  <c r="AG203" i="57" s="1"/>
  <c r="AF207" i="57"/>
  <c r="AG207" i="57" s="1"/>
  <c r="AF101" i="57"/>
  <c r="AG101" i="57" s="1"/>
  <c r="AF177" i="57"/>
  <c r="AG177" i="57" s="1"/>
  <c r="AF140" i="57"/>
  <c r="AG140" i="57" s="1"/>
  <c r="AF193" i="57"/>
  <c r="AG193" i="57" s="1"/>
  <c r="AF161" i="57"/>
  <c r="AG161" i="57" s="1"/>
  <c r="AF168" i="57"/>
  <c r="AG168" i="57" s="1"/>
  <c r="AF174" i="57"/>
  <c r="AG174" i="57" s="1"/>
  <c r="AF49" i="57"/>
  <c r="AG49" i="57" s="1"/>
  <c r="AF47" i="57"/>
  <c r="AG47" i="57" s="1"/>
  <c r="AF64" i="57"/>
  <c r="AG64" i="57" s="1"/>
  <c r="AF48" i="57"/>
  <c r="AG48" i="57" s="1"/>
  <c r="AF65" i="57"/>
  <c r="AG65" i="57" s="1"/>
  <c r="AF71" i="57"/>
  <c r="AF57" i="57"/>
  <c r="AG57" i="57" s="1"/>
  <c r="AF59" i="57"/>
  <c r="AG59" i="57" s="1"/>
  <c r="AF62" i="57"/>
  <c r="AG62" i="57" s="1"/>
  <c r="AF56" i="57"/>
  <c r="AG56" i="57" s="1"/>
  <c r="AF68" i="57"/>
  <c r="AG68" i="57" s="1"/>
  <c r="AF46" i="57"/>
  <c r="AG46" i="57" s="1"/>
  <c r="AF54" i="57"/>
  <c r="AG54" i="57" s="1"/>
  <c r="AF58" i="57"/>
  <c r="AG58" i="57" s="1"/>
  <c r="AF60" i="57"/>
  <c r="AG60" i="57" s="1"/>
  <c r="AF67" i="57"/>
  <c r="AG67" i="57" s="1"/>
  <c r="AF50" i="57"/>
  <c r="AF53" i="57"/>
  <c r="AG53" i="57" s="1"/>
  <c r="AF63" i="57"/>
  <c r="AG63" i="57" s="1"/>
  <c r="AF61" i="57"/>
  <c r="AG61" i="57" s="1"/>
  <c r="AF70" i="57"/>
  <c r="AG70" i="57" s="1"/>
  <c r="AF52" i="57"/>
  <c r="AG52" i="57" s="1"/>
  <c r="AF137" i="57"/>
  <c r="AG137" i="57" s="1"/>
  <c r="AF136" i="57"/>
  <c r="AG136" i="57" s="1"/>
  <c r="AF135" i="57"/>
  <c r="AG135" i="57" s="1"/>
  <c r="AF134" i="57"/>
  <c r="AG134" i="57" s="1"/>
  <c r="AF139" i="57"/>
  <c r="AG139" i="57" s="1"/>
  <c r="AC71" i="57"/>
  <c r="A73" i="57"/>
  <c r="B73" i="57" s="1"/>
  <c r="C72" i="57"/>
  <c r="D72" i="57"/>
  <c r="E72" i="57"/>
  <c r="F72" i="57"/>
  <c r="G72" i="57"/>
  <c r="H72" i="57"/>
  <c r="I72" i="57"/>
  <c r="J72" i="57"/>
  <c r="K72" i="57"/>
  <c r="L72" i="57"/>
  <c r="M72" i="57"/>
  <c r="N72" i="57"/>
  <c r="O72" i="57"/>
  <c r="P72" i="57"/>
  <c r="Q72" i="57"/>
  <c r="R72" i="57"/>
  <c r="S72" i="57"/>
  <c r="T72" i="57"/>
  <c r="U72" i="57"/>
  <c r="V72" i="57"/>
  <c r="W72" i="57"/>
  <c r="X72" i="57"/>
  <c r="Y72" i="57"/>
  <c r="Z72" i="57"/>
  <c r="AA72" i="57"/>
  <c r="AF72" i="57"/>
  <c r="AB72" i="57"/>
  <c r="AC72" i="57"/>
  <c r="AC215" i="57"/>
  <c r="A217" i="57"/>
  <c r="B217" i="57" s="1"/>
  <c r="C216" i="57"/>
  <c r="D216" i="57"/>
  <c r="E216" i="57"/>
  <c r="F216" i="57"/>
  <c r="G216" i="57"/>
  <c r="H216" i="57"/>
  <c r="I216" i="57"/>
  <c r="J216" i="57"/>
  <c r="K216" i="57"/>
  <c r="L216" i="57"/>
  <c r="M216" i="57"/>
  <c r="N216" i="57"/>
  <c r="O216" i="57"/>
  <c r="P216" i="57"/>
  <c r="Q216" i="57"/>
  <c r="R216" i="57"/>
  <c r="S216" i="57"/>
  <c r="T216" i="57"/>
  <c r="U216" i="57"/>
  <c r="V216" i="57"/>
  <c r="W216" i="57"/>
  <c r="X216" i="57"/>
  <c r="Y216" i="57"/>
  <c r="Z216" i="57"/>
  <c r="AD216" i="57"/>
  <c r="AA216" i="57"/>
  <c r="AB216" i="57"/>
  <c r="AC216" i="57"/>
  <c r="AE215" i="57"/>
  <c r="AC143" i="57"/>
  <c r="M117" i="57"/>
  <c r="AD179" i="57"/>
  <c r="AD71" i="57"/>
  <c r="AF129" i="57"/>
  <c r="AG129" i="57" s="1"/>
  <c r="AF132" i="57"/>
  <c r="AG132" i="57" s="1"/>
  <c r="AE71" i="57"/>
  <c r="AG153" i="57"/>
  <c r="AC107" i="57"/>
  <c r="C108" i="57"/>
  <c r="D108" i="57"/>
  <c r="E108" i="57"/>
  <c r="A109" i="57"/>
  <c r="B109" i="57" s="1"/>
  <c r="F108" i="57"/>
  <c r="G108" i="57"/>
  <c r="H108" i="57"/>
  <c r="I108" i="57"/>
  <c r="J108" i="57"/>
  <c r="K108" i="57"/>
  <c r="L108" i="57"/>
  <c r="M108" i="57"/>
  <c r="N108" i="57"/>
  <c r="O108" i="57"/>
  <c r="P108" i="57"/>
  <c r="Q108" i="57"/>
  <c r="R108" i="57"/>
  <c r="S108" i="57"/>
  <c r="T108" i="57"/>
  <c r="U108" i="57"/>
  <c r="V108" i="57"/>
  <c r="W108" i="57"/>
  <c r="X108" i="57"/>
  <c r="Y108" i="57"/>
  <c r="Z108" i="57"/>
  <c r="AE108" i="57"/>
  <c r="AA108" i="57"/>
  <c r="AB108" i="57"/>
  <c r="AC108" i="57"/>
  <c r="R121" i="57"/>
  <c r="AC179" i="57"/>
  <c r="C180" i="57"/>
  <c r="D180" i="57"/>
  <c r="A181" i="57"/>
  <c r="B181" i="57" s="1"/>
  <c r="E180" i="57"/>
  <c r="F180" i="57"/>
  <c r="G180" i="57"/>
  <c r="H180" i="57"/>
  <c r="I180" i="57"/>
  <c r="J180" i="57"/>
  <c r="K180" i="57"/>
  <c r="L180" i="57"/>
  <c r="M180" i="57"/>
  <c r="N180" i="57"/>
  <c r="O180" i="57"/>
  <c r="P180" i="57"/>
  <c r="Q180" i="57"/>
  <c r="R180" i="57"/>
  <c r="S180" i="57"/>
  <c r="T180" i="57"/>
  <c r="U180" i="57"/>
  <c r="V180" i="57"/>
  <c r="W180" i="57"/>
  <c r="X180" i="57"/>
  <c r="Y180" i="57"/>
  <c r="Z180" i="57"/>
  <c r="AA180" i="57"/>
  <c r="AE180" i="57"/>
  <c r="AB180" i="57"/>
  <c r="AC180" i="57"/>
  <c r="R119" i="57"/>
  <c r="S119" i="57" s="1"/>
  <c r="T119" i="57" s="1"/>
  <c r="U119" i="57" s="1"/>
  <c r="V119" i="57" s="1"/>
  <c r="AA128" i="57"/>
  <c r="AB128" i="57" s="1"/>
  <c r="AC128" i="57" s="1"/>
  <c r="AD128" i="57" s="1"/>
  <c r="C144" i="57"/>
  <c r="D144" i="57"/>
  <c r="E144" i="57"/>
  <c r="F144" i="57"/>
  <c r="A145" i="57"/>
  <c r="B145" i="57" s="1"/>
  <c r="G144" i="57"/>
  <c r="H144" i="57"/>
  <c r="I144" i="57"/>
  <c r="J144" i="57"/>
  <c r="K144" i="57"/>
  <c r="L144" i="57"/>
  <c r="M144" i="57"/>
  <c r="N144" i="57"/>
  <c r="O144" i="57"/>
  <c r="P144" i="57"/>
  <c r="Q144" i="57"/>
  <c r="R144" i="57"/>
  <c r="S144" i="57"/>
  <c r="T144" i="57"/>
  <c r="U144" i="57"/>
  <c r="V144" i="57"/>
  <c r="W144" i="57"/>
  <c r="X144" i="57"/>
  <c r="Y144" i="57"/>
  <c r="Z144" i="57"/>
  <c r="AA144" i="57"/>
  <c r="AE144" i="57"/>
  <c r="AB144" i="57"/>
  <c r="AC144" i="57"/>
  <c r="Y126" i="57"/>
  <c r="AF131" i="57"/>
  <c r="AG131" i="57" s="1"/>
  <c r="AG151" i="80"/>
  <c r="AC193" i="80"/>
  <c r="AG75" i="80"/>
  <c r="AC117" i="80"/>
  <c r="AG227" i="80"/>
  <c r="AC383" i="80"/>
  <c r="N35" i="55"/>
  <c r="Y6" i="60"/>
  <c r="Z15" i="47"/>
  <c r="AA71" i="75" s="1"/>
  <c r="Y80" i="47"/>
  <c r="AA55" i="72"/>
  <c r="AB42" i="72"/>
  <c r="AA51" i="72"/>
  <c r="AB38" i="72"/>
  <c r="AD44" i="60"/>
  <c r="AE28" i="60"/>
  <c r="AF160" i="47"/>
  <c r="AF33" i="60" s="1"/>
  <c r="AA48" i="72"/>
  <c r="AB35" i="72"/>
  <c r="AA52" i="72"/>
  <c r="AB39" i="72"/>
  <c r="AA49" i="72"/>
  <c r="AB36" i="72"/>
  <c r="AA47" i="72"/>
  <c r="AB34" i="72"/>
  <c r="AA54" i="72"/>
  <c r="AB41" i="72"/>
  <c r="A302" i="80"/>
  <c r="A189" i="80"/>
  <c r="A39" i="80"/>
  <c r="A432" i="80"/>
  <c r="AF13" i="57"/>
  <c r="AG13" i="57" s="1"/>
  <c r="AF35" i="57"/>
  <c r="AG35" i="57" s="1"/>
  <c r="AF34" i="57"/>
  <c r="AG34" i="57" s="1"/>
  <c r="AF36" i="57"/>
  <c r="AG36" i="57" s="1"/>
  <c r="AF37" i="57"/>
  <c r="AG37" i="57" s="1"/>
  <c r="AF33" i="57"/>
  <c r="AG33" i="57" s="1"/>
  <c r="AF21" i="57"/>
  <c r="AG21" i="57" s="1"/>
  <c r="AF26" i="57"/>
  <c r="AG26" i="57" s="1"/>
  <c r="AF30" i="57"/>
  <c r="AG30" i="57" s="1"/>
  <c r="AF31" i="57"/>
  <c r="AG31" i="57" s="1"/>
  <c r="AF20" i="57"/>
  <c r="AG20" i="57" s="1"/>
  <c r="AF23" i="57"/>
  <c r="AG23" i="57" s="1"/>
  <c r="AF27" i="57"/>
  <c r="AG27" i="57" s="1"/>
  <c r="AF24" i="57"/>
  <c r="AG24" i="57" s="1"/>
  <c r="AF22" i="57"/>
  <c r="AG22" i="57" s="1"/>
  <c r="AF28" i="57"/>
  <c r="AG28" i="57" s="1"/>
  <c r="AF25" i="57"/>
  <c r="AG25" i="57" s="1"/>
  <c r="AF19" i="57"/>
  <c r="AG19" i="57" s="1"/>
  <c r="AF29" i="57"/>
  <c r="AG29" i="57" s="1"/>
  <c r="AF32" i="57"/>
  <c r="AG32" i="57" s="1"/>
  <c r="AF17" i="57"/>
  <c r="AG17" i="57" s="1"/>
  <c r="AF18" i="57"/>
  <c r="AG18" i="57" s="1"/>
  <c r="AF16" i="57"/>
  <c r="AG16" i="57" s="1"/>
  <c r="AF14" i="57"/>
  <c r="AG14" i="57" s="1"/>
  <c r="AF12" i="57"/>
  <c r="AG12" i="57" s="1"/>
  <c r="AF38" i="57"/>
  <c r="AG38" i="57" s="1"/>
  <c r="AA39" i="57"/>
  <c r="A152" i="80"/>
  <c r="A265" i="80"/>
  <c r="A379" i="80" s="1"/>
  <c r="A227" i="80"/>
  <c r="A114" i="80"/>
  <c r="AD9" i="57"/>
  <c r="AE9" i="57" s="1"/>
  <c r="AC307" i="80"/>
  <c r="AA53" i="72"/>
  <c r="AB40" i="72"/>
  <c r="AB10" i="57"/>
  <c r="AB39" i="57" s="1"/>
  <c r="AB443" i="80"/>
  <c r="AC440" i="80" s="1"/>
  <c r="AB444" i="80"/>
  <c r="AB392" i="80" s="1"/>
  <c r="AF38" i="80"/>
  <c r="AE38" i="80"/>
  <c r="AD38" i="80"/>
  <c r="AD18" i="80"/>
  <c r="AF432" i="80"/>
  <c r="AD400" i="80"/>
  <c r="AD402" i="80" s="1"/>
  <c r="AE432" i="80"/>
  <c r="AD432" i="80"/>
  <c r="AC231" i="80"/>
  <c r="AE48" i="60"/>
  <c r="AF4" i="60"/>
  <c r="AF48" i="60" s="1"/>
  <c r="AG265" i="80"/>
  <c r="AE114" i="80"/>
  <c r="AF114" i="80"/>
  <c r="AD114" i="80"/>
  <c r="AD94" i="80"/>
  <c r="AF266" i="80"/>
  <c r="AE266" i="80"/>
  <c r="AD266" i="80"/>
  <c r="AD246" i="80"/>
  <c r="AF304" i="80"/>
  <c r="AD284" i="80"/>
  <c r="AD304" i="80"/>
  <c r="AE304" i="80"/>
  <c r="AD342" i="80"/>
  <c r="AD322" i="80"/>
  <c r="AF342" i="80"/>
  <c r="AE342" i="80"/>
  <c r="AG303" i="80"/>
  <c r="AC441" i="80"/>
  <c r="AG341" i="80"/>
  <c r="AC155" i="80"/>
  <c r="AE124" i="80"/>
  <c r="AE314" i="80"/>
  <c r="AE401" i="80"/>
  <c r="AE446" i="80"/>
  <c r="AE276" i="80"/>
  <c r="AE4" i="80"/>
  <c r="AE10" i="80"/>
  <c r="AE200" i="80"/>
  <c r="AF2" i="80"/>
  <c r="AE86" i="80"/>
  <c r="AE238" i="80"/>
  <c r="AE352" i="80"/>
  <c r="AE48" i="80"/>
  <c r="AE162" i="80"/>
  <c r="AD56" i="80"/>
  <c r="AD76" i="80"/>
  <c r="AF76" i="80"/>
  <c r="AE76" i="80"/>
  <c r="AE152" i="80"/>
  <c r="AD152" i="80"/>
  <c r="AD132" i="80"/>
  <c r="AF152" i="80"/>
  <c r="AC79" i="80"/>
  <c r="AG431" i="80"/>
  <c r="AC435" i="80"/>
  <c r="AC345" i="80"/>
  <c r="AG37" i="80"/>
  <c r="AC269" i="80"/>
  <c r="AG189" i="80"/>
  <c r="AA392" i="80"/>
  <c r="AA101" i="47"/>
  <c r="AD170" i="80"/>
  <c r="AF190" i="80"/>
  <c r="AD190" i="80"/>
  <c r="AE190" i="80"/>
  <c r="AD360" i="80"/>
  <c r="AE380" i="80"/>
  <c r="AD380" i="80"/>
  <c r="AF380" i="80"/>
  <c r="AD228" i="80"/>
  <c r="AD208" i="80"/>
  <c r="AF228" i="80"/>
  <c r="AE228" i="80"/>
  <c r="AG379" i="80"/>
  <c r="AD2" i="47"/>
  <c r="AD50" i="60"/>
  <c r="AG113" i="80"/>
  <c r="AD42" i="55"/>
  <c r="W42" i="55"/>
  <c r="D48" i="68" l="1"/>
  <c r="I36" i="75"/>
  <c r="B48" i="68" s="1"/>
  <c r="Z20" i="75"/>
  <c r="Y32" i="75"/>
  <c r="E41" i="68"/>
  <c r="M21" i="75"/>
  <c r="L33" i="75"/>
  <c r="L36" i="75" s="1"/>
  <c r="E48" i="68" s="1"/>
  <c r="G36" i="75"/>
  <c r="D41" i="68"/>
  <c r="H36" i="75"/>
  <c r="F41" i="68" s="1"/>
  <c r="J36" i="75"/>
  <c r="C48" i="68" s="1"/>
  <c r="Z22" i="75"/>
  <c r="Y34" i="75"/>
  <c r="E36" i="75"/>
  <c r="C41" i="68" s="1"/>
  <c r="G41" i="68" s="1"/>
  <c r="P65" i="75"/>
  <c r="P66" i="75" s="1"/>
  <c r="S73" i="75"/>
  <c r="S44" i="75" s="1"/>
  <c r="T72" i="75"/>
  <c r="U72" i="75" s="1"/>
  <c r="S50" i="72"/>
  <c r="T37" i="72"/>
  <c r="AG323" i="57"/>
  <c r="AG251" i="57"/>
  <c r="AD288" i="57"/>
  <c r="AD252" i="57"/>
  <c r="AE252" i="57"/>
  <c r="AF324" i="57"/>
  <c r="G325" i="57"/>
  <c r="W325" i="57"/>
  <c r="S325" i="57"/>
  <c r="AA325" i="57"/>
  <c r="O325" i="57"/>
  <c r="K325" i="57"/>
  <c r="C325" i="57"/>
  <c r="AD325" i="57"/>
  <c r="N325" i="57"/>
  <c r="AC325" i="57"/>
  <c r="M325" i="57"/>
  <c r="T325" i="57"/>
  <c r="D325" i="57"/>
  <c r="Z325" i="57"/>
  <c r="J325" i="57"/>
  <c r="Y325" i="57"/>
  <c r="I325" i="57"/>
  <c r="P325" i="57"/>
  <c r="V325" i="57"/>
  <c r="F325" i="57"/>
  <c r="U325" i="57"/>
  <c r="E325" i="57"/>
  <c r="AB325" i="57"/>
  <c r="L325" i="57"/>
  <c r="R325" i="57"/>
  <c r="Q325" i="57"/>
  <c r="X325" i="57"/>
  <c r="H325" i="57"/>
  <c r="A326" i="57"/>
  <c r="B325" i="57"/>
  <c r="AF325" i="57" s="1"/>
  <c r="A290" i="57"/>
  <c r="K289" i="57"/>
  <c r="AA289" i="57"/>
  <c r="O289" i="57"/>
  <c r="C289" i="57"/>
  <c r="S289" i="57"/>
  <c r="G289" i="57"/>
  <c r="W289" i="57"/>
  <c r="Q289" i="57"/>
  <c r="AD289" i="57"/>
  <c r="AC289" i="57"/>
  <c r="M289" i="57"/>
  <c r="R289" i="57"/>
  <c r="Y289" i="57"/>
  <c r="I289" i="57"/>
  <c r="Z289" i="57"/>
  <c r="P289" i="57"/>
  <c r="J289" i="57"/>
  <c r="U289" i="57"/>
  <c r="E289" i="57"/>
  <c r="V289" i="57"/>
  <c r="L289" i="57"/>
  <c r="N289" i="57"/>
  <c r="AB289" i="57"/>
  <c r="H289" i="57"/>
  <c r="F289" i="57"/>
  <c r="X289" i="57"/>
  <c r="D289" i="57"/>
  <c r="T289" i="57"/>
  <c r="B289" i="57"/>
  <c r="AE289" i="57" s="1"/>
  <c r="F253" i="57"/>
  <c r="J253" i="57"/>
  <c r="N253" i="57"/>
  <c r="R253" i="57"/>
  <c r="V253" i="57"/>
  <c r="Z253" i="57"/>
  <c r="AD253" i="57"/>
  <c r="D253" i="57"/>
  <c r="G253" i="57"/>
  <c r="K253" i="57"/>
  <c r="O253" i="57"/>
  <c r="S253" i="57"/>
  <c r="W253" i="57"/>
  <c r="AA253" i="57"/>
  <c r="C253" i="57"/>
  <c r="H253" i="57"/>
  <c r="L253" i="57"/>
  <c r="P253" i="57"/>
  <c r="T253" i="57"/>
  <c r="X253" i="57"/>
  <c r="AB253" i="57"/>
  <c r="E253" i="57"/>
  <c r="I253" i="57"/>
  <c r="M253" i="57"/>
  <c r="Q253" i="57"/>
  <c r="U253" i="57"/>
  <c r="Y253" i="57"/>
  <c r="AC253" i="57"/>
  <c r="A254" i="57"/>
  <c r="B253" i="57"/>
  <c r="AE253" i="57" s="1"/>
  <c r="AE324" i="57"/>
  <c r="AE288" i="57"/>
  <c r="AG287" i="57"/>
  <c r="AD324" i="57"/>
  <c r="W71" i="75"/>
  <c r="F32" i="68"/>
  <c r="Y88" i="57"/>
  <c r="Z88" i="57" s="1"/>
  <c r="AA88" i="57" s="1"/>
  <c r="AA74" i="89"/>
  <c r="AB49" i="89"/>
  <c r="P297" i="57"/>
  <c r="P111" i="57"/>
  <c r="AC312" i="57"/>
  <c r="AD312" i="57" s="1"/>
  <c r="AG313" i="57"/>
  <c r="AC309" i="57"/>
  <c r="AD309" i="57" s="1"/>
  <c r="AE309" i="57" s="1"/>
  <c r="R300" i="57"/>
  <c r="S300" i="57" s="1"/>
  <c r="V301" i="57"/>
  <c r="AC307" i="57"/>
  <c r="AD307" i="57" s="1"/>
  <c r="W305" i="57"/>
  <c r="Q298" i="57"/>
  <c r="W301" i="57"/>
  <c r="X301" i="57" s="1"/>
  <c r="AF310" i="57"/>
  <c r="AG310" i="57" s="1"/>
  <c r="V303" i="57"/>
  <c r="W303" i="57" s="1"/>
  <c r="Y306" i="57"/>
  <c r="U299" i="57"/>
  <c r="T302" i="57"/>
  <c r="W304" i="57"/>
  <c r="Y308" i="57"/>
  <c r="AG311" i="57"/>
  <c r="AA92" i="57"/>
  <c r="AB92" i="57" s="1"/>
  <c r="AA89" i="57"/>
  <c r="AB89" i="57" s="1"/>
  <c r="AC89" i="57" s="1"/>
  <c r="AD89" i="57" s="1"/>
  <c r="W87" i="57"/>
  <c r="Q81" i="57"/>
  <c r="R81" i="57" s="1"/>
  <c r="S81" i="57" s="1"/>
  <c r="AB90" i="57"/>
  <c r="U83" i="57"/>
  <c r="O111" i="57"/>
  <c r="AC95" i="57"/>
  <c r="Q82" i="57"/>
  <c r="U84" i="57"/>
  <c r="Z91" i="57"/>
  <c r="AE93" i="57"/>
  <c r="AF93" i="57" s="1"/>
  <c r="AG93" i="57" s="1"/>
  <c r="X86" i="57"/>
  <c r="T85" i="57"/>
  <c r="AG41" i="75"/>
  <c r="AG28" i="75"/>
  <c r="AG39" i="75"/>
  <c r="AG26" i="75"/>
  <c r="AG143" i="57"/>
  <c r="AG107" i="57"/>
  <c r="AD108" i="57"/>
  <c r="AG71" i="57"/>
  <c r="AE72" i="57"/>
  <c r="X124" i="57"/>
  <c r="Y124" i="57" s="1"/>
  <c r="Z124" i="57" s="1"/>
  <c r="AA124" i="57" s="1"/>
  <c r="AB124" i="57" s="1"/>
  <c r="AC124" i="57" s="1"/>
  <c r="AD124" i="57" s="1"/>
  <c r="AE124" i="57" s="1"/>
  <c r="AF124" i="57" s="1"/>
  <c r="AG124" i="57" s="1"/>
  <c r="Y122" i="57"/>
  <c r="Z122" i="57" s="1"/>
  <c r="C145" i="57"/>
  <c r="D145" i="57"/>
  <c r="E145" i="57"/>
  <c r="F145" i="57"/>
  <c r="G145" i="57"/>
  <c r="A146" i="57"/>
  <c r="B146" i="57" s="1"/>
  <c r="H145" i="57"/>
  <c r="I145" i="57"/>
  <c r="J145" i="57"/>
  <c r="K145" i="57"/>
  <c r="L145" i="57"/>
  <c r="M145" i="57"/>
  <c r="N145" i="57"/>
  <c r="O145" i="57"/>
  <c r="P145" i="57"/>
  <c r="Q145" i="57"/>
  <c r="R145" i="57"/>
  <c r="S145" i="57"/>
  <c r="T145" i="57"/>
  <c r="U145" i="57"/>
  <c r="V145" i="57"/>
  <c r="W145" i="57"/>
  <c r="X145" i="57"/>
  <c r="Y145" i="57"/>
  <c r="Z145" i="57"/>
  <c r="AE145" i="57"/>
  <c r="AA145" i="57"/>
  <c r="AB145" i="57"/>
  <c r="AC145" i="57"/>
  <c r="AD145" i="57"/>
  <c r="W119" i="57"/>
  <c r="X119" i="57" s="1"/>
  <c r="Y119" i="57" s="1"/>
  <c r="Z119" i="57" s="1"/>
  <c r="C181" i="57"/>
  <c r="D181" i="57"/>
  <c r="E181" i="57"/>
  <c r="F181" i="57"/>
  <c r="A182" i="57"/>
  <c r="B182" i="57" s="1"/>
  <c r="G181" i="57"/>
  <c r="H181" i="57"/>
  <c r="I181" i="57"/>
  <c r="J181" i="57"/>
  <c r="K181" i="57"/>
  <c r="L181" i="57"/>
  <c r="M181" i="57"/>
  <c r="N181" i="57"/>
  <c r="O181" i="57"/>
  <c r="P181" i="57"/>
  <c r="Q181" i="57"/>
  <c r="R181" i="57"/>
  <c r="S181" i="57"/>
  <c r="T181" i="57"/>
  <c r="U181" i="57"/>
  <c r="V181" i="57"/>
  <c r="W181" i="57"/>
  <c r="X181" i="57"/>
  <c r="Y181" i="57"/>
  <c r="Z181" i="57"/>
  <c r="AE181" i="57"/>
  <c r="AA181" i="57"/>
  <c r="AB181" i="57"/>
  <c r="AC181" i="57"/>
  <c r="AD181" i="57"/>
  <c r="S121" i="57"/>
  <c r="T121" i="57" s="1"/>
  <c r="U121" i="57" s="1"/>
  <c r="V121" i="57" s="1"/>
  <c r="W121" i="57" s="1"/>
  <c r="X121" i="57" s="1"/>
  <c r="Y121" i="57" s="1"/>
  <c r="Z121" i="57" s="1"/>
  <c r="AA121" i="57" s="1"/>
  <c r="AB121" i="57" s="1"/>
  <c r="AC121" i="57" s="1"/>
  <c r="AD121" i="57" s="1"/>
  <c r="AF216" i="57"/>
  <c r="AF108" i="57"/>
  <c r="AE128" i="57"/>
  <c r="AF128" i="57" s="1"/>
  <c r="AG128" i="57" s="1"/>
  <c r="AD180" i="57"/>
  <c r="AE216" i="57"/>
  <c r="AD72" i="57"/>
  <c r="AG50" i="57"/>
  <c r="AF144" i="57"/>
  <c r="C109" i="57"/>
  <c r="D109" i="57"/>
  <c r="E109" i="57"/>
  <c r="F109" i="57"/>
  <c r="G109" i="57"/>
  <c r="A110" i="57"/>
  <c r="B110" i="57" s="1"/>
  <c r="H109" i="57"/>
  <c r="I109" i="57"/>
  <c r="J109" i="57"/>
  <c r="K109" i="57"/>
  <c r="L109" i="57"/>
  <c r="M109" i="57"/>
  <c r="N109" i="57"/>
  <c r="O109" i="57"/>
  <c r="P109" i="57"/>
  <c r="Q109" i="57"/>
  <c r="R109" i="57"/>
  <c r="S109" i="57"/>
  <c r="T109" i="57"/>
  <c r="U109" i="57"/>
  <c r="V109" i="57"/>
  <c r="W109" i="57"/>
  <c r="X109" i="57"/>
  <c r="Y109" i="57"/>
  <c r="Z109" i="57"/>
  <c r="AF109" i="57"/>
  <c r="AA109" i="57"/>
  <c r="AB109" i="57"/>
  <c r="AC109" i="57"/>
  <c r="AD109" i="57"/>
  <c r="A74" i="57"/>
  <c r="B74" i="57" s="1"/>
  <c r="C73" i="57"/>
  <c r="D73" i="57"/>
  <c r="E73" i="57"/>
  <c r="F73" i="57"/>
  <c r="G73" i="57"/>
  <c r="H73" i="57"/>
  <c r="I73" i="57"/>
  <c r="J73" i="57"/>
  <c r="K73" i="57"/>
  <c r="L73" i="57"/>
  <c r="M73" i="57"/>
  <c r="N73" i="57"/>
  <c r="O73" i="57"/>
  <c r="P73" i="57"/>
  <c r="Q73" i="57"/>
  <c r="R73" i="57"/>
  <c r="S73" i="57"/>
  <c r="T73" i="57"/>
  <c r="U73" i="57"/>
  <c r="V73" i="57"/>
  <c r="W73" i="57"/>
  <c r="X73" i="57"/>
  <c r="Y73" i="57"/>
  <c r="Z73" i="57"/>
  <c r="AE73" i="57"/>
  <c r="AA73" i="57"/>
  <c r="AB73" i="57"/>
  <c r="AC73" i="57"/>
  <c r="AD73" i="57"/>
  <c r="AF180" i="57"/>
  <c r="AE127" i="57"/>
  <c r="AF127" i="57" s="1"/>
  <c r="AG127" i="57" s="1"/>
  <c r="N117" i="57"/>
  <c r="AD144" i="57"/>
  <c r="AG179" i="57"/>
  <c r="A218" i="57"/>
  <c r="B218" i="57" s="1"/>
  <c r="C217" i="57"/>
  <c r="D217" i="57"/>
  <c r="E217" i="57"/>
  <c r="F217" i="57"/>
  <c r="G217" i="57"/>
  <c r="H217" i="57"/>
  <c r="I217" i="57"/>
  <c r="J217" i="57"/>
  <c r="K217" i="57"/>
  <c r="L217" i="57"/>
  <c r="M217" i="57"/>
  <c r="N217" i="57"/>
  <c r="O217" i="57"/>
  <c r="P217" i="57"/>
  <c r="Q217" i="57"/>
  <c r="R217" i="57"/>
  <c r="S217" i="57"/>
  <c r="T217" i="57"/>
  <c r="U217" i="57"/>
  <c r="V217" i="57"/>
  <c r="W217" i="57"/>
  <c r="X217" i="57"/>
  <c r="Y217" i="57"/>
  <c r="Z217" i="57"/>
  <c r="AF217" i="57"/>
  <c r="AA217" i="57"/>
  <c r="AB217" i="57"/>
  <c r="AC217" i="57"/>
  <c r="AD217" i="57"/>
  <c r="AG215" i="57"/>
  <c r="AG130" i="57"/>
  <c r="Z126" i="57"/>
  <c r="AA126" i="57" s="1"/>
  <c r="AB126" i="57" s="1"/>
  <c r="AC126" i="57" s="1"/>
  <c r="AD126" i="57" s="1"/>
  <c r="AE126" i="57" s="1"/>
  <c r="AF126" i="57" s="1"/>
  <c r="AG126" i="57" s="1"/>
  <c r="AG189" i="57"/>
  <c r="AD155" i="80"/>
  <c r="AD269" i="80"/>
  <c r="AD117" i="80"/>
  <c r="AG152" i="80"/>
  <c r="AD307" i="80"/>
  <c r="N36" i="55"/>
  <c r="AA15" i="47"/>
  <c r="AB71" i="75" s="1"/>
  <c r="Z80" i="47"/>
  <c r="Z6" i="60"/>
  <c r="G32" i="68"/>
  <c r="AF9" i="57"/>
  <c r="AG9" i="57" s="1"/>
  <c r="A40" i="80"/>
  <c r="A434" i="80" s="1"/>
  <c r="A433" i="80"/>
  <c r="AB48" i="72"/>
  <c r="AC35" i="72"/>
  <c r="A153" i="80"/>
  <c r="B153" i="80" s="1"/>
  <c r="A266" i="80"/>
  <c r="A380" i="80" s="1"/>
  <c r="B380" i="80" s="1"/>
  <c r="A303" i="80"/>
  <c r="B303" i="80" s="1"/>
  <c r="AH303" i="80" s="1"/>
  <c r="A190" i="80"/>
  <c r="AB54" i="72"/>
  <c r="AC41" i="72"/>
  <c r="AB47" i="72"/>
  <c r="AC34" i="72"/>
  <c r="A228" i="80"/>
  <c r="B228" i="80" s="1"/>
  <c r="A115" i="80"/>
  <c r="B115" i="80" s="1"/>
  <c r="AC10" i="57"/>
  <c r="AC39" i="57" s="1"/>
  <c r="AB52" i="72"/>
  <c r="AC39" i="72"/>
  <c r="AE44" i="60"/>
  <c r="AF28" i="60"/>
  <c r="AF44" i="60" s="1"/>
  <c r="AB55" i="72"/>
  <c r="AC42" i="72"/>
  <c r="AG228" i="80"/>
  <c r="AD383" i="80"/>
  <c r="AD193" i="80"/>
  <c r="AB53" i="72"/>
  <c r="AC40" i="72"/>
  <c r="AB49" i="72"/>
  <c r="AC36" i="72"/>
  <c r="AB51" i="72"/>
  <c r="AC38" i="72"/>
  <c r="AB101" i="47"/>
  <c r="AG380" i="80"/>
  <c r="AG190" i="80"/>
  <c r="AD79" i="80"/>
  <c r="AE381" i="80"/>
  <c r="AE360" i="80"/>
  <c r="AF381" i="80"/>
  <c r="AE229" i="80"/>
  <c r="AF229" i="80"/>
  <c r="AE208" i="80"/>
  <c r="B429" i="80"/>
  <c r="AH429" i="80" s="1"/>
  <c r="AF343" i="80"/>
  <c r="AE343" i="80"/>
  <c r="AE322" i="80"/>
  <c r="AE50" i="60"/>
  <c r="AF50" i="60" s="1"/>
  <c r="AE2" i="47"/>
  <c r="AD435" i="80"/>
  <c r="AG432" i="80"/>
  <c r="AD231" i="80"/>
  <c r="B36" i="80"/>
  <c r="AH36" i="80" s="1"/>
  <c r="AF267" i="80"/>
  <c r="AE246" i="80"/>
  <c r="AE267" i="80"/>
  <c r="AE18" i="80"/>
  <c r="AF39" i="80"/>
  <c r="AE39" i="80"/>
  <c r="AF153" i="80"/>
  <c r="AE153" i="80"/>
  <c r="AE132" i="80"/>
  <c r="B431" i="80"/>
  <c r="AH431" i="80" s="1"/>
  <c r="AG304" i="80"/>
  <c r="AG266" i="80"/>
  <c r="AG114" i="80"/>
  <c r="AG38" i="80"/>
  <c r="AC442" i="80"/>
  <c r="AC444" i="80"/>
  <c r="AE191" i="80"/>
  <c r="AF191" i="80"/>
  <c r="AE170" i="80"/>
  <c r="AF115" i="80"/>
  <c r="AE115" i="80"/>
  <c r="AE94" i="80"/>
  <c r="B264" i="80"/>
  <c r="AH264" i="80" s="1"/>
  <c r="AC137" i="47"/>
  <c r="AD345" i="80"/>
  <c r="AD441" i="80"/>
  <c r="AD137" i="47" s="1"/>
  <c r="B432" i="80"/>
  <c r="AG76" i="80"/>
  <c r="AF77" i="80"/>
  <c r="AE77" i="80"/>
  <c r="AE56" i="80"/>
  <c r="B227" i="80"/>
  <c r="AH227" i="80" s="1"/>
  <c r="AF276" i="80"/>
  <c r="AF446" i="80"/>
  <c r="AF238" i="80"/>
  <c r="E138" i="47"/>
  <c r="E91" i="47" s="1"/>
  <c r="E14" i="60" s="1"/>
  <c r="O137" i="47"/>
  <c r="X137" i="47"/>
  <c r="D138" i="47"/>
  <c r="D91" i="47" s="1"/>
  <c r="D14" i="60" s="1"/>
  <c r="B408" i="80"/>
  <c r="AH408" i="80" s="1"/>
  <c r="B406" i="80"/>
  <c r="AH406" i="80" s="1"/>
  <c r="U137" i="47"/>
  <c r="J137" i="47"/>
  <c r="E137" i="47"/>
  <c r="B52" i="80"/>
  <c r="AH52" i="80" s="1"/>
  <c r="B360" i="80"/>
  <c r="B71" i="80"/>
  <c r="AH71" i="80" s="1"/>
  <c r="B90" i="80"/>
  <c r="AH90" i="80" s="1"/>
  <c r="B94" i="80"/>
  <c r="B205" i="80"/>
  <c r="AH205" i="80" s="1"/>
  <c r="B414" i="80"/>
  <c r="AH414" i="80" s="1"/>
  <c r="B67" i="80"/>
  <c r="AH67" i="80" s="1"/>
  <c r="B165" i="80"/>
  <c r="AH165" i="80" s="1"/>
  <c r="B319" i="80"/>
  <c r="AH319" i="80" s="1"/>
  <c r="B323" i="80"/>
  <c r="AH323" i="80" s="1"/>
  <c r="B206" i="80"/>
  <c r="AH206" i="80" s="1"/>
  <c r="B131" i="80"/>
  <c r="AH131" i="80" s="1"/>
  <c r="B170" i="80"/>
  <c r="B60" i="80"/>
  <c r="AH60" i="80" s="1"/>
  <c r="B50" i="80"/>
  <c r="AH50" i="80" s="1"/>
  <c r="B204" i="80"/>
  <c r="AH204" i="80" s="1"/>
  <c r="B340" i="80"/>
  <c r="AH340" i="80" s="1"/>
  <c r="B332" i="80"/>
  <c r="AH332" i="80" s="1"/>
  <c r="B285" i="80"/>
  <c r="AH285" i="80" s="1"/>
  <c r="B247" i="80"/>
  <c r="AH247" i="80" s="1"/>
  <c r="B57" i="80"/>
  <c r="AH57" i="80" s="1"/>
  <c r="B325" i="80"/>
  <c r="AH325" i="80" s="1"/>
  <c r="B93" i="80"/>
  <c r="AH93" i="80" s="1"/>
  <c r="B337" i="80"/>
  <c r="AH337" i="80" s="1"/>
  <c r="B92" i="80"/>
  <c r="AH92" i="80" s="1"/>
  <c r="B127" i="80"/>
  <c r="AH127" i="80" s="1"/>
  <c r="B26" i="80"/>
  <c r="AH26" i="80" s="1"/>
  <c r="B316" i="80"/>
  <c r="AH316" i="80" s="1"/>
  <c r="B315" i="80"/>
  <c r="B19" i="80"/>
  <c r="AH19" i="80" s="1"/>
  <c r="B239" i="80"/>
  <c r="AH239" i="80" s="1"/>
  <c r="B125" i="80"/>
  <c r="B163" i="80"/>
  <c r="AH163" i="80" s="1"/>
  <c r="B353" i="80"/>
  <c r="B11" i="80"/>
  <c r="B172" i="80"/>
  <c r="AH172" i="80" s="1"/>
  <c r="B364" i="80"/>
  <c r="AH364" i="80" s="1"/>
  <c r="B286" i="80"/>
  <c r="AH286" i="80" s="1"/>
  <c r="B138" i="80"/>
  <c r="AH138" i="80" s="1"/>
  <c r="B251" i="80"/>
  <c r="AH251" i="80" s="1"/>
  <c r="B173" i="80"/>
  <c r="AH173" i="80" s="1"/>
  <c r="B99" i="80"/>
  <c r="AH99" i="80" s="1"/>
  <c r="B27" i="80"/>
  <c r="AH27" i="80" s="1"/>
  <c r="B215" i="80"/>
  <c r="AH215" i="80" s="1"/>
  <c r="B29" i="80"/>
  <c r="AH29" i="80" s="1"/>
  <c r="B214" i="80"/>
  <c r="AH214" i="80" s="1"/>
  <c r="B291" i="80"/>
  <c r="AH291" i="80" s="1"/>
  <c r="M138" i="47"/>
  <c r="M91" i="47" s="1"/>
  <c r="M14" i="60" s="1"/>
  <c r="B140" i="80"/>
  <c r="AH140" i="80" s="1"/>
  <c r="B293" i="80"/>
  <c r="AH293" i="80" s="1"/>
  <c r="B424" i="80"/>
  <c r="AH424" i="80" s="1"/>
  <c r="B30" i="80"/>
  <c r="AH30" i="80" s="1"/>
  <c r="Q137" i="47"/>
  <c r="B178" i="80"/>
  <c r="AH178" i="80" s="1"/>
  <c r="R137" i="47"/>
  <c r="B143" i="80"/>
  <c r="AH143" i="80" s="1"/>
  <c r="B295" i="80"/>
  <c r="AH295" i="80" s="1"/>
  <c r="B145" i="80"/>
  <c r="AH145" i="80" s="1"/>
  <c r="B371" i="80"/>
  <c r="AH371" i="80" s="1"/>
  <c r="AF4" i="80"/>
  <c r="AF401" i="80"/>
  <c r="AF124" i="80"/>
  <c r="V137" i="47"/>
  <c r="B411" i="80"/>
  <c r="AH411" i="80" s="1"/>
  <c r="C138" i="47"/>
  <c r="C91" i="47" s="1"/>
  <c r="C14" i="60" s="1"/>
  <c r="T137" i="47"/>
  <c r="D137" i="47"/>
  <c r="C136" i="47"/>
  <c r="I137" i="47"/>
  <c r="G138" i="47"/>
  <c r="G91" i="47" s="1"/>
  <c r="G14" i="60" s="1"/>
  <c r="B413" i="80"/>
  <c r="AH413" i="80" s="1"/>
  <c r="B357" i="80"/>
  <c r="AH357" i="80" s="1"/>
  <c r="B65" i="80"/>
  <c r="AH65" i="80" s="1"/>
  <c r="B343" i="80"/>
  <c r="B359" i="80"/>
  <c r="AH359" i="80" s="1"/>
  <c r="B282" i="80"/>
  <c r="AH282" i="80" s="1"/>
  <c r="B58" i="80"/>
  <c r="AH58" i="80" s="1"/>
  <c r="B69" i="80"/>
  <c r="AH69" i="80" s="1"/>
  <c r="B77" i="80"/>
  <c r="B242" i="80"/>
  <c r="AH242" i="80" s="1"/>
  <c r="B130" i="80"/>
  <c r="AH130" i="80" s="1"/>
  <c r="B88" i="80"/>
  <c r="AH88" i="80" s="1"/>
  <c r="B355" i="80"/>
  <c r="AH355" i="80" s="1"/>
  <c r="B356" i="80"/>
  <c r="AH356" i="80" s="1"/>
  <c r="B203" i="80"/>
  <c r="AH203" i="80" s="1"/>
  <c r="B78" i="80"/>
  <c r="B328" i="80"/>
  <c r="AH328" i="80" s="1"/>
  <c r="B134" i="80"/>
  <c r="AH134" i="80" s="1"/>
  <c r="B209" i="80"/>
  <c r="AH209" i="80" s="1"/>
  <c r="B281" i="80"/>
  <c r="AH281" i="80" s="1"/>
  <c r="B202" i="80"/>
  <c r="AH202" i="80" s="1"/>
  <c r="B278" i="80"/>
  <c r="AH278" i="80" s="1"/>
  <c r="B331" i="80"/>
  <c r="AH331" i="80" s="1"/>
  <c r="B55" i="80"/>
  <c r="AH55" i="80" s="1"/>
  <c r="B342" i="80"/>
  <c r="B339" i="80"/>
  <c r="AH339" i="80" s="1"/>
  <c r="B73" i="80"/>
  <c r="AH73" i="80" s="1"/>
  <c r="B240" i="80"/>
  <c r="AH240" i="80" s="1"/>
  <c r="B56" i="80"/>
  <c r="B51" i="80"/>
  <c r="AH51" i="80" s="1"/>
  <c r="B246" i="80"/>
  <c r="B418" i="80"/>
  <c r="AH418" i="80" s="1"/>
  <c r="B16" i="80"/>
  <c r="AH16" i="80" s="1"/>
  <c r="B201" i="80"/>
  <c r="AH201" i="80" s="1"/>
  <c r="B96" i="80"/>
  <c r="AH96" i="80" s="1"/>
  <c r="B23" i="80"/>
  <c r="AH23" i="80" s="1"/>
  <c r="B210" i="80"/>
  <c r="AH210" i="80" s="1"/>
  <c r="B420" i="80"/>
  <c r="AH420" i="80" s="1"/>
  <c r="B135" i="80"/>
  <c r="AH135" i="80" s="1"/>
  <c r="B249" i="80"/>
  <c r="AH249" i="80" s="1"/>
  <c r="B365" i="80"/>
  <c r="AH365" i="80" s="1"/>
  <c r="B421" i="80"/>
  <c r="AH421" i="80" s="1"/>
  <c r="B175" i="80"/>
  <c r="AH175" i="80" s="1"/>
  <c r="B290" i="80"/>
  <c r="AH290" i="80" s="1"/>
  <c r="B100" i="80"/>
  <c r="AH100" i="80" s="1"/>
  <c r="N137" i="47"/>
  <c r="O138" i="47"/>
  <c r="O91" i="47" s="1"/>
  <c r="O14" i="60" s="1"/>
  <c r="N138" i="47"/>
  <c r="N91" i="47" s="1"/>
  <c r="N14" i="60" s="1"/>
  <c r="B253" i="80"/>
  <c r="AH253" i="80" s="1"/>
  <c r="B216" i="80"/>
  <c r="AH216" i="80" s="1"/>
  <c r="B423" i="80"/>
  <c r="AH423" i="80" s="1"/>
  <c r="B102" i="80"/>
  <c r="AH102" i="80" s="1"/>
  <c r="B141" i="80"/>
  <c r="AH141" i="80" s="1"/>
  <c r="B114" i="80"/>
  <c r="B226" i="80"/>
  <c r="AH226" i="80" s="1"/>
  <c r="AF200" i="80"/>
  <c r="AF352" i="80"/>
  <c r="AF48" i="80"/>
  <c r="AF162" i="80"/>
  <c r="F137" i="47"/>
  <c r="H138" i="47"/>
  <c r="H91" i="47" s="1"/>
  <c r="H14" i="60" s="1"/>
  <c r="AA137" i="47"/>
  <c r="B410" i="80"/>
  <c r="AH410" i="80" s="1"/>
  <c r="C137" i="47"/>
  <c r="G137" i="47"/>
  <c r="B412" i="80"/>
  <c r="AH412" i="80" s="1"/>
  <c r="K137" i="47"/>
  <c r="K138" i="47"/>
  <c r="K91" i="47" s="1"/>
  <c r="K14" i="60" s="1"/>
  <c r="P21" i="55" s="1"/>
  <c r="B320" i="80"/>
  <c r="AH320" i="80" s="1"/>
  <c r="B207" i="80"/>
  <c r="AH207" i="80" s="1"/>
  <c r="B283" i="80"/>
  <c r="AH283" i="80" s="1"/>
  <c r="B354" i="80"/>
  <c r="AH354" i="80" s="1"/>
  <c r="B164" i="80"/>
  <c r="AH164" i="80" s="1"/>
  <c r="B329" i="80"/>
  <c r="AH329" i="80" s="1"/>
  <c r="B53" i="80"/>
  <c r="AH53" i="80" s="1"/>
  <c r="B76" i="80"/>
  <c r="B243" i="80"/>
  <c r="AH243" i="80" s="1"/>
  <c r="B244" i="80"/>
  <c r="AH244" i="80" s="1"/>
  <c r="B280" i="80"/>
  <c r="AH280" i="80" s="1"/>
  <c r="B61" i="80"/>
  <c r="AH61" i="80" s="1"/>
  <c r="B327" i="80"/>
  <c r="AH327" i="80" s="1"/>
  <c r="B166" i="80"/>
  <c r="AH166" i="80" s="1"/>
  <c r="B68" i="80"/>
  <c r="AH68" i="80" s="1"/>
  <c r="B59" i="80"/>
  <c r="AH59" i="80" s="1"/>
  <c r="B361" i="80"/>
  <c r="AH361" i="80" s="1"/>
  <c r="B168" i="80"/>
  <c r="AH168" i="80" s="1"/>
  <c r="B245" i="80"/>
  <c r="AH245" i="80" s="1"/>
  <c r="B171" i="80"/>
  <c r="AH171" i="80" s="1"/>
  <c r="B317" i="80"/>
  <c r="AH317" i="80" s="1"/>
  <c r="B91" i="80"/>
  <c r="AH91" i="80" s="1"/>
  <c r="B132" i="80"/>
  <c r="B335" i="80"/>
  <c r="AH335" i="80" s="1"/>
  <c r="B241" i="80"/>
  <c r="AH241" i="80" s="1"/>
  <c r="B333" i="80"/>
  <c r="AH333" i="80" s="1"/>
  <c r="B54" i="80"/>
  <c r="AH54" i="80" s="1"/>
  <c r="B126" i="80"/>
  <c r="AH126" i="80" s="1"/>
  <c r="B169" i="80"/>
  <c r="AH169" i="80" s="1"/>
  <c r="B72" i="80"/>
  <c r="AH72" i="80" s="1"/>
  <c r="B49" i="80"/>
  <c r="B15" i="80"/>
  <c r="AH15" i="80" s="1"/>
  <c r="B248" i="80"/>
  <c r="AH248" i="80" s="1"/>
  <c r="B22" i="80"/>
  <c r="AH22" i="80" s="1"/>
  <c r="B21" i="80"/>
  <c r="AH21" i="80" s="1"/>
  <c r="B12" i="80"/>
  <c r="AH12" i="80" s="1"/>
  <c r="B363" i="80"/>
  <c r="AH363" i="80" s="1"/>
  <c r="B136" i="80"/>
  <c r="AH136" i="80" s="1"/>
  <c r="B250" i="80"/>
  <c r="AH250" i="80" s="1"/>
  <c r="B137" i="80"/>
  <c r="AH137" i="80" s="1"/>
  <c r="B174" i="80"/>
  <c r="AH174" i="80" s="1"/>
  <c r="B288" i="80"/>
  <c r="AH288" i="80" s="1"/>
  <c r="B97" i="80"/>
  <c r="AH97" i="80" s="1"/>
  <c r="B28" i="80"/>
  <c r="AH28" i="80" s="1"/>
  <c r="B177" i="80"/>
  <c r="AH177" i="80" s="1"/>
  <c r="B422" i="80"/>
  <c r="AH422" i="80" s="1"/>
  <c r="B176" i="80"/>
  <c r="AH176" i="80" s="1"/>
  <c r="B139" i="80"/>
  <c r="AH139" i="80" s="1"/>
  <c r="B101" i="80"/>
  <c r="AH101" i="80" s="1"/>
  <c r="B179" i="80"/>
  <c r="AH179" i="80" s="1"/>
  <c r="Q138" i="47"/>
  <c r="Q91" i="47" s="1"/>
  <c r="Q14" i="60" s="1"/>
  <c r="P137" i="47"/>
  <c r="B379" i="80"/>
  <c r="AH379" i="80" s="1"/>
  <c r="AF314" i="80"/>
  <c r="AF86" i="80"/>
  <c r="AF10" i="80"/>
  <c r="B407" i="80"/>
  <c r="AH407" i="80" s="1"/>
  <c r="B409" i="80"/>
  <c r="AH409" i="80" s="1"/>
  <c r="H137" i="47"/>
  <c r="I138" i="47"/>
  <c r="I91" i="47" s="1"/>
  <c r="I14" i="60" s="1"/>
  <c r="P19" i="55" s="1"/>
  <c r="B405" i="80"/>
  <c r="AH405" i="80" s="1"/>
  <c r="Z137" i="47"/>
  <c r="AB137" i="47"/>
  <c r="F138" i="47"/>
  <c r="F91" i="47" s="1"/>
  <c r="F14" i="60" s="1"/>
  <c r="P16" i="55" s="1"/>
  <c r="J138" i="47"/>
  <c r="J91" i="47" s="1"/>
  <c r="J14" i="60" s="1"/>
  <c r="P20" i="55" s="1"/>
  <c r="B415" i="80"/>
  <c r="AH415" i="80" s="1"/>
  <c r="B62" i="80"/>
  <c r="AH62" i="80" s="1"/>
  <c r="B133" i="80"/>
  <c r="AH133" i="80" s="1"/>
  <c r="B322" i="80"/>
  <c r="B74" i="80"/>
  <c r="AH74" i="80" s="1"/>
  <c r="B284" i="80"/>
  <c r="B64" i="80"/>
  <c r="AH64" i="80" s="1"/>
  <c r="B129" i="80"/>
  <c r="AH129" i="80" s="1"/>
  <c r="B416" i="80"/>
  <c r="AH416" i="80" s="1"/>
  <c r="B326" i="80"/>
  <c r="AH326" i="80" s="1"/>
  <c r="B330" i="80"/>
  <c r="AH330" i="80" s="1"/>
  <c r="B70" i="80"/>
  <c r="AH70" i="80" s="1"/>
  <c r="B128" i="80"/>
  <c r="AH128" i="80" s="1"/>
  <c r="B89" i="80"/>
  <c r="AH89" i="80" s="1"/>
  <c r="B338" i="80"/>
  <c r="AH338" i="80" s="1"/>
  <c r="B63" i="80"/>
  <c r="AH63" i="80" s="1"/>
  <c r="B66" i="80"/>
  <c r="AH66" i="80" s="1"/>
  <c r="B341" i="80"/>
  <c r="AH341" i="80" s="1"/>
  <c r="B318" i="80"/>
  <c r="AH318" i="80" s="1"/>
  <c r="B324" i="80"/>
  <c r="AH324" i="80" s="1"/>
  <c r="B321" i="80"/>
  <c r="AH321" i="80" s="1"/>
  <c r="B212" i="80"/>
  <c r="AH212" i="80" s="1"/>
  <c r="B208" i="80"/>
  <c r="B358" i="80"/>
  <c r="AH358" i="80" s="1"/>
  <c r="B167" i="80"/>
  <c r="AH167" i="80" s="1"/>
  <c r="B279" i="80"/>
  <c r="AH279" i="80" s="1"/>
  <c r="B344" i="80"/>
  <c r="B75" i="80"/>
  <c r="AH75" i="80" s="1"/>
  <c r="B336" i="80"/>
  <c r="AH336" i="80" s="1"/>
  <c r="B334" i="80"/>
  <c r="AH334" i="80" s="1"/>
  <c r="B287" i="80"/>
  <c r="AH287" i="80" s="1"/>
  <c r="B20" i="80"/>
  <c r="AH20" i="80" s="1"/>
  <c r="B277" i="80"/>
  <c r="AH277" i="80" s="1"/>
  <c r="B362" i="80"/>
  <c r="AH362" i="80" s="1"/>
  <c r="B87" i="80"/>
  <c r="AH87" i="80" s="1"/>
  <c r="B289" i="80"/>
  <c r="AH289" i="80" s="1"/>
  <c r="B17" i="80"/>
  <c r="AH17" i="80" s="1"/>
  <c r="B18" i="80"/>
  <c r="B95" i="80"/>
  <c r="AH95" i="80" s="1"/>
  <c r="B24" i="80"/>
  <c r="AH24" i="80" s="1"/>
  <c r="B98" i="80"/>
  <c r="AH98" i="80" s="1"/>
  <c r="B211" i="80"/>
  <c r="AH211" i="80" s="1"/>
  <c r="B25" i="80"/>
  <c r="AH25" i="80" s="1"/>
  <c r="B213" i="80"/>
  <c r="AH213" i="80" s="1"/>
  <c r="B366" i="80"/>
  <c r="AH366" i="80" s="1"/>
  <c r="B252" i="80"/>
  <c r="AH252" i="80" s="1"/>
  <c r="B368" i="80"/>
  <c r="AH368" i="80" s="1"/>
  <c r="B417" i="80"/>
  <c r="AH417" i="80" s="1"/>
  <c r="B367" i="80"/>
  <c r="AH367" i="80" s="1"/>
  <c r="P138" i="47"/>
  <c r="P91" i="47" s="1"/>
  <c r="P14" i="60" s="1"/>
  <c r="B292" i="80"/>
  <c r="AH292" i="80" s="1"/>
  <c r="B255" i="80"/>
  <c r="AH255" i="80" s="1"/>
  <c r="B217" i="80"/>
  <c r="AH217" i="80" s="1"/>
  <c r="B103" i="80"/>
  <c r="AH103" i="80" s="1"/>
  <c r="B425" i="80"/>
  <c r="AH425" i="80" s="1"/>
  <c r="B33" i="80"/>
  <c r="AH33" i="80" s="1"/>
  <c r="B219" i="80"/>
  <c r="AH219" i="80" s="1"/>
  <c r="B256" i="80"/>
  <c r="AH256" i="80" s="1"/>
  <c r="B106" i="80"/>
  <c r="AH106" i="80" s="1"/>
  <c r="B223" i="80"/>
  <c r="AH223" i="80" s="1"/>
  <c r="X138" i="47"/>
  <c r="X91" i="47" s="1"/>
  <c r="X14" i="60" s="1"/>
  <c r="B110" i="80"/>
  <c r="AH110" i="80" s="1"/>
  <c r="B152" i="80"/>
  <c r="B374" i="80"/>
  <c r="AH374" i="80" s="1"/>
  <c r="B149" i="80"/>
  <c r="AH149" i="80" s="1"/>
  <c r="B39" i="80"/>
  <c r="B301" i="80"/>
  <c r="AH301" i="80" s="1"/>
  <c r="Z138" i="47"/>
  <c r="Z91" i="47" s="1"/>
  <c r="Z14" i="60" s="1"/>
  <c r="B187" i="80"/>
  <c r="AH187" i="80" s="1"/>
  <c r="Y137" i="47"/>
  <c r="B148" i="80"/>
  <c r="AH148" i="80" s="1"/>
  <c r="B186" i="80"/>
  <c r="AH186" i="80" s="1"/>
  <c r="B188" i="80"/>
  <c r="AH188" i="80" s="1"/>
  <c r="B261" i="80"/>
  <c r="AH261" i="80" s="1"/>
  <c r="B300" i="80"/>
  <c r="AH300" i="80" s="1"/>
  <c r="B254" i="80"/>
  <c r="AH254" i="80" s="1"/>
  <c r="B294" i="80"/>
  <c r="AH294" i="80" s="1"/>
  <c r="B142" i="80"/>
  <c r="AH142" i="80" s="1"/>
  <c r="B427" i="80"/>
  <c r="AH427" i="80" s="1"/>
  <c r="B257" i="80"/>
  <c r="AH257" i="80" s="1"/>
  <c r="B218" i="80"/>
  <c r="AH218" i="80" s="1"/>
  <c r="B372" i="80"/>
  <c r="AH372" i="80" s="1"/>
  <c r="S138" i="47"/>
  <c r="S91" i="47" s="1"/>
  <c r="S14" i="60" s="1"/>
  <c r="B38" i="80"/>
  <c r="B185" i="80"/>
  <c r="AH185" i="80" s="1"/>
  <c r="B189" i="80"/>
  <c r="AH189" i="80" s="1"/>
  <c r="B146" i="80"/>
  <c r="AH146" i="80" s="1"/>
  <c r="B109" i="80"/>
  <c r="AH109" i="80" s="1"/>
  <c r="B297" i="80"/>
  <c r="AH297" i="80" s="1"/>
  <c r="B377" i="80"/>
  <c r="AH377" i="80" s="1"/>
  <c r="B376" i="80"/>
  <c r="AH376" i="80" s="1"/>
  <c r="B183" i="80"/>
  <c r="AH183" i="80" s="1"/>
  <c r="B220" i="80"/>
  <c r="AH220" i="80" s="1"/>
  <c r="B35" i="80"/>
  <c r="AH35" i="80" s="1"/>
  <c r="B263" i="80"/>
  <c r="AH263" i="80" s="1"/>
  <c r="B302" i="80"/>
  <c r="AH302" i="80" s="1"/>
  <c r="B221" i="80"/>
  <c r="AH221" i="80" s="1"/>
  <c r="B259" i="80"/>
  <c r="AH259" i="80" s="1"/>
  <c r="AB138" i="47"/>
  <c r="AB91" i="47" s="1"/>
  <c r="AB14" i="60" s="1"/>
  <c r="B32" i="80"/>
  <c r="AH32" i="80" s="1"/>
  <c r="B180" i="80"/>
  <c r="AH180" i="80" s="1"/>
  <c r="B426" i="80"/>
  <c r="AH426" i="80" s="1"/>
  <c r="B370" i="80"/>
  <c r="AH370" i="80" s="1"/>
  <c r="B105" i="80"/>
  <c r="AH105" i="80" s="1"/>
  <c r="B181" i="80"/>
  <c r="AH181" i="80" s="1"/>
  <c r="B150" i="80"/>
  <c r="AH150" i="80" s="1"/>
  <c r="R138" i="47"/>
  <c r="R91" i="47" s="1"/>
  <c r="R14" i="60" s="1"/>
  <c r="B184" i="80"/>
  <c r="AH184" i="80" s="1"/>
  <c r="B225" i="80"/>
  <c r="AH225" i="80" s="1"/>
  <c r="B113" i="80"/>
  <c r="AH113" i="80" s="1"/>
  <c r="B260" i="80"/>
  <c r="AH260" i="80" s="1"/>
  <c r="B224" i="80"/>
  <c r="AH224" i="80" s="1"/>
  <c r="W138" i="47"/>
  <c r="W91" i="47" s="1"/>
  <c r="W14" i="60" s="1"/>
  <c r="B265" i="80"/>
  <c r="AH265" i="80" s="1"/>
  <c r="B108" i="80"/>
  <c r="AH108" i="80" s="1"/>
  <c r="B107" i="80"/>
  <c r="AH107" i="80" s="1"/>
  <c r="B428" i="80"/>
  <c r="AH428" i="80" s="1"/>
  <c r="U138" i="47"/>
  <c r="U91" i="47" s="1"/>
  <c r="U14" i="60" s="1"/>
  <c r="P31" i="55" s="1"/>
  <c r="B151" i="80"/>
  <c r="AH151" i="80" s="1"/>
  <c r="B40" i="80"/>
  <c r="B262" i="80"/>
  <c r="AH262" i="80" s="1"/>
  <c r="B378" i="80"/>
  <c r="AH378" i="80" s="1"/>
  <c r="B31" i="80"/>
  <c r="AH31" i="80" s="1"/>
  <c r="B369" i="80"/>
  <c r="AH369" i="80" s="1"/>
  <c r="B104" i="80"/>
  <c r="AH104" i="80" s="1"/>
  <c r="B419" i="80"/>
  <c r="AH419" i="80" s="1"/>
  <c r="B296" i="80"/>
  <c r="AH296" i="80" s="1"/>
  <c r="B298" i="80"/>
  <c r="AH298" i="80" s="1"/>
  <c r="B299" i="80"/>
  <c r="AH299" i="80" s="1"/>
  <c r="V138" i="47"/>
  <c r="V91" i="47" s="1"/>
  <c r="V14" i="60" s="1"/>
  <c r="P32" i="55" s="1"/>
  <c r="B182" i="80"/>
  <c r="AH182" i="80" s="1"/>
  <c r="B222" i="80"/>
  <c r="AH222" i="80" s="1"/>
  <c r="B112" i="80"/>
  <c r="AH112" i="80" s="1"/>
  <c r="S137" i="47"/>
  <c r="B375" i="80"/>
  <c r="AH375" i="80" s="1"/>
  <c r="B144" i="80"/>
  <c r="AH144" i="80" s="1"/>
  <c r="B111" i="80"/>
  <c r="AH111" i="80" s="1"/>
  <c r="B430" i="80"/>
  <c r="AH430" i="80" s="1"/>
  <c r="B373" i="80"/>
  <c r="AH373" i="80" s="1"/>
  <c r="Y138" i="47"/>
  <c r="Y91" i="47" s="1"/>
  <c r="Y14" i="60" s="1"/>
  <c r="B258" i="80"/>
  <c r="AH258" i="80" s="1"/>
  <c r="B34" i="80"/>
  <c r="AH34" i="80" s="1"/>
  <c r="T138" i="47"/>
  <c r="T91" i="47" s="1"/>
  <c r="T14" i="60" s="1"/>
  <c r="P30" i="55" s="1"/>
  <c r="W137" i="47"/>
  <c r="B37" i="80"/>
  <c r="AH37" i="80" s="1"/>
  <c r="AA138" i="47"/>
  <c r="AA91" i="47" s="1"/>
  <c r="AA14" i="60" s="1"/>
  <c r="B147" i="80"/>
  <c r="AH147" i="80" s="1"/>
  <c r="AF305" i="80"/>
  <c r="AE284" i="80"/>
  <c r="AE305" i="80"/>
  <c r="AE400" i="80"/>
  <c r="AE402" i="80" s="1"/>
  <c r="AE433" i="80"/>
  <c r="AF433" i="80"/>
  <c r="AG342" i="80"/>
  <c r="AF2" i="47"/>
  <c r="X42" i="55"/>
  <c r="X43" i="55" s="1"/>
  <c r="W43" i="55"/>
  <c r="P9" i="55" s="1"/>
  <c r="AB44" i="55" s="1"/>
  <c r="AA20" i="75" l="1"/>
  <c r="Z32" i="75"/>
  <c r="Z49" i="75"/>
  <c r="AA22" i="75"/>
  <c r="Z34" i="75"/>
  <c r="N21" i="75"/>
  <c r="M33" i="75"/>
  <c r="M36" i="75" s="1"/>
  <c r="F48" i="68" s="1"/>
  <c r="G48" i="68" s="1"/>
  <c r="V72" i="75"/>
  <c r="W72" i="75" s="1"/>
  <c r="X72" i="75" s="1"/>
  <c r="Y72" i="75" s="1"/>
  <c r="U73" i="75"/>
  <c r="U44" i="75" s="1"/>
  <c r="Q65" i="75"/>
  <c r="R65" i="75" s="1"/>
  <c r="S65" i="75" s="1"/>
  <c r="T65" i="75" s="1"/>
  <c r="T66" i="75" s="1"/>
  <c r="U37" i="72"/>
  <c r="T50" i="72"/>
  <c r="AG288" i="57"/>
  <c r="AG252" i="57"/>
  <c r="AG324" i="57"/>
  <c r="AF253" i="57"/>
  <c r="AG253" i="57" s="1"/>
  <c r="O290" i="57"/>
  <c r="O291" i="57" s="1"/>
  <c r="AE290" i="57"/>
  <c r="AE291" i="57" s="1"/>
  <c r="C290" i="57"/>
  <c r="S290" i="57"/>
  <c r="S291" i="57" s="1"/>
  <c r="G290" i="57"/>
  <c r="G291" i="57" s="1"/>
  <c r="W290" i="57"/>
  <c r="W291" i="57" s="1"/>
  <c r="K290" i="57"/>
  <c r="K291" i="57" s="1"/>
  <c r="AA290" i="57"/>
  <c r="AA291" i="57" s="1"/>
  <c r="J290" i="57"/>
  <c r="J291" i="57" s="1"/>
  <c r="U290" i="57"/>
  <c r="U291" i="57" s="1"/>
  <c r="E290" i="57"/>
  <c r="E291" i="57" s="1"/>
  <c r="Q290" i="57"/>
  <c r="Q291" i="57" s="1"/>
  <c r="Z290" i="57"/>
  <c r="Z291" i="57" s="1"/>
  <c r="AC290" i="57"/>
  <c r="AC291" i="57" s="1"/>
  <c r="M290" i="57"/>
  <c r="M291" i="57" s="1"/>
  <c r="AD290" i="57"/>
  <c r="AD291" i="57" s="1"/>
  <c r="T290" i="57"/>
  <c r="T291" i="57" s="1"/>
  <c r="D290" i="57"/>
  <c r="D291" i="57" s="1"/>
  <c r="R290" i="57"/>
  <c r="R291" i="57" s="1"/>
  <c r="Y290" i="57"/>
  <c r="Y291" i="57" s="1"/>
  <c r="I290" i="57"/>
  <c r="I291" i="57" s="1"/>
  <c r="AB290" i="57"/>
  <c r="AB291" i="57" s="1"/>
  <c r="H290" i="57"/>
  <c r="H291" i="57" s="1"/>
  <c r="V290" i="57"/>
  <c r="V291" i="57" s="1"/>
  <c r="X290" i="57"/>
  <c r="X291" i="57" s="1"/>
  <c r="N290" i="57"/>
  <c r="N291" i="57" s="1"/>
  <c r="P290" i="57"/>
  <c r="P291" i="57" s="1"/>
  <c r="F290" i="57"/>
  <c r="F291" i="57" s="1"/>
  <c r="L290" i="57"/>
  <c r="L291" i="57" s="1"/>
  <c r="B290" i="57"/>
  <c r="B291" i="57" s="1"/>
  <c r="Q326" i="57"/>
  <c r="I326" i="57"/>
  <c r="I327" i="57" s="1"/>
  <c r="M326" i="57"/>
  <c r="M327" i="57" s="1"/>
  <c r="U326" i="57"/>
  <c r="AC326" i="57"/>
  <c r="Y326" i="57"/>
  <c r="E326" i="57"/>
  <c r="E327" i="57" s="1"/>
  <c r="T326" i="57"/>
  <c r="AE326" i="57"/>
  <c r="O326" i="57"/>
  <c r="O327" i="57" s="1"/>
  <c r="Z326" i="57"/>
  <c r="J326" i="57"/>
  <c r="J327" i="57" s="1"/>
  <c r="L326" i="57"/>
  <c r="L327" i="57" s="1"/>
  <c r="AA326" i="57"/>
  <c r="K326" i="57"/>
  <c r="K327" i="57" s="1"/>
  <c r="AB326" i="57"/>
  <c r="V326" i="57"/>
  <c r="F326" i="57"/>
  <c r="F327" i="57" s="1"/>
  <c r="H326" i="57"/>
  <c r="H327" i="57" s="1"/>
  <c r="W326" i="57"/>
  <c r="G326" i="57"/>
  <c r="G327" i="57" s="1"/>
  <c r="X326" i="57"/>
  <c r="R326" i="57"/>
  <c r="D326" i="57"/>
  <c r="D327" i="57" s="1"/>
  <c r="P326" i="57"/>
  <c r="S326" i="57"/>
  <c r="C326" i="57"/>
  <c r="C327" i="57" s="1"/>
  <c r="AD326" i="57"/>
  <c r="N326" i="57"/>
  <c r="N327" i="57" s="1"/>
  <c r="B326" i="57"/>
  <c r="B327" i="57" s="1"/>
  <c r="F254" i="57"/>
  <c r="F255" i="57" s="1"/>
  <c r="J254" i="57"/>
  <c r="J255" i="57" s="1"/>
  <c r="N254" i="57"/>
  <c r="N255" i="57" s="1"/>
  <c r="R254" i="57"/>
  <c r="R255" i="57" s="1"/>
  <c r="Z254" i="57"/>
  <c r="Z255" i="57" s="1"/>
  <c r="AD254" i="57"/>
  <c r="AD255" i="57" s="1"/>
  <c r="C254" i="57"/>
  <c r="C255" i="57" s="1"/>
  <c r="G254" i="57"/>
  <c r="G255" i="57" s="1"/>
  <c r="K254" i="57"/>
  <c r="K255" i="57" s="1"/>
  <c r="O254" i="57"/>
  <c r="O255" i="57" s="1"/>
  <c r="S254" i="57"/>
  <c r="S255" i="57" s="1"/>
  <c r="W254" i="57"/>
  <c r="W255" i="57" s="1"/>
  <c r="AA254" i="57"/>
  <c r="AA255" i="57" s="1"/>
  <c r="AE254" i="57"/>
  <c r="AE255" i="57" s="1"/>
  <c r="D254" i="57"/>
  <c r="D255" i="57" s="1"/>
  <c r="H254" i="57"/>
  <c r="H255" i="57" s="1"/>
  <c r="L254" i="57"/>
  <c r="L255" i="57" s="1"/>
  <c r="P254" i="57"/>
  <c r="P255" i="57" s="1"/>
  <c r="T254" i="57"/>
  <c r="T255" i="57" s="1"/>
  <c r="X254" i="57"/>
  <c r="X255" i="57" s="1"/>
  <c r="AB254" i="57"/>
  <c r="AB255" i="57" s="1"/>
  <c r="E254" i="57"/>
  <c r="E255" i="57" s="1"/>
  <c r="I254" i="57"/>
  <c r="I255" i="57" s="1"/>
  <c r="M254" i="57"/>
  <c r="M255" i="57" s="1"/>
  <c r="Q254" i="57"/>
  <c r="Q255" i="57" s="1"/>
  <c r="U254" i="57"/>
  <c r="U255" i="57" s="1"/>
  <c r="Y254" i="57"/>
  <c r="Y255" i="57" s="1"/>
  <c r="AC254" i="57"/>
  <c r="AC255" i="57" s="1"/>
  <c r="V254" i="57"/>
  <c r="V255" i="57" s="1"/>
  <c r="B254" i="57"/>
  <c r="B255" i="57" s="1"/>
  <c r="AF289" i="57"/>
  <c r="C291" i="57"/>
  <c r="AE325" i="57"/>
  <c r="AG325" i="57" s="1"/>
  <c r="P33" i="55"/>
  <c r="P26" i="55"/>
  <c r="P23" i="55"/>
  <c r="P34" i="55"/>
  <c r="P27" i="55"/>
  <c r="P24" i="55"/>
  <c r="P17" i="55"/>
  <c r="P15" i="55"/>
  <c r="P28" i="55"/>
  <c r="P25" i="55"/>
  <c r="P13" i="55"/>
  <c r="P14" i="55"/>
  <c r="P29" i="55"/>
  <c r="P71" i="75"/>
  <c r="P73" i="75" s="1"/>
  <c r="P44" i="75" s="1"/>
  <c r="Q71" i="75"/>
  <c r="Q73" i="75" s="1"/>
  <c r="Q44" i="75" s="1"/>
  <c r="T71" i="75"/>
  <c r="T73" i="75" s="1"/>
  <c r="T44" i="75" s="1"/>
  <c r="V71" i="75"/>
  <c r="X71" i="75"/>
  <c r="AB59" i="89"/>
  <c r="AB64" i="89"/>
  <c r="AC92" i="57"/>
  <c r="AD92" i="57" s="1"/>
  <c r="AE92" i="57" s="1"/>
  <c r="Q297" i="57"/>
  <c r="R297" i="57" s="1"/>
  <c r="S297" i="57" s="1"/>
  <c r="P327" i="57"/>
  <c r="AE312" i="57"/>
  <c r="AF312" i="57" s="1"/>
  <c r="AE307" i="57"/>
  <c r="AF307" i="57" s="1"/>
  <c r="AG307" i="57" s="1"/>
  <c r="U302" i="57"/>
  <c r="X305" i="57"/>
  <c r="Y305" i="57" s="1"/>
  <c r="V299" i="57"/>
  <c r="W299" i="57" s="1"/>
  <c r="X299" i="57" s="1"/>
  <c r="R298" i="57"/>
  <c r="S298" i="57" s="1"/>
  <c r="AF309" i="57"/>
  <c r="AG309" i="57" s="1"/>
  <c r="Z306" i="57"/>
  <c r="AA306" i="57" s="1"/>
  <c r="AB306" i="57" s="1"/>
  <c r="AC306" i="57" s="1"/>
  <c r="AD306" i="57" s="1"/>
  <c r="AE306" i="57" s="1"/>
  <c r="AF306" i="57" s="1"/>
  <c r="AG306" i="57" s="1"/>
  <c r="X303" i="57"/>
  <c r="Y303" i="57" s="1"/>
  <c r="Z303" i="57" s="1"/>
  <c r="T300" i="57"/>
  <c r="Z308" i="57"/>
  <c r="AA308" i="57" s="1"/>
  <c r="AB308" i="57" s="1"/>
  <c r="AC308" i="57" s="1"/>
  <c r="AD308" i="57" s="1"/>
  <c r="AE308" i="57" s="1"/>
  <c r="X304" i="57"/>
  <c r="Y304" i="57" s="1"/>
  <c r="Z304" i="57" s="1"/>
  <c r="Y301" i="57"/>
  <c r="Z301" i="57" s="1"/>
  <c r="AA301" i="57" s="1"/>
  <c r="AB301" i="57" s="1"/>
  <c r="AC301" i="57" s="1"/>
  <c r="AC90" i="57"/>
  <c r="AD90" i="57" s="1"/>
  <c r="AD95" i="57"/>
  <c r="AE95" i="57" s="1"/>
  <c r="U85" i="57"/>
  <c r="V85" i="57" s="1"/>
  <c r="AA91" i="57"/>
  <c r="AB91" i="57" s="1"/>
  <c r="T81" i="57"/>
  <c r="V84" i="57"/>
  <c r="W84" i="57" s="1"/>
  <c r="Q111" i="57"/>
  <c r="R82" i="57"/>
  <c r="R111" i="57" s="1"/>
  <c r="V83" i="57"/>
  <c r="X87" i="57"/>
  <c r="Y87" i="57" s="1"/>
  <c r="Z87" i="57" s="1"/>
  <c r="AA87" i="57" s="1"/>
  <c r="AB87" i="57" s="1"/>
  <c r="Y86" i="57"/>
  <c r="Z86" i="57" s="1"/>
  <c r="AA86" i="57" s="1"/>
  <c r="AB86" i="57" s="1"/>
  <c r="AC86" i="57" s="1"/>
  <c r="AD86" i="57" s="1"/>
  <c r="AB88" i="57"/>
  <c r="AC88" i="57" s="1"/>
  <c r="AE89" i="57"/>
  <c r="AF89" i="57" s="1"/>
  <c r="AG89" i="57" s="1"/>
  <c r="AG108" i="57"/>
  <c r="AG72" i="57"/>
  <c r="AG180" i="57"/>
  <c r="AF181" i="57"/>
  <c r="AG181" i="57" s="1"/>
  <c r="B266" i="80"/>
  <c r="AH266" i="80" s="1"/>
  <c r="AH152" i="80"/>
  <c r="AF145" i="57"/>
  <c r="AG145" i="57" s="1"/>
  <c r="AG144" i="57"/>
  <c r="H27" i="47"/>
  <c r="C110" i="57"/>
  <c r="D110" i="57"/>
  <c r="E110" i="57"/>
  <c r="F110" i="57"/>
  <c r="G110" i="57"/>
  <c r="H110" i="57"/>
  <c r="I110" i="57"/>
  <c r="J110" i="57"/>
  <c r="K110" i="57"/>
  <c r="L110" i="57"/>
  <c r="M110" i="57"/>
  <c r="N110" i="57"/>
  <c r="O110" i="57"/>
  <c r="P110" i="57"/>
  <c r="Q110" i="57"/>
  <c r="R110" i="57"/>
  <c r="S110" i="57"/>
  <c r="T110" i="57"/>
  <c r="U110" i="57"/>
  <c r="V110" i="57"/>
  <c r="W110" i="57"/>
  <c r="X110" i="57"/>
  <c r="Y110" i="57"/>
  <c r="Z110" i="57"/>
  <c r="AA110" i="57"/>
  <c r="AF110" i="57"/>
  <c r="AB110" i="57"/>
  <c r="AC110" i="57"/>
  <c r="AD110" i="57"/>
  <c r="AE110" i="57"/>
  <c r="AE217" i="57"/>
  <c r="O117" i="57"/>
  <c r="AG216" i="57"/>
  <c r="AA122" i="57"/>
  <c r="AB122" i="57" s="1"/>
  <c r="AC122" i="57" s="1"/>
  <c r="AD122" i="57" s="1"/>
  <c r="AF73" i="57"/>
  <c r="C74" i="57"/>
  <c r="C75" i="57" s="1"/>
  <c r="D74" i="57"/>
  <c r="E74" i="57"/>
  <c r="E75" i="57" s="1"/>
  <c r="F74" i="57"/>
  <c r="F75" i="57" s="1"/>
  <c r="G74" i="57"/>
  <c r="G75" i="57" s="1"/>
  <c r="H74" i="57"/>
  <c r="H75" i="57" s="1"/>
  <c r="I74" i="57"/>
  <c r="I75" i="57" s="1"/>
  <c r="J74" i="57"/>
  <c r="J75" i="57" s="1"/>
  <c r="K74" i="57"/>
  <c r="K75" i="57" s="1"/>
  <c r="L74" i="57"/>
  <c r="L75" i="57" s="1"/>
  <c r="M74" i="57"/>
  <c r="M75" i="57" s="1"/>
  <c r="N74" i="57"/>
  <c r="N75" i="57" s="1"/>
  <c r="O74" i="57"/>
  <c r="O75" i="57" s="1"/>
  <c r="P74" i="57"/>
  <c r="P75" i="57" s="1"/>
  <c r="Q74" i="57"/>
  <c r="Q75" i="57" s="1"/>
  <c r="R74" i="57"/>
  <c r="R75" i="57" s="1"/>
  <c r="S74" i="57"/>
  <c r="S75" i="57" s="1"/>
  <c r="T74" i="57"/>
  <c r="T75" i="57" s="1"/>
  <c r="U74" i="57"/>
  <c r="U75" i="57" s="1"/>
  <c r="V74" i="57"/>
  <c r="V75" i="57" s="1"/>
  <c r="W74" i="57"/>
  <c r="W75" i="57" s="1"/>
  <c r="X74" i="57"/>
  <c r="X75" i="57" s="1"/>
  <c r="Y74" i="57"/>
  <c r="Y75" i="57" s="1"/>
  <c r="Z74" i="57"/>
  <c r="Z75" i="57" s="1"/>
  <c r="AA74" i="57"/>
  <c r="AA75" i="57" s="1"/>
  <c r="B75" i="57"/>
  <c r="AB74" i="57"/>
  <c r="AB75" i="57" s="1"/>
  <c r="AC74" i="57"/>
  <c r="AC75" i="57" s="1"/>
  <c r="AD74" i="57"/>
  <c r="AD75" i="57" s="1"/>
  <c r="AE74" i="57"/>
  <c r="AE75" i="57" s="1"/>
  <c r="C182" i="57"/>
  <c r="D182" i="57"/>
  <c r="D183" i="57" s="1"/>
  <c r="E182" i="57"/>
  <c r="E183" i="57" s="1"/>
  <c r="F182" i="57"/>
  <c r="F183" i="57" s="1"/>
  <c r="G182" i="57"/>
  <c r="G183" i="57" s="1"/>
  <c r="H182" i="57"/>
  <c r="H183" i="57" s="1"/>
  <c r="I182" i="57"/>
  <c r="I183" i="57" s="1"/>
  <c r="J182" i="57"/>
  <c r="J183" i="57" s="1"/>
  <c r="K182" i="57"/>
  <c r="K183" i="57" s="1"/>
  <c r="L182" i="57"/>
  <c r="L183" i="57" s="1"/>
  <c r="M182" i="57"/>
  <c r="M183" i="57" s="1"/>
  <c r="N182" i="57"/>
  <c r="N183" i="57" s="1"/>
  <c r="O182" i="57"/>
  <c r="O183" i="57" s="1"/>
  <c r="P182" i="57"/>
  <c r="P183" i="57" s="1"/>
  <c r="Q182" i="57"/>
  <c r="Q183" i="57" s="1"/>
  <c r="R182" i="57"/>
  <c r="R183" i="57" s="1"/>
  <c r="S182" i="57"/>
  <c r="S183" i="57" s="1"/>
  <c r="T182" i="57"/>
  <c r="T183" i="57" s="1"/>
  <c r="U182" i="57"/>
  <c r="U183" i="57" s="1"/>
  <c r="V182" i="57"/>
  <c r="V183" i="57" s="1"/>
  <c r="W182" i="57"/>
  <c r="W183" i="57" s="1"/>
  <c r="X182" i="57"/>
  <c r="X183" i="57" s="1"/>
  <c r="Y182" i="57"/>
  <c r="Y183" i="57" s="1"/>
  <c r="Z182" i="57"/>
  <c r="Z183" i="57" s="1"/>
  <c r="AA182" i="57"/>
  <c r="AA183" i="57" s="1"/>
  <c r="B183" i="57"/>
  <c r="AB182" i="57"/>
  <c r="AB183" i="57" s="1"/>
  <c r="AC182" i="57"/>
  <c r="AC183" i="57" s="1"/>
  <c r="AD182" i="57"/>
  <c r="AD183" i="57" s="1"/>
  <c r="AE182" i="57"/>
  <c r="AE183" i="57" s="1"/>
  <c r="C218" i="57"/>
  <c r="C219" i="57" s="1"/>
  <c r="D218" i="57"/>
  <c r="D219" i="57" s="1"/>
  <c r="E218" i="57"/>
  <c r="E219" i="57" s="1"/>
  <c r="F218" i="57"/>
  <c r="F219" i="57" s="1"/>
  <c r="G218" i="57"/>
  <c r="G219" i="57" s="1"/>
  <c r="H218" i="57"/>
  <c r="H219" i="57" s="1"/>
  <c r="I218" i="57"/>
  <c r="I219" i="57" s="1"/>
  <c r="J218" i="57"/>
  <c r="J219" i="57" s="1"/>
  <c r="K218" i="57"/>
  <c r="K219" i="57" s="1"/>
  <c r="L218" i="57"/>
  <c r="L219" i="57" s="1"/>
  <c r="M218" i="57"/>
  <c r="M219" i="57" s="1"/>
  <c r="N218" i="57"/>
  <c r="N219" i="57" s="1"/>
  <c r="O218" i="57"/>
  <c r="O219" i="57" s="1"/>
  <c r="P218" i="57"/>
  <c r="P219" i="57" s="1"/>
  <c r="Q218" i="57"/>
  <c r="Q219" i="57" s="1"/>
  <c r="R218" i="57"/>
  <c r="R219" i="57" s="1"/>
  <c r="S218" i="57"/>
  <c r="S219" i="57" s="1"/>
  <c r="T218" i="57"/>
  <c r="T219" i="57" s="1"/>
  <c r="U218" i="57"/>
  <c r="U219" i="57" s="1"/>
  <c r="V218" i="57"/>
  <c r="V219" i="57" s="1"/>
  <c r="W218" i="57"/>
  <c r="W219" i="57" s="1"/>
  <c r="X218" i="57"/>
  <c r="X219" i="57" s="1"/>
  <c r="Y218" i="57"/>
  <c r="Y219" i="57" s="1"/>
  <c r="Z218" i="57"/>
  <c r="Z219" i="57" s="1"/>
  <c r="AA218" i="57"/>
  <c r="AA219" i="57" s="1"/>
  <c r="B219" i="57"/>
  <c r="AB218" i="57"/>
  <c r="AB219" i="57" s="1"/>
  <c r="AC218" i="57"/>
  <c r="AC219" i="57" s="1"/>
  <c r="AD218" i="57"/>
  <c r="AD219" i="57" s="1"/>
  <c r="AE218" i="57"/>
  <c r="AE109" i="57"/>
  <c r="AG109" i="57" s="1"/>
  <c r="AE121" i="57"/>
  <c r="AF121" i="57" s="1"/>
  <c r="AG121" i="57" s="1"/>
  <c r="AA119" i="57"/>
  <c r="AB119" i="57" s="1"/>
  <c r="AC119" i="57" s="1"/>
  <c r="AD119" i="57" s="1"/>
  <c r="AE119" i="57" s="1"/>
  <c r="AF119" i="57" s="1"/>
  <c r="AG119" i="57" s="1"/>
  <c r="C146" i="57"/>
  <c r="D146" i="57"/>
  <c r="D147" i="57" s="1"/>
  <c r="E146" i="57"/>
  <c r="E147" i="57" s="1"/>
  <c r="F146" i="57"/>
  <c r="F147" i="57" s="1"/>
  <c r="G146" i="57"/>
  <c r="G147" i="57" s="1"/>
  <c r="H146" i="57"/>
  <c r="H147" i="57" s="1"/>
  <c r="I146" i="57"/>
  <c r="I147" i="57" s="1"/>
  <c r="J146" i="57"/>
  <c r="J147" i="57" s="1"/>
  <c r="K146" i="57"/>
  <c r="K147" i="57" s="1"/>
  <c r="L146" i="57"/>
  <c r="L147" i="57" s="1"/>
  <c r="M146" i="57"/>
  <c r="M147" i="57" s="1"/>
  <c r="N146" i="57"/>
  <c r="N147" i="57" s="1"/>
  <c r="O146" i="57"/>
  <c r="P146" i="57"/>
  <c r="Q146" i="57"/>
  <c r="R146" i="57"/>
  <c r="S146" i="57"/>
  <c r="T146" i="57"/>
  <c r="U146" i="57"/>
  <c r="V146" i="57"/>
  <c r="W146" i="57"/>
  <c r="X146" i="57"/>
  <c r="Y146" i="57"/>
  <c r="Z146" i="57"/>
  <c r="AA146" i="57"/>
  <c r="B147" i="57"/>
  <c r="AB146" i="57"/>
  <c r="AC146" i="57"/>
  <c r="AD146" i="57"/>
  <c r="AE146" i="57"/>
  <c r="AH114" i="80"/>
  <c r="AG115" i="80"/>
  <c r="AH115" i="80" s="1"/>
  <c r="AH76" i="80"/>
  <c r="AG229" i="80"/>
  <c r="AH342" i="80"/>
  <c r="AH228" i="80"/>
  <c r="AG77" i="80"/>
  <c r="AH77" i="80" s="1"/>
  <c r="AE345" i="80"/>
  <c r="AD10" i="57"/>
  <c r="AE10" i="57" s="1"/>
  <c r="AF10" i="57" s="1"/>
  <c r="AG10" i="57" s="1"/>
  <c r="AH38" i="80"/>
  <c r="AA6" i="60"/>
  <c r="N37" i="55"/>
  <c r="AA80" i="47"/>
  <c r="AB15" i="47"/>
  <c r="AC47" i="72"/>
  <c r="AD34" i="72"/>
  <c r="A304" i="80"/>
  <c r="B304" i="80" s="1"/>
  <c r="A191" i="80"/>
  <c r="B190" i="80"/>
  <c r="AH190" i="80" s="1"/>
  <c r="I27" i="47"/>
  <c r="AC55" i="72"/>
  <c r="AD42" i="72"/>
  <c r="AC52" i="72"/>
  <c r="AD39" i="72"/>
  <c r="AG191" i="80"/>
  <c r="AC53" i="72"/>
  <c r="AD40" i="72"/>
  <c r="AC54" i="72"/>
  <c r="AD41" i="72"/>
  <c r="AC48" i="72"/>
  <c r="AD35" i="72"/>
  <c r="AE269" i="80"/>
  <c r="AC51" i="72"/>
  <c r="AD38" i="72"/>
  <c r="AC49" i="72"/>
  <c r="AD36" i="72"/>
  <c r="A229" i="80"/>
  <c r="B229" i="80" s="1"/>
  <c r="A116" i="80"/>
  <c r="A154" i="80"/>
  <c r="A267" i="80"/>
  <c r="J27" i="47"/>
  <c r="AH432" i="80"/>
  <c r="B433" i="80"/>
  <c r="AE441" i="80"/>
  <c r="AE137" i="47" s="1"/>
  <c r="AF154" i="80"/>
  <c r="AG154" i="80" s="1"/>
  <c r="AF132" i="80"/>
  <c r="AH11" i="80"/>
  <c r="AC392" i="80"/>
  <c r="AC101" i="47"/>
  <c r="AE155" i="80"/>
  <c r="AG39" i="80"/>
  <c r="AH39" i="80" s="1"/>
  <c r="AG267" i="80"/>
  <c r="AD442" i="80"/>
  <c r="AD138" i="47" s="1"/>
  <c r="AD91" i="47" s="1"/>
  <c r="AD14" i="60" s="1"/>
  <c r="P40" i="55" s="1"/>
  <c r="AD444" i="80"/>
  <c r="AG343" i="80"/>
  <c r="AH343" i="80" s="1"/>
  <c r="AG381" i="80"/>
  <c r="AF344" i="80"/>
  <c r="AG344" i="80" s="1"/>
  <c r="AH344" i="80" s="1"/>
  <c r="AF322" i="80"/>
  <c r="AF208" i="80"/>
  <c r="AF230" i="80"/>
  <c r="AG230" i="80" s="1"/>
  <c r="AG305" i="80"/>
  <c r="AH49" i="80"/>
  <c r="B79" i="80"/>
  <c r="AF192" i="80"/>
  <c r="AG192" i="80" s="1"/>
  <c r="AF170" i="80"/>
  <c r="AF400" i="80"/>
  <c r="AF402" i="80" s="1"/>
  <c r="AF434" i="80"/>
  <c r="AH353" i="80"/>
  <c r="AF246" i="80"/>
  <c r="AF268" i="80"/>
  <c r="AG268" i="80" s="1"/>
  <c r="AE193" i="80"/>
  <c r="AC138" i="47"/>
  <c r="AC91" i="47" s="1"/>
  <c r="AC14" i="60" s="1"/>
  <c r="P39" i="55" s="1"/>
  <c r="AC443" i="80"/>
  <c r="AD440" i="80" s="1"/>
  <c r="AG153" i="80"/>
  <c r="AH153" i="80" s="1"/>
  <c r="AE307" i="80"/>
  <c r="AF18" i="80"/>
  <c r="AF40" i="80"/>
  <c r="AG40" i="80" s="1"/>
  <c r="AH40" i="80" s="1"/>
  <c r="AF56" i="80"/>
  <c r="AF78" i="80"/>
  <c r="AG78" i="80" s="1"/>
  <c r="AH78" i="80" s="1"/>
  <c r="C139" i="47"/>
  <c r="AH315" i="80"/>
  <c r="B345" i="80"/>
  <c r="AE79" i="80"/>
  <c r="AE117" i="80"/>
  <c r="AE435" i="80"/>
  <c r="AE442" i="80" s="1"/>
  <c r="AE138" i="47" s="1"/>
  <c r="AE91" i="47" s="1"/>
  <c r="AE14" i="60" s="1"/>
  <c r="P41" i="55" s="1"/>
  <c r="AG433" i="80"/>
  <c r="AF116" i="80"/>
  <c r="AG116" i="80" s="1"/>
  <c r="AF94" i="80"/>
  <c r="AF382" i="80"/>
  <c r="AG382" i="80" s="1"/>
  <c r="AF360" i="80"/>
  <c r="AH125" i="80"/>
  <c r="AF306" i="80"/>
  <c r="AG306" i="80" s="1"/>
  <c r="AF284" i="80"/>
  <c r="AE231" i="80"/>
  <c r="AE383" i="80"/>
  <c r="AH380" i="80"/>
  <c r="L137" i="47"/>
  <c r="L27" i="47" s="1"/>
  <c r="M137" i="47"/>
  <c r="AB22" i="75" l="1"/>
  <c r="AA34" i="75"/>
  <c r="O21" i="75"/>
  <c r="N33" i="75"/>
  <c r="N36" i="75" s="1"/>
  <c r="AB20" i="75"/>
  <c r="AA32" i="75"/>
  <c r="AA49" i="75"/>
  <c r="V73" i="75"/>
  <c r="V44" i="75" s="1"/>
  <c r="X73" i="75"/>
  <c r="X44" i="75" s="1"/>
  <c r="U65" i="75"/>
  <c r="U66" i="75" s="1"/>
  <c r="W73" i="75"/>
  <c r="W44" i="75" s="1"/>
  <c r="Z72" i="75"/>
  <c r="Y73" i="75"/>
  <c r="Y44" i="75" s="1"/>
  <c r="U50" i="72"/>
  <c r="V37" i="72"/>
  <c r="AF254" i="57"/>
  <c r="AG254" i="57" s="1"/>
  <c r="AF290" i="57"/>
  <c r="AG290" i="57" s="1"/>
  <c r="AF326" i="57"/>
  <c r="AG326" i="57" s="1"/>
  <c r="AG289" i="57"/>
  <c r="P35" i="55"/>
  <c r="P36" i="55"/>
  <c r="P37" i="55"/>
  <c r="Q327" i="57"/>
  <c r="AB74" i="89"/>
  <c r="AC49" i="89"/>
  <c r="S327" i="57"/>
  <c r="T297" i="57"/>
  <c r="U297" i="57" s="1"/>
  <c r="AF92" i="57"/>
  <c r="AG92" i="57" s="1"/>
  <c r="T298" i="57"/>
  <c r="U298" i="57" s="1"/>
  <c r="V298" i="57" s="1"/>
  <c r="W298" i="57" s="1"/>
  <c r="X298" i="57" s="1"/>
  <c r="Y298" i="57" s="1"/>
  <c r="AG312" i="57"/>
  <c r="AF308" i="57"/>
  <c r="AG308" i="57" s="1"/>
  <c r="AA303" i="57"/>
  <c r="AB303" i="57" s="1"/>
  <c r="AC303" i="57" s="1"/>
  <c r="V297" i="57"/>
  <c r="AA304" i="57"/>
  <c r="AB304" i="57" s="1"/>
  <c r="AC304" i="57" s="1"/>
  <c r="AD304" i="57" s="1"/>
  <c r="AE304" i="57" s="1"/>
  <c r="AF304" i="57" s="1"/>
  <c r="AG304" i="57" s="1"/>
  <c r="Z305" i="57"/>
  <c r="V302" i="57"/>
  <c r="W302" i="57" s="1"/>
  <c r="X302" i="57" s="1"/>
  <c r="Y302" i="57" s="1"/>
  <c r="Z302" i="57" s="1"/>
  <c r="AA302" i="57" s="1"/>
  <c r="AB302" i="57" s="1"/>
  <c r="AC302" i="57" s="1"/>
  <c r="AD301" i="57"/>
  <c r="AE301" i="57" s="1"/>
  <c r="AF301" i="57" s="1"/>
  <c r="AG301" i="57" s="1"/>
  <c r="U300" i="57"/>
  <c r="Y299" i="57"/>
  <c r="Z299" i="57" s="1"/>
  <c r="AA299" i="57" s="1"/>
  <c r="AB299" i="57" s="1"/>
  <c r="AC299" i="57" s="1"/>
  <c r="AD299" i="57" s="1"/>
  <c r="AE299" i="57" s="1"/>
  <c r="AF299" i="57" s="1"/>
  <c r="AG299" i="57" s="1"/>
  <c r="R327" i="57"/>
  <c r="AE90" i="57"/>
  <c r="AF90" i="57" s="1"/>
  <c r="AG90" i="57" s="1"/>
  <c r="AC91" i="57"/>
  <c r="AD91" i="57" s="1"/>
  <c r="AE91" i="57" s="1"/>
  <c r="AF91" i="57" s="1"/>
  <c r="AG91" i="57" s="1"/>
  <c r="AF95" i="57"/>
  <c r="AG95" i="57" s="1"/>
  <c r="AD88" i="57"/>
  <c r="AE88" i="57" s="1"/>
  <c r="AF88" i="57" s="1"/>
  <c r="W83" i="57"/>
  <c r="X84" i="57"/>
  <c r="S82" i="57"/>
  <c r="U81" i="57"/>
  <c r="W85" i="57"/>
  <c r="AE86" i="57"/>
  <c r="AF86" i="57" s="1"/>
  <c r="AG86" i="57" s="1"/>
  <c r="AC87" i="57"/>
  <c r="AF182" i="57"/>
  <c r="AF183" i="57" s="1"/>
  <c r="AE122" i="57"/>
  <c r="AF122" i="57" s="1"/>
  <c r="AG122" i="57" s="1"/>
  <c r="AF146" i="57"/>
  <c r="AG146" i="57" s="1"/>
  <c r="AE219" i="57"/>
  <c r="AF218" i="57"/>
  <c r="AF219" i="57" s="1"/>
  <c r="M369" i="57"/>
  <c r="M393" i="80" s="1"/>
  <c r="I369" i="57"/>
  <c r="E19" i="55" s="1"/>
  <c r="J19" i="55" s="1"/>
  <c r="E369" i="57"/>
  <c r="E15" i="55" s="1"/>
  <c r="J15" i="55" s="1"/>
  <c r="AF74" i="57"/>
  <c r="AF75" i="57" s="1"/>
  <c r="C147" i="57"/>
  <c r="L369" i="57"/>
  <c r="H369" i="57"/>
  <c r="D75" i="57"/>
  <c r="D369" i="57" s="1"/>
  <c r="AG110" i="57"/>
  <c r="K369" i="57"/>
  <c r="G369" i="57"/>
  <c r="AG217" i="57"/>
  <c r="O147" i="57"/>
  <c r="O369" i="57" s="1"/>
  <c r="P117" i="57"/>
  <c r="C183" i="57"/>
  <c r="N369" i="57"/>
  <c r="J369" i="57"/>
  <c r="F369" i="57"/>
  <c r="AG73" i="57"/>
  <c r="AH229" i="80"/>
  <c r="AG27" i="47"/>
  <c r="AD39" i="57"/>
  <c r="AE39" i="57"/>
  <c r="AF39" i="57"/>
  <c r="AB80" i="47"/>
  <c r="AC15" i="47"/>
  <c r="AB6" i="60"/>
  <c r="N38" i="55"/>
  <c r="A381" i="80"/>
  <c r="B381" i="80" s="1"/>
  <c r="B267" i="80"/>
  <c r="AH267" i="80" s="1"/>
  <c r="AD49" i="72"/>
  <c r="AE36" i="72"/>
  <c r="A192" i="80"/>
  <c r="A305" i="80"/>
  <c r="B305" i="80" s="1"/>
  <c r="AH305" i="80" s="1"/>
  <c r="B191" i="80"/>
  <c r="AH191" i="80" s="1"/>
  <c r="A268" i="80"/>
  <c r="B154" i="80"/>
  <c r="B155" i="80" s="1"/>
  <c r="AD48" i="72"/>
  <c r="AE35" i="72"/>
  <c r="AD52" i="72"/>
  <c r="AE39" i="72"/>
  <c r="AH304" i="80"/>
  <c r="B116" i="80"/>
  <c r="B117" i="80" s="1"/>
  <c r="A230" i="80"/>
  <c r="B230" i="80" s="1"/>
  <c r="B231" i="80" s="1"/>
  <c r="AD51" i="72"/>
  <c r="AE38" i="72"/>
  <c r="AD53" i="72"/>
  <c r="AE40" i="72"/>
  <c r="AD47" i="72"/>
  <c r="AE34" i="72"/>
  <c r="AD54" i="72"/>
  <c r="AE41" i="72"/>
  <c r="AD55" i="72"/>
  <c r="AE42" i="72"/>
  <c r="AE444" i="80"/>
  <c r="AE101" i="47" s="1"/>
  <c r="AD443" i="80"/>
  <c r="AE440" i="80" s="1"/>
  <c r="AE443" i="80" s="1"/>
  <c r="AF440" i="80" s="1"/>
  <c r="AF193" i="80"/>
  <c r="AG170" i="80"/>
  <c r="AF155" i="80"/>
  <c r="AG132" i="80"/>
  <c r="AF383" i="80"/>
  <c r="AG360" i="80"/>
  <c r="AF79" i="80"/>
  <c r="AG56" i="80"/>
  <c r="AF307" i="80"/>
  <c r="AG284" i="80"/>
  <c r="AG434" i="80"/>
  <c r="AG435" i="80" s="1"/>
  <c r="AF435" i="80"/>
  <c r="AG208" i="80"/>
  <c r="AF231" i="80"/>
  <c r="AF117" i="80"/>
  <c r="AG94" i="80"/>
  <c r="D136" i="47"/>
  <c r="D139" i="47" s="1"/>
  <c r="C153" i="47"/>
  <c r="C32" i="60" s="1"/>
  <c r="AG18" i="80"/>
  <c r="AF269" i="80"/>
  <c r="AG246" i="80"/>
  <c r="B434" i="80"/>
  <c r="AF441" i="80"/>
  <c r="AF137" i="47" s="1"/>
  <c r="AF345" i="80"/>
  <c r="AG322" i="80"/>
  <c r="AD392" i="80"/>
  <c r="AD101" i="47"/>
  <c r="AH433" i="80"/>
  <c r="L138" i="47"/>
  <c r="L91" i="47" s="1"/>
  <c r="AC20" i="75" l="1"/>
  <c r="AB32" i="75"/>
  <c r="AB49" i="75"/>
  <c r="P21" i="75"/>
  <c r="O33" i="75"/>
  <c r="O36" i="75" s="1"/>
  <c r="AC22" i="75"/>
  <c r="AB34" i="75"/>
  <c r="V65" i="75"/>
  <c r="W65" i="75" s="1"/>
  <c r="X65" i="75" s="1"/>
  <c r="Y65" i="75" s="1"/>
  <c r="Y66" i="75" s="1"/>
  <c r="AA72" i="75"/>
  <c r="Z73" i="75"/>
  <c r="Z44" i="75" s="1"/>
  <c r="V50" i="72"/>
  <c r="W37" i="72"/>
  <c r="AF291" i="57"/>
  <c r="AG291" i="57" s="1"/>
  <c r="AF255" i="57"/>
  <c r="AG255" i="57" s="1"/>
  <c r="AG218" i="57"/>
  <c r="AC59" i="89"/>
  <c r="AC64" i="89"/>
  <c r="U327" i="57"/>
  <c r="T327" i="57"/>
  <c r="Z298" i="57"/>
  <c r="AA298" i="57" s="1"/>
  <c r="AB298" i="57" s="1"/>
  <c r="AC298" i="57" s="1"/>
  <c r="AD298" i="57" s="1"/>
  <c r="AE298" i="57" s="1"/>
  <c r="AF298" i="57" s="1"/>
  <c r="AG298" i="57" s="1"/>
  <c r="AD303" i="57"/>
  <c r="AE303" i="57" s="1"/>
  <c r="AF303" i="57" s="1"/>
  <c r="AG303" i="57" s="1"/>
  <c r="V300" i="57"/>
  <c r="W300" i="57" s="1"/>
  <c r="X300" i="57" s="1"/>
  <c r="Y300" i="57" s="1"/>
  <c r="Z300" i="57" s="1"/>
  <c r="AA300" i="57" s="1"/>
  <c r="AB300" i="57" s="1"/>
  <c r="AC300" i="57" s="1"/>
  <c r="AD300" i="57" s="1"/>
  <c r="AE300" i="57" s="1"/>
  <c r="AF300" i="57" s="1"/>
  <c r="AG300" i="57" s="1"/>
  <c r="W297" i="57"/>
  <c r="AD302" i="57"/>
  <c r="AE302" i="57" s="1"/>
  <c r="AF302" i="57" s="1"/>
  <c r="AG302" i="57" s="1"/>
  <c r="AA305" i="57"/>
  <c r="AB305" i="57" s="1"/>
  <c r="AC305" i="57" s="1"/>
  <c r="AD305" i="57" s="1"/>
  <c r="AE305" i="57" s="1"/>
  <c r="AF305" i="57" s="1"/>
  <c r="AG88" i="57"/>
  <c r="X85" i="57"/>
  <c r="V81" i="57"/>
  <c r="T82" i="57"/>
  <c r="S111" i="57"/>
  <c r="Y84" i="57"/>
  <c r="Z84" i="57" s="1"/>
  <c r="AA84" i="57" s="1"/>
  <c r="X83" i="57"/>
  <c r="Y83" i="57" s="1"/>
  <c r="Z83" i="57" s="1"/>
  <c r="AA83" i="57" s="1"/>
  <c r="AB83" i="57" s="1"/>
  <c r="AD87" i="57"/>
  <c r="AG183" i="57"/>
  <c r="AG182" i="57"/>
  <c r="AG219" i="57"/>
  <c r="C369" i="57"/>
  <c r="M116" i="47"/>
  <c r="M98" i="47"/>
  <c r="M17" i="47" s="1"/>
  <c r="E23" i="55"/>
  <c r="J23" i="55" s="1"/>
  <c r="E393" i="80"/>
  <c r="I116" i="47"/>
  <c r="I98" i="47"/>
  <c r="I393" i="80"/>
  <c r="AG75" i="57"/>
  <c r="AG74" i="57"/>
  <c r="E116" i="47"/>
  <c r="E98" i="47"/>
  <c r="O393" i="80"/>
  <c r="E25" i="55"/>
  <c r="J25" i="55" s="1"/>
  <c r="O98" i="47"/>
  <c r="O116" i="47"/>
  <c r="J98" i="47"/>
  <c r="E20" i="55"/>
  <c r="J20" i="55" s="1"/>
  <c r="J393" i="80"/>
  <c r="J116" i="47"/>
  <c r="Q117" i="57"/>
  <c r="P147" i="57"/>
  <c r="P369" i="57" s="1"/>
  <c r="D98" i="47"/>
  <c r="E14" i="55"/>
  <c r="J14" i="55" s="1"/>
  <c r="D116" i="47"/>
  <c r="D393" i="80"/>
  <c r="D394" i="80" s="1"/>
  <c r="D395" i="80" s="1"/>
  <c r="N116" i="47"/>
  <c r="N98" i="47"/>
  <c r="N393" i="80"/>
  <c r="E24" i="55"/>
  <c r="J24" i="55" s="1"/>
  <c r="G98" i="47"/>
  <c r="G393" i="80"/>
  <c r="G116" i="47"/>
  <c r="E17" i="55"/>
  <c r="J17" i="55" s="1"/>
  <c r="E21" i="55"/>
  <c r="J21" i="55" s="1"/>
  <c r="K98" i="47"/>
  <c r="K393" i="80"/>
  <c r="K116" i="47"/>
  <c r="H98" i="47"/>
  <c r="H393" i="80"/>
  <c r="H116" i="47"/>
  <c r="E18" i="55"/>
  <c r="J18" i="55" s="1"/>
  <c r="F393" i="80"/>
  <c r="F98" i="47"/>
  <c r="E16" i="55"/>
  <c r="J16" i="55" s="1"/>
  <c r="F116" i="47"/>
  <c r="L393" i="80"/>
  <c r="E22" i="55"/>
  <c r="J22" i="55" s="1"/>
  <c r="L116" i="47"/>
  <c r="L98" i="47"/>
  <c r="AE392" i="80"/>
  <c r="AG39" i="57"/>
  <c r="AH154" i="80"/>
  <c r="N39" i="55"/>
  <c r="AD15" i="47"/>
  <c r="AC6" i="60"/>
  <c r="AC80" i="47"/>
  <c r="AE55" i="72"/>
  <c r="AF42" i="72"/>
  <c r="AE51" i="72"/>
  <c r="AF38" i="72"/>
  <c r="AE52" i="72"/>
  <c r="AF39" i="72"/>
  <c r="AH230" i="80"/>
  <c r="AE49" i="72"/>
  <c r="AF36" i="72"/>
  <c r="AE54" i="72"/>
  <c r="AF41" i="72"/>
  <c r="AE47" i="72"/>
  <c r="AF34" i="72"/>
  <c r="AE53" i="72"/>
  <c r="AF40" i="72"/>
  <c r="A382" i="80"/>
  <c r="B382" i="80" s="1"/>
  <c r="AH382" i="80" s="1"/>
  <c r="B268" i="80"/>
  <c r="AH268" i="80" s="1"/>
  <c r="A306" i="80"/>
  <c r="B306" i="80" s="1"/>
  <c r="B192" i="80"/>
  <c r="AH192" i="80" s="1"/>
  <c r="AE48" i="72"/>
  <c r="AF35" i="72"/>
  <c r="AH381" i="80"/>
  <c r="AH116" i="80"/>
  <c r="AH434" i="80"/>
  <c r="AH435" i="80" s="1"/>
  <c r="B435" i="80"/>
  <c r="AG307" i="80"/>
  <c r="AH284" i="80"/>
  <c r="AH56" i="80"/>
  <c r="AH79" i="80" s="1"/>
  <c r="AG79" i="80"/>
  <c r="AG383" i="80"/>
  <c r="AH360" i="80"/>
  <c r="AH170" i="80"/>
  <c r="AG193" i="80"/>
  <c r="AH322" i="80"/>
  <c r="AH345" i="80" s="1"/>
  <c r="AG345" i="80"/>
  <c r="AG269" i="80"/>
  <c r="AH246" i="80"/>
  <c r="C39" i="60"/>
  <c r="C41" i="60" s="1"/>
  <c r="C43" i="60" s="1"/>
  <c r="C45" i="60" s="1"/>
  <c r="C11" i="60" s="1"/>
  <c r="C34" i="60"/>
  <c r="C36" i="60" s="1"/>
  <c r="C10" i="60" s="1"/>
  <c r="AG117" i="80"/>
  <c r="AH94" i="80"/>
  <c r="AG231" i="80"/>
  <c r="AH208" i="80"/>
  <c r="D153" i="47"/>
  <c r="D32" i="60" s="1"/>
  <c r="E136" i="47"/>
  <c r="E139" i="47" s="1"/>
  <c r="AF444" i="80"/>
  <c r="AF442" i="80"/>
  <c r="AG155" i="80"/>
  <c r="AH132" i="80"/>
  <c r="AH18" i="80"/>
  <c r="L14" i="60"/>
  <c r="AD22" i="75" l="1"/>
  <c r="AC34" i="75"/>
  <c r="Q21" i="75"/>
  <c r="P33" i="75"/>
  <c r="P36" i="75" s="1"/>
  <c r="AD20" i="75"/>
  <c r="AC32" i="75"/>
  <c r="AC49" i="75"/>
  <c r="AB72" i="75"/>
  <c r="AA73" i="75"/>
  <c r="AA44" i="75" s="1"/>
  <c r="Z65" i="75"/>
  <c r="Z66" i="75" s="1"/>
  <c r="W50" i="72"/>
  <c r="X37" i="72"/>
  <c r="P22" i="55"/>
  <c r="P18" i="55"/>
  <c r="C98" i="47"/>
  <c r="C17" i="47" s="1"/>
  <c r="AC74" i="89"/>
  <c r="AD49" i="89"/>
  <c r="V327" i="57"/>
  <c r="W327" i="57"/>
  <c r="X297" i="57"/>
  <c r="AG305" i="57"/>
  <c r="AC83" i="57"/>
  <c r="AD83" i="57" s="1"/>
  <c r="AB84" i="57"/>
  <c r="AC84" i="57" s="1"/>
  <c r="AD84" i="57" s="1"/>
  <c r="AE84" i="57" s="1"/>
  <c r="W81" i="57"/>
  <c r="U82" i="57"/>
  <c r="T111" i="57"/>
  <c r="AE87" i="57"/>
  <c r="AF87" i="57" s="1"/>
  <c r="AG87" i="57" s="1"/>
  <c r="Y85" i="57"/>
  <c r="C393" i="80"/>
  <c r="C394" i="80" s="1"/>
  <c r="C395" i="80" s="1"/>
  <c r="C396" i="80" s="1"/>
  <c r="D396" i="80" s="1"/>
  <c r="E13" i="55"/>
  <c r="J13" i="55" s="1"/>
  <c r="C370" i="57"/>
  <c r="D370" i="57" s="1"/>
  <c r="E370" i="57" s="1"/>
  <c r="F370" i="57" s="1"/>
  <c r="G370" i="57" s="1"/>
  <c r="H370" i="57" s="1"/>
  <c r="I370" i="57" s="1"/>
  <c r="J370" i="57" s="1"/>
  <c r="K370" i="57" s="1"/>
  <c r="L370" i="57" s="1"/>
  <c r="M370" i="57" s="1"/>
  <c r="N370" i="57" s="1"/>
  <c r="O370" i="57" s="1"/>
  <c r="P370" i="57" s="1"/>
  <c r="C116" i="47"/>
  <c r="C117" i="47" s="1"/>
  <c r="C119" i="47" s="1"/>
  <c r="C121" i="47" s="1"/>
  <c r="E17" i="47"/>
  <c r="E25" i="47" s="1"/>
  <c r="AH155" i="80"/>
  <c r="I17" i="47"/>
  <c r="I82" i="47" s="1"/>
  <c r="M8" i="60"/>
  <c r="M25" i="47"/>
  <c r="M82" i="47"/>
  <c r="K17" i="47"/>
  <c r="G17" i="47"/>
  <c r="N17" i="47"/>
  <c r="E26" i="55"/>
  <c r="J26" i="55" s="1"/>
  <c r="P116" i="47"/>
  <c r="P98" i="47"/>
  <c r="P393" i="80"/>
  <c r="O17" i="47"/>
  <c r="H17" i="47"/>
  <c r="Q147" i="57"/>
  <c r="Q369" i="57" s="1"/>
  <c r="R117" i="57"/>
  <c r="J17" i="47"/>
  <c r="F17" i="47"/>
  <c r="D17" i="47"/>
  <c r="D100" i="47"/>
  <c r="D102" i="47" s="1"/>
  <c r="D103" i="47" s="1"/>
  <c r="L17" i="47"/>
  <c r="AH117" i="80"/>
  <c r="AH231" i="80"/>
  <c r="AH269" i="80"/>
  <c r="B269" i="80"/>
  <c r="AH193" i="80"/>
  <c r="AH383" i="80"/>
  <c r="B383" i="80"/>
  <c r="AD80" i="47"/>
  <c r="N40" i="55"/>
  <c r="AD6" i="60"/>
  <c r="AE15" i="47"/>
  <c r="B307" i="80"/>
  <c r="AH306" i="80"/>
  <c r="AH307" i="80" s="1"/>
  <c r="AF53" i="72"/>
  <c r="AG40" i="72"/>
  <c r="AF54" i="72"/>
  <c r="AG41" i="72"/>
  <c r="B193" i="80"/>
  <c r="AF52" i="72"/>
  <c r="AG39" i="72"/>
  <c r="AF51" i="72"/>
  <c r="AG38" i="72"/>
  <c r="AF55" i="72"/>
  <c r="AG42" i="72"/>
  <c r="AF48" i="72"/>
  <c r="AG35" i="72"/>
  <c r="AF47" i="72"/>
  <c r="AG34" i="72"/>
  <c r="AF49" i="72"/>
  <c r="AG36" i="72"/>
  <c r="E153" i="47"/>
  <c r="E32" i="60" s="1"/>
  <c r="F136" i="47"/>
  <c r="F139" i="47" s="1"/>
  <c r="AF138" i="47"/>
  <c r="AF91" i="47" s="1"/>
  <c r="AF443" i="80"/>
  <c r="D34" i="60"/>
  <c r="D36" i="60" s="1"/>
  <c r="D10" i="60" s="1"/>
  <c r="D39" i="60"/>
  <c r="D41" i="60" s="1"/>
  <c r="D43" i="60" s="1"/>
  <c r="D45" i="60" s="1"/>
  <c r="D11" i="60" s="1"/>
  <c r="AF101" i="47"/>
  <c r="AF392" i="80"/>
  <c r="AE20" i="75" l="1"/>
  <c r="AD32" i="75"/>
  <c r="AD49" i="75"/>
  <c r="R21" i="75"/>
  <c r="Q33" i="75"/>
  <c r="Q36" i="75" s="1"/>
  <c r="AE22" i="75"/>
  <c r="AD34" i="75"/>
  <c r="AA65" i="75"/>
  <c r="AB65" i="75" s="1"/>
  <c r="AC65" i="75" s="1"/>
  <c r="AC66" i="75" s="1"/>
  <c r="AC72" i="75"/>
  <c r="AB73" i="75"/>
  <c r="AB44" i="75" s="1"/>
  <c r="X50" i="72"/>
  <c r="Y37" i="72"/>
  <c r="C100" i="47"/>
  <c r="C102" i="47" s="1"/>
  <c r="C103" i="47" s="1"/>
  <c r="C132" i="47" s="1"/>
  <c r="C133" i="47" s="1"/>
  <c r="D131" i="47" s="1"/>
  <c r="AD64" i="89"/>
  <c r="AD59" i="89"/>
  <c r="AE83" i="57"/>
  <c r="AF83" i="57" s="1"/>
  <c r="AG83" i="57" s="1"/>
  <c r="X327" i="57"/>
  <c r="Y297" i="57"/>
  <c r="F13" i="55"/>
  <c r="Z85" i="57"/>
  <c r="V82" i="57"/>
  <c r="U111" i="57"/>
  <c r="AF84" i="57"/>
  <c r="AG84" i="57" s="1"/>
  <c r="X81" i="57"/>
  <c r="D115" i="47"/>
  <c r="D117" i="47" s="1"/>
  <c r="E5" i="67" s="1"/>
  <c r="E7" i="67" s="1"/>
  <c r="E9" i="67" s="1"/>
  <c r="E18" i="47" s="1"/>
  <c r="D5" i="67"/>
  <c r="D7" i="67" s="1"/>
  <c r="D9" i="67" s="1"/>
  <c r="D18" i="47" s="1"/>
  <c r="E82" i="47"/>
  <c r="E8" i="60"/>
  <c r="I25" i="47"/>
  <c r="I8" i="60"/>
  <c r="D397" i="80"/>
  <c r="D23" i="47"/>
  <c r="D132" i="47"/>
  <c r="C122" i="47"/>
  <c r="R147" i="57"/>
  <c r="R369" i="57" s="1"/>
  <c r="S117" i="57"/>
  <c r="G8" i="60"/>
  <c r="G82" i="47"/>
  <c r="G25" i="47"/>
  <c r="L25" i="47"/>
  <c r="L82" i="47"/>
  <c r="L8" i="60"/>
  <c r="D25" i="47"/>
  <c r="D82" i="47"/>
  <c r="D8" i="60"/>
  <c r="E27" i="55"/>
  <c r="J27" i="55" s="1"/>
  <c r="Q393" i="80"/>
  <c r="Q116" i="47"/>
  <c r="Q98" i="47"/>
  <c r="N82" i="47"/>
  <c r="N25" i="47"/>
  <c r="N8" i="60"/>
  <c r="H8" i="60"/>
  <c r="H25" i="47"/>
  <c r="H82" i="47"/>
  <c r="Q370" i="57"/>
  <c r="P17" i="47"/>
  <c r="K8" i="60"/>
  <c r="K82" i="47"/>
  <c r="K25" i="47"/>
  <c r="C8" i="60"/>
  <c r="C82" i="47"/>
  <c r="C25" i="47"/>
  <c r="F8" i="60"/>
  <c r="F25" i="47"/>
  <c r="F82" i="47"/>
  <c r="J82" i="47"/>
  <c r="J25" i="47"/>
  <c r="J8" i="60"/>
  <c r="O82" i="47"/>
  <c r="O8" i="60"/>
  <c r="O25" i="47"/>
  <c r="AE6" i="60"/>
  <c r="AF15" i="47"/>
  <c r="N41" i="55"/>
  <c r="AE80" i="47"/>
  <c r="AG47" i="72"/>
  <c r="AH34" i="72"/>
  <c r="AG55" i="72"/>
  <c r="AH42" i="72"/>
  <c r="AG52" i="72"/>
  <c r="AH39" i="72"/>
  <c r="AG53" i="72"/>
  <c r="AH40" i="72"/>
  <c r="AG49" i="72"/>
  <c r="AH36" i="72"/>
  <c r="AG48" i="72"/>
  <c r="AH35" i="72"/>
  <c r="AG51" i="72"/>
  <c r="AH38" i="72"/>
  <c r="AG54" i="72"/>
  <c r="AH41" i="72"/>
  <c r="AF14" i="60"/>
  <c r="AG91" i="47"/>
  <c r="F153" i="47"/>
  <c r="F32" i="60" s="1"/>
  <c r="G136" i="47"/>
  <c r="G139" i="47" s="1"/>
  <c r="E34" i="60"/>
  <c r="E36" i="60" s="1"/>
  <c r="E10" i="60" s="1"/>
  <c r="E39" i="60"/>
  <c r="E41" i="60" s="1"/>
  <c r="E43" i="60" s="1"/>
  <c r="E45" i="60" s="1"/>
  <c r="E11" i="60" s="1"/>
  <c r="AF22" i="75" l="1"/>
  <c r="AE34" i="75"/>
  <c r="S21" i="75"/>
  <c r="R33" i="75"/>
  <c r="R36" i="75" s="1"/>
  <c r="AF20" i="75"/>
  <c r="AE32" i="75"/>
  <c r="AE49" i="75"/>
  <c r="AC73" i="75"/>
  <c r="AC44" i="75" s="1"/>
  <c r="AD72" i="75"/>
  <c r="AD65" i="75"/>
  <c r="AD66" i="75" s="1"/>
  <c r="Y50" i="72"/>
  <c r="Z37" i="72"/>
  <c r="C143" i="47"/>
  <c r="C397" i="80"/>
  <c r="C104" i="47"/>
  <c r="D104" i="47" s="1"/>
  <c r="C23" i="47"/>
  <c r="C26" i="47" s="1"/>
  <c r="P42" i="55"/>
  <c r="P38" i="55"/>
  <c r="AD74" i="89"/>
  <c r="AE49" i="89"/>
  <c r="F14" i="55"/>
  <c r="Y327" i="57"/>
  <c r="Z297" i="57"/>
  <c r="E115" i="47"/>
  <c r="E117" i="47" s="1"/>
  <c r="W82" i="57"/>
  <c r="V111" i="57"/>
  <c r="Y81" i="57"/>
  <c r="AA85" i="57"/>
  <c r="AB85" i="57" s="1"/>
  <c r="AC85" i="57" s="1"/>
  <c r="AD85" i="57" s="1"/>
  <c r="AE85" i="57" s="1"/>
  <c r="AF85" i="57" s="1"/>
  <c r="AG85" i="57" s="1"/>
  <c r="D83" i="47"/>
  <c r="D9" i="60"/>
  <c r="L14" i="55"/>
  <c r="D133" i="47"/>
  <c r="E131" i="47" s="1"/>
  <c r="R370" i="57"/>
  <c r="Q17" i="47"/>
  <c r="R116" i="47"/>
  <c r="R98" i="47"/>
  <c r="E28" i="55"/>
  <c r="J28" i="55" s="1"/>
  <c r="R393" i="80"/>
  <c r="E83" i="47"/>
  <c r="E9" i="60"/>
  <c r="L15" i="55"/>
  <c r="D90" i="47"/>
  <c r="D26" i="47"/>
  <c r="C127" i="47"/>
  <c r="C128" i="47" s="1"/>
  <c r="P8" i="60"/>
  <c r="P82" i="47"/>
  <c r="P25" i="47"/>
  <c r="S147" i="57"/>
  <c r="S369" i="57" s="1"/>
  <c r="T117" i="57"/>
  <c r="N42" i="55"/>
  <c r="AF80" i="47"/>
  <c r="AG80" i="47" s="1"/>
  <c r="AF6" i="60"/>
  <c r="AG15" i="47"/>
  <c r="AH54" i="72"/>
  <c r="AI41" i="72"/>
  <c r="AH49" i="72"/>
  <c r="AI36" i="72"/>
  <c r="AH53" i="72"/>
  <c r="AI40" i="72"/>
  <c r="AH52" i="72"/>
  <c r="AI39" i="72"/>
  <c r="AH48" i="72"/>
  <c r="AI35" i="72"/>
  <c r="AH55" i="72"/>
  <c r="AI42" i="72"/>
  <c r="AH47" i="72"/>
  <c r="AI34" i="72"/>
  <c r="AH51" i="72"/>
  <c r="AI38" i="72"/>
  <c r="G153" i="47"/>
  <c r="G32" i="60" s="1"/>
  <c r="H136" i="47"/>
  <c r="H139" i="47" s="1"/>
  <c r="F39" i="60"/>
  <c r="F41" i="60" s="1"/>
  <c r="F43" i="60" s="1"/>
  <c r="F45" i="60" s="1"/>
  <c r="F11" i="60" s="1"/>
  <c r="F34" i="60"/>
  <c r="F36" i="60" s="1"/>
  <c r="F10" i="60" s="1"/>
  <c r="T21" i="75" l="1"/>
  <c r="S33" i="75"/>
  <c r="S36" i="75" s="1"/>
  <c r="AG20" i="75"/>
  <c r="AF32" i="75"/>
  <c r="AF49" i="75"/>
  <c r="AG22" i="75"/>
  <c r="AG34" i="75" s="1"/>
  <c r="AF34" i="75"/>
  <c r="AE65" i="75"/>
  <c r="AE66" i="75" s="1"/>
  <c r="AD73" i="75"/>
  <c r="AD44" i="75" s="1"/>
  <c r="AE72" i="75"/>
  <c r="Z50" i="72"/>
  <c r="AA37" i="72"/>
  <c r="C90" i="47"/>
  <c r="AE64" i="89"/>
  <c r="AE59" i="89"/>
  <c r="Z327" i="57"/>
  <c r="AA297" i="57"/>
  <c r="F115" i="47"/>
  <c r="F117" i="47" s="1"/>
  <c r="X82" i="57"/>
  <c r="W111" i="57"/>
  <c r="Z81" i="57"/>
  <c r="T147" i="57"/>
  <c r="T369" i="57" s="1"/>
  <c r="U117" i="57"/>
  <c r="R17" i="47"/>
  <c r="S98" i="47"/>
  <c r="S116" i="47"/>
  <c r="E29" i="55"/>
  <c r="J29" i="55" s="1"/>
  <c r="S393" i="80"/>
  <c r="C170" i="47"/>
  <c r="C151" i="47" s="1"/>
  <c r="D126" i="47"/>
  <c r="C44" i="47"/>
  <c r="S370" i="57"/>
  <c r="Q25" i="47"/>
  <c r="Q82" i="47"/>
  <c r="Q8" i="60"/>
  <c r="AI47" i="72"/>
  <c r="AJ34" i="72"/>
  <c r="AJ47" i="72" s="1"/>
  <c r="AI48" i="72"/>
  <c r="AJ35" i="72"/>
  <c r="AJ48" i="72" s="1"/>
  <c r="AI52" i="72"/>
  <c r="AJ39" i="72"/>
  <c r="AJ52" i="72" s="1"/>
  <c r="AI49" i="72"/>
  <c r="AJ36" i="72"/>
  <c r="AJ49" i="72" s="1"/>
  <c r="AI51" i="72"/>
  <c r="AJ38" i="72"/>
  <c r="AJ51" i="72" s="1"/>
  <c r="AI55" i="72"/>
  <c r="AJ42" i="72"/>
  <c r="AJ55" i="72" s="1"/>
  <c r="AI53" i="72"/>
  <c r="AJ40" i="72"/>
  <c r="AJ53" i="72" s="1"/>
  <c r="AI54" i="72"/>
  <c r="AJ41" i="72"/>
  <c r="AJ54" i="72" s="1"/>
  <c r="G39" i="60"/>
  <c r="G41" i="60" s="1"/>
  <c r="G43" i="60" s="1"/>
  <c r="G45" i="60" s="1"/>
  <c r="G11" i="60" s="1"/>
  <c r="G34" i="60"/>
  <c r="G36" i="60" s="1"/>
  <c r="G10" i="60" s="1"/>
  <c r="H153" i="47"/>
  <c r="H32" i="60" s="1"/>
  <c r="I136" i="47"/>
  <c r="I139" i="47" s="1"/>
  <c r="U21" i="75" l="1"/>
  <c r="T33" i="75"/>
  <c r="T36" i="75" s="1"/>
  <c r="AG32" i="75"/>
  <c r="AG49" i="75"/>
  <c r="AF72" i="75"/>
  <c r="AE73" i="75"/>
  <c r="AE44" i="75" s="1"/>
  <c r="AF65" i="75"/>
  <c r="AF66" i="75" s="1"/>
  <c r="AA50" i="72"/>
  <c r="AB37" i="72"/>
  <c r="AE74" i="89"/>
  <c r="AF49" i="89"/>
  <c r="I79" i="89"/>
  <c r="G115" i="47"/>
  <c r="G117" i="47" s="1"/>
  <c r="H115" i="47" s="1"/>
  <c r="H117" i="47" s="1"/>
  <c r="AA327" i="57"/>
  <c r="AB297" i="57"/>
  <c r="AA81" i="57"/>
  <c r="Y82" i="57"/>
  <c r="X111" i="57"/>
  <c r="T370" i="57"/>
  <c r="C85" i="47"/>
  <c r="C155" i="47"/>
  <c r="C20" i="60" s="1"/>
  <c r="S17" i="47"/>
  <c r="R25" i="47"/>
  <c r="R82" i="47"/>
  <c r="R8" i="60"/>
  <c r="U147" i="57"/>
  <c r="U369" i="57" s="1"/>
  <c r="V117" i="57"/>
  <c r="T116" i="47"/>
  <c r="E30" i="55"/>
  <c r="J30" i="55" s="1"/>
  <c r="T393" i="80"/>
  <c r="T98" i="47"/>
  <c r="I153" i="47"/>
  <c r="I32" i="60" s="1"/>
  <c r="J136" i="47"/>
  <c r="J139" i="47" s="1"/>
  <c r="H39" i="60"/>
  <c r="H41" i="60" s="1"/>
  <c r="H43" i="60" s="1"/>
  <c r="H45" i="60" s="1"/>
  <c r="H11" i="60" s="1"/>
  <c r="H34" i="60"/>
  <c r="H36" i="60" s="1"/>
  <c r="H10" i="60" s="1"/>
  <c r="V21" i="75" l="1"/>
  <c r="U33" i="75"/>
  <c r="U36" i="75" s="1"/>
  <c r="AG65" i="75"/>
  <c r="AG66" i="75" s="1"/>
  <c r="AF73" i="75"/>
  <c r="AF44" i="75" s="1"/>
  <c r="AG72" i="75"/>
  <c r="AG73" i="75" s="1"/>
  <c r="AG44" i="75" s="1"/>
  <c r="AB50" i="72"/>
  <c r="AC37" i="72"/>
  <c r="AF59" i="89"/>
  <c r="AF64" i="89"/>
  <c r="H60" i="72"/>
  <c r="H20" i="72" s="1"/>
  <c r="I89" i="89"/>
  <c r="AB327" i="57"/>
  <c r="AC297" i="57"/>
  <c r="Z82" i="57"/>
  <c r="Y111" i="57"/>
  <c r="AB81" i="57"/>
  <c r="U116" i="47"/>
  <c r="U98" i="47"/>
  <c r="U393" i="80"/>
  <c r="E31" i="55"/>
  <c r="J31" i="55" s="1"/>
  <c r="C163" i="47"/>
  <c r="C164" i="47" s="1"/>
  <c r="C165" i="47" s="1"/>
  <c r="I115" i="47"/>
  <c r="I117" i="47" s="1"/>
  <c r="C22" i="60"/>
  <c r="C12" i="60" s="1"/>
  <c r="S25" i="47"/>
  <c r="S8" i="60"/>
  <c r="S82" i="47"/>
  <c r="C45" i="47"/>
  <c r="AG85" i="47"/>
  <c r="T17" i="47"/>
  <c r="V147" i="57"/>
  <c r="V369" i="57" s="1"/>
  <c r="W117" i="57"/>
  <c r="U370" i="57"/>
  <c r="K136" i="47"/>
  <c r="K139" i="47" s="1"/>
  <c r="J153" i="47"/>
  <c r="J32" i="60" s="1"/>
  <c r="I39" i="60"/>
  <c r="I41" i="60" s="1"/>
  <c r="I43" i="60" s="1"/>
  <c r="I45" i="60" s="1"/>
  <c r="I11" i="60" s="1"/>
  <c r="I34" i="60"/>
  <c r="I36" i="60" s="1"/>
  <c r="I10" i="60" s="1"/>
  <c r="W21" i="75" l="1"/>
  <c r="V33" i="75"/>
  <c r="V36" i="75" s="1"/>
  <c r="AC50" i="72"/>
  <c r="AD37" i="72"/>
  <c r="AF74" i="89"/>
  <c r="AG49" i="89"/>
  <c r="H70" i="72"/>
  <c r="AC327" i="57"/>
  <c r="AD297" i="57"/>
  <c r="AC81" i="57"/>
  <c r="AA82" i="57"/>
  <c r="Z111" i="57"/>
  <c r="V370" i="57"/>
  <c r="T25" i="47"/>
  <c r="T8" i="60"/>
  <c r="T82" i="47"/>
  <c r="W147" i="57"/>
  <c r="W369" i="57" s="1"/>
  <c r="X117" i="57"/>
  <c r="U17" i="47"/>
  <c r="V98" i="47"/>
  <c r="V116" i="47"/>
  <c r="E32" i="55"/>
  <c r="J32" i="55" s="1"/>
  <c r="V393" i="80"/>
  <c r="J115" i="47"/>
  <c r="J117" i="47" s="1"/>
  <c r="J39" i="60"/>
  <c r="J41" i="60" s="1"/>
  <c r="J43" i="60" s="1"/>
  <c r="J45" i="60" s="1"/>
  <c r="J11" i="60" s="1"/>
  <c r="J34" i="60"/>
  <c r="J36" i="60" s="1"/>
  <c r="J10" i="60" s="1"/>
  <c r="L136" i="47"/>
  <c r="L139" i="47" s="1"/>
  <c r="K153" i="47"/>
  <c r="K32" i="60" s="1"/>
  <c r="X21" i="75" l="1"/>
  <c r="W33" i="75"/>
  <c r="W36" i="75" s="1"/>
  <c r="AE37" i="72"/>
  <c r="AD50" i="72"/>
  <c r="AG59" i="89"/>
  <c r="AG64" i="89"/>
  <c r="H30" i="72"/>
  <c r="D84" i="47" s="1"/>
  <c r="H33" i="72"/>
  <c r="AD327" i="57"/>
  <c r="AE297" i="57"/>
  <c r="AB82" i="57"/>
  <c r="AA111" i="57"/>
  <c r="AD81" i="57"/>
  <c r="W370" i="57"/>
  <c r="K115" i="47"/>
  <c r="K117" i="47" s="1"/>
  <c r="V17" i="47"/>
  <c r="U25" i="47"/>
  <c r="U82" i="47"/>
  <c r="U8" i="60"/>
  <c r="X147" i="57"/>
  <c r="X369" i="57" s="1"/>
  <c r="Y117" i="57"/>
  <c r="W393" i="80"/>
  <c r="E33" i="55"/>
  <c r="J33" i="55" s="1"/>
  <c r="W98" i="47"/>
  <c r="W116" i="47"/>
  <c r="K34" i="60"/>
  <c r="K36" i="60" s="1"/>
  <c r="K10" i="60" s="1"/>
  <c r="K39" i="60"/>
  <c r="K41" i="60" s="1"/>
  <c r="K43" i="60" s="1"/>
  <c r="K45" i="60" s="1"/>
  <c r="K11" i="60" s="1"/>
  <c r="M136" i="47"/>
  <c r="M139" i="47" s="1"/>
  <c r="L153" i="47"/>
  <c r="L32" i="60" s="1"/>
  <c r="Y21" i="75" l="1"/>
  <c r="X33" i="75"/>
  <c r="X36" i="75" s="1"/>
  <c r="AF37" i="72"/>
  <c r="AE50" i="72"/>
  <c r="AG74" i="89"/>
  <c r="AH49" i="89"/>
  <c r="H43" i="72"/>
  <c r="D118" i="47" s="1"/>
  <c r="H46" i="72"/>
  <c r="H56" i="72" s="1"/>
  <c r="AE327" i="57"/>
  <c r="AF297" i="57"/>
  <c r="AE81" i="57"/>
  <c r="AC82" i="57"/>
  <c r="AB111" i="57"/>
  <c r="V82" i="47"/>
  <c r="V8" i="60"/>
  <c r="V25" i="47"/>
  <c r="L115" i="47"/>
  <c r="L117" i="47" s="1"/>
  <c r="Y147" i="57"/>
  <c r="Y369" i="57" s="1"/>
  <c r="Z117" i="57"/>
  <c r="E34" i="55"/>
  <c r="J34" i="55" s="1"/>
  <c r="X98" i="47"/>
  <c r="X393" i="80"/>
  <c r="X116" i="47"/>
  <c r="E63" i="75"/>
  <c r="X370" i="57"/>
  <c r="W17" i="47"/>
  <c r="L34" i="60"/>
  <c r="L36" i="60" s="1"/>
  <c r="L10" i="60" s="1"/>
  <c r="L39" i="60"/>
  <c r="L41" i="60" s="1"/>
  <c r="L43" i="60" s="1"/>
  <c r="L45" i="60" s="1"/>
  <c r="L11" i="60" s="1"/>
  <c r="M153" i="47"/>
  <c r="M32" i="60" s="1"/>
  <c r="N136" i="47"/>
  <c r="N139" i="47" s="1"/>
  <c r="Z21" i="75" l="1"/>
  <c r="Y33" i="75"/>
  <c r="Y36" i="75" s="1"/>
  <c r="F63" i="75"/>
  <c r="F64" i="75" s="1"/>
  <c r="F66" i="75" s="1"/>
  <c r="E64" i="75"/>
  <c r="E66" i="75" s="1"/>
  <c r="AF50" i="72"/>
  <c r="AG37" i="72"/>
  <c r="H57" i="72"/>
  <c r="D156" i="47" s="1"/>
  <c r="D119" i="47"/>
  <c r="D121" i="47" s="1"/>
  <c r="AH59" i="89"/>
  <c r="AH64" i="89"/>
  <c r="AF327" i="57"/>
  <c r="AG297" i="57"/>
  <c r="AD82" i="57"/>
  <c r="AC111" i="57"/>
  <c r="AF81" i="57"/>
  <c r="W25" i="47"/>
  <c r="W82" i="47"/>
  <c r="W8" i="60"/>
  <c r="Z147" i="57"/>
  <c r="Z369" i="57" s="1"/>
  <c r="AA117" i="57"/>
  <c r="M115" i="47"/>
  <c r="M117" i="47" s="1"/>
  <c r="Y116" i="47"/>
  <c r="Y98" i="47"/>
  <c r="E35" i="55"/>
  <c r="J35" i="55" s="1"/>
  <c r="Y393" i="80"/>
  <c r="BD63" i="75"/>
  <c r="BD66" i="75" s="1"/>
  <c r="Y370" i="57"/>
  <c r="X17" i="47"/>
  <c r="O136" i="47"/>
  <c r="O139" i="47" s="1"/>
  <c r="N153" i="47"/>
  <c r="N32" i="60" s="1"/>
  <c r="M39" i="60"/>
  <c r="M41" i="60" s="1"/>
  <c r="M43" i="60" s="1"/>
  <c r="M45" i="60" s="1"/>
  <c r="M11" i="60" s="1"/>
  <c r="M34" i="60"/>
  <c r="M36" i="60" s="1"/>
  <c r="M10" i="60" s="1"/>
  <c r="AA21" i="75" l="1"/>
  <c r="Z33" i="75"/>
  <c r="Z36" i="75" s="1"/>
  <c r="BE63" i="75"/>
  <c r="BE66" i="75" s="1"/>
  <c r="AH37" i="72"/>
  <c r="AG50" i="72"/>
  <c r="D25" i="60"/>
  <c r="D27" i="60" s="1"/>
  <c r="D29" i="60" s="1"/>
  <c r="D13" i="60" s="1"/>
  <c r="AG327" i="57"/>
  <c r="D155" i="47"/>
  <c r="D163" i="47" s="1"/>
  <c r="D164" i="47" s="1"/>
  <c r="D165" i="47" s="1"/>
  <c r="D122" i="47"/>
  <c r="D127" i="47"/>
  <c r="D128" i="47" s="1"/>
  <c r="AH74" i="89"/>
  <c r="AI49" i="89"/>
  <c r="AG81" i="57"/>
  <c r="AE82" i="57"/>
  <c r="AD111" i="57"/>
  <c r="X8" i="60"/>
  <c r="X82" i="47"/>
  <c r="X25" i="47"/>
  <c r="Z370" i="57"/>
  <c r="Z116" i="47"/>
  <c r="E36" i="55"/>
  <c r="J36" i="55" s="1"/>
  <c r="Z393" i="80"/>
  <c r="Z98" i="47"/>
  <c r="N115" i="47"/>
  <c r="N117" i="47" s="1"/>
  <c r="Y17" i="47"/>
  <c r="AA147" i="57"/>
  <c r="AA369" i="57" s="1"/>
  <c r="AB117" i="57"/>
  <c r="P136" i="47"/>
  <c r="P139" i="47" s="1"/>
  <c r="O153" i="47"/>
  <c r="O32" i="60" s="1"/>
  <c r="N39" i="60"/>
  <c r="N41" i="60" s="1"/>
  <c r="N43" i="60" s="1"/>
  <c r="N45" i="60" s="1"/>
  <c r="N11" i="60" s="1"/>
  <c r="N34" i="60"/>
  <c r="N36" i="60" s="1"/>
  <c r="N10" i="60" s="1"/>
  <c r="AB21" i="75" l="1"/>
  <c r="AA33" i="75"/>
  <c r="AA36" i="75" s="1"/>
  <c r="AH50" i="72"/>
  <c r="AI37" i="72"/>
  <c r="D20" i="60"/>
  <c r="D22" i="60" s="1"/>
  <c r="D12" i="60" s="1"/>
  <c r="AI64" i="89"/>
  <c r="AI59" i="89"/>
  <c r="D44" i="47"/>
  <c r="E126" i="47"/>
  <c r="D170" i="47"/>
  <c r="AF82" i="57"/>
  <c r="AE111" i="57"/>
  <c r="AB147" i="57"/>
  <c r="AB369" i="57" s="1"/>
  <c r="AC117" i="57"/>
  <c r="Y8" i="60"/>
  <c r="Y25" i="47"/>
  <c r="Y82" i="47"/>
  <c r="O115" i="47"/>
  <c r="O117" i="47" s="1"/>
  <c r="E37" i="55"/>
  <c r="J37" i="55" s="1"/>
  <c r="AA116" i="47"/>
  <c r="AA98" i="47"/>
  <c r="AA393" i="80"/>
  <c r="Z17" i="47"/>
  <c r="AA370" i="57"/>
  <c r="P153" i="47"/>
  <c r="P32" i="60" s="1"/>
  <c r="Q136" i="47"/>
  <c r="Q139" i="47" s="1"/>
  <c r="O39" i="60"/>
  <c r="O41" i="60" s="1"/>
  <c r="O43" i="60" s="1"/>
  <c r="O45" i="60" s="1"/>
  <c r="O11" i="60" s="1"/>
  <c r="O34" i="60"/>
  <c r="O36" i="60" s="1"/>
  <c r="O10" i="60" s="1"/>
  <c r="AC21" i="75" l="1"/>
  <c r="AB33" i="75"/>
  <c r="AB36" i="75" s="1"/>
  <c r="AI50" i="72"/>
  <c r="AJ37" i="72"/>
  <c r="AJ50" i="72" s="1"/>
  <c r="AI74" i="89"/>
  <c r="AJ49" i="89"/>
  <c r="AG82" i="57"/>
  <c r="AF111" i="57"/>
  <c r="AB370" i="57"/>
  <c r="Z8" i="60"/>
  <c r="Z82" i="47"/>
  <c r="Z25" i="47"/>
  <c r="AA17" i="47"/>
  <c r="AC147" i="57"/>
  <c r="AC369" i="57" s="1"/>
  <c r="AD117" i="57"/>
  <c r="P115" i="47"/>
  <c r="P117" i="47" s="1"/>
  <c r="E38" i="55"/>
  <c r="J38" i="55" s="1"/>
  <c r="AB116" i="47"/>
  <c r="AB98" i="47"/>
  <c r="AB393" i="80"/>
  <c r="Q153" i="47"/>
  <c r="Q32" i="60" s="1"/>
  <c r="R136" i="47"/>
  <c r="R139" i="47" s="1"/>
  <c r="P34" i="60"/>
  <c r="P36" i="60" s="1"/>
  <c r="P10" i="60" s="1"/>
  <c r="P39" i="60"/>
  <c r="P41" i="60" s="1"/>
  <c r="P43" i="60" s="1"/>
  <c r="P45" i="60" s="1"/>
  <c r="P11" i="60" s="1"/>
  <c r="AD21" i="75" l="1"/>
  <c r="AC33" i="75"/>
  <c r="AC36" i="75" s="1"/>
  <c r="AG111" i="57"/>
  <c r="AJ59" i="89"/>
  <c r="AJ64" i="89"/>
  <c r="Q115" i="47"/>
  <c r="Q117" i="47" s="1"/>
  <c r="AA82" i="47"/>
  <c r="B82" i="47" s="1"/>
  <c r="AA25" i="47"/>
  <c r="AA8" i="60"/>
  <c r="AB17" i="47"/>
  <c r="AD147" i="57"/>
  <c r="AD369" i="57" s="1"/>
  <c r="AE117" i="57"/>
  <c r="AC370" i="57"/>
  <c r="AC116" i="47"/>
  <c r="AC98" i="47"/>
  <c r="E39" i="55"/>
  <c r="J39" i="55" s="1"/>
  <c r="AC393" i="80"/>
  <c r="R153" i="47"/>
  <c r="R32" i="60" s="1"/>
  <c r="S136" i="47"/>
  <c r="S139" i="47" s="1"/>
  <c r="Q39" i="60"/>
  <c r="Q41" i="60" s="1"/>
  <c r="Q43" i="60" s="1"/>
  <c r="Q45" i="60" s="1"/>
  <c r="Q11" i="60" s="1"/>
  <c r="Q34" i="60"/>
  <c r="Q36" i="60" s="1"/>
  <c r="Q10" i="60" s="1"/>
  <c r="AE21" i="75" l="1"/>
  <c r="AD33" i="75"/>
  <c r="AD36" i="75" s="1"/>
  <c r="AJ74" i="89"/>
  <c r="AK49" i="89"/>
  <c r="R115" i="47"/>
  <c r="R117" i="47" s="1"/>
  <c r="AE147" i="57"/>
  <c r="AE369" i="57" s="1"/>
  <c r="AF117" i="57"/>
  <c r="AC17" i="47"/>
  <c r="E40" i="55"/>
  <c r="J40" i="55" s="1"/>
  <c r="AD98" i="47"/>
  <c r="AD370" i="57"/>
  <c r="AD393" i="80"/>
  <c r="AD116" i="47"/>
  <c r="AB25" i="47"/>
  <c r="AB8" i="60"/>
  <c r="AB82" i="47"/>
  <c r="T136" i="47"/>
  <c r="T139" i="47" s="1"/>
  <c r="S153" i="47"/>
  <c r="S32" i="60" s="1"/>
  <c r="R39" i="60"/>
  <c r="R41" i="60" s="1"/>
  <c r="R43" i="60" s="1"/>
  <c r="R45" i="60" s="1"/>
  <c r="R11" i="60" s="1"/>
  <c r="R34" i="60"/>
  <c r="R36" i="60" s="1"/>
  <c r="R10" i="60" s="1"/>
  <c r="AF21" i="75" l="1"/>
  <c r="AE33" i="75"/>
  <c r="AE36" i="75" s="1"/>
  <c r="AK59" i="89"/>
  <c r="AK64" i="89"/>
  <c r="AE370" i="57"/>
  <c r="AC82" i="47"/>
  <c r="AC25" i="47"/>
  <c r="AC8" i="60"/>
  <c r="AF147" i="57"/>
  <c r="AG117" i="57"/>
  <c r="AD17" i="47"/>
  <c r="AE393" i="80"/>
  <c r="AE116" i="47"/>
  <c r="E41" i="55"/>
  <c r="J41" i="55" s="1"/>
  <c r="AE98" i="47"/>
  <c r="S115" i="47"/>
  <c r="S117" i="47" s="1"/>
  <c r="V35" i="47"/>
  <c r="V49" i="47" s="1"/>
  <c r="S39" i="60"/>
  <c r="S41" i="60" s="1"/>
  <c r="S43" i="60" s="1"/>
  <c r="S45" i="60" s="1"/>
  <c r="S11" i="60" s="1"/>
  <c r="S34" i="60"/>
  <c r="S36" i="60" s="1"/>
  <c r="S10" i="60" s="1"/>
  <c r="T153" i="47"/>
  <c r="T32" i="60" s="1"/>
  <c r="U136" i="47"/>
  <c r="U139" i="47" s="1"/>
  <c r="AG21" i="75" l="1"/>
  <c r="AG33" i="75" s="1"/>
  <c r="AG36" i="75" s="1"/>
  <c r="AF33" i="75"/>
  <c r="AF36" i="75" s="1"/>
  <c r="AK74" i="89"/>
  <c r="AL49" i="89"/>
  <c r="T115" i="47"/>
  <c r="T117" i="47" s="1"/>
  <c r="AE17" i="47"/>
  <c r="AG147" i="57"/>
  <c r="AF369" i="57"/>
  <c r="AD8" i="60"/>
  <c r="AD82" i="47"/>
  <c r="AD25" i="47"/>
  <c r="T34" i="60"/>
  <c r="T36" i="60" s="1"/>
  <c r="T10" i="60" s="1"/>
  <c r="T39" i="60"/>
  <c r="T41" i="60" s="1"/>
  <c r="T43" i="60" s="1"/>
  <c r="T45" i="60" s="1"/>
  <c r="T11" i="60" s="1"/>
  <c r="V136" i="47"/>
  <c r="V139" i="47" s="1"/>
  <c r="U153" i="47"/>
  <c r="U32" i="60" s="1"/>
  <c r="AL64" i="89" l="1"/>
  <c r="AL59" i="89"/>
  <c r="AE25" i="47"/>
  <c r="AE8" i="60"/>
  <c r="AE82" i="47"/>
  <c r="U115" i="47"/>
  <c r="U117" i="47" s="1"/>
  <c r="AF393" i="80"/>
  <c r="E42" i="55"/>
  <c r="J42" i="55" s="1"/>
  <c r="AF98" i="47"/>
  <c r="AF116" i="47"/>
  <c r="AF370" i="57"/>
  <c r="V153" i="47"/>
  <c r="V32" i="60" s="1"/>
  <c r="W136" i="47"/>
  <c r="W139" i="47" s="1"/>
  <c r="U39" i="60"/>
  <c r="U41" i="60" s="1"/>
  <c r="U43" i="60" s="1"/>
  <c r="U45" i="60" s="1"/>
  <c r="U11" i="60" s="1"/>
  <c r="U34" i="60"/>
  <c r="U36" i="60" s="1"/>
  <c r="U10" i="60" s="1"/>
  <c r="AL74" i="89" l="1"/>
  <c r="AM49" i="89"/>
  <c r="V115" i="47"/>
  <c r="V117" i="47" s="1"/>
  <c r="AF17" i="47"/>
  <c r="AH17" i="47" s="1"/>
  <c r="W153" i="47"/>
  <c r="W32" i="60" s="1"/>
  <c r="X136" i="47"/>
  <c r="X139" i="47" s="1"/>
  <c r="V34" i="60"/>
  <c r="V36" i="60" s="1"/>
  <c r="V10" i="60" s="1"/>
  <c r="V39" i="60"/>
  <c r="V41" i="60" s="1"/>
  <c r="V43" i="60" s="1"/>
  <c r="V45" i="60" s="1"/>
  <c r="V11" i="60" s="1"/>
  <c r="AM64" i="89" l="1"/>
  <c r="AM59" i="89"/>
  <c r="AF25" i="47"/>
  <c r="AG25" i="47" s="1"/>
  <c r="AF8" i="60"/>
  <c r="AF82" i="47"/>
  <c r="AG82" i="47" s="1"/>
  <c r="AG17" i="47"/>
  <c r="W115" i="47"/>
  <c r="W117" i="47" s="1"/>
  <c r="W34" i="60"/>
  <c r="W36" i="60" s="1"/>
  <c r="W10" i="60" s="1"/>
  <c r="W39" i="60"/>
  <c r="W41" i="60" s="1"/>
  <c r="W43" i="60" s="1"/>
  <c r="W45" i="60" s="1"/>
  <c r="W11" i="60" s="1"/>
  <c r="Y136" i="47"/>
  <c r="Y139" i="47" s="1"/>
  <c r="X153" i="47"/>
  <c r="X32" i="60" s="1"/>
  <c r="AM74" i="89" l="1"/>
  <c r="AN49" i="89"/>
  <c r="X115" i="47"/>
  <c r="X117" i="47" s="1"/>
  <c r="Y153" i="47"/>
  <c r="Y32" i="60" s="1"/>
  <c r="Z136" i="47"/>
  <c r="Z139" i="47" s="1"/>
  <c r="X34" i="60"/>
  <c r="X36" i="60" s="1"/>
  <c r="X10" i="60" s="1"/>
  <c r="X39" i="60"/>
  <c r="X41" i="60" s="1"/>
  <c r="X43" i="60" s="1"/>
  <c r="X45" i="60" s="1"/>
  <c r="X11" i="60" s="1"/>
  <c r="AN59" i="89" l="1"/>
  <c r="AN64" i="89"/>
  <c r="Y115" i="47"/>
  <c r="Y117" i="47" s="1"/>
  <c r="Y39" i="60"/>
  <c r="Y41" i="60" s="1"/>
  <c r="Y43" i="60" s="1"/>
  <c r="Y45" i="60" s="1"/>
  <c r="Y11" i="60" s="1"/>
  <c r="Y34" i="60"/>
  <c r="Y36" i="60" s="1"/>
  <c r="Y10" i="60" s="1"/>
  <c r="Z153" i="47"/>
  <c r="Z32" i="60" s="1"/>
  <c r="AA136" i="47"/>
  <c r="AA139" i="47" s="1"/>
  <c r="AN74" i="89" l="1"/>
  <c r="AO49" i="89"/>
  <c r="Z115" i="47"/>
  <c r="Z117" i="47" s="1"/>
  <c r="Z39" i="60"/>
  <c r="Z41" i="60" s="1"/>
  <c r="Z43" i="60" s="1"/>
  <c r="Z45" i="60" s="1"/>
  <c r="Z11" i="60" s="1"/>
  <c r="Z34" i="60"/>
  <c r="Z36" i="60" s="1"/>
  <c r="Z10" i="60" s="1"/>
  <c r="AB136" i="47"/>
  <c r="AB139" i="47" s="1"/>
  <c r="AA153" i="47"/>
  <c r="AA32" i="60" s="1"/>
  <c r="AO59" i="89" l="1"/>
  <c r="AO64" i="89"/>
  <c r="AA115" i="47"/>
  <c r="AA117" i="47" s="1"/>
  <c r="AA39" i="60"/>
  <c r="AA41" i="60" s="1"/>
  <c r="AA43" i="60" s="1"/>
  <c r="AA45" i="60" s="1"/>
  <c r="AA11" i="60" s="1"/>
  <c r="AA34" i="60"/>
  <c r="AA36" i="60" s="1"/>
  <c r="AA10" i="60" s="1"/>
  <c r="AC136" i="47"/>
  <c r="AC139" i="47" s="1"/>
  <c r="AB153" i="47"/>
  <c r="AB32" i="60" s="1"/>
  <c r="AO74" i="89" l="1"/>
  <c r="AP49" i="89"/>
  <c r="AB115" i="47"/>
  <c r="AB117" i="47" s="1"/>
  <c r="AB39" i="60"/>
  <c r="AB41" i="60" s="1"/>
  <c r="AB43" i="60" s="1"/>
  <c r="AB45" i="60" s="1"/>
  <c r="AB11" i="60" s="1"/>
  <c r="AB34" i="60"/>
  <c r="AB36" i="60" s="1"/>
  <c r="AB10" i="60" s="1"/>
  <c r="AD136" i="47"/>
  <c r="AD139" i="47" s="1"/>
  <c r="AC153" i="47"/>
  <c r="AC32" i="60" s="1"/>
  <c r="AP59" i="89" l="1"/>
  <c r="AP64" i="89"/>
  <c r="AC115" i="47"/>
  <c r="AC117" i="47" s="1"/>
  <c r="AD153" i="47"/>
  <c r="AD32" i="60" s="1"/>
  <c r="AE136" i="47"/>
  <c r="AE139" i="47" s="1"/>
  <c r="AC39" i="60"/>
  <c r="AC41" i="60" s="1"/>
  <c r="AC43" i="60" s="1"/>
  <c r="AC45" i="60" s="1"/>
  <c r="AC11" i="60" s="1"/>
  <c r="AC34" i="60"/>
  <c r="AC36" i="60" s="1"/>
  <c r="AC10" i="60" s="1"/>
  <c r="AP74" i="89" l="1"/>
  <c r="AQ49" i="89"/>
  <c r="AD115" i="47"/>
  <c r="AD117" i="47" s="1"/>
  <c r="AF136" i="47"/>
  <c r="AF139" i="47" s="1"/>
  <c r="AF153" i="47" s="1"/>
  <c r="AF32" i="60" s="1"/>
  <c r="AE153" i="47"/>
  <c r="AE32" i="60" s="1"/>
  <c r="AD39" i="60"/>
  <c r="AD41" i="60" s="1"/>
  <c r="AD43" i="60" s="1"/>
  <c r="AD45" i="60" s="1"/>
  <c r="AD11" i="60" s="1"/>
  <c r="AD34" i="60"/>
  <c r="AD36" i="60" s="1"/>
  <c r="AD10" i="60" s="1"/>
  <c r="AQ64" i="89" l="1"/>
  <c r="AQ59" i="89"/>
  <c r="AE115" i="47"/>
  <c r="AE117" i="47" s="1"/>
  <c r="AE34" i="60"/>
  <c r="AE36" i="60" s="1"/>
  <c r="AE10" i="60" s="1"/>
  <c r="AE39" i="60"/>
  <c r="AE41" i="60" s="1"/>
  <c r="AE43" i="60" s="1"/>
  <c r="AE45" i="60" s="1"/>
  <c r="AE11" i="60" s="1"/>
  <c r="AF34" i="60"/>
  <c r="AF36" i="60" s="1"/>
  <c r="AF10" i="60" s="1"/>
  <c r="AF39" i="60"/>
  <c r="AF41" i="60" s="1"/>
  <c r="AF43" i="60" s="1"/>
  <c r="AF45" i="60" s="1"/>
  <c r="AF11" i="60" s="1"/>
  <c r="AQ74" i="89" l="1"/>
  <c r="AU49" i="89"/>
  <c r="AU59" i="89" s="1"/>
  <c r="BC49" i="89"/>
  <c r="BC59" i="89" s="1"/>
  <c r="BB49" i="89"/>
  <c r="BB59" i="89" s="1"/>
  <c r="BA49" i="89"/>
  <c r="BA59" i="89" s="1"/>
  <c r="AR49" i="89"/>
  <c r="AR59" i="89" s="1"/>
  <c r="AZ49" i="89"/>
  <c r="AZ59" i="89" s="1"/>
  <c r="AW49" i="89"/>
  <c r="AW59" i="89" s="1"/>
  <c r="AV49" i="89"/>
  <c r="AV59" i="89" s="1"/>
  <c r="AX49" i="89"/>
  <c r="AX59" i="89" s="1"/>
  <c r="AT49" i="89"/>
  <c r="AT59" i="89" s="1"/>
  <c r="AS49" i="89"/>
  <c r="AS59" i="89" s="1"/>
  <c r="AY49" i="89"/>
  <c r="AY59" i="89" s="1"/>
  <c r="BD64" i="89"/>
  <c r="BD74" i="89" s="1"/>
  <c r="J79" i="89"/>
  <c r="AF115" i="47"/>
  <c r="AF117" i="47" s="1"/>
  <c r="I60" i="72" l="1"/>
  <c r="I20" i="72" s="1"/>
  <c r="J89" i="89"/>
  <c r="L79" i="89"/>
  <c r="L19" i="89" l="1"/>
  <c r="L89" i="89"/>
  <c r="I70" i="72"/>
  <c r="AK60" i="72"/>
  <c r="AK70" i="72" s="1"/>
  <c r="I30" i="72" l="1"/>
  <c r="E84" i="47" s="1"/>
  <c r="AK20" i="72"/>
  <c r="I33" i="72"/>
  <c r="L29" i="89"/>
  <c r="M19" i="89"/>
  <c r="M29" i="89" s="1"/>
  <c r="J33" i="72" l="1"/>
  <c r="I46" i="72"/>
  <c r="I56" i="72" s="1"/>
  <c r="I43" i="72"/>
  <c r="E118" i="47" s="1"/>
  <c r="F6" i="57"/>
  <c r="B12" i="57" s="1"/>
  <c r="AK30" i="72"/>
  <c r="E6" i="57"/>
  <c r="AG84" i="47"/>
  <c r="D4" i="55" l="1"/>
  <c r="B11" i="57"/>
  <c r="F6" i="80"/>
  <c r="F366" i="57"/>
  <c r="F112" i="47" s="1"/>
  <c r="I57" i="72"/>
  <c r="E6" i="80"/>
  <c r="E366" i="57"/>
  <c r="E7" i="57"/>
  <c r="F7" i="57" s="1"/>
  <c r="G7" i="57" s="1"/>
  <c r="H7" i="57" s="1"/>
  <c r="I7" i="57" s="1"/>
  <c r="J7" i="57" s="1"/>
  <c r="K7" i="57" s="1"/>
  <c r="L7" i="57" s="1"/>
  <c r="M7" i="57" s="1"/>
  <c r="N7" i="57" s="1"/>
  <c r="O7" i="57" s="1"/>
  <c r="P7" i="57" s="1"/>
  <c r="Q7" i="57" s="1"/>
  <c r="R7" i="57" s="1"/>
  <c r="S7" i="57" s="1"/>
  <c r="T7" i="57" s="1"/>
  <c r="U7" i="57" s="1"/>
  <c r="V7" i="57" s="1"/>
  <c r="W7" i="57" s="1"/>
  <c r="X7" i="57" s="1"/>
  <c r="Y7" i="57" s="1"/>
  <c r="Z7" i="57" s="1"/>
  <c r="AA7" i="57" s="1"/>
  <c r="AB7" i="57" s="1"/>
  <c r="AC7" i="57" s="1"/>
  <c r="AD7" i="57" s="1"/>
  <c r="AE7" i="57" s="1"/>
  <c r="AF7" i="57" s="1"/>
  <c r="J43" i="72"/>
  <c r="F118" i="47" s="1"/>
  <c r="J46" i="72"/>
  <c r="J56" i="72" s="1"/>
  <c r="K33" i="72"/>
  <c r="B39" i="57" l="1"/>
  <c r="J57" i="72"/>
  <c r="F155" i="47" s="1"/>
  <c r="E155" i="47"/>
  <c r="E156" i="47"/>
  <c r="L33" i="72"/>
  <c r="K46" i="72"/>
  <c r="K56" i="72" s="1"/>
  <c r="K43" i="72"/>
  <c r="G118" i="47" s="1"/>
  <c r="E112" i="47"/>
  <c r="E113" i="47" s="1"/>
  <c r="E367" i="57"/>
  <c r="AD13" i="80"/>
  <c r="Q13" i="80"/>
  <c r="AC13" i="80"/>
  <c r="N13" i="80"/>
  <c r="L13" i="80"/>
  <c r="E13" i="80"/>
  <c r="U13" i="80"/>
  <c r="X13" i="80"/>
  <c r="G13" i="80"/>
  <c r="W13" i="80"/>
  <c r="O13" i="80"/>
  <c r="F13" i="80"/>
  <c r="Y13" i="80"/>
  <c r="R13" i="80"/>
  <c r="K13" i="80"/>
  <c r="T13" i="80"/>
  <c r="AE13" i="80"/>
  <c r="AA13" i="80"/>
  <c r="P13" i="80"/>
  <c r="M13" i="80"/>
  <c r="AB13" i="80"/>
  <c r="I13" i="80"/>
  <c r="AF13" i="80"/>
  <c r="J13" i="80"/>
  <c r="V13" i="80"/>
  <c r="Z13" i="80"/>
  <c r="E385" i="80"/>
  <c r="E386" i="80" s="1"/>
  <c r="S13" i="80"/>
  <c r="H13" i="80"/>
  <c r="E7" i="80"/>
  <c r="F7" i="80" s="1"/>
  <c r="G7" i="80" s="1"/>
  <c r="H7" i="80" s="1"/>
  <c r="I7" i="80" s="1"/>
  <c r="J7" i="80" s="1"/>
  <c r="K7" i="80" s="1"/>
  <c r="L7" i="80" s="1"/>
  <c r="M7" i="80" s="1"/>
  <c r="N7" i="80" s="1"/>
  <c r="O7" i="80" s="1"/>
  <c r="P7" i="80" s="1"/>
  <c r="Q7" i="80" s="1"/>
  <c r="R7" i="80" s="1"/>
  <c r="S7" i="80" s="1"/>
  <c r="T7" i="80" s="1"/>
  <c r="U7" i="80" s="1"/>
  <c r="V7" i="80" s="1"/>
  <c r="W7" i="80" s="1"/>
  <c r="X7" i="80" s="1"/>
  <c r="Y7" i="80" s="1"/>
  <c r="Z7" i="80" s="1"/>
  <c r="AA7" i="80" s="1"/>
  <c r="AB7" i="80" s="1"/>
  <c r="AC7" i="80" s="1"/>
  <c r="AD7" i="80" s="1"/>
  <c r="AE7" i="80" s="1"/>
  <c r="AF7" i="80" s="1"/>
  <c r="B13" i="80"/>
  <c r="N14" i="80"/>
  <c r="U14" i="80"/>
  <c r="I14" i="80"/>
  <c r="S14" i="80"/>
  <c r="AF14" i="80"/>
  <c r="AD14" i="80"/>
  <c r="R14" i="80"/>
  <c r="W14" i="80"/>
  <c r="AA14" i="80"/>
  <c r="K14" i="80"/>
  <c r="L14" i="80"/>
  <c r="Y14" i="80"/>
  <c r="AC14" i="80"/>
  <c r="G14" i="80"/>
  <c r="AB14" i="80"/>
  <c r="O14" i="80"/>
  <c r="Z14" i="80"/>
  <c r="M14" i="80"/>
  <c r="X14" i="80"/>
  <c r="V14" i="80"/>
  <c r="P14" i="80"/>
  <c r="AE14" i="80"/>
  <c r="T14" i="80"/>
  <c r="J14" i="80"/>
  <c r="F14" i="80"/>
  <c r="Q14" i="80"/>
  <c r="F385" i="80"/>
  <c r="H14" i="80"/>
  <c r="B14" i="80"/>
  <c r="E25" i="60" l="1"/>
  <c r="E27" i="60" s="1"/>
  <c r="E29" i="60" s="1"/>
  <c r="E13" i="60" s="1"/>
  <c r="F367" i="57"/>
  <c r="G367" i="57" s="1"/>
  <c r="H367" i="57" s="1"/>
  <c r="I367" i="57" s="1"/>
  <c r="J367" i="57" s="1"/>
  <c r="K367" i="57" s="1"/>
  <c r="L367" i="57" s="1"/>
  <c r="M367" i="57" s="1"/>
  <c r="N367" i="57" s="1"/>
  <c r="O367" i="57" s="1"/>
  <c r="P367" i="57" s="1"/>
  <c r="Q367" i="57" s="1"/>
  <c r="R367" i="57" s="1"/>
  <c r="S367" i="57" s="1"/>
  <c r="T367" i="57" s="1"/>
  <c r="U367" i="57" s="1"/>
  <c r="V367" i="57" s="1"/>
  <c r="W367" i="57" s="1"/>
  <c r="X367" i="57" s="1"/>
  <c r="Y367" i="57" s="1"/>
  <c r="Z367" i="57" s="1"/>
  <c r="AA367" i="57" s="1"/>
  <c r="AB367" i="57" s="1"/>
  <c r="AC367" i="57" s="1"/>
  <c r="AD367" i="57" s="1"/>
  <c r="AE367" i="57" s="1"/>
  <c r="AF367" i="57" s="1"/>
  <c r="F156" i="47"/>
  <c r="Q41" i="80"/>
  <c r="Q388" i="80" s="1"/>
  <c r="Q391" i="80" s="1"/>
  <c r="Q394" i="80" s="1"/>
  <c r="Q395" i="80" s="1"/>
  <c r="Z41" i="80"/>
  <c r="Z388" i="80" s="1"/>
  <c r="Z391" i="80" s="1"/>
  <c r="Z394" i="80" s="1"/>
  <c r="Z395" i="80" s="1"/>
  <c r="W41" i="80"/>
  <c r="W388" i="80" s="1"/>
  <c r="W99" i="47" s="1"/>
  <c r="W100" i="47" s="1"/>
  <c r="W102" i="47" s="1"/>
  <c r="W103" i="47" s="1"/>
  <c r="K57" i="72"/>
  <c r="G155" i="47" s="1"/>
  <c r="G20" i="60" s="1"/>
  <c r="AA41" i="80"/>
  <c r="AA388" i="80" s="1"/>
  <c r="AA99" i="47" s="1"/>
  <c r="AA100" i="47" s="1"/>
  <c r="AA102" i="47" s="1"/>
  <c r="AA103" i="47" s="1"/>
  <c r="E41" i="80"/>
  <c r="E388" i="80" s="1"/>
  <c r="AG13" i="80"/>
  <c r="AH13" i="80" s="1"/>
  <c r="L46" i="72"/>
  <c r="L56" i="72" s="1"/>
  <c r="L43" i="72"/>
  <c r="H118" i="47" s="1"/>
  <c r="M33" i="72"/>
  <c r="H41" i="80"/>
  <c r="H388" i="80" s="1"/>
  <c r="V41" i="80"/>
  <c r="V388" i="80" s="1"/>
  <c r="AB41" i="80"/>
  <c r="AB388" i="80" s="1"/>
  <c r="AE41" i="80"/>
  <c r="AE388" i="80" s="1"/>
  <c r="Y41" i="80"/>
  <c r="Y388" i="80" s="1"/>
  <c r="G41" i="80"/>
  <c r="G388" i="80" s="1"/>
  <c r="L41" i="80"/>
  <c r="L388" i="80" s="1"/>
  <c r="AD41" i="80"/>
  <c r="AD388" i="80" s="1"/>
  <c r="F20" i="60"/>
  <c r="F163" i="47"/>
  <c r="F164" i="47" s="1"/>
  <c r="F165" i="47" s="1"/>
  <c r="I41" i="80"/>
  <c r="I388" i="80" s="1"/>
  <c r="AG14" i="80"/>
  <c r="AH14" i="80" s="1"/>
  <c r="S41" i="80"/>
  <c r="S388" i="80" s="1"/>
  <c r="J41" i="80"/>
  <c r="J388" i="80" s="1"/>
  <c r="M41" i="80"/>
  <c r="M388" i="80" s="1"/>
  <c r="T41" i="80"/>
  <c r="T388" i="80" s="1"/>
  <c r="F41" i="80"/>
  <c r="F388" i="80" s="1"/>
  <c r="X41" i="80"/>
  <c r="X388" i="80" s="1"/>
  <c r="N41" i="80"/>
  <c r="N388" i="80" s="1"/>
  <c r="E163" i="47"/>
  <c r="E164" i="47" s="1"/>
  <c r="E165" i="47" s="1"/>
  <c r="E20" i="60"/>
  <c r="R41" i="80"/>
  <c r="R388" i="80" s="1"/>
  <c r="B41" i="80"/>
  <c r="F386" i="80"/>
  <c r="G386" i="80" s="1"/>
  <c r="H386" i="80" s="1"/>
  <c r="I386" i="80" s="1"/>
  <c r="J386" i="80" s="1"/>
  <c r="K386" i="80" s="1"/>
  <c r="L386" i="80" s="1"/>
  <c r="M386" i="80" s="1"/>
  <c r="N386" i="80" s="1"/>
  <c r="O386" i="80" s="1"/>
  <c r="P386" i="80" s="1"/>
  <c r="Q386" i="80" s="1"/>
  <c r="R386" i="80" s="1"/>
  <c r="S386" i="80" s="1"/>
  <c r="T386" i="80" s="1"/>
  <c r="U386" i="80" s="1"/>
  <c r="V386" i="80" s="1"/>
  <c r="W386" i="80" s="1"/>
  <c r="X386" i="80" s="1"/>
  <c r="Y386" i="80" s="1"/>
  <c r="Z386" i="80" s="1"/>
  <c r="AA386" i="80" s="1"/>
  <c r="AB386" i="80" s="1"/>
  <c r="AC386" i="80" s="1"/>
  <c r="AD386" i="80" s="1"/>
  <c r="AE386" i="80" s="1"/>
  <c r="AF386" i="80" s="1"/>
  <c r="AF41" i="80"/>
  <c r="AF388" i="80" s="1"/>
  <c r="P41" i="80"/>
  <c r="P388" i="80" s="1"/>
  <c r="K41" i="80"/>
  <c r="K388" i="80" s="1"/>
  <c r="O41" i="80"/>
  <c r="O388" i="80" s="1"/>
  <c r="U41" i="80"/>
  <c r="U388" i="80" s="1"/>
  <c r="AC41" i="80"/>
  <c r="AC388" i="80" s="1"/>
  <c r="F111" i="47"/>
  <c r="F113" i="47" s="1"/>
  <c r="E119" i="47"/>
  <c r="E121" i="47" s="1"/>
  <c r="F5" i="67"/>
  <c r="F7" i="67" s="1"/>
  <c r="F9" i="67" s="1"/>
  <c r="F18" i="47" s="1"/>
  <c r="F25" i="60" l="1"/>
  <c r="F27" i="60" s="1"/>
  <c r="F29" i="60" s="1"/>
  <c r="F13" i="60" s="1"/>
  <c r="AA391" i="80"/>
  <c r="AA394" i="80" s="1"/>
  <c r="AA395" i="80" s="1"/>
  <c r="AA397" i="80" s="1"/>
  <c r="Q99" i="47"/>
  <c r="Q100" i="47" s="1"/>
  <c r="Q102" i="47" s="1"/>
  <c r="Q103" i="47" s="1"/>
  <c r="Q23" i="47" s="1"/>
  <c r="Z99" i="47"/>
  <c r="Z100" i="47" s="1"/>
  <c r="Z102" i="47" s="1"/>
  <c r="Z103" i="47" s="1"/>
  <c r="Z132" i="47" s="1"/>
  <c r="AK13" i="55"/>
  <c r="W391" i="80"/>
  <c r="W394" i="80" s="1"/>
  <c r="W395" i="80" s="1"/>
  <c r="W397" i="80" s="1"/>
  <c r="G156" i="47"/>
  <c r="G163" i="47"/>
  <c r="G164" i="47" s="1"/>
  <c r="G165" i="47" s="1"/>
  <c r="AH41" i="80"/>
  <c r="G111" i="47"/>
  <c r="G5" i="67"/>
  <c r="G7" i="67" s="1"/>
  <c r="G9" i="67" s="1"/>
  <c r="G18" i="47" s="1"/>
  <c r="F119" i="47"/>
  <c r="F121" i="47" s="1"/>
  <c r="F122" i="47" s="1"/>
  <c r="X99" i="47"/>
  <c r="X100" i="47" s="1"/>
  <c r="X102" i="47" s="1"/>
  <c r="X103" i="47" s="1"/>
  <c r="X391" i="80"/>
  <c r="X394" i="80" s="1"/>
  <c r="X395" i="80" s="1"/>
  <c r="I391" i="80"/>
  <c r="I394" i="80" s="1"/>
  <c r="I395" i="80" s="1"/>
  <c r="I99" i="47"/>
  <c r="I100" i="47" s="1"/>
  <c r="I102" i="47" s="1"/>
  <c r="I103" i="47" s="1"/>
  <c r="AB99" i="47"/>
  <c r="AB100" i="47" s="1"/>
  <c r="AB102" i="47" s="1"/>
  <c r="AB103" i="47" s="1"/>
  <c r="AB391" i="80"/>
  <c r="AB394" i="80" s="1"/>
  <c r="AB395" i="80" s="1"/>
  <c r="AC99" i="47"/>
  <c r="AC100" i="47" s="1"/>
  <c r="AC102" i="47" s="1"/>
  <c r="AC103" i="47" s="1"/>
  <c r="AC391" i="80"/>
  <c r="AC394" i="80" s="1"/>
  <c r="AC395" i="80" s="1"/>
  <c r="P391" i="80"/>
  <c r="P394" i="80" s="1"/>
  <c r="P395" i="80" s="1"/>
  <c r="P99" i="47"/>
  <c r="P100" i="47" s="1"/>
  <c r="P102" i="47" s="1"/>
  <c r="P103" i="47" s="1"/>
  <c r="E22" i="60"/>
  <c r="E12" i="60" s="1"/>
  <c r="F99" i="47"/>
  <c r="F100" i="47" s="1"/>
  <c r="F102" i="47" s="1"/>
  <c r="F103" i="47" s="1"/>
  <c r="F391" i="80"/>
  <c r="F394" i="80" s="1"/>
  <c r="F395" i="80" s="1"/>
  <c r="S391" i="80"/>
  <c r="S394" i="80" s="1"/>
  <c r="S395" i="80" s="1"/>
  <c r="S99" i="47"/>
  <c r="S100" i="47" s="1"/>
  <c r="S102" i="47" s="1"/>
  <c r="S103" i="47" s="1"/>
  <c r="G391" i="80"/>
  <c r="G394" i="80" s="1"/>
  <c r="G395" i="80" s="1"/>
  <c r="G99" i="47"/>
  <c r="G100" i="47" s="1"/>
  <c r="G102" i="47" s="1"/>
  <c r="G103" i="47" s="1"/>
  <c r="V99" i="47"/>
  <c r="V100" i="47" s="1"/>
  <c r="V102" i="47" s="1"/>
  <c r="V103" i="47" s="1"/>
  <c r="V391" i="80"/>
  <c r="V394" i="80" s="1"/>
  <c r="V395" i="80" s="1"/>
  <c r="L57" i="72"/>
  <c r="W23" i="47"/>
  <c r="W132" i="47"/>
  <c r="K391" i="80"/>
  <c r="K394" i="80" s="1"/>
  <c r="K395" i="80" s="1"/>
  <c r="K99" i="47"/>
  <c r="K100" i="47" s="1"/>
  <c r="K102" i="47" s="1"/>
  <c r="K103" i="47" s="1"/>
  <c r="J99" i="47"/>
  <c r="J100" i="47" s="1"/>
  <c r="J102" i="47" s="1"/>
  <c r="J103" i="47" s="1"/>
  <c r="J391" i="80"/>
  <c r="J394" i="80" s="1"/>
  <c r="J395" i="80" s="1"/>
  <c r="L391" i="80"/>
  <c r="L394" i="80" s="1"/>
  <c r="L395" i="80" s="1"/>
  <c r="L99" i="47"/>
  <c r="L100" i="47" s="1"/>
  <c r="L102" i="47" s="1"/>
  <c r="L103" i="47" s="1"/>
  <c r="F83" i="47"/>
  <c r="L16" i="55"/>
  <c r="F9" i="60"/>
  <c r="E122" i="47"/>
  <c r="U99" i="47"/>
  <c r="U100" i="47" s="1"/>
  <c r="U102" i="47" s="1"/>
  <c r="U103" i="47" s="1"/>
  <c r="U391" i="80"/>
  <c r="U394" i="80" s="1"/>
  <c r="U395" i="80" s="1"/>
  <c r="AF391" i="80"/>
  <c r="AF394" i="80" s="1"/>
  <c r="AF395" i="80" s="1"/>
  <c r="AF99" i="47"/>
  <c r="AF100" i="47" s="1"/>
  <c r="AF102" i="47" s="1"/>
  <c r="AF103" i="47" s="1"/>
  <c r="R391" i="80"/>
  <c r="R394" i="80" s="1"/>
  <c r="R395" i="80" s="1"/>
  <c r="R99" i="47"/>
  <c r="R100" i="47" s="1"/>
  <c r="R102" i="47" s="1"/>
  <c r="R103" i="47" s="1"/>
  <c r="T391" i="80"/>
  <c r="T394" i="80" s="1"/>
  <c r="T395" i="80" s="1"/>
  <c r="T99" i="47"/>
  <c r="T100" i="47" s="1"/>
  <c r="T102" i="47" s="1"/>
  <c r="T103" i="47" s="1"/>
  <c r="F22" i="60"/>
  <c r="F12" i="60" s="1"/>
  <c r="Y391" i="80"/>
  <c r="Y394" i="80" s="1"/>
  <c r="Y395" i="80" s="1"/>
  <c r="Y99" i="47"/>
  <c r="Y100" i="47" s="1"/>
  <c r="Y102" i="47" s="1"/>
  <c r="Y103" i="47" s="1"/>
  <c r="H391" i="80"/>
  <c r="H394" i="80" s="1"/>
  <c r="H395" i="80" s="1"/>
  <c r="H99" i="47"/>
  <c r="H100" i="47" s="1"/>
  <c r="H102" i="47" s="1"/>
  <c r="H103" i="47" s="1"/>
  <c r="G22" i="60"/>
  <c r="G12" i="60" s="1"/>
  <c r="AG41" i="80"/>
  <c r="O99" i="47"/>
  <c r="O100" i="47" s="1"/>
  <c r="O102" i="47" s="1"/>
  <c r="O103" i="47" s="1"/>
  <c r="O391" i="80"/>
  <c r="O394" i="80" s="1"/>
  <c r="O395" i="80" s="1"/>
  <c r="AA23" i="47"/>
  <c r="AA132" i="47"/>
  <c r="N99" i="47"/>
  <c r="N100" i="47" s="1"/>
  <c r="N102" i="47" s="1"/>
  <c r="N103" i="47" s="1"/>
  <c r="N391" i="80"/>
  <c r="N394" i="80" s="1"/>
  <c r="N395" i="80" s="1"/>
  <c r="M391" i="80"/>
  <c r="M394" i="80" s="1"/>
  <c r="M395" i="80" s="1"/>
  <c r="M99" i="47"/>
  <c r="M100" i="47" s="1"/>
  <c r="M102" i="47" s="1"/>
  <c r="M103" i="47" s="1"/>
  <c r="AD99" i="47"/>
  <c r="AD100" i="47" s="1"/>
  <c r="AD102" i="47" s="1"/>
  <c r="AD103" i="47" s="1"/>
  <c r="AD391" i="80"/>
  <c r="AD394" i="80" s="1"/>
  <c r="AD395" i="80" s="1"/>
  <c r="AE99" i="47"/>
  <c r="AE100" i="47" s="1"/>
  <c r="AE102" i="47" s="1"/>
  <c r="AE103" i="47" s="1"/>
  <c r="AE391" i="80"/>
  <c r="AE394" i="80" s="1"/>
  <c r="AE395" i="80" s="1"/>
  <c r="N33" i="72"/>
  <c r="M43" i="72"/>
  <c r="I118" i="47" s="1"/>
  <c r="M46" i="72"/>
  <c r="M56" i="72" s="1"/>
  <c r="E391" i="80"/>
  <c r="E394" i="80" s="1"/>
  <c r="E395" i="80" s="1"/>
  <c r="E99" i="47"/>
  <c r="E100" i="47" s="1"/>
  <c r="E102" i="47" s="1"/>
  <c r="E103" i="47" s="1"/>
  <c r="E389" i="80"/>
  <c r="F389" i="80" s="1"/>
  <c r="G389" i="80" s="1"/>
  <c r="H389" i="80" s="1"/>
  <c r="I389" i="80" s="1"/>
  <c r="J389" i="80" s="1"/>
  <c r="K389" i="80" s="1"/>
  <c r="L389" i="80" s="1"/>
  <c r="M389" i="80" s="1"/>
  <c r="N389" i="80" s="1"/>
  <c r="O389" i="80" s="1"/>
  <c r="P389" i="80" s="1"/>
  <c r="Q389" i="80" s="1"/>
  <c r="R389" i="80" s="1"/>
  <c r="S389" i="80" s="1"/>
  <c r="T389" i="80" s="1"/>
  <c r="U389" i="80" s="1"/>
  <c r="V389" i="80" s="1"/>
  <c r="W389" i="80" s="1"/>
  <c r="X389" i="80" s="1"/>
  <c r="Y389" i="80" s="1"/>
  <c r="Z389" i="80" s="1"/>
  <c r="AA389" i="80" s="1"/>
  <c r="AB389" i="80" s="1"/>
  <c r="AC389" i="80" s="1"/>
  <c r="AD389" i="80" s="1"/>
  <c r="AE389" i="80" s="1"/>
  <c r="AF389" i="80" s="1"/>
  <c r="G25" i="60" l="1"/>
  <c r="G27" i="60" s="1"/>
  <c r="G29" i="60" s="1"/>
  <c r="G13" i="60" s="1"/>
  <c r="Q397" i="80"/>
  <c r="Q132" i="47"/>
  <c r="Z397" i="80"/>
  <c r="Z23" i="47"/>
  <c r="Z26" i="47" s="1"/>
  <c r="F397" i="80"/>
  <c r="G113" i="47"/>
  <c r="D13" i="55" s="1"/>
  <c r="C13" i="55"/>
  <c r="AB397" i="80"/>
  <c r="L397" i="80"/>
  <c r="K397" i="80"/>
  <c r="M57" i="72"/>
  <c r="I156" i="47" s="1"/>
  <c r="Y397" i="80"/>
  <c r="H397" i="80"/>
  <c r="R397" i="80"/>
  <c r="V397" i="80"/>
  <c r="AC397" i="80"/>
  <c r="I23" i="47"/>
  <c r="I132" i="47"/>
  <c r="AE397" i="80"/>
  <c r="AE23" i="47"/>
  <c r="AE132" i="47"/>
  <c r="M397" i="80"/>
  <c r="AA90" i="47"/>
  <c r="AA26" i="47"/>
  <c r="Y132" i="47"/>
  <c r="Y23" i="47"/>
  <c r="T397" i="80"/>
  <c r="T23" i="47"/>
  <c r="T132" i="47"/>
  <c r="AF23" i="47"/>
  <c r="AF132" i="47"/>
  <c r="Q26" i="47"/>
  <c r="Q90" i="47"/>
  <c r="J397" i="80"/>
  <c r="V132" i="47"/>
  <c r="V23" i="47"/>
  <c r="S397" i="80"/>
  <c r="AC132" i="47"/>
  <c r="AC23" i="47"/>
  <c r="I397" i="80"/>
  <c r="G83" i="47"/>
  <c r="L17" i="55"/>
  <c r="G9" i="60"/>
  <c r="M23" i="47"/>
  <c r="M132" i="47"/>
  <c r="S23" i="47"/>
  <c r="S132" i="47"/>
  <c r="AD397" i="80"/>
  <c r="N397" i="80"/>
  <c r="AF397" i="80"/>
  <c r="J132" i="47"/>
  <c r="J23" i="47"/>
  <c r="W26" i="47"/>
  <c r="W90" i="47"/>
  <c r="G23" i="47"/>
  <c r="G132" i="47"/>
  <c r="P132" i="47"/>
  <c r="P23" i="47"/>
  <c r="E397" i="80"/>
  <c r="E396" i="80"/>
  <c r="O132" i="47"/>
  <c r="O23" i="47"/>
  <c r="U23" i="47"/>
  <c r="U132" i="47"/>
  <c r="E23" i="47"/>
  <c r="E132" i="47"/>
  <c r="E133" i="47" s="1"/>
  <c r="E104" i="47"/>
  <c r="F104" i="47" s="1"/>
  <c r="G104" i="47" s="1"/>
  <c r="H104" i="47" s="1"/>
  <c r="I104" i="47" s="1"/>
  <c r="J104" i="47" s="1"/>
  <c r="K104" i="47" s="1"/>
  <c r="L104" i="47" s="1"/>
  <c r="M104" i="47" s="1"/>
  <c r="N104" i="47" s="1"/>
  <c r="O104" i="47" s="1"/>
  <c r="P104" i="47" s="1"/>
  <c r="Q104" i="47" s="1"/>
  <c r="R104" i="47" s="1"/>
  <c r="S104" i="47" s="1"/>
  <c r="T104" i="47" s="1"/>
  <c r="U104" i="47" s="1"/>
  <c r="V104" i="47" s="1"/>
  <c r="W104" i="47" s="1"/>
  <c r="X104" i="47" s="1"/>
  <c r="Y104" i="47" s="1"/>
  <c r="Z104" i="47" s="1"/>
  <c r="AA104" i="47" s="1"/>
  <c r="AB104" i="47" s="1"/>
  <c r="AC104" i="47" s="1"/>
  <c r="AD104" i="47" s="1"/>
  <c r="AE104" i="47" s="1"/>
  <c r="AF104" i="47" s="1"/>
  <c r="O33" i="72"/>
  <c r="N43" i="72"/>
  <c r="J118" i="47" s="1"/>
  <c r="N46" i="72"/>
  <c r="N56" i="72" s="1"/>
  <c r="AD132" i="47"/>
  <c r="AD23" i="47"/>
  <c r="N23" i="47"/>
  <c r="N132" i="47"/>
  <c r="O397" i="80"/>
  <c r="H23" i="47"/>
  <c r="H132" i="47"/>
  <c r="R23" i="47"/>
  <c r="R132" i="47"/>
  <c r="U397" i="80"/>
  <c r="L132" i="47"/>
  <c r="L23" i="47"/>
  <c r="K23" i="47"/>
  <c r="K132" i="47"/>
  <c r="H155" i="47"/>
  <c r="H156" i="47"/>
  <c r="G397" i="80"/>
  <c r="F23" i="47"/>
  <c r="F132" i="47"/>
  <c r="P397" i="80"/>
  <c r="AB23" i="47"/>
  <c r="AB132" i="47"/>
  <c r="X397" i="80"/>
  <c r="X132" i="47"/>
  <c r="X23" i="47"/>
  <c r="I155" i="47" l="1"/>
  <c r="I25" i="60"/>
  <c r="I27" i="60" s="1"/>
  <c r="I29" i="60" s="1"/>
  <c r="I13" i="60" s="1"/>
  <c r="H25" i="60"/>
  <c r="H27" i="60" s="1"/>
  <c r="H29" i="60" s="1"/>
  <c r="H13" i="60" s="1"/>
  <c r="Z90" i="47"/>
  <c r="H5" i="67"/>
  <c r="H7" i="67" s="1"/>
  <c r="H9" i="67" s="1"/>
  <c r="H18" i="47" s="1"/>
  <c r="H83" i="47" s="1"/>
  <c r="G119" i="47"/>
  <c r="G121" i="47" s="1"/>
  <c r="G122" i="47" s="1"/>
  <c r="H111" i="47"/>
  <c r="H113" i="47" s="1"/>
  <c r="D14" i="55" s="1"/>
  <c r="G13" i="55"/>
  <c r="C14" i="55" s="1"/>
  <c r="L90" i="47"/>
  <c r="L26" i="47"/>
  <c r="AD90" i="47"/>
  <c r="AD26" i="47"/>
  <c r="O46" i="72"/>
  <c r="O56" i="72" s="1"/>
  <c r="O43" i="72"/>
  <c r="K118" i="47" s="1"/>
  <c r="P33" i="72"/>
  <c r="F396" i="80"/>
  <c r="G396" i="80" s="1"/>
  <c r="F15" i="55"/>
  <c r="J90" i="47"/>
  <c r="J26" i="47"/>
  <c r="M90" i="47"/>
  <c r="M26" i="47"/>
  <c r="V26" i="47"/>
  <c r="V90" i="47"/>
  <c r="I20" i="60"/>
  <c r="AK15" i="55" s="1"/>
  <c r="I163" i="47"/>
  <c r="I164" i="47" s="1"/>
  <c r="I165" i="47" s="1"/>
  <c r="U26" i="47"/>
  <c r="U90" i="47"/>
  <c r="G90" i="47"/>
  <c r="G26" i="47"/>
  <c r="S26" i="47"/>
  <c r="S90" i="47"/>
  <c r="AC26" i="47"/>
  <c r="AC90" i="47"/>
  <c r="T90" i="47"/>
  <c r="T26" i="47"/>
  <c r="AE26" i="47"/>
  <c r="AE90" i="47"/>
  <c r="K90" i="47"/>
  <c r="K26" i="47"/>
  <c r="H90" i="47"/>
  <c r="H26" i="47"/>
  <c r="N26" i="47"/>
  <c r="N90" i="47"/>
  <c r="E90" i="47"/>
  <c r="E26" i="47"/>
  <c r="AG23" i="47"/>
  <c r="AF90" i="47"/>
  <c r="AF26" i="47"/>
  <c r="Y90" i="47"/>
  <c r="Y26" i="47"/>
  <c r="F90" i="47"/>
  <c r="F26" i="47"/>
  <c r="H163" i="47"/>
  <c r="H164" i="47" s="1"/>
  <c r="H165" i="47" s="1"/>
  <c r="H20" i="60"/>
  <c r="AK14" i="55" s="1"/>
  <c r="R26" i="47"/>
  <c r="R90" i="47"/>
  <c r="X90" i="47"/>
  <c r="X26" i="47"/>
  <c r="AB90" i="47"/>
  <c r="AB26" i="47"/>
  <c r="N57" i="72"/>
  <c r="F131" i="47"/>
  <c r="F133" i="47" s="1"/>
  <c r="G131" i="47" s="1"/>
  <c r="G133" i="47" s="1"/>
  <c r="H131" i="47" s="1"/>
  <c r="H133" i="47" s="1"/>
  <c r="I131" i="47" s="1"/>
  <c r="I133" i="47" s="1"/>
  <c r="J131" i="47" s="1"/>
  <c r="J133" i="47" s="1"/>
  <c r="K131" i="47" s="1"/>
  <c r="K133" i="47" s="1"/>
  <c r="L131" i="47" s="1"/>
  <c r="L133" i="47" s="1"/>
  <c r="M131" i="47" s="1"/>
  <c r="M133" i="47" s="1"/>
  <c r="N131" i="47" s="1"/>
  <c r="N133" i="47" s="1"/>
  <c r="O131" i="47" s="1"/>
  <c r="O133" i="47" s="1"/>
  <c r="P131" i="47" s="1"/>
  <c r="P133" i="47" s="1"/>
  <c r="Q131" i="47" s="1"/>
  <c r="Q133" i="47" s="1"/>
  <c r="R131" i="47" s="1"/>
  <c r="R133" i="47" s="1"/>
  <c r="S131" i="47" s="1"/>
  <c r="S133" i="47" s="1"/>
  <c r="T131" i="47" s="1"/>
  <c r="T133" i="47" s="1"/>
  <c r="U131" i="47" s="1"/>
  <c r="U133" i="47" s="1"/>
  <c r="V131" i="47" s="1"/>
  <c r="V133" i="47" s="1"/>
  <c r="W131" i="47" s="1"/>
  <c r="W133" i="47" s="1"/>
  <c r="X131" i="47" s="1"/>
  <c r="X133" i="47" s="1"/>
  <c r="Y131" i="47" s="1"/>
  <c r="Y133" i="47" s="1"/>
  <c r="Z131" i="47" s="1"/>
  <c r="Z133" i="47" s="1"/>
  <c r="AA131" i="47" s="1"/>
  <c r="AA133" i="47" s="1"/>
  <c r="AB131" i="47" s="1"/>
  <c r="AB133" i="47" s="1"/>
  <c r="AC131" i="47" s="1"/>
  <c r="AC133" i="47" s="1"/>
  <c r="AD131" i="47" s="1"/>
  <c r="AD133" i="47" s="1"/>
  <c r="AE131" i="47" s="1"/>
  <c r="AE133" i="47" s="1"/>
  <c r="AF131" i="47" s="1"/>
  <c r="AF133" i="47" s="1"/>
  <c r="E127" i="47"/>
  <c r="E128" i="47" s="1"/>
  <c r="O90" i="47"/>
  <c r="O26" i="47"/>
  <c r="P26" i="47"/>
  <c r="P90" i="47"/>
  <c r="I26" i="47"/>
  <c r="I90" i="47"/>
  <c r="H9" i="60" l="1"/>
  <c r="H119" i="47"/>
  <c r="H121" i="47" s="1"/>
  <c r="H122" i="47" s="1"/>
  <c r="L18" i="55"/>
  <c r="I111" i="47"/>
  <c r="I113" i="47" s="1"/>
  <c r="D15" i="55" s="1"/>
  <c r="I5" i="67"/>
  <c r="I7" i="67" s="1"/>
  <c r="I9" i="67" s="1"/>
  <c r="I18" i="47" s="1"/>
  <c r="I9" i="60" s="1"/>
  <c r="G14" i="55"/>
  <c r="C15" i="55" s="1"/>
  <c r="I13" i="55"/>
  <c r="AJ13" i="55" s="1"/>
  <c r="AG26" i="47"/>
  <c r="P46" i="72"/>
  <c r="P56" i="72" s="1"/>
  <c r="Q33" i="72"/>
  <c r="P43" i="72"/>
  <c r="L118" i="47" s="1"/>
  <c r="J156" i="47"/>
  <c r="J155" i="47"/>
  <c r="H22" i="60"/>
  <c r="H12" i="60" s="1"/>
  <c r="AG90" i="47"/>
  <c r="I22" i="60"/>
  <c r="I12" i="60" s="1"/>
  <c r="F16" i="55"/>
  <c r="F17" i="55" s="1"/>
  <c r="O57" i="72"/>
  <c r="E44" i="47"/>
  <c r="E170" i="47"/>
  <c r="F126" i="47"/>
  <c r="F127" i="47" s="1"/>
  <c r="F128" i="47" s="1"/>
  <c r="H396" i="80"/>
  <c r="I396" i="80" s="1"/>
  <c r="J396" i="80" s="1"/>
  <c r="K396" i="80" s="1"/>
  <c r="L396" i="80" s="1"/>
  <c r="M396" i="80" s="1"/>
  <c r="N396" i="80" s="1"/>
  <c r="O396" i="80" s="1"/>
  <c r="P396" i="80" s="1"/>
  <c r="Q396" i="80" s="1"/>
  <c r="G7" i="74"/>
  <c r="G22" i="74"/>
  <c r="J25" i="60" l="1"/>
  <c r="J27" i="60" s="1"/>
  <c r="J29" i="60" s="1"/>
  <c r="J13" i="60" s="1"/>
  <c r="J5" i="67"/>
  <c r="J7" i="67" s="1"/>
  <c r="J9" i="67" s="1"/>
  <c r="J18" i="47" s="1"/>
  <c r="J9" i="60" s="1"/>
  <c r="J111" i="47"/>
  <c r="J113" i="47" s="1"/>
  <c r="D16" i="55" s="1"/>
  <c r="I83" i="47"/>
  <c r="L19" i="55"/>
  <c r="I14" i="55"/>
  <c r="O14" i="55" s="1"/>
  <c r="G15" i="55"/>
  <c r="C16" i="55" s="1"/>
  <c r="I119" i="47"/>
  <c r="I121" i="47" s="1"/>
  <c r="I122" i="47" s="1"/>
  <c r="K13" i="55"/>
  <c r="O13" i="55"/>
  <c r="F18" i="55"/>
  <c r="F19" i="55" s="1"/>
  <c r="F20" i="55" s="1"/>
  <c r="F21" i="55" s="1"/>
  <c r="F22" i="55" s="1"/>
  <c r="F23" i="55" s="1"/>
  <c r="F24" i="55" s="1"/>
  <c r="F25" i="55" s="1"/>
  <c r="F26" i="55" s="1"/>
  <c r="P57" i="72"/>
  <c r="L156" i="47" s="1"/>
  <c r="J163" i="47"/>
  <c r="J164" i="47" s="1"/>
  <c r="J165" i="47" s="1"/>
  <c r="J20" i="60"/>
  <c r="AK16" i="55" s="1"/>
  <c r="Q43" i="72"/>
  <c r="M118" i="47" s="1"/>
  <c r="Q46" i="72"/>
  <c r="Q56" i="72" s="1"/>
  <c r="R33" i="72"/>
  <c r="R396" i="80"/>
  <c r="S396" i="80" s="1"/>
  <c r="K156" i="47"/>
  <c r="K155" i="47"/>
  <c r="F170" i="47"/>
  <c r="F44" i="47"/>
  <c r="G126" i="47"/>
  <c r="G127" i="47" s="1"/>
  <c r="G128" i="47" s="1"/>
  <c r="H22" i="74"/>
  <c r="H7" i="74"/>
  <c r="H12" i="74" s="1"/>
  <c r="G12" i="74"/>
  <c r="K25" i="60" l="1"/>
  <c r="K27" i="60" s="1"/>
  <c r="K29" i="60" s="1"/>
  <c r="K13" i="60" s="1"/>
  <c r="L25" i="60"/>
  <c r="L27" i="60" s="1"/>
  <c r="L29" i="60" s="1"/>
  <c r="L13" i="60" s="1"/>
  <c r="J119" i="47"/>
  <c r="J121" i="47" s="1"/>
  <c r="J122" i="47" s="1"/>
  <c r="K5" i="67"/>
  <c r="K7" i="67" s="1"/>
  <c r="K9" i="67" s="1"/>
  <c r="K18" i="47" s="1"/>
  <c r="L21" i="55" s="1"/>
  <c r="L20" i="55"/>
  <c r="J83" i="47"/>
  <c r="K111" i="47"/>
  <c r="K113" i="47" s="1"/>
  <c r="D17" i="55" s="1"/>
  <c r="I15" i="55"/>
  <c r="AJ15" i="55" s="1"/>
  <c r="AL15" i="55" s="1"/>
  <c r="AJ14" i="55"/>
  <c r="AL14" i="55" s="1"/>
  <c r="K14" i="55"/>
  <c r="C16" i="47"/>
  <c r="C7" i="60" s="1"/>
  <c r="C15" i="60" s="1"/>
  <c r="F27" i="55"/>
  <c r="F28" i="55" s="1"/>
  <c r="F29" i="55" s="1"/>
  <c r="L155" i="47"/>
  <c r="L20" i="60" s="1"/>
  <c r="AK18" i="55" s="1"/>
  <c r="G16" i="47"/>
  <c r="G19" i="47" s="1"/>
  <c r="D16" i="47"/>
  <c r="Q57" i="72"/>
  <c r="M155" i="47" s="1"/>
  <c r="M20" i="60" s="1"/>
  <c r="G16" i="55"/>
  <c r="C17" i="55" s="1"/>
  <c r="K163" i="47"/>
  <c r="K164" i="47" s="1"/>
  <c r="K165" i="47" s="1"/>
  <c r="K20" i="60"/>
  <c r="AK17" i="55" s="1"/>
  <c r="T396" i="80"/>
  <c r="J22" i="60"/>
  <c r="J12" i="60" s="1"/>
  <c r="H126" i="47"/>
  <c r="H127" i="47" s="1"/>
  <c r="H128" i="47" s="1"/>
  <c r="G44" i="47"/>
  <c r="G170" i="47"/>
  <c r="R46" i="72"/>
  <c r="R56" i="72" s="1"/>
  <c r="R43" i="72"/>
  <c r="N118" i="47" s="1"/>
  <c r="S33" i="72"/>
  <c r="I22" i="74"/>
  <c r="I7" i="74"/>
  <c r="K83" i="47" l="1"/>
  <c r="K9" i="60"/>
  <c r="L111" i="47"/>
  <c r="L113" i="47" s="1"/>
  <c r="D18" i="55" s="1"/>
  <c r="K15" i="55"/>
  <c r="M156" i="47"/>
  <c r="L5" i="67"/>
  <c r="L7" i="67" s="1"/>
  <c r="L9" i="67" s="1"/>
  <c r="L18" i="47" s="1"/>
  <c r="L22" i="55" s="1"/>
  <c r="O15" i="55"/>
  <c r="K119" i="47"/>
  <c r="K121" i="47" s="1"/>
  <c r="K122" i="47" s="1"/>
  <c r="C81" i="47"/>
  <c r="C86" i="47" s="1"/>
  <c r="M13" i="55"/>
  <c r="Q13" i="55" s="1"/>
  <c r="AF13" i="55" s="1"/>
  <c r="C19" i="47"/>
  <c r="L163" i="47"/>
  <c r="L164" i="47" s="1"/>
  <c r="L165" i="47" s="1"/>
  <c r="G81" i="47"/>
  <c r="G86" i="47" s="1"/>
  <c r="G7" i="60"/>
  <c r="G15" i="60" s="1"/>
  <c r="G16" i="60" s="1"/>
  <c r="M17" i="55"/>
  <c r="M14" i="55"/>
  <c r="Q14" i="55" s="1"/>
  <c r="D81" i="47"/>
  <c r="D86" i="47" s="1"/>
  <c r="D7" i="60"/>
  <c r="D15" i="60" s="1"/>
  <c r="D19" i="47"/>
  <c r="C71" i="47"/>
  <c r="C49" i="60"/>
  <c r="C16" i="60"/>
  <c r="AG13" i="55"/>
  <c r="C68" i="47"/>
  <c r="AK19" i="55"/>
  <c r="M163" i="47"/>
  <c r="M164" i="47" s="1"/>
  <c r="M165" i="47" s="1"/>
  <c r="I16" i="55"/>
  <c r="O16" i="55" s="1"/>
  <c r="R57" i="72"/>
  <c r="F30" i="55"/>
  <c r="U396" i="80"/>
  <c r="M22" i="60"/>
  <c r="M12" i="60" s="1"/>
  <c r="L22" i="60"/>
  <c r="L12" i="60" s="1"/>
  <c r="H44" i="47"/>
  <c r="H170" i="47"/>
  <c r="I126" i="47"/>
  <c r="I127" i="47" s="1"/>
  <c r="I128" i="47" s="1"/>
  <c r="K22" i="60"/>
  <c r="K12" i="60" s="1"/>
  <c r="S46" i="72"/>
  <c r="S56" i="72" s="1"/>
  <c r="T33" i="72"/>
  <c r="S43" i="72"/>
  <c r="O118" i="47" s="1"/>
  <c r="G17" i="55"/>
  <c r="C18" i="55" s="1"/>
  <c r="J22" i="74"/>
  <c r="J7" i="74"/>
  <c r="J12" i="74" s="1"/>
  <c r="I12" i="74"/>
  <c r="R13" i="55" l="1"/>
  <c r="S13" i="55" s="1"/>
  <c r="M25" i="60"/>
  <c r="M27" i="60" s="1"/>
  <c r="M29" i="60" s="1"/>
  <c r="M13" i="60" s="1"/>
  <c r="M111" i="47"/>
  <c r="M113" i="47" s="1"/>
  <c r="D19" i="55" s="1"/>
  <c r="L119" i="47"/>
  <c r="L121" i="47" s="1"/>
  <c r="L122" i="47" s="1"/>
  <c r="M5" i="67"/>
  <c r="M7" i="67" s="1"/>
  <c r="M9" i="67" s="1"/>
  <c r="M18" i="47" s="1"/>
  <c r="L23" i="55" s="1"/>
  <c r="L9" i="60"/>
  <c r="L83" i="47"/>
  <c r="E16" i="47"/>
  <c r="E7" i="60" s="1"/>
  <c r="E15" i="60" s="1"/>
  <c r="G71" i="47"/>
  <c r="G68" i="47"/>
  <c r="K16" i="55"/>
  <c r="AH13" i="55"/>
  <c r="I16" i="47"/>
  <c r="I7" i="60" s="1"/>
  <c r="I15" i="60" s="1"/>
  <c r="F16" i="47"/>
  <c r="AJ16" i="55"/>
  <c r="AL16" i="55" s="1"/>
  <c r="D16" i="60"/>
  <c r="D68" i="47"/>
  <c r="D71" i="47"/>
  <c r="C51" i="60"/>
  <c r="C7" i="47" s="1"/>
  <c r="D49" i="60"/>
  <c r="B28" i="68"/>
  <c r="B30" i="68"/>
  <c r="AF14" i="55"/>
  <c r="R14" i="55"/>
  <c r="I17" i="55"/>
  <c r="K17" i="55" s="1"/>
  <c r="G18" i="55"/>
  <c r="C19" i="55" s="1"/>
  <c r="T43" i="72"/>
  <c r="P118" i="47" s="1"/>
  <c r="U33" i="72"/>
  <c r="T46" i="72"/>
  <c r="T56" i="72" s="1"/>
  <c r="F31" i="55"/>
  <c r="V396" i="80"/>
  <c r="S57" i="72"/>
  <c r="O156" i="47" s="1"/>
  <c r="I170" i="47"/>
  <c r="J126" i="47"/>
  <c r="J127" i="47" s="1"/>
  <c r="J128" i="47" s="1"/>
  <c r="I44" i="47"/>
  <c r="N156" i="47"/>
  <c r="N155" i="47"/>
  <c r="K22" i="74"/>
  <c r="K7" i="74"/>
  <c r="H16" i="47"/>
  <c r="S14" i="55" l="1"/>
  <c r="O25" i="60"/>
  <c r="O27" i="60" s="1"/>
  <c r="O29" i="60" s="1"/>
  <c r="O13" i="60" s="1"/>
  <c r="N25" i="60"/>
  <c r="N27" i="60" s="1"/>
  <c r="N29" i="60" s="1"/>
  <c r="N13" i="60" s="1"/>
  <c r="I19" i="47"/>
  <c r="M119" i="47"/>
  <c r="M121" i="47" s="1"/>
  <c r="M122" i="47" s="1"/>
  <c r="N5" i="67"/>
  <c r="N7" i="67" s="1"/>
  <c r="N9" i="67" s="1"/>
  <c r="N18" i="47" s="1"/>
  <c r="N83" i="47" s="1"/>
  <c r="N111" i="47"/>
  <c r="N113" i="47" s="1"/>
  <c r="D20" i="55" s="1"/>
  <c r="M83" i="47"/>
  <c r="M9" i="60"/>
  <c r="I81" i="47"/>
  <c r="I86" i="47" s="1"/>
  <c r="E19" i="47"/>
  <c r="M15" i="55"/>
  <c r="Q15" i="55" s="1"/>
  <c r="AF15" i="55" s="1"/>
  <c r="E81" i="47"/>
  <c r="E86" i="47" s="1"/>
  <c r="M19" i="55"/>
  <c r="M16" i="55"/>
  <c r="Q16" i="55" s="1"/>
  <c r="R16" i="55" s="1"/>
  <c r="F81" i="47"/>
  <c r="F19" i="47"/>
  <c r="F7" i="60"/>
  <c r="F15" i="60" s="1"/>
  <c r="E49" i="60"/>
  <c r="E51" i="60" s="1"/>
  <c r="E7" i="47" s="1"/>
  <c r="D51" i="60"/>
  <c r="D7" i="47" s="1"/>
  <c r="E16" i="60"/>
  <c r="AG15" i="55"/>
  <c r="E68" i="47"/>
  <c r="E71" i="47"/>
  <c r="O17" i="55"/>
  <c r="Q17" i="55" s="1"/>
  <c r="AJ17" i="55"/>
  <c r="AL17" i="55" s="1"/>
  <c r="G19" i="55"/>
  <c r="C20" i="55" s="1"/>
  <c r="O155" i="47"/>
  <c r="W396" i="80"/>
  <c r="F32" i="55"/>
  <c r="T57" i="72"/>
  <c r="P156" i="47" s="1"/>
  <c r="N20" i="60"/>
  <c r="AK20" i="55" s="1"/>
  <c r="N163" i="47"/>
  <c r="N164" i="47" s="1"/>
  <c r="N165" i="47" s="1"/>
  <c r="J44" i="47"/>
  <c r="K126" i="47"/>
  <c r="K127" i="47" s="1"/>
  <c r="K128" i="47" s="1"/>
  <c r="J170" i="47"/>
  <c r="V33" i="72"/>
  <c r="U43" i="72"/>
  <c r="Q118" i="47" s="1"/>
  <c r="U46" i="72"/>
  <c r="U56" i="72" s="1"/>
  <c r="I18" i="55"/>
  <c r="I71" i="47"/>
  <c r="I16" i="60"/>
  <c r="I68" i="47"/>
  <c r="L22" i="74"/>
  <c r="L7" i="74"/>
  <c r="L12" i="74" s="1"/>
  <c r="K16" i="47" s="1"/>
  <c r="K12" i="74"/>
  <c r="H7" i="60"/>
  <c r="H15" i="60" s="1"/>
  <c r="AG14" i="55" s="1"/>
  <c r="AH14" i="55" s="1"/>
  <c r="M18" i="55"/>
  <c r="H81" i="47"/>
  <c r="H19" i="47"/>
  <c r="O5" i="67" l="1"/>
  <c r="O7" i="67" s="1"/>
  <c r="O9" i="67" s="1"/>
  <c r="O18" i="47" s="1"/>
  <c r="O9" i="60" s="1"/>
  <c r="P25" i="60"/>
  <c r="P27" i="60" s="1"/>
  <c r="P29" i="60" s="1"/>
  <c r="P13" i="60" s="1"/>
  <c r="O111" i="47"/>
  <c r="O113" i="47" s="1"/>
  <c r="D21" i="55" s="1"/>
  <c r="L24" i="55"/>
  <c r="N9" i="60"/>
  <c r="N119" i="47"/>
  <c r="N121" i="47" s="1"/>
  <c r="N122" i="47" s="1"/>
  <c r="AH15" i="55"/>
  <c r="R15" i="55"/>
  <c r="S15" i="55" s="1"/>
  <c r="S16" i="55" s="1"/>
  <c r="F86" i="47"/>
  <c r="AF16" i="55"/>
  <c r="F68" i="47"/>
  <c r="F71" i="47"/>
  <c r="F49" i="60"/>
  <c r="F16" i="60"/>
  <c r="I19" i="55"/>
  <c r="O19" i="55" s="1"/>
  <c r="U57" i="72"/>
  <c r="Q156" i="47" s="1"/>
  <c r="O163" i="47"/>
  <c r="O164" i="47" s="1"/>
  <c r="O165" i="47" s="1"/>
  <c r="O20" i="60"/>
  <c r="AK21" i="55" s="1"/>
  <c r="F33" i="55"/>
  <c r="X396" i="80"/>
  <c r="R17" i="55"/>
  <c r="AF17" i="55"/>
  <c r="V43" i="72"/>
  <c r="R118" i="47" s="1"/>
  <c r="W33" i="72"/>
  <c r="V46" i="72"/>
  <c r="V56" i="72" s="1"/>
  <c r="N22" i="60"/>
  <c r="N12" i="60" s="1"/>
  <c r="AJ18" i="55"/>
  <c r="AL18" i="55" s="1"/>
  <c r="K18" i="55"/>
  <c r="O18" i="55"/>
  <c r="K44" i="47"/>
  <c r="K170" i="47"/>
  <c r="L126" i="47"/>
  <c r="L127" i="47" s="1"/>
  <c r="L128" i="47" s="1"/>
  <c r="P155" i="47"/>
  <c r="G20" i="55"/>
  <c r="C21" i="55" s="1"/>
  <c r="K19" i="47"/>
  <c r="K81" i="47"/>
  <c r="K86" i="47" s="1"/>
  <c r="M21" i="55"/>
  <c r="K7" i="60"/>
  <c r="K15" i="60" s="1"/>
  <c r="AG17" i="55" s="1"/>
  <c r="M22" i="74"/>
  <c r="M7" i="74"/>
  <c r="M12" i="74" s="1"/>
  <c r="L16" i="47" s="1"/>
  <c r="J16" i="47"/>
  <c r="H86" i="47"/>
  <c r="H71" i="47"/>
  <c r="H68" i="47"/>
  <c r="H16" i="60"/>
  <c r="P5" i="67" l="1"/>
  <c r="P7" i="67" s="1"/>
  <c r="P9" i="67" s="1"/>
  <c r="P18" i="47" s="1"/>
  <c r="O83" i="47"/>
  <c r="L25" i="55"/>
  <c r="O119" i="47"/>
  <c r="O121" i="47" s="1"/>
  <c r="O122" i="47" s="1"/>
  <c r="P111" i="47"/>
  <c r="P113" i="47" s="1"/>
  <c r="D22" i="55" s="1"/>
  <c r="Q25" i="60"/>
  <c r="Q27" i="60" s="1"/>
  <c r="Q29" i="60" s="1"/>
  <c r="Q13" i="60" s="1"/>
  <c r="Q155" i="47"/>
  <c r="Q20" i="60" s="1"/>
  <c r="AK23" i="55" s="1"/>
  <c r="S17" i="55"/>
  <c r="F51" i="60"/>
  <c r="G63" i="75" s="1"/>
  <c r="G49" i="60"/>
  <c r="D63" i="75"/>
  <c r="D64" i="75" s="1"/>
  <c r="D66" i="75" s="1"/>
  <c r="AH17" i="55"/>
  <c r="AJ19" i="55"/>
  <c r="AL19" i="55" s="1"/>
  <c r="K19" i="55"/>
  <c r="Q19" i="55" s="1"/>
  <c r="Q18" i="55"/>
  <c r="AF18" i="55" s="1"/>
  <c r="I20" i="55"/>
  <c r="K20" i="55" s="1"/>
  <c r="V57" i="72"/>
  <c r="R155" i="47" s="1"/>
  <c r="X33" i="72"/>
  <c r="W46" i="72"/>
  <c r="W56" i="72" s="1"/>
  <c r="W43" i="72"/>
  <c r="S118" i="47" s="1"/>
  <c r="P9" i="60"/>
  <c r="L26" i="55"/>
  <c r="P83" i="47"/>
  <c r="Y396" i="80"/>
  <c r="F34" i="55"/>
  <c r="O22" i="60"/>
  <c r="O12" i="60" s="1"/>
  <c r="M126" i="47"/>
  <c r="M127" i="47" s="1"/>
  <c r="M128" i="47" s="1"/>
  <c r="L44" i="47"/>
  <c r="L170" i="47"/>
  <c r="G21" i="55"/>
  <c r="C22" i="55" s="1"/>
  <c r="P20" i="60"/>
  <c r="AK22" i="55" s="1"/>
  <c r="P163" i="47"/>
  <c r="P164" i="47" s="1"/>
  <c r="P165" i="47" s="1"/>
  <c r="L81" i="47"/>
  <c r="L86" i="47" s="1"/>
  <c r="M22" i="55"/>
  <c r="L7" i="60"/>
  <c r="L15" i="60" s="1"/>
  <c r="AG18" i="55" s="1"/>
  <c r="L19" i="47"/>
  <c r="K16" i="60"/>
  <c r="K71" i="47"/>
  <c r="C30" i="68" s="1"/>
  <c r="K68" i="47"/>
  <c r="C28" i="68" s="1"/>
  <c r="N22" i="74"/>
  <c r="N7" i="74"/>
  <c r="N12" i="74" s="1"/>
  <c r="J81" i="47"/>
  <c r="M20" i="55"/>
  <c r="J7" i="60"/>
  <c r="J15" i="60" s="1"/>
  <c r="AG16" i="55" s="1"/>
  <c r="AH16" i="55" s="1"/>
  <c r="J19" i="47"/>
  <c r="F7" i="47" l="1"/>
  <c r="D67" i="75"/>
  <c r="D42" i="75" s="1"/>
  <c r="D53" i="75" s="1"/>
  <c r="E67" i="75"/>
  <c r="E42" i="75" s="1"/>
  <c r="E53" i="75" s="1"/>
  <c r="F67" i="75"/>
  <c r="F42" i="75" s="1"/>
  <c r="F53" i="75" s="1"/>
  <c r="Q5" i="67"/>
  <c r="Q7" i="67" s="1"/>
  <c r="Q9" i="67" s="1"/>
  <c r="Q18" i="47" s="1"/>
  <c r="Q111" i="47"/>
  <c r="Q113" i="47" s="1"/>
  <c r="D23" i="55" s="1"/>
  <c r="P119" i="47"/>
  <c r="P121" i="47" s="1"/>
  <c r="P122" i="47" s="1"/>
  <c r="Q163" i="47"/>
  <c r="Q164" i="47" s="1"/>
  <c r="Q165" i="47" s="1"/>
  <c r="M16" i="47"/>
  <c r="M81" i="47" s="1"/>
  <c r="M86" i="47" s="1"/>
  <c r="H49" i="60"/>
  <c r="G51" i="60"/>
  <c r="AH18" i="55"/>
  <c r="BC63" i="75"/>
  <c r="BC66" i="75" s="1"/>
  <c r="O20" i="55"/>
  <c r="Q20" i="55" s="1"/>
  <c r="R156" i="47"/>
  <c r="AJ20" i="55"/>
  <c r="AL20" i="55" s="1"/>
  <c r="R18" i="55"/>
  <c r="S18" i="55" s="1"/>
  <c r="W57" i="72"/>
  <c r="S156" i="47" s="1"/>
  <c r="R111" i="47"/>
  <c r="R113" i="47" s="1"/>
  <c r="D24" i="55" s="1"/>
  <c r="R5" i="67"/>
  <c r="R7" i="67" s="1"/>
  <c r="R9" i="67" s="1"/>
  <c r="R18" i="47" s="1"/>
  <c r="X43" i="72"/>
  <c r="T118" i="47" s="1"/>
  <c r="Y33" i="72"/>
  <c r="X46" i="72"/>
  <c r="X56" i="72" s="1"/>
  <c r="P22" i="60"/>
  <c r="P12" i="60" s="1"/>
  <c r="G22" i="55"/>
  <c r="C23" i="55" s="1"/>
  <c r="Q22" i="60"/>
  <c r="Q12" i="60" s="1"/>
  <c r="AF19" i="55"/>
  <c r="R19" i="55"/>
  <c r="I21" i="55"/>
  <c r="M44" i="47"/>
  <c r="M170" i="47"/>
  <c r="N126" i="47"/>
  <c r="N127" i="47" s="1"/>
  <c r="N128" i="47" s="1"/>
  <c r="L27" i="55"/>
  <c r="Q9" i="60"/>
  <c r="Q83" i="47"/>
  <c r="R163" i="47"/>
  <c r="R164" i="47" s="1"/>
  <c r="R165" i="47" s="1"/>
  <c r="R20" i="60"/>
  <c r="AK24" i="55" s="1"/>
  <c r="Z396" i="80"/>
  <c r="F35" i="55"/>
  <c r="L68" i="47"/>
  <c r="L71" i="47"/>
  <c r="L16" i="60"/>
  <c r="O22" i="74"/>
  <c r="O7" i="74"/>
  <c r="O12" i="74" s="1"/>
  <c r="N16" i="47" s="1"/>
  <c r="J68" i="47"/>
  <c r="J16" i="60"/>
  <c r="J71" i="47"/>
  <c r="J86" i="47"/>
  <c r="Q119" i="47" l="1"/>
  <c r="Q121" i="47" s="1"/>
  <c r="Q122" i="47"/>
  <c r="M23" i="55"/>
  <c r="G7" i="47"/>
  <c r="R25" i="60"/>
  <c r="R27" i="60" s="1"/>
  <c r="R29" i="60" s="1"/>
  <c r="R13" i="60" s="1"/>
  <c r="S25" i="60"/>
  <c r="S27" i="60" s="1"/>
  <c r="S29" i="60" s="1"/>
  <c r="S13" i="60" s="1"/>
  <c r="M19" i="47"/>
  <c r="M7" i="60"/>
  <c r="M15" i="60" s="1"/>
  <c r="AG19" i="55" s="1"/>
  <c r="AH19" i="55" s="1"/>
  <c r="I49" i="60"/>
  <c r="H51" i="60"/>
  <c r="H7" i="47" s="1"/>
  <c r="BC67" i="75"/>
  <c r="BC42" i="75" s="1"/>
  <c r="BC53" i="75" s="1"/>
  <c r="BC54" i="75" s="1"/>
  <c r="BD67" i="75"/>
  <c r="BD42" i="75" s="1"/>
  <c r="BD53" i="75" s="1"/>
  <c r="BD54" i="75" s="1"/>
  <c r="BE67" i="75"/>
  <c r="BE42" i="75" s="1"/>
  <c r="BE53" i="75" s="1"/>
  <c r="BE54" i="75" s="1"/>
  <c r="D54" i="75"/>
  <c r="E54" i="75"/>
  <c r="F54" i="75"/>
  <c r="R20" i="55"/>
  <c r="AF20" i="55"/>
  <c r="S19" i="55"/>
  <c r="S155" i="47"/>
  <c r="S163" i="47" s="1"/>
  <c r="S164" i="47" s="1"/>
  <c r="S165" i="47" s="1"/>
  <c r="X57" i="72"/>
  <c r="T156" i="47" s="1"/>
  <c r="I22" i="55"/>
  <c r="AJ22" i="55" s="1"/>
  <c r="AL22" i="55" s="1"/>
  <c r="N170" i="47"/>
  <c r="O126" i="47"/>
  <c r="O127" i="47" s="1"/>
  <c r="O128" i="47" s="1"/>
  <c r="N44" i="47"/>
  <c r="L28" i="55"/>
  <c r="R83" i="47"/>
  <c r="R9" i="60"/>
  <c r="G23" i="55"/>
  <c r="C24" i="55" s="1"/>
  <c r="AA396" i="80"/>
  <c r="F36" i="55"/>
  <c r="Y46" i="72"/>
  <c r="Y56" i="72" s="1"/>
  <c r="Z33" i="72"/>
  <c r="Y43" i="72"/>
  <c r="U118" i="47" s="1"/>
  <c r="R22" i="60"/>
  <c r="R12" i="60" s="1"/>
  <c r="K21" i="55"/>
  <c r="O21" i="55"/>
  <c r="AJ21" i="55"/>
  <c r="AL21" i="55" s="1"/>
  <c r="S111" i="47"/>
  <c r="S113" i="47" s="1"/>
  <c r="D25" i="55" s="1"/>
  <c r="R119" i="47"/>
  <c r="R121" i="47" s="1"/>
  <c r="R122" i="47" s="1"/>
  <c r="S5" i="67"/>
  <c r="S7" i="67" s="1"/>
  <c r="S9" i="67" s="1"/>
  <c r="S18" i="47" s="1"/>
  <c r="M24" i="55"/>
  <c r="N7" i="60"/>
  <c r="N15" i="60" s="1"/>
  <c r="AG20" i="55" s="1"/>
  <c r="N81" i="47"/>
  <c r="N19" i="47"/>
  <c r="P22" i="74"/>
  <c r="P7" i="74"/>
  <c r="P12" i="74" s="1"/>
  <c r="O16" i="47" s="1"/>
  <c r="E57" i="75" l="1"/>
  <c r="E58" i="75"/>
  <c r="D57" i="75"/>
  <c r="D58" i="75"/>
  <c r="F57" i="75"/>
  <c r="F58" i="75"/>
  <c r="M68" i="47"/>
  <c r="T25" i="60"/>
  <c r="T27" i="60" s="1"/>
  <c r="T29" i="60" s="1"/>
  <c r="T13" i="60" s="1"/>
  <c r="M16" i="60"/>
  <c r="M71" i="47"/>
  <c r="S20" i="55"/>
  <c r="AH20" i="55"/>
  <c r="J49" i="60"/>
  <c r="I51" i="60"/>
  <c r="I7" i="47" s="1"/>
  <c r="B42" i="68"/>
  <c r="B43" i="68" s="1"/>
  <c r="BC57" i="75"/>
  <c r="BC58" i="75"/>
  <c r="D42" i="68"/>
  <c r="D43" i="68" s="1"/>
  <c r="BE57" i="75"/>
  <c r="BE58" i="75"/>
  <c r="G64" i="75"/>
  <c r="G66" i="75" s="1"/>
  <c r="C42" i="68"/>
  <c r="C43" i="68" s="1"/>
  <c r="BD57" i="75"/>
  <c r="BD58" i="75"/>
  <c r="S20" i="60"/>
  <c r="AK25" i="55" s="1"/>
  <c r="T155" i="47"/>
  <c r="T163" i="47" s="1"/>
  <c r="T164" i="47" s="1"/>
  <c r="T165" i="47" s="1"/>
  <c r="K22" i="55"/>
  <c r="Y57" i="72"/>
  <c r="U156" i="47" s="1"/>
  <c r="O22" i="55"/>
  <c r="Q21" i="55"/>
  <c r="AF21" i="55" s="1"/>
  <c r="I23" i="55"/>
  <c r="K23" i="55" s="1"/>
  <c r="T111" i="47"/>
  <c r="T113" i="47" s="1"/>
  <c r="D26" i="55" s="1"/>
  <c r="S119" i="47"/>
  <c r="S121" i="47" s="1"/>
  <c r="S122" i="47" s="1"/>
  <c r="T5" i="67"/>
  <c r="T7" i="67" s="1"/>
  <c r="T9" i="67" s="1"/>
  <c r="T18" i="47" s="1"/>
  <c r="G24" i="55"/>
  <c r="C25" i="55" s="1"/>
  <c r="S83" i="47"/>
  <c r="S9" i="60"/>
  <c r="L29" i="55"/>
  <c r="AB396" i="80"/>
  <c r="F37" i="55"/>
  <c r="O170" i="47"/>
  <c r="P126" i="47"/>
  <c r="P127" i="47" s="1"/>
  <c r="P128" i="47" s="1"/>
  <c r="O44" i="47"/>
  <c r="AA33" i="72"/>
  <c r="Z43" i="72"/>
  <c r="V118" i="47" s="1"/>
  <c r="Z46" i="72"/>
  <c r="Z56" i="72" s="1"/>
  <c r="Q22" i="74"/>
  <c r="Q7" i="74"/>
  <c r="Q12" i="74" s="1"/>
  <c r="P16" i="47" s="1"/>
  <c r="M25" i="55"/>
  <c r="O7" i="60"/>
  <c r="O15" i="60" s="1"/>
  <c r="AG21" i="55" s="1"/>
  <c r="O81" i="47"/>
  <c r="O86" i="47" s="1"/>
  <c r="O19" i="47"/>
  <c r="N86" i="47"/>
  <c r="N71" i="47"/>
  <c r="N16" i="60"/>
  <c r="N68" i="47"/>
  <c r="G67" i="75" l="1"/>
  <c r="G42" i="75" s="1"/>
  <c r="G53" i="75" s="1"/>
  <c r="H63" i="75"/>
  <c r="U25" i="60"/>
  <c r="U27" i="60" s="1"/>
  <c r="U29" i="60" s="1"/>
  <c r="U13" i="60" s="1"/>
  <c r="O23" i="55"/>
  <c r="Q23" i="55" s="1"/>
  <c r="AF23" i="55" s="1"/>
  <c r="J51" i="60"/>
  <c r="J7" i="47" s="1"/>
  <c r="K49" i="60"/>
  <c r="T20" i="60"/>
  <c r="AK26" i="55" s="1"/>
  <c r="S22" i="60"/>
  <c r="S12" i="60" s="1"/>
  <c r="R21" i="55"/>
  <c r="S21" i="55" s="1"/>
  <c r="BF63" i="75"/>
  <c r="BF66" i="75" s="1"/>
  <c r="AH21" i="55"/>
  <c r="U155" i="47"/>
  <c r="U20" i="60" s="1"/>
  <c r="AK27" i="55" s="1"/>
  <c r="Q22" i="55"/>
  <c r="AF22" i="55" s="1"/>
  <c r="AJ23" i="55"/>
  <c r="AL23" i="55" s="1"/>
  <c r="AA46" i="72"/>
  <c r="AA56" i="72" s="1"/>
  <c r="AB33" i="72"/>
  <c r="AA43" i="72"/>
  <c r="W118" i="47" s="1"/>
  <c r="F38" i="55"/>
  <c r="AC396" i="80"/>
  <c r="G25" i="55"/>
  <c r="C26" i="55" s="1"/>
  <c r="T83" i="47"/>
  <c r="L30" i="55"/>
  <c r="T9" i="60"/>
  <c r="P44" i="47"/>
  <c r="Q126" i="47"/>
  <c r="Q127" i="47" s="1"/>
  <c r="Q128" i="47" s="1"/>
  <c r="P170" i="47"/>
  <c r="Z57" i="72"/>
  <c r="I24" i="55"/>
  <c r="U111" i="47"/>
  <c r="U113" i="47" s="1"/>
  <c r="D27" i="55" s="1"/>
  <c r="T119" i="47"/>
  <c r="T121" i="47" s="1"/>
  <c r="T122" i="47" s="1"/>
  <c r="U5" i="67"/>
  <c r="U7" i="67" s="1"/>
  <c r="U9" i="67" s="1"/>
  <c r="U18" i="47" s="1"/>
  <c r="P7" i="60"/>
  <c r="P15" i="60" s="1"/>
  <c r="AG22" i="55" s="1"/>
  <c r="P19" i="47"/>
  <c r="M26" i="55"/>
  <c r="P81" i="47"/>
  <c r="R22" i="74"/>
  <c r="R7" i="74"/>
  <c r="R12" i="74" s="1"/>
  <c r="Q16" i="47" s="1"/>
  <c r="O71" i="47"/>
  <c r="O16" i="60"/>
  <c r="O68" i="47"/>
  <c r="I63" i="75" l="1"/>
  <c r="I64" i="75" s="1"/>
  <c r="I66" i="75" s="1"/>
  <c r="H64" i="75"/>
  <c r="H66" i="75" s="1"/>
  <c r="BG63" i="75"/>
  <c r="BG66" i="75" s="1"/>
  <c r="T22" i="60"/>
  <c r="T12" i="60" s="1"/>
  <c r="K51" i="60"/>
  <c r="K7" i="47" s="1"/>
  <c r="L49" i="60"/>
  <c r="U163" i="47"/>
  <c r="U164" i="47" s="1"/>
  <c r="U165" i="47" s="1"/>
  <c r="AH22" i="55"/>
  <c r="G54" i="75"/>
  <c r="BF67" i="75"/>
  <c r="BF42" i="75" s="1"/>
  <c r="BF53" i="75" s="1"/>
  <c r="BF54" i="75" s="1"/>
  <c r="R23" i="55"/>
  <c r="R22" i="55"/>
  <c r="S22" i="55" s="1"/>
  <c r="I25" i="55"/>
  <c r="K25" i="55" s="1"/>
  <c r="AA57" i="72"/>
  <c r="W155" i="47" s="1"/>
  <c r="Q170" i="47"/>
  <c r="R126" i="47"/>
  <c r="R127" i="47" s="1"/>
  <c r="R128" i="47" s="1"/>
  <c r="Q44" i="47"/>
  <c r="V111" i="47"/>
  <c r="V113" i="47" s="1"/>
  <c r="D28" i="55" s="1"/>
  <c r="V5" i="67"/>
  <c r="V7" i="67" s="1"/>
  <c r="V9" i="67" s="1"/>
  <c r="V18" i="47" s="1"/>
  <c r="U119" i="47"/>
  <c r="U121" i="47" s="1"/>
  <c r="U122" i="47" s="1"/>
  <c r="U9" i="60"/>
  <c r="U83" i="47"/>
  <c r="L31" i="55"/>
  <c r="O24" i="55"/>
  <c r="AJ24" i="55"/>
  <c r="AL24" i="55" s="1"/>
  <c r="K24" i="55"/>
  <c r="U22" i="60"/>
  <c r="U12" i="60" s="1"/>
  <c r="F39" i="55"/>
  <c r="AD396" i="80"/>
  <c r="V155" i="47"/>
  <c r="V156" i="47"/>
  <c r="G26" i="55"/>
  <c r="C27" i="55" s="1"/>
  <c r="AB46" i="72"/>
  <c r="AB56" i="72" s="1"/>
  <c r="AC33" i="72"/>
  <c r="AB43" i="72"/>
  <c r="X118" i="47" s="1"/>
  <c r="P86" i="47"/>
  <c r="P68" i="47"/>
  <c r="D28" i="68" s="1"/>
  <c r="P16" i="60"/>
  <c r="P71" i="47"/>
  <c r="D30" i="68" s="1"/>
  <c r="S22" i="74"/>
  <c r="S7" i="74"/>
  <c r="S12" i="74" s="1"/>
  <c r="R16" i="47" s="1"/>
  <c r="Q19" i="47"/>
  <c r="Q7" i="60"/>
  <c r="Q15" i="60" s="1"/>
  <c r="AG23" i="55" s="1"/>
  <c r="AH23" i="55" s="1"/>
  <c r="M27" i="55"/>
  <c r="Q81" i="47"/>
  <c r="Q86" i="47" s="1"/>
  <c r="G57" i="75" l="1"/>
  <c r="G58" i="75"/>
  <c r="H67" i="75"/>
  <c r="H42" i="75" s="1"/>
  <c r="K67" i="75"/>
  <c r="K42" i="75" s="1"/>
  <c r="J67" i="75"/>
  <c r="J42" i="75" s="1"/>
  <c r="I67" i="75"/>
  <c r="I42" i="75" s="1"/>
  <c r="BH63" i="75"/>
  <c r="BH66" i="75" s="1"/>
  <c r="BI67" i="75"/>
  <c r="BI42" i="75" s="1"/>
  <c r="BI53" i="75" s="1"/>
  <c r="BI54" i="75" s="1"/>
  <c r="BI57" i="75" s="1"/>
  <c r="BJ67" i="75"/>
  <c r="BJ42" i="75" s="1"/>
  <c r="BJ53" i="75" s="1"/>
  <c r="BJ54" i="75" s="1"/>
  <c r="BJ58" i="75" s="1"/>
  <c r="BG67" i="75"/>
  <c r="BG42" i="75" s="1"/>
  <c r="BG53" i="75" s="1"/>
  <c r="BG54" i="75" s="1"/>
  <c r="BG58" i="75" s="1"/>
  <c r="BH67" i="75"/>
  <c r="BH42" i="75" s="1"/>
  <c r="BH53" i="75" s="1"/>
  <c r="BH54" i="75" s="1"/>
  <c r="BH58" i="75" s="1"/>
  <c r="V25" i="60"/>
  <c r="V27" i="60" s="1"/>
  <c r="V29" i="60" s="1"/>
  <c r="V13" i="60" s="1"/>
  <c r="L63" i="75"/>
  <c r="L51" i="60"/>
  <c r="M49" i="60"/>
  <c r="BF57" i="75"/>
  <c r="BF58" i="75"/>
  <c r="E42" i="68"/>
  <c r="S23" i="55"/>
  <c r="O25" i="55"/>
  <c r="Q25" i="55" s="1"/>
  <c r="W156" i="47"/>
  <c r="I26" i="55"/>
  <c r="O26" i="55" s="1"/>
  <c r="AJ25" i="55"/>
  <c r="AL25" i="55" s="1"/>
  <c r="AB57" i="72"/>
  <c r="X155" i="47" s="1"/>
  <c r="Q24" i="55"/>
  <c r="AF24" i="55" s="1"/>
  <c r="AD33" i="72"/>
  <c r="AC46" i="72"/>
  <c r="AC56" i="72" s="1"/>
  <c r="AC43" i="72"/>
  <c r="Y118" i="47" s="1"/>
  <c r="F40" i="55"/>
  <c r="AE396" i="80"/>
  <c r="V20" i="60"/>
  <c r="AK28" i="55" s="1"/>
  <c r="V163" i="47"/>
  <c r="V164" i="47" s="1"/>
  <c r="V165" i="47" s="1"/>
  <c r="W111" i="47"/>
  <c r="W113" i="47" s="1"/>
  <c r="D29" i="55" s="1"/>
  <c r="W5" i="67"/>
  <c r="W7" i="67" s="1"/>
  <c r="W9" i="67" s="1"/>
  <c r="W18" i="47" s="1"/>
  <c r="V119" i="47"/>
  <c r="V121" i="47" s="1"/>
  <c r="R170" i="47"/>
  <c r="S126" i="47"/>
  <c r="S127" i="47" s="1"/>
  <c r="S128" i="47" s="1"/>
  <c r="R44" i="47"/>
  <c r="G27" i="55"/>
  <c r="C28" i="55" s="1"/>
  <c r="W163" i="47"/>
  <c r="W164" i="47" s="1"/>
  <c r="W165" i="47" s="1"/>
  <c r="W20" i="60"/>
  <c r="AK29" i="55" s="1"/>
  <c r="L32" i="55"/>
  <c r="V83" i="47"/>
  <c r="V9" i="60"/>
  <c r="Q71" i="47"/>
  <c r="Q16" i="60"/>
  <c r="Q68" i="47"/>
  <c r="R81" i="47"/>
  <c r="R86" i="47" s="1"/>
  <c r="R7" i="60"/>
  <c r="R15" i="60" s="1"/>
  <c r="AG24" i="55" s="1"/>
  <c r="R19" i="47"/>
  <c r="M28" i="55"/>
  <c r="T22" i="74"/>
  <c r="T7" i="74"/>
  <c r="T12" i="74" s="1"/>
  <c r="S16" i="47" s="1"/>
  <c r="I53" i="75" l="1"/>
  <c r="I54" i="75" s="1"/>
  <c r="J53" i="75"/>
  <c r="J54" i="75" s="1"/>
  <c r="K53" i="75"/>
  <c r="K54" i="75" s="1"/>
  <c r="H53" i="75"/>
  <c r="H54" i="75" s="1"/>
  <c r="BK63" i="75"/>
  <c r="BK66" i="75" s="1"/>
  <c r="L64" i="75"/>
  <c r="L66" i="75" s="1"/>
  <c r="BI58" i="75"/>
  <c r="BG57" i="75"/>
  <c r="BJ57" i="75"/>
  <c r="BH57" i="75"/>
  <c r="L7" i="47"/>
  <c r="M63" i="75"/>
  <c r="M64" i="75" s="1"/>
  <c r="M66" i="75" s="1"/>
  <c r="W25" i="60"/>
  <c r="W27" i="60" s="1"/>
  <c r="W29" i="60" s="1"/>
  <c r="W13" i="60" s="1"/>
  <c r="N49" i="60"/>
  <c r="M51" i="60"/>
  <c r="E43" i="68"/>
  <c r="AH24" i="55"/>
  <c r="BK67" i="75"/>
  <c r="BK42" i="75" s="1"/>
  <c r="BK53" i="75" s="1"/>
  <c r="BK54" i="75" s="1"/>
  <c r="K26" i="55"/>
  <c r="Q26" i="55" s="1"/>
  <c r="R26" i="55" s="1"/>
  <c r="R24" i="55"/>
  <c r="S24" i="55" s="1"/>
  <c r="AJ26" i="55"/>
  <c r="AL26" i="55" s="1"/>
  <c r="X156" i="47"/>
  <c r="I27" i="55"/>
  <c r="O27" i="55" s="1"/>
  <c r="AF25" i="55"/>
  <c r="R25" i="55"/>
  <c r="F41" i="55"/>
  <c r="AF396" i="80"/>
  <c r="X20" i="60"/>
  <c r="AK30" i="55" s="1"/>
  <c r="X163" i="47"/>
  <c r="X164" i="47" s="1"/>
  <c r="X165" i="47" s="1"/>
  <c r="V122" i="47"/>
  <c r="AC57" i="72"/>
  <c r="S44" i="47"/>
  <c r="T126" i="47"/>
  <c r="T127" i="47" s="1"/>
  <c r="T128" i="47" s="1"/>
  <c r="S170" i="47"/>
  <c r="W9" i="60"/>
  <c r="W83" i="47"/>
  <c r="L33" i="55"/>
  <c r="V22" i="60"/>
  <c r="V12" i="60" s="1"/>
  <c r="AD46" i="72"/>
  <c r="AD56" i="72" s="1"/>
  <c r="AD43" i="72"/>
  <c r="Z118" i="47" s="1"/>
  <c r="AE33" i="72"/>
  <c r="W22" i="60"/>
  <c r="W12" i="60" s="1"/>
  <c r="G28" i="55"/>
  <c r="C29" i="55" s="1"/>
  <c r="X111" i="47"/>
  <c r="X113" i="47" s="1"/>
  <c r="D30" i="55" s="1"/>
  <c r="X5" i="67"/>
  <c r="X7" i="67" s="1"/>
  <c r="X9" i="67" s="1"/>
  <c r="X18" i="47" s="1"/>
  <c r="W119" i="47"/>
  <c r="W121" i="47" s="1"/>
  <c r="W122" i="47" s="1"/>
  <c r="U22" i="74"/>
  <c r="U7" i="74"/>
  <c r="U12" i="74" s="1"/>
  <c r="T16" i="47" s="1"/>
  <c r="R16" i="60"/>
  <c r="R68" i="47"/>
  <c r="R71" i="47"/>
  <c r="S7" i="60"/>
  <c r="S15" i="60" s="1"/>
  <c r="AG25" i="55" s="1"/>
  <c r="S81" i="47"/>
  <c r="S86" i="47" s="1"/>
  <c r="S19" i="47"/>
  <c r="M29" i="55"/>
  <c r="H57" i="75" l="1"/>
  <c r="H58" i="75"/>
  <c r="K58" i="75"/>
  <c r="K57" i="75"/>
  <c r="J57" i="75"/>
  <c r="J58" i="75"/>
  <c r="I58" i="75"/>
  <c r="I57" i="75"/>
  <c r="F42" i="68"/>
  <c r="C49" i="68"/>
  <c r="C50" i="68" s="1"/>
  <c r="D49" i="68"/>
  <c r="D50" i="68" s="1"/>
  <c r="B49" i="68"/>
  <c r="B50" i="68" s="1"/>
  <c r="M67" i="75"/>
  <c r="M42" i="75" s="1"/>
  <c r="L67" i="75"/>
  <c r="L42" i="75" s="1"/>
  <c r="M7" i="47"/>
  <c r="N63" i="75"/>
  <c r="N64" i="75" s="1"/>
  <c r="N66" i="75" s="1"/>
  <c r="P67" i="75" s="1"/>
  <c r="P42" i="75" s="1"/>
  <c r="P53" i="75" s="1"/>
  <c r="BL63" i="75"/>
  <c r="BL66" i="75" s="1"/>
  <c r="BL67" i="75" s="1"/>
  <c r="BL42" i="75" s="1"/>
  <c r="BL53" i="75" s="1"/>
  <c r="BL54" i="75" s="1"/>
  <c r="BL58" i="75" s="1"/>
  <c r="X25" i="60"/>
  <c r="X27" i="60" s="1"/>
  <c r="X29" i="60" s="1"/>
  <c r="X13" i="60" s="1"/>
  <c r="N51" i="60"/>
  <c r="N7" i="47" s="1"/>
  <c r="O49" i="60"/>
  <c r="AH25" i="55"/>
  <c r="BK57" i="75"/>
  <c r="BK58" i="75"/>
  <c r="S25" i="55"/>
  <c r="S26" i="55" s="1"/>
  <c r="AF26" i="55"/>
  <c r="K27" i="55"/>
  <c r="Q27" i="55" s="1"/>
  <c r="AJ27" i="55"/>
  <c r="AL27" i="55" s="1"/>
  <c r="I28" i="55"/>
  <c r="AJ28" i="55" s="1"/>
  <c r="AL28" i="55" s="1"/>
  <c r="F42" i="55"/>
  <c r="Y111" i="47"/>
  <c r="Y113" i="47" s="1"/>
  <c r="D31" i="55" s="1"/>
  <c r="Y5" i="67"/>
  <c r="Y7" i="67" s="1"/>
  <c r="Y9" i="67" s="1"/>
  <c r="Y18" i="47" s="1"/>
  <c r="X119" i="47"/>
  <c r="X121" i="47" s="1"/>
  <c r="X122" i="47" s="1"/>
  <c r="AE43" i="72"/>
  <c r="AA118" i="47" s="1"/>
  <c r="AE46" i="72"/>
  <c r="AE56" i="72" s="1"/>
  <c r="AF33" i="72"/>
  <c r="T170" i="47"/>
  <c r="U126" i="47"/>
  <c r="U127" i="47" s="1"/>
  <c r="U128" i="47" s="1"/>
  <c r="T44" i="47"/>
  <c r="G29" i="55"/>
  <c r="C30" i="55" s="1"/>
  <c r="AD57" i="72"/>
  <c r="Z155" i="47" s="1"/>
  <c r="Y155" i="47"/>
  <c r="Y156" i="47"/>
  <c r="X22" i="60"/>
  <c r="X12" i="60" s="1"/>
  <c r="L34" i="55"/>
  <c r="X83" i="47"/>
  <c r="X9" i="60"/>
  <c r="T81" i="47"/>
  <c r="T86" i="47" s="1"/>
  <c r="T19" i="47"/>
  <c r="T7" i="60"/>
  <c r="T15" i="60" s="1"/>
  <c r="AG26" i="55" s="1"/>
  <c r="M30" i="55"/>
  <c r="S71" i="47"/>
  <c r="S16" i="60"/>
  <c r="S68" i="47"/>
  <c r="V22" i="74"/>
  <c r="V7" i="74"/>
  <c r="V12" i="74" s="1"/>
  <c r="U16" i="47" s="1"/>
  <c r="L53" i="75" l="1"/>
  <c r="L54" i="75" s="1"/>
  <c r="M53" i="75"/>
  <c r="M54" i="75" s="1"/>
  <c r="F43" i="68"/>
  <c r="G42" i="68"/>
  <c r="G43" i="68" s="1"/>
  <c r="O67" i="75"/>
  <c r="O42" i="75" s="1"/>
  <c r="O53" i="75" s="1"/>
  <c r="N67" i="75"/>
  <c r="N42" i="75" s="1"/>
  <c r="N53" i="75" s="1"/>
  <c r="BL57" i="75"/>
  <c r="BM63" i="75"/>
  <c r="BM66" i="75" s="1"/>
  <c r="O51" i="60"/>
  <c r="O7" i="47" s="1"/>
  <c r="P49" i="60"/>
  <c r="BM67" i="75"/>
  <c r="BM42" i="75" s="1"/>
  <c r="BM53" i="75" s="1"/>
  <c r="BM54" i="75" s="1"/>
  <c r="Y25" i="60"/>
  <c r="Y27" i="60" s="1"/>
  <c r="Y29" i="60" s="1"/>
  <c r="Y13" i="60" s="1"/>
  <c r="AH26" i="55"/>
  <c r="O28" i="55"/>
  <c r="K28" i="55"/>
  <c r="AE57" i="72"/>
  <c r="AA156" i="47" s="1"/>
  <c r="I29" i="55"/>
  <c r="K29" i="55" s="1"/>
  <c r="Z20" i="60"/>
  <c r="AK32" i="55" s="1"/>
  <c r="Z163" i="47"/>
  <c r="Z164" i="47" s="1"/>
  <c r="Z165" i="47" s="1"/>
  <c r="R27" i="55"/>
  <c r="S27" i="55" s="1"/>
  <c r="AF27" i="55"/>
  <c r="G30" i="55"/>
  <c r="C31" i="55" s="1"/>
  <c r="AG33" i="72"/>
  <c r="AF46" i="72"/>
  <c r="AF56" i="72" s="1"/>
  <c r="AF43" i="72"/>
  <c r="AB118" i="47" s="1"/>
  <c r="Y20" i="60"/>
  <c r="AK31" i="55" s="1"/>
  <c r="Y163" i="47"/>
  <c r="Y164" i="47" s="1"/>
  <c r="Y165" i="47" s="1"/>
  <c r="Y9" i="60"/>
  <c r="L35" i="55"/>
  <c r="Y83" i="47"/>
  <c r="Z156" i="47"/>
  <c r="V126" i="47"/>
  <c r="V127" i="47" s="1"/>
  <c r="V128" i="47" s="1"/>
  <c r="U170" i="47"/>
  <c r="U44" i="47"/>
  <c r="Z111" i="47"/>
  <c r="Z113" i="47" s="1"/>
  <c r="D32" i="55" s="1"/>
  <c r="Z5" i="67"/>
  <c r="Z7" i="67" s="1"/>
  <c r="Z9" i="67" s="1"/>
  <c r="Z18" i="47" s="1"/>
  <c r="Y119" i="47"/>
  <c r="Y121" i="47" s="1"/>
  <c r="T16" i="60"/>
  <c r="T71" i="47"/>
  <c r="T68" i="47"/>
  <c r="W22" i="74"/>
  <c r="W7" i="74"/>
  <c r="W12" i="74" s="1"/>
  <c r="V16" i="47" s="1"/>
  <c r="M31" i="55"/>
  <c r="U19" i="47"/>
  <c r="U81" i="47"/>
  <c r="U86" i="47" s="1"/>
  <c r="U7" i="60"/>
  <c r="U15" i="60" s="1"/>
  <c r="AG27" i="55" s="1"/>
  <c r="L57" i="75" l="1"/>
  <c r="L58" i="75"/>
  <c r="F49" i="68"/>
  <c r="F50" i="68" s="1"/>
  <c r="M57" i="75"/>
  <c r="M58" i="75"/>
  <c r="E49" i="68"/>
  <c r="G49" i="68" s="1"/>
  <c r="G50" i="68" s="1"/>
  <c r="P51" i="60"/>
  <c r="P7" i="47" s="1"/>
  <c r="Q49" i="60"/>
  <c r="P54" i="75"/>
  <c r="N54" i="75"/>
  <c r="O54" i="75"/>
  <c r="BM58" i="75"/>
  <c r="BM57" i="75"/>
  <c r="R63" i="75"/>
  <c r="AA25" i="60"/>
  <c r="AA27" i="60" s="1"/>
  <c r="AA29" i="60" s="1"/>
  <c r="AA13" i="60" s="1"/>
  <c r="Z25" i="60"/>
  <c r="Z27" i="60" s="1"/>
  <c r="Z29" i="60" s="1"/>
  <c r="Z13" i="60" s="1"/>
  <c r="AA155" i="47"/>
  <c r="AA20" i="60" s="1"/>
  <c r="AK33" i="55" s="1"/>
  <c r="AH27" i="55"/>
  <c r="Q28" i="55"/>
  <c r="R28" i="55" s="1"/>
  <c r="S28" i="55" s="1"/>
  <c r="O29" i="55"/>
  <c r="Q29" i="55" s="1"/>
  <c r="AJ29" i="55"/>
  <c r="AL29" i="55" s="1"/>
  <c r="AF57" i="72"/>
  <c r="I30" i="55"/>
  <c r="K30" i="55" s="1"/>
  <c r="W126" i="47"/>
  <c r="W127" i="47" s="1"/>
  <c r="W128" i="47" s="1"/>
  <c r="V44" i="47"/>
  <c r="V170" i="47"/>
  <c r="Y122" i="47"/>
  <c r="AG43" i="72"/>
  <c r="AC118" i="47" s="1"/>
  <c r="AG46" i="72"/>
  <c r="AG56" i="72" s="1"/>
  <c r="AH33" i="72"/>
  <c r="Z83" i="47"/>
  <c r="Z9" i="60"/>
  <c r="L36" i="55"/>
  <c r="Y22" i="60"/>
  <c r="Y12" i="60" s="1"/>
  <c r="AA111" i="47"/>
  <c r="AA113" i="47" s="1"/>
  <c r="D33" i="55" s="1"/>
  <c r="Z119" i="47"/>
  <c r="Z121" i="47" s="1"/>
  <c r="Z122" i="47" s="1"/>
  <c r="AA5" i="67"/>
  <c r="AA7" i="67" s="1"/>
  <c r="AA9" i="67" s="1"/>
  <c r="AA18" i="47" s="1"/>
  <c r="G31" i="55"/>
  <c r="C32" i="55" s="1"/>
  <c r="Z22" i="60"/>
  <c r="Z12" i="60" s="1"/>
  <c r="U16" i="60"/>
  <c r="U68" i="47"/>
  <c r="E28" i="68" s="1"/>
  <c r="U71" i="47"/>
  <c r="E30" i="68" s="1"/>
  <c r="M32" i="55"/>
  <c r="V81" i="47"/>
  <c r="V86" i="47" s="1"/>
  <c r="V19" i="47"/>
  <c r="V7" i="60"/>
  <c r="V15" i="60" s="1"/>
  <c r="AG28" i="55" s="1"/>
  <c r="X22" i="74"/>
  <c r="X7" i="74"/>
  <c r="X12" i="74" s="1"/>
  <c r="W16" i="47" s="1"/>
  <c r="E50" i="68" l="1"/>
  <c r="R64" i="75"/>
  <c r="R66" i="75" s="1"/>
  <c r="Q63" i="75"/>
  <c r="Q51" i="60"/>
  <c r="Q7" i="47" s="1"/>
  <c r="R49" i="60"/>
  <c r="O57" i="75"/>
  <c r="O58" i="75"/>
  <c r="N58" i="75"/>
  <c r="N57" i="75"/>
  <c r="P57" i="75"/>
  <c r="P58" i="75"/>
  <c r="AA163" i="47"/>
  <c r="AA164" i="47" s="1"/>
  <c r="AA165" i="47" s="1"/>
  <c r="S63" i="75"/>
  <c r="AF28" i="55"/>
  <c r="AH28" i="55" s="1"/>
  <c r="O30" i="55"/>
  <c r="Q30" i="55" s="1"/>
  <c r="AJ30" i="55"/>
  <c r="AL30" i="55" s="1"/>
  <c r="AF29" i="55"/>
  <c r="R29" i="55"/>
  <c r="S29" i="55" s="1"/>
  <c r="AG57" i="72"/>
  <c r="AC155" i="47" s="1"/>
  <c r="AC20" i="60" s="1"/>
  <c r="AB155" i="47"/>
  <c r="AB156" i="47"/>
  <c r="AA22" i="60"/>
  <c r="AA12" i="60" s="1"/>
  <c r="AH46" i="72"/>
  <c r="AH56" i="72" s="1"/>
  <c r="AH43" i="72"/>
  <c r="AD118" i="47" s="1"/>
  <c r="AI33" i="72"/>
  <c r="AB111" i="47"/>
  <c r="AB113" i="47" s="1"/>
  <c r="D34" i="55" s="1"/>
  <c r="AA119" i="47"/>
  <c r="AA121" i="47" s="1"/>
  <c r="AB5" i="67"/>
  <c r="AB7" i="67" s="1"/>
  <c r="AB9" i="67" s="1"/>
  <c r="AB18" i="47" s="1"/>
  <c r="I31" i="55"/>
  <c r="AA83" i="47"/>
  <c r="L37" i="55"/>
  <c r="AA9" i="60"/>
  <c r="G32" i="55"/>
  <c r="C33" i="55" s="1"/>
  <c r="X126" i="47"/>
  <c r="X127" i="47" s="1"/>
  <c r="X128" i="47" s="1"/>
  <c r="W44" i="47"/>
  <c r="W170" i="47"/>
  <c r="W19" i="47"/>
  <c r="W81" i="47"/>
  <c r="W86" i="47" s="1"/>
  <c r="W7" i="60"/>
  <c r="W15" i="60" s="1"/>
  <c r="AG29" i="55" s="1"/>
  <c r="M33" i="55"/>
  <c r="Y22" i="74"/>
  <c r="Y7" i="74"/>
  <c r="Y12" i="74" s="1"/>
  <c r="V16" i="60"/>
  <c r="V71" i="47"/>
  <c r="V68" i="47"/>
  <c r="Q64" i="75" l="1"/>
  <c r="Q66" i="75" s="1"/>
  <c r="Q67" i="75" s="1"/>
  <c r="Q42" i="75" s="1"/>
  <c r="S64" i="75"/>
  <c r="S66" i="75" s="1"/>
  <c r="R51" i="60"/>
  <c r="R7" i="47" s="1"/>
  <c r="S49" i="60"/>
  <c r="U49" i="60"/>
  <c r="AB25" i="60"/>
  <c r="AB27" i="60" s="1"/>
  <c r="AB29" i="60" s="1"/>
  <c r="AB13" i="60" s="1"/>
  <c r="X16" i="47"/>
  <c r="X7" i="60" s="1"/>
  <c r="X15" i="60" s="1"/>
  <c r="AG30" i="55" s="1"/>
  <c r="AC156" i="47"/>
  <c r="AK35" i="55"/>
  <c r="AH29" i="55"/>
  <c r="AC163" i="47"/>
  <c r="AC164" i="47" s="1"/>
  <c r="AC165" i="47" s="1"/>
  <c r="AF30" i="55"/>
  <c r="R30" i="55"/>
  <c r="S30" i="55" s="1"/>
  <c r="AH57" i="72"/>
  <c r="AD156" i="47" s="1"/>
  <c r="AB163" i="47"/>
  <c r="AB164" i="47" s="1"/>
  <c r="AB165" i="47" s="1"/>
  <c r="AB20" i="60"/>
  <c r="AK34" i="55" s="1"/>
  <c r="I32" i="55"/>
  <c r="AJ32" i="55" s="1"/>
  <c r="AL32" i="55" s="1"/>
  <c r="K31" i="55"/>
  <c r="O31" i="55"/>
  <c r="AJ31" i="55"/>
  <c r="AL31" i="55" s="1"/>
  <c r="AC111" i="47"/>
  <c r="AC113" i="47" s="1"/>
  <c r="D35" i="55" s="1"/>
  <c r="AB119" i="47"/>
  <c r="AB121" i="47" s="1"/>
  <c r="AB122" i="47" s="1"/>
  <c r="AC5" i="67"/>
  <c r="AC7" i="67" s="1"/>
  <c r="AC9" i="67" s="1"/>
  <c r="AC18" i="47" s="1"/>
  <c r="Y126" i="47"/>
  <c r="Y127" i="47" s="1"/>
  <c r="Y128" i="47" s="1"/>
  <c r="X44" i="47"/>
  <c r="X170" i="47"/>
  <c r="AI43" i="72"/>
  <c r="AE118" i="47" s="1"/>
  <c r="AJ33" i="72"/>
  <c r="AI46" i="72"/>
  <c r="AI56" i="72" s="1"/>
  <c r="G33" i="55"/>
  <c r="C34" i="55" s="1"/>
  <c r="L38" i="55"/>
  <c r="AB83" i="47"/>
  <c r="AB9" i="60"/>
  <c r="AC22" i="60"/>
  <c r="AC12" i="60" s="1"/>
  <c r="AA122" i="47"/>
  <c r="W71" i="47"/>
  <c r="W16" i="60"/>
  <c r="W68" i="47"/>
  <c r="Z22" i="74"/>
  <c r="Z7" i="74"/>
  <c r="Z12" i="74" s="1"/>
  <c r="Q53" i="75" l="1"/>
  <c r="Q54" i="75" s="1"/>
  <c r="S67" i="75"/>
  <c r="S42" i="75" s="1"/>
  <c r="T67" i="75"/>
  <c r="T42" i="75" s="1"/>
  <c r="U67" i="75"/>
  <c r="U42" i="75" s="1"/>
  <c r="R67" i="75"/>
  <c r="R42" i="75" s="1"/>
  <c r="S51" i="60"/>
  <c r="S7" i="47" s="1"/>
  <c r="T49" i="60"/>
  <c r="T51" i="60" s="1"/>
  <c r="T7" i="47" s="1"/>
  <c r="U51" i="60"/>
  <c r="U7" i="47" s="1"/>
  <c r="V49" i="60"/>
  <c r="AD25" i="60"/>
  <c r="AD27" i="60" s="1"/>
  <c r="AD29" i="60" s="1"/>
  <c r="AD13" i="60" s="1"/>
  <c r="AC25" i="60"/>
  <c r="AC27" i="60" s="1"/>
  <c r="AC29" i="60" s="1"/>
  <c r="AC13" i="60" s="1"/>
  <c r="X19" i="47"/>
  <c r="X81" i="47"/>
  <c r="X86" i="47" s="1"/>
  <c r="M34" i="55"/>
  <c r="Y16" i="47"/>
  <c r="Y19" i="47" s="1"/>
  <c r="AK39" i="55"/>
  <c r="AH30" i="55"/>
  <c r="AD155" i="47"/>
  <c r="O32" i="55"/>
  <c r="AB22" i="60"/>
  <c r="AB12" i="60" s="1"/>
  <c r="K32" i="55"/>
  <c r="AI57" i="72"/>
  <c r="G34" i="55"/>
  <c r="C35" i="55" s="1"/>
  <c r="AC83" i="47"/>
  <c r="L39" i="55"/>
  <c r="AC9" i="60"/>
  <c r="AJ43" i="72"/>
  <c r="AF118" i="47" s="1"/>
  <c r="AJ46" i="72"/>
  <c r="AJ56" i="72" s="1"/>
  <c r="Q31" i="55"/>
  <c r="I33" i="55"/>
  <c r="Y44" i="47"/>
  <c r="Y170" i="47"/>
  <c r="Z126" i="47"/>
  <c r="Z127" i="47" s="1"/>
  <c r="Z128" i="47" s="1"/>
  <c r="AD111" i="47"/>
  <c r="AD113" i="47" s="1"/>
  <c r="D36" i="55" s="1"/>
  <c r="AC119" i="47"/>
  <c r="AC121" i="47" s="1"/>
  <c r="AD5" i="67"/>
  <c r="AD7" i="67" s="1"/>
  <c r="AD9" i="67" s="1"/>
  <c r="AD18" i="47" s="1"/>
  <c r="AA22" i="74"/>
  <c r="AA7" i="74"/>
  <c r="AA12" i="74" s="1"/>
  <c r="Z16" i="47" s="1"/>
  <c r="X68" i="47"/>
  <c r="X16" i="60"/>
  <c r="X71" i="47"/>
  <c r="Q57" i="75" l="1"/>
  <c r="Q58" i="75"/>
  <c r="R53" i="75"/>
  <c r="R54" i="75" s="1"/>
  <c r="U53" i="75"/>
  <c r="U54" i="75" s="1"/>
  <c r="T53" i="75"/>
  <c r="T54" i="75" s="1"/>
  <c r="S53" i="75"/>
  <c r="S54" i="75" s="1"/>
  <c r="V51" i="60"/>
  <c r="V7" i="47" s="1"/>
  <c r="W49" i="60"/>
  <c r="Y7" i="60"/>
  <c r="Y15" i="60" s="1"/>
  <c r="AG31" i="55" s="1"/>
  <c r="Y81" i="47"/>
  <c r="Y86" i="47" s="1"/>
  <c r="M35" i="55"/>
  <c r="Q32" i="55"/>
  <c r="AF32" i="55" s="1"/>
  <c r="AD20" i="60"/>
  <c r="AK36" i="55" s="1"/>
  <c r="AD163" i="47"/>
  <c r="AD164" i="47" s="1"/>
  <c r="AD165" i="47" s="1"/>
  <c r="I34" i="55"/>
  <c r="AJ34" i="55" s="1"/>
  <c r="AL34" i="55" s="1"/>
  <c r="AE155" i="47"/>
  <c r="AE156" i="47"/>
  <c r="AD9" i="60"/>
  <c r="L40" i="55"/>
  <c r="AD83" i="47"/>
  <c r="AJ57" i="72"/>
  <c r="AC122" i="47"/>
  <c r="G35" i="55"/>
  <c r="C36" i="55" s="1"/>
  <c r="AE111" i="47"/>
  <c r="AE113" i="47" s="1"/>
  <c r="D37" i="55" s="1"/>
  <c r="AE5" i="67"/>
  <c r="AE7" i="67" s="1"/>
  <c r="AE9" i="67" s="1"/>
  <c r="AE18" i="47" s="1"/>
  <c r="AD119" i="47"/>
  <c r="AD121" i="47" s="1"/>
  <c r="D40" i="55"/>
  <c r="Z44" i="47"/>
  <c r="AA126" i="47"/>
  <c r="AA127" i="47" s="1"/>
  <c r="AA128" i="47" s="1"/>
  <c r="Z170" i="47"/>
  <c r="K33" i="55"/>
  <c r="AJ33" i="55"/>
  <c r="AL33" i="55" s="1"/>
  <c r="O33" i="55"/>
  <c r="AF31" i="55"/>
  <c r="R31" i="55"/>
  <c r="S31" i="55" s="1"/>
  <c r="Z81" i="47"/>
  <c r="Z86" i="47" s="1"/>
  <c r="Z7" i="60"/>
  <c r="Z15" i="60" s="1"/>
  <c r="AG32" i="55" s="1"/>
  <c r="Z19" i="47"/>
  <c r="M36" i="55"/>
  <c r="AB22" i="74"/>
  <c r="AB7" i="74"/>
  <c r="AB12" i="74" s="1"/>
  <c r="AA16" i="47" s="1"/>
  <c r="S57" i="75" l="1"/>
  <c r="S58" i="75"/>
  <c r="U57" i="75"/>
  <c r="U58" i="75"/>
  <c r="T58" i="75"/>
  <c r="T57" i="75"/>
  <c r="R58" i="75"/>
  <c r="R57" i="75"/>
  <c r="X49" i="60"/>
  <c r="W51" i="60"/>
  <c r="W7" i="47" s="1"/>
  <c r="AE25" i="60"/>
  <c r="AE27" i="60" s="1"/>
  <c r="AE29" i="60" s="1"/>
  <c r="AE13" i="60" s="1"/>
  <c r="Y71" i="47"/>
  <c r="Y68" i="47"/>
  <c r="Y16" i="60"/>
  <c r="AH31" i="55"/>
  <c r="V63" i="75"/>
  <c r="AH32" i="55"/>
  <c r="Q33" i="55"/>
  <c r="R33" i="55" s="1"/>
  <c r="R32" i="55"/>
  <c r="S32" i="55" s="1"/>
  <c r="K34" i="55"/>
  <c r="AD22" i="60"/>
  <c r="AD12" i="60" s="1"/>
  <c r="AK40" i="55"/>
  <c r="O34" i="55"/>
  <c r="I35" i="55"/>
  <c r="AJ35" i="55" s="1"/>
  <c r="AL35" i="55" s="1"/>
  <c r="AE163" i="47"/>
  <c r="AE164" i="47" s="1"/>
  <c r="AE165" i="47" s="1"/>
  <c r="AE20" i="60"/>
  <c r="AK37" i="55" s="1"/>
  <c r="AF111" i="47"/>
  <c r="AF113" i="47" s="1"/>
  <c r="AF5" i="67"/>
  <c r="AF7" i="67" s="1"/>
  <c r="AF9" i="67" s="1"/>
  <c r="AF18" i="47" s="1"/>
  <c r="AE119" i="47"/>
  <c r="AE121" i="47" s="1"/>
  <c r="AE122" i="47" s="1"/>
  <c r="D41" i="55"/>
  <c r="AF155" i="47"/>
  <c r="AF156" i="47"/>
  <c r="AB126" i="47"/>
  <c r="AB127" i="47" s="1"/>
  <c r="AB128" i="47" s="1"/>
  <c r="AA44" i="47"/>
  <c r="AA170" i="47"/>
  <c r="AE9" i="60"/>
  <c r="AE83" i="47"/>
  <c r="L41" i="55"/>
  <c r="G36" i="55"/>
  <c r="C37" i="55" s="1"/>
  <c r="AD122" i="47"/>
  <c r="AA19" i="47"/>
  <c r="M37" i="55"/>
  <c r="AA7" i="60"/>
  <c r="AA15" i="60" s="1"/>
  <c r="AG33" i="55" s="1"/>
  <c r="AA81" i="47"/>
  <c r="AA86" i="47" s="1"/>
  <c r="AC22" i="74"/>
  <c r="AC7" i="74"/>
  <c r="AC12" i="74" s="1"/>
  <c r="AB16" i="47" s="1"/>
  <c r="Z68" i="47"/>
  <c r="F28" i="68" s="1"/>
  <c r="Z71" i="47"/>
  <c r="F30" i="68" s="1"/>
  <c r="Z16" i="60"/>
  <c r="Z49" i="60"/>
  <c r="W63" i="75" l="1"/>
  <c r="V64" i="75"/>
  <c r="V66" i="75" s="1"/>
  <c r="V67" i="75" s="1"/>
  <c r="V42" i="75" s="1"/>
  <c r="V53" i="75" s="1"/>
  <c r="X51" i="60"/>
  <c r="X7" i="47" s="1"/>
  <c r="Y49" i="60"/>
  <c r="Y51" i="60" s="1"/>
  <c r="Y7" i="47" s="1"/>
  <c r="AF25" i="60"/>
  <c r="AF27" i="60" s="1"/>
  <c r="AF29" i="60" s="1"/>
  <c r="AF13" i="60" s="1"/>
  <c r="X63" i="75"/>
  <c r="AF33" i="55"/>
  <c r="AH33" i="55" s="1"/>
  <c r="Q34" i="55"/>
  <c r="R34" i="55" s="1"/>
  <c r="D38" i="55"/>
  <c r="D39" i="55"/>
  <c r="O35" i="55"/>
  <c r="K35" i="55"/>
  <c r="S33" i="55"/>
  <c r="AE22" i="60"/>
  <c r="AE12" i="60" s="1"/>
  <c r="AK41" i="55"/>
  <c r="AC126" i="47"/>
  <c r="AC127" i="47" s="1"/>
  <c r="AC128" i="47" s="1"/>
  <c r="AB170" i="47"/>
  <c r="AB44" i="47"/>
  <c r="I36" i="55"/>
  <c r="G37" i="55"/>
  <c r="C38" i="55" s="1"/>
  <c r="L42" i="55"/>
  <c r="AF9" i="60"/>
  <c r="AF83" i="47"/>
  <c r="AG83" i="47" s="1"/>
  <c r="AG18" i="47"/>
  <c r="AF20" i="60"/>
  <c r="AK38" i="55" s="1"/>
  <c r="AF163" i="47"/>
  <c r="AF164" i="47" s="1"/>
  <c r="AF165" i="47" s="1"/>
  <c r="AF119" i="47"/>
  <c r="AF35" i="47" s="1"/>
  <c r="D42" i="55"/>
  <c r="M38" i="55"/>
  <c r="AB7" i="60"/>
  <c r="AB15" i="60" s="1"/>
  <c r="AG34" i="55" s="1"/>
  <c r="AB81" i="47"/>
  <c r="AB86" i="47" s="1"/>
  <c r="AB19" i="47"/>
  <c r="AD22" i="74"/>
  <c r="AD7" i="74"/>
  <c r="AD12" i="74" s="1"/>
  <c r="AC16" i="47" s="1"/>
  <c r="AA49" i="60"/>
  <c r="Z51" i="60"/>
  <c r="Z7" i="47" s="1"/>
  <c r="AA16" i="60"/>
  <c r="AA68" i="47"/>
  <c r="G28" i="68" s="1"/>
  <c r="AA71" i="47"/>
  <c r="G30" i="68" s="1"/>
  <c r="X64" i="75" l="1"/>
  <c r="X66" i="75" s="1"/>
  <c r="W64" i="75"/>
  <c r="W66" i="75" s="1"/>
  <c r="W67" i="75" s="1"/>
  <c r="W42" i="75" s="1"/>
  <c r="V54" i="75"/>
  <c r="V57" i="75" s="1"/>
  <c r="AF34" i="55"/>
  <c r="AH34" i="55" s="1"/>
  <c r="Q35" i="55"/>
  <c r="AF35" i="55" s="1"/>
  <c r="I37" i="55"/>
  <c r="AJ37" i="55" s="1"/>
  <c r="AL37" i="55" s="1"/>
  <c r="S34" i="55"/>
  <c r="AF121" i="47"/>
  <c r="G38" i="55"/>
  <c r="C39" i="55" s="1"/>
  <c r="AF22" i="60"/>
  <c r="AF12" i="60" s="1"/>
  <c r="AK42" i="55"/>
  <c r="K36" i="55"/>
  <c r="AJ36" i="55"/>
  <c r="AL36" i="55" s="1"/>
  <c r="O36" i="55"/>
  <c r="AC44" i="47"/>
  <c r="AD126" i="47"/>
  <c r="AD127" i="47" s="1"/>
  <c r="AD128" i="47" s="1"/>
  <c r="AC170" i="47"/>
  <c r="AB49" i="60"/>
  <c r="AA51" i="60"/>
  <c r="AC7" i="60"/>
  <c r="AC15" i="60" s="1"/>
  <c r="AG35" i="55" s="1"/>
  <c r="M39" i="55"/>
  <c r="AC81" i="47"/>
  <c r="AC86" i="47" s="1"/>
  <c r="AC19" i="47"/>
  <c r="AE22" i="74"/>
  <c r="AE7" i="74"/>
  <c r="AE12" i="74" s="1"/>
  <c r="AD16" i="47" s="1"/>
  <c r="AB16" i="60"/>
  <c r="AB71" i="47"/>
  <c r="AB68" i="47"/>
  <c r="AA63" i="75"/>
  <c r="W53" i="75" l="1"/>
  <c r="W54" i="75" s="1"/>
  <c r="Z67" i="75"/>
  <c r="Z42" i="75" s="1"/>
  <c r="X67" i="75"/>
  <c r="X42" i="75" s="1"/>
  <c r="Y67" i="75"/>
  <c r="Y42" i="75" s="1"/>
  <c r="AA64" i="75"/>
  <c r="AA66" i="75" s="1"/>
  <c r="AA67" i="75" s="1"/>
  <c r="AA42" i="75" s="1"/>
  <c r="AA7" i="47"/>
  <c r="AB63" i="75"/>
  <c r="V58" i="75"/>
  <c r="O37" i="55"/>
  <c r="R35" i="55"/>
  <c r="S35" i="55" s="1"/>
  <c r="K37" i="55"/>
  <c r="AH35" i="55"/>
  <c r="G39" i="55"/>
  <c r="C40" i="55" s="1"/>
  <c r="AF122" i="47"/>
  <c r="AG35" i="47"/>
  <c r="AF49" i="47"/>
  <c r="AE126" i="47"/>
  <c r="AE127" i="47" s="1"/>
  <c r="AE128" i="47" s="1"/>
  <c r="AD170" i="47"/>
  <c r="AD44" i="47"/>
  <c r="Q36" i="55"/>
  <c r="I38" i="55"/>
  <c r="AC71" i="47"/>
  <c r="AC68" i="47"/>
  <c r="AG39" i="55"/>
  <c r="AC16" i="60"/>
  <c r="M40" i="55"/>
  <c r="AD19" i="47"/>
  <c r="AD81" i="47"/>
  <c r="AD86" i="47" s="1"/>
  <c r="AD7" i="60"/>
  <c r="AD15" i="60" s="1"/>
  <c r="AG36" i="55" s="1"/>
  <c r="AF22" i="74"/>
  <c r="AF7" i="74"/>
  <c r="AF12" i="74" s="1"/>
  <c r="AE16" i="47" s="1"/>
  <c r="AC49" i="60"/>
  <c r="AB51" i="60"/>
  <c r="AB7" i="47" s="1"/>
  <c r="W57" i="75" l="1"/>
  <c r="W58" i="75"/>
  <c r="Y53" i="75"/>
  <c r="Y54" i="75" s="1"/>
  <c r="X53" i="75"/>
  <c r="X54" i="75" s="1"/>
  <c r="Z53" i="75"/>
  <c r="Z54" i="75" s="1"/>
  <c r="Z57" i="75" s="1"/>
  <c r="AA53" i="75"/>
  <c r="AA54" i="75" s="1"/>
  <c r="AB64" i="75"/>
  <c r="AB66" i="75" s="1"/>
  <c r="Q37" i="55"/>
  <c r="R37" i="55" s="1"/>
  <c r="I39" i="55"/>
  <c r="AJ39" i="55" s="1"/>
  <c r="AL39" i="55" s="1"/>
  <c r="K38" i="55"/>
  <c r="O38" i="55"/>
  <c r="AJ38" i="55"/>
  <c r="AL38" i="55" s="1"/>
  <c r="AE44" i="47"/>
  <c r="AF126" i="47"/>
  <c r="AF127" i="47" s="1"/>
  <c r="AF128" i="47" s="1"/>
  <c r="AE170" i="47"/>
  <c r="R36" i="55"/>
  <c r="S36" i="55" s="1"/>
  <c r="AF36" i="55"/>
  <c r="AH36" i="55" s="1"/>
  <c r="G40" i="55"/>
  <c r="C41" i="55" s="1"/>
  <c r="AG22" i="74"/>
  <c r="AG7" i="74"/>
  <c r="AD49" i="60"/>
  <c r="AD51" i="60" s="1"/>
  <c r="AD7" i="47" s="1"/>
  <c r="AC51" i="60"/>
  <c r="AC7" i="47" s="1"/>
  <c r="AE81" i="47"/>
  <c r="AE86" i="47" s="1"/>
  <c r="M41" i="55"/>
  <c r="AE19" i="47"/>
  <c r="AE7" i="60"/>
  <c r="AE15" i="60" s="1"/>
  <c r="AG37" i="55" s="1"/>
  <c r="AD16" i="60"/>
  <c r="AG40" i="55"/>
  <c r="AD68" i="47"/>
  <c r="AD71" i="47"/>
  <c r="AA57" i="75" l="1"/>
  <c r="AA58" i="75"/>
  <c r="X58" i="75"/>
  <c r="X57" i="75"/>
  <c r="Y58" i="75"/>
  <c r="Y57" i="75"/>
  <c r="Z58" i="75"/>
  <c r="AE67" i="75"/>
  <c r="AE42" i="75" s="1"/>
  <c r="AD67" i="75"/>
  <c r="AD42" i="75" s="1"/>
  <c r="AC67" i="75"/>
  <c r="AC42" i="75" s="1"/>
  <c r="AB67" i="75"/>
  <c r="AB42" i="75" s="1"/>
  <c r="AF67" i="75"/>
  <c r="AF42" i="75" s="1"/>
  <c r="AG67" i="75"/>
  <c r="AG42" i="75" s="1"/>
  <c r="S37" i="55"/>
  <c r="P8" i="55" s="1"/>
  <c r="AF37" i="55"/>
  <c r="AH37" i="55" s="1"/>
  <c r="O39" i="55"/>
  <c r="K39" i="55"/>
  <c r="I40" i="55"/>
  <c r="O40" i="55" s="1"/>
  <c r="G41" i="55"/>
  <c r="C42" i="55" s="1"/>
  <c r="G42" i="55" s="1"/>
  <c r="I42" i="55" s="1"/>
  <c r="AF44" i="47"/>
  <c r="AF170" i="47"/>
  <c r="Q38" i="55"/>
  <c r="AG41" i="55"/>
  <c r="AE71" i="47"/>
  <c r="AE16" i="60"/>
  <c r="AE68" i="47"/>
  <c r="AE49" i="60"/>
  <c r="AG12" i="74"/>
  <c r="AH7" i="74"/>
  <c r="AH12" i="74" s="1"/>
  <c r="AE53" i="75" l="1"/>
  <c r="AE54" i="75" s="1"/>
  <c r="AF53" i="75"/>
  <c r="AF54" i="75" s="1"/>
  <c r="AB53" i="75"/>
  <c r="AB54" i="75" s="1"/>
  <c r="AG53" i="75"/>
  <c r="AG54" i="75" s="1"/>
  <c r="AC53" i="75"/>
  <c r="AC54" i="75" s="1"/>
  <c r="AD53" i="75"/>
  <c r="AD54" i="75" s="1"/>
  <c r="Q39" i="55"/>
  <c r="AF39" i="55" s="1"/>
  <c r="AH39" i="55" s="1"/>
  <c r="K40" i="55"/>
  <c r="Q40" i="55" s="1"/>
  <c r="AF40" i="55" s="1"/>
  <c r="AH40" i="55" s="1"/>
  <c r="AJ40" i="55"/>
  <c r="AL40" i="55" s="1"/>
  <c r="AF38" i="55"/>
  <c r="R38" i="55"/>
  <c r="S38" i="55" s="1"/>
  <c r="K42" i="55"/>
  <c r="AJ42" i="55"/>
  <c r="AL42" i="55" s="1"/>
  <c r="O42" i="55"/>
  <c r="I41" i="55"/>
  <c r="AE51" i="60"/>
  <c r="AE7" i="47" s="1"/>
  <c r="AF49" i="60"/>
  <c r="AF51" i="60" s="1"/>
  <c r="AF7" i="47" s="1"/>
  <c r="AF16" i="47"/>
  <c r="G23" i="74"/>
  <c r="AD57" i="75" l="1"/>
  <c r="AD58" i="75"/>
  <c r="AC58" i="75"/>
  <c r="AC57" i="75"/>
  <c r="AF58" i="75"/>
  <c r="AF57" i="75"/>
  <c r="AG58" i="75"/>
  <c r="AG57" i="75"/>
  <c r="AB57" i="75"/>
  <c r="AB58" i="75"/>
  <c r="AE57" i="75"/>
  <c r="AE58" i="75"/>
  <c r="R39" i="55"/>
  <c r="S39" i="55" s="1"/>
  <c r="R40" i="55"/>
  <c r="O41" i="55"/>
  <c r="K41" i="55"/>
  <c r="AJ41" i="55"/>
  <c r="AL41" i="55" s="1"/>
  <c r="AF7" i="60"/>
  <c r="AF15" i="60" s="1"/>
  <c r="AG38" i="55" s="1"/>
  <c r="AH38" i="55" s="1"/>
  <c r="AF81" i="47"/>
  <c r="M42" i="55"/>
  <c r="Q42" i="55" s="1"/>
  <c r="AF19" i="47"/>
  <c r="AG16" i="47"/>
  <c r="AG19" i="47" s="1"/>
  <c r="AG7" i="47"/>
  <c r="S40" i="55" l="1"/>
  <c r="Q41" i="55"/>
  <c r="AF41" i="55" s="1"/>
  <c r="AH41" i="55" s="1"/>
  <c r="R42" i="55"/>
  <c r="AF42" i="55"/>
  <c r="AF86" i="47"/>
  <c r="AG81" i="47"/>
  <c r="AG86" i="47" s="1"/>
  <c r="AG42" i="55"/>
  <c r="AF71" i="47"/>
  <c r="AF68" i="47"/>
  <c r="AF16" i="60"/>
  <c r="B16" i="60" s="1"/>
  <c r="B17" i="60" s="1"/>
  <c r="F47" i="55" s="1"/>
  <c r="Q43" i="55" l="1"/>
  <c r="P5" i="55" s="1"/>
  <c r="R41" i="55"/>
  <c r="S41" i="55" s="1"/>
  <c r="S42" i="55" s="1"/>
  <c r="AG71" i="47"/>
  <c r="C72" i="47"/>
  <c r="AH42" i="55"/>
  <c r="AG68" i="47"/>
  <c r="C69" i="47"/>
  <c r="R43" i="55" l="1"/>
  <c r="P6" i="55" s="1"/>
  <c r="P7" i="55" s="1"/>
  <c r="T13" i="55" s="1"/>
  <c r="Y13" i="55" l="1"/>
  <c r="U13" i="55"/>
  <c r="F46" i="55"/>
  <c r="F48" i="55" s="1"/>
  <c r="T14" i="55"/>
  <c r="T15" i="55" l="1"/>
  <c r="T16" i="55" s="1"/>
  <c r="Y14" i="55"/>
  <c r="U14" i="55"/>
  <c r="Y15" i="55" l="1"/>
  <c r="U15" i="55"/>
  <c r="Y16" i="55"/>
  <c r="T17" i="55"/>
  <c r="U16" i="55"/>
  <c r="Y17" i="55" l="1"/>
  <c r="U17" i="55"/>
  <c r="T18" i="55"/>
  <c r="T19" i="55" l="1"/>
  <c r="U18" i="55"/>
  <c r="Y18" i="55"/>
  <c r="T20" i="55" l="1"/>
  <c r="U19" i="55"/>
  <c r="Y19" i="55"/>
  <c r="U20" i="55" l="1"/>
  <c r="T21" i="55"/>
  <c r="Y20" i="55"/>
  <c r="Y21" i="55" l="1"/>
  <c r="U21" i="55"/>
  <c r="T22" i="55"/>
  <c r="U22" i="55" l="1"/>
  <c r="Y22" i="55"/>
  <c r="T23" i="55"/>
  <c r="Y23" i="55" l="1"/>
  <c r="T24" i="55"/>
  <c r="U23" i="55"/>
  <c r="U24" i="55" l="1"/>
  <c r="T25" i="55"/>
  <c r="Y24" i="55"/>
  <c r="U25" i="55" l="1"/>
  <c r="T26" i="55"/>
  <c r="Y25" i="55"/>
  <c r="Y26" i="55" l="1"/>
  <c r="U26" i="55"/>
  <c r="T27" i="55"/>
  <c r="T28" i="55" l="1"/>
  <c r="Y27" i="55"/>
  <c r="U27" i="55"/>
  <c r="U28" i="55" l="1"/>
  <c r="T29" i="55"/>
  <c r="Y28" i="55"/>
  <c r="T30" i="55" l="1"/>
  <c r="Y29" i="55"/>
  <c r="U29" i="55"/>
  <c r="T31" i="55" l="1"/>
  <c r="Y30" i="55"/>
  <c r="U30" i="55"/>
  <c r="U31" i="55" l="1"/>
  <c r="Y31" i="55"/>
  <c r="T32" i="55"/>
  <c r="U32" i="55" l="1"/>
  <c r="Y32" i="55"/>
  <c r="T33" i="55"/>
  <c r="U33" i="55" l="1"/>
  <c r="T34" i="55"/>
  <c r="Y33" i="55"/>
  <c r="T35" i="55" l="1"/>
  <c r="U34" i="55"/>
  <c r="Y34" i="55"/>
  <c r="U35" i="55" l="1"/>
  <c r="T36" i="55"/>
  <c r="Y35" i="55"/>
  <c r="U36" i="55" l="1"/>
  <c r="Y36" i="55"/>
  <c r="T37" i="55"/>
  <c r="U37" i="55" l="1"/>
  <c r="Y37" i="55"/>
  <c r="T38" i="55"/>
  <c r="Y38" i="55" l="1"/>
  <c r="U38" i="55"/>
  <c r="T39" i="55"/>
  <c r="Y39" i="55" l="1"/>
  <c r="U39" i="55"/>
  <c r="T40" i="55"/>
  <c r="U40" i="55" l="1"/>
  <c r="T41" i="55"/>
  <c r="Y40" i="55"/>
  <c r="U41" i="55" l="1"/>
  <c r="T42" i="55"/>
  <c r="Y41" i="55"/>
  <c r="U42" i="55" l="1"/>
  <c r="U43" i="55" s="1"/>
  <c r="Y42" i="55"/>
  <c r="T43" i="55"/>
  <c r="U44" i="55" l="1"/>
  <c r="Z13" i="55"/>
  <c r="Z14" i="55" l="1"/>
  <c r="AA13" i="55"/>
  <c r="C10" i="47" s="1"/>
  <c r="C11" i="47" s="1"/>
  <c r="AB13" i="55" l="1"/>
  <c r="Z15" i="55"/>
  <c r="AA14" i="55"/>
  <c r="D10" i="47" s="1"/>
  <c r="D11" i="47" s="1"/>
  <c r="AA15" i="55" l="1"/>
  <c r="E10" i="47" s="1"/>
  <c r="E11" i="47" s="1"/>
  <c r="Z16" i="55"/>
  <c r="C12" i="47"/>
  <c r="AB14" i="55"/>
  <c r="D12" i="47"/>
  <c r="D21" i="47" l="1"/>
  <c r="D78" i="47"/>
  <c r="D88" i="47" s="1"/>
  <c r="C78" i="47"/>
  <c r="C21" i="47"/>
  <c r="Z17" i="55"/>
  <c r="AA16" i="55"/>
  <c r="F10" i="47" s="1"/>
  <c r="F11" i="47" s="1"/>
  <c r="AB15" i="55"/>
  <c r="E12" i="47"/>
  <c r="C22" i="47" l="1"/>
  <c r="C24" i="47" s="1"/>
  <c r="C29" i="47" s="1"/>
  <c r="AB16" i="55"/>
  <c r="F12" i="47"/>
  <c r="AA17" i="55"/>
  <c r="G10" i="47" s="1"/>
  <c r="G11" i="47" s="1"/>
  <c r="Z18" i="55"/>
  <c r="C88" i="47"/>
  <c r="D93" i="47"/>
  <c r="D89" i="47"/>
  <c r="D47" i="47" s="1"/>
  <c r="E21" i="47"/>
  <c r="E78" i="47"/>
  <c r="E88" i="47" s="1"/>
  <c r="D22" i="47"/>
  <c r="D46" i="47" s="1"/>
  <c r="C43" i="47" l="1"/>
  <c r="C36" i="47"/>
  <c r="C30" i="47"/>
  <c r="E89" i="47"/>
  <c r="E47" i="47" s="1"/>
  <c r="E93" i="47"/>
  <c r="E22" i="47"/>
  <c r="E46" i="47" s="1"/>
  <c r="C93" i="47"/>
  <c r="C89" i="47"/>
  <c r="Z19" i="55"/>
  <c r="AA18" i="55"/>
  <c r="H10" i="47" s="1"/>
  <c r="H11" i="47" s="1"/>
  <c r="AB17" i="55"/>
  <c r="G12" i="47"/>
  <c r="F78" i="47"/>
  <c r="F21" i="47"/>
  <c r="D92" i="47"/>
  <c r="D24" i="47"/>
  <c r="D29" i="47" s="1"/>
  <c r="C46" i="47"/>
  <c r="D145" i="47" l="1"/>
  <c r="D144" i="47"/>
  <c r="E92" i="47"/>
  <c r="E24" i="47"/>
  <c r="E29" i="47" s="1"/>
  <c r="E30" i="47" s="1"/>
  <c r="AB18" i="55"/>
  <c r="H12" i="47"/>
  <c r="G78" i="47"/>
  <c r="G88" i="47" s="1"/>
  <c r="G21" i="47"/>
  <c r="AA19" i="55"/>
  <c r="I10" i="47" s="1"/>
  <c r="I11" i="47" s="1"/>
  <c r="Z20" i="55"/>
  <c r="D30" i="47"/>
  <c r="F88" i="47"/>
  <c r="C47" i="47"/>
  <c r="C48" i="47" s="1"/>
  <c r="C37" i="47"/>
  <c r="D36" i="47"/>
  <c r="D43" i="47"/>
  <c r="D48" i="47" s="1"/>
  <c r="D50" i="47" s="1"/>
  <c r="C92" i="47"/>
  <c r="D62" i="47"/>
  <c r="D66" i="47"/>
  <c r="D60" i="47"/>
  <c r="D64" i="47" s="1"/>
  <c r="D59" i="47"/>
  <c r="F22" i="47"/>
  <c r="F46" i="47" s="1"/>
  <c r="E145" i="47" l="1"/>
  <c r="E144" i="47"/>
  <c r="C144" i="47"/>
  <c r="C145" i="47"/>
  <c r="E59" i="47"/>
  <c r="E66" i="47"/>
  <c r="E62" i="47"/>
  <c r="E60" i="47"/>
  <c r="E64" i="47" s="1"/>
  <c r="E43" i="47"/>
  <c r="E48" i="47" s="1"/>
  <c r="E50" i="47" s="1"/>
  <c r="E36" i="47"/>
  <c r="C50" i="47"/>
  <c r="H78" i="47"/>
  <c r="H21" i="47"/>
  <c r="AB19" i="55"/>
  <c r="I12" i="47"/>
  <c r="Z21" i="55"/>
  <c r="AA20" i="55"/>
  <c r="J10" i="47" s="1"/>
  <c r="J11" i="47" s="1"/>
  <c r="D37" i="47"/>
  <c r="G22" i="47"/>
  <c r="G46" i="47" s="1"/>
  <c r="F24" i="47"/>
  <c r="F29" i="47" s="1"/>
  <c r="C62" i="47"/>
  <c r="C60" i="47"/>
  <c r="C64" i="47" s="1"/>
  <c r="C59" i="47"/>
  <c r="C66" i="47"/>
  <c r="F89" i="47"/>
  <c r="F93" i="47"/>
  <c r="G93" i="47"/>
  <c r="G89" i="47"/>
  <c r="E37" i="47" l="1"/>
  <c r="C146" i="47"/>
  <c r="G24" i="47"/>
  <c r="G29" i="47" s="1"/>
  <c r="G36" i="47" s="1"/>
  <c r="H22" i="47"/>
  <c r="H46" i="47" s="1"/>
  <c r="F47" i="47"/>
  <c r="H88" i="47"/>
  <c r="AB20" i="55"/>
  <c r="J12" i="47"/>
  <c r="F92" i="47"/>
  <c r="G92" i="47"/>
  <c r="G47" i="47"/>
  <c r="Z22" i="55"/>
  <c r="AA21" i="55"/>
  <c r="K10" i="47" s="1"/>
  <c r="K11" i="47" s="1"/>
  <c r="I21" i="47"/>
  <c r="I78" i="47"/>
  <c r="I88" i="47" s="1"/>
  <c r="F36" i="47"/>
  <c r="F43" i="47"/>
  <c r="F30" i="47"/>
  <c r="G145" i="47" l="1"/>
  <c r="G144" i="47"/>
  <c r="F145" i="47"/>
  <c r="F144" i="47"/>
  <c r="C148" i="47"/>
  <c r="C149" i="47" s="1"/>
  <c r="D142" i="47"/>
  <c r="D143" i="47" s="1"/>
  <c r="C171" i="47"/>
  <c r="F48" i="47"/>
  <c r="F50" i="47" s="1"/>
  <c r="G43" i="47"/>
  <c r="G48" i="47" s="1"/>
  <c r="G50" i="47" s="1"/>
  <c r="G30" i="47"/>
  <c r="H24" i="47"/>
  <c r="H29" i="47" s="1"/>
  <c r="H43" i="47" s="1"/>
  <c r="J78" i="47"/>
  <c r="J88" i="47" s="1"/>
  <c r="J21" i="47"/>
  <c r="AB21" i="55"/>
  <c r="K12" i="47"/>
  <c r="F59" i="47"/>
  <c r="F62" i="47"/>
  <c r="F60" i="47"/>
  <c r="F66" i="47"/>
  <c r="AA22" i="55"/>
  <c r="L10" i="47" s="1"/>
  <c r="L11" i="47" s="1"/>
  <c r="Z23" i="55"/>
  <c r="H89" i="47"/>
  <c r="H92" i="47" s="1"/>
  <c r="H93" i="47"/>
  <c r="I22" i="47"/>
  <c r="I24" i="47" s="1"/>
  <c r="I29" i="47" s="1"/>
  <c r="F37" i="47"/>
  <c r="G37" i="47" s="1"/>
  <c r="I93" i="47"/>
  <c r="I89" i="47"/>
  <c r="I47" i="47" s="1"/>
  <c r="G62" i="47"/>
  <c r="G60" i="47"/>
  <c r="B35" i="68" s="1"/>
  <c r="G66" i="47"/>
  <c r="G59" i="47"/>
  <c r="H145" i="47" l="1"/>
  <c r="H144" i="47"/>
  <c r="D146" i="47"/>
  <c r="B34" i="68"/>
  <c r="B27" i="68"/>
  <c r="D171" i="47"/>
  <c r="H30" i="47"/>
  <c r="H36" i="47"/>
  <c r="H37" i="47" s="1"/>
  <c r="I92" i="47"/>
  <c r="I36" i="47"/>
  <c r="I43" i="47"/>
  <c r="I30" i="47"/>
  <c r="K21" i="47"/>
  <c r="K78" i="47"/>
  <c r="AB22" i="55"/>
  <c r="L12" i="47"/>
  <c r="AA23" i="55"/>
  <c r="M10" i="47" s="1"/>
  <c r="M11" i="47" s="1"/>
  <c r="Z24" i="55"/>
  <c r="I46" i="47"/>
  <c r="F64" i="47"/>
  <c r="G64" i="47"/>
  <c r="H59" i="47"/>
  <c r="H66" i="47"/>
  <c r="H60" i="47"/>
  <c r="H64" i="47" s="1"/>
  <c r="H62" i="47"/>
  <c r="J22" i="47"/>
  <c r="J46" i="47" s="1"/>
  <c r="H47" i="47"/>
  <c r="H48" i="47" s="1"/>
  <c r="J89" i="47"/>
  <c r="J93" i="47"/>
  <c r="I145" i="47" l="1"/>
  <c r="I144" i="47"/>
  <c r="D148" i="47"/>
  <c r="D149" i="47" s="1"/>
  <c r="E142" i="47"/>
  <c r="B26" i="68"/>
  <c r="I66" i="47"/>
  <c r="I60" i="47"/>
  <c r="I64" i="47" s="1"/>
  <c r="I59" i="47"/>
  <c r="I62" i="47"/>
  <c r="J24" i="47"/>
  <c r="J29" i="47" s="1"/>
  <c r="J30" i="47" s="1"/>
  <c r="H50" i="47"/>
  <c r="Z25" i="55"/>
  <c r="AA24" i="55"/>
  <c r="N10" i="47" s="1"/>
  <c r="N11" i="47" s="1"/>
  <c r="AB23" i="55"/>
  <c r="M12" i="47"/>
  <c r="J92" i="47"/>
  <c r="J47" i="47"/>
  <c r="L78" i="47"/>
  <c r="L88" i="47" s="1"/>
  <c r="L21" i="47"/>
  <c r="K88" i="47"/>
  <c r="I48" i="47"/>
  <c r="I50" i="47" s="1"/>
  <c r="K22" i="47"/>
  <c r="K46" i="47" s="1"/>
  <c r="I37" i="47"/>
  <c r="J144" i="47" l="1"/>
  <c r="J145" i="47"/>
  <c r="E143" i="47"/>
  <c r="E146" i="47" s="1"/>
  <c r="J36" i="47"/>
  <c r="J37" i="47" s="1"/>
  <c r="J43" i="47"/>
  <c r="J48" i="47" s="1"/>
  <c r="J50" i="47" s="1"/>
  <c r="K24" i="47"/>
  <c r="K29" i="47" s="1"/>
  <c r="K36" i="47" s="1"/>
  <c r="M21" i="47"/>
  <c r="M78" i="47"/>
  <c r="M88" i="47" s="1"/>
  <c r="K93" i="47"/>
  <c r="K89" i="47"/>
  <c r="K92" i="47" s="1"/>
  <c r="L22" i="47"/>
  <c r="L46" i="47" s="1"/>
  <c r="AA25" i="55"/>
  <c r="O10" i="47" s="1"/>
  <c r="O11" i="47" s="1"/>
  <c r="Z26" i="55"/>
  <c r="L93" i="47"/>
  <c r="L89" i="47"/>
  <c r="L47" i="47" s="1"/>
  <c r="J59" i="47"/>
  <c r="J60" i="47"/>
  <c r="J62" i="47"/>
  <c r="J66" i="47"/>
  <c r="AB24" i="55"/>
  <c r="N12" i="47"/>
  <c r="K144" i="47" l="1"/>
  <c r="K145" i="47"/>
  <c r="E171" i="47"/>
  <c r="F142" i="47"/>
  <c r="E148" i="47"/>
  <c r="E149" i="47" s="1"/>
  <c r="K30" i="47"/>
  <c r="K37" i="47"/>
  <c r="K43" i="47"/>
  <c r="L92" i="47"/>
  <c r="L24" i="47"/>
  <c r="L29" i="47" s="1"/>
  <c r="L30" i="47" s="1"/>
  <c r="N78" i="47"/>
  <c r="N88" i="47" s="1"/>
  <c r="N21" i="47"/>
  <c r="K62" i="47"/>
  <c r="C27" i="68" s="1"/>
  <c r="K60" i="47"/>
  <c r="K66" i="47"/>
  <c r="K59" i="47"/>
  <c r="C34" i="68" s="1"/>
  <c r="K47" i="47"/>
  <c r="AB25" i="55"/>
  <c r="O12" i="47"/>
  <c r="J64" i="47"/>
  <c r="M89" i="47"/>
  <c r="M47" i="47" s="1"/>
  <c r="M93" i="47"/>
  <c r="AA26" i="55"/>
  <c r="P10" i="47" s="1"/>
  <c r="P11" i="47" s="1"/>
  <c r="Z27" i="55"/>
  <c r="M22" i="47"/>
  <c r="M46" i="47" s="1"/>
  <c r="L145" i="47" l="1"/>
  <c r="L144" i="47"/>
  <c r="F143" i="47"/>
  <c r="F146" i="47" s="1"/>
  <c r="K64" i="47"/>
  <c r="C26" i="68" s="1"/>
  <c r="C35" i="68"/>
  <c r="L60" i="47"/>
  <c r="L64" i="47" s="1"/>
  <c r="K48" i="47"/>
  <c r="K50" i="47" s="1"/>
  <c r="L59" i="47"/>
  <c r="L66" i="47"/>
  <c r="L62" i="47"/>
  <c r="M92" i="47"/>
  <c r="L43" i="47"/>
  <c r="L48" i="47" s="1"/>
  <c r="L50" i="47" s="1"/>
  <c r="M24" i="47"/>
  <c r="M29" i="47" s="1"/>
  <c r="M43" i="47" s="1"/>
  <c r="M48" i="47" s="1"/>
  <c r="M50" i="47" s="1"/>
  <c r="L36" i="47"/>
  <c r="L37" i="47" s="1"/>
  <c r="N93" i="47"/>
  <c r="N89" i="47"/>
  <c r="N92" i="47" s="1"/>
  <c r="AB26" i="55"/>
  <c r="P12" i="47"/>
  <c r="O21" i="47"/>
  <c r="O78" i="47"/>
  <c r="O88" i="47" s="1"/>
  <c r="Z28" i="55"/>
  <c r="AA27" i="55"/>
  <c r="Q10" i="47" s="1"/>
  <c r="Q11" i="47" s="1"/>
  <c r="N22" i="47"/>
  <c r="N46" i="47" s="1"/>
  <c r="M62" i="47" l="1"/>
  <c r="M145" i="47"/>
  <c r="M144" i="47"/>
  <c r="N145" i="47"/>
  <c r="N144" i="47"/>
  <c r="F148" i="47"/>
  <c r="F149" i="47" s="1"/>
  <c r="G142" i="47"/>
  <c r="F171" i="47"/>
  <c r="M66" i="47"/>
  <c r="M60" i="47"/>
  <c r="M64" i="47" s="1"/>
  <c r="M30" i="47"/>
  <c r="M36" i="47"/>
  <c r="M37" i="47" s="1"/>
  <c r="M59" i="47"/>
  <c r="N24" i="47"/>
  <c r="N29" i="47" s="1"/>
  <c r="N60" i="47"/>
  <c r="N64" i="47" s="1"/>
  <c r="N66" i="47"/>
  <c r="N62" i="47"/>
  <c r="N59" i="47"/>
  <c r="N47" i="47"/>
  <c r="AB27" i="55"/>
  <c r="Q12" i="47"/>
  <c r="AA28" i="55"/>
  <c r="R10" i="47" s="1"/>
  <c r="R11" i="47" s="1"/>
  <c r="Z29" i="55"/>
  <c r="O93" i="47"/>
  <c r="O89" i="47"/>
  <c r="O47" i="47" s="1"/>
  <c r="O22" i="47"/>
  <c r="O46" i="47" s="1"/>
  <c r="P21" i="47"/>
  <c r="P78" i="47"/>
  <c r="P88" i="47" s="1"/>
  <c r="G143" i="47" l="1"/>
  <c r="G146" i="47" s="1"/>
  <c r="O92" i="47"/>
  <c r="O24" i="47"/>
  <c r="O29" i="47" s="1"/>
  <c r="O43" i="47" s="1"/>
  <c r="O48" i="47" s="1"/>
  <c r="O50" i="47" s="1"/>
  <c r="Q21" i="47"/>
  <c r="Q78" i="47"/>
  <c r="Q88" i="47" s="1"/>
  <c r="AB28" i="55"/>
  <c r="R12" i="47"/>
  <c r="N43" i="47"/>
  <c r="N48" i="47" s="1"/>
  <c r="N50" i="47" s="1"/>
  <c r="N36" i="47"/>
  <c r="N37" i="47" s="1"/>
  <c r="N30" i="47"/>
  <c r="P89" i="47"/>
  <c r="P47" i="47" s="1"/>
  <c r="P93" i="47"/>
  <c r="P22" i="47"/>
  <c r="P46" i="47" s="1"/>
  <c r="AA29" i="55"/>
  <c r="S10" i="47" s="1"/>
  <c r="S11" i="47" s="1"/>
  <c r="Z30" i="55"/>
  <c r="O145" i="47" l="1"/>
  <c r="O144" i="47"/>
  <c r="G148" i="47"/>
  <c r="G149" i="47" s="1"/>
  <c r="H142" i="47"/>
  <c r="G171" i="47"/>
  <c r="O59" i="47"/>
  <c r="O30" i="47"/>
  <c r="O36" i="47"/>
  <c r="O37" i="47" s="1"/>
  <c r="O62" i="47"/>
  <c r="O66" i="47"/>
  <c r="O60" i="47"/>
  <c r="O64" i="47" s="1"/>
  <c r="P92" i="47"/>
  <c r="P24" i="47"/>
  <c r="P29" i="47" s="1"/>
  <c r="P43" i="47" s="1"/>
  <c r="P48" i="47" s="1"/>
  <c r="P50" i="47" s="1"/>
  <c r="R78" i="47"/>
  <c r="R88" i="47" s="1"/>
  <c r="R21" i="47"/>
  <c r="AA30" i="55"/>
  <c r="T10" i="47" s="1"/>
  <c r="T11" i="47" s="1"/>
  <c r="Z31" i="55"/>
  <c r="Q93" i="47"/>
  <c r="Q89" i="47"/>
  <c r="Q47" i="47" s="1"/>
  <c r="AB29" i="55"/>
  <c r="S12" i="47"/>
  <c r="Q22" i="47"/>
  <c r="Q46" i="47" s="1"/>
  <c r="P145" i="47" l="1"/>
  <c r="P144" i="47"/>
  <c r="H143" i="47"/>
  <c r="H146" i="47" s="1"/>
  <c r="P60" i="47"/>
  <c r="P30" i="47"/>
  <c r="P66" i="47"/>
  <c r="P36" i="47"/>
  <c r="P37" i="47" s="1"/>
  <c r="P62" i="47"/>
  <c r="D27" i="68" s="1"/>
  <c r="P59" i="47"/>
  <c r="D34" i="68" s="1"/>
  <c r="Q24" i="47"/>
  <c r="Q29" i="47" s="1"/>
  <c r="Q43" i="47" s="1"/>
  <c r="Q48" i="47" s="1"/>
  <c r="Q50" i="47" s="1"/>
  <c r="Q92" i="47"/>
  <c r="R22" i="47"/>
  <c r="R46" i="47" s="1"/>
  <c r="R89" i="47"/>
  <c r="R47" i="47" s="1"/>
  <c r="R93" i="47"/>
  <c r="AA31" i="55"/>
  <c r="U10" i="47" s="1"/>
  <c r="U11" i="47" s="1"/>
  <c r="Z32" i="55"/>
  <c r="S21" i="47"/>
  <c r="S78" i="47"/>
  <c r="S88" i="47" s="1"/>
  <c r="AB30" i="55"/>
  <c r="T12" i="47"/>
  <c r="Q145" i="47" l="1"/>
  <c r="Q144" i="47"/>
  <c r="H148" i="47"/>
  <c r="H149" i="47" s="1"/>
  <c r="I142" i="47"/>
  <c r="I143" i="47" s="1"/>
  <c r="I146" i="47" s="1"/>
  <c r="H171" i="47"/>
  <c r="P64" i="47"/>
  <c r="D26" i="68" s="1"/>
  <c r="D35" i="68"/>
  <c r="Q30" i="47"/>
  <c r="Q60" i="47"/>
  <c r="Q64" i="47" s="1"/>
  <c r="Q66" i="47"/>
  <c r="Q36" i="47"/>
  <c r="Q37" i="47" s="1"/>
  <c r="Q59" i="47"/>
  <c r="Q62" i="47"/>
  <c r="R24" i="47"/>
  <c r="R29" i="47" s="1"/>
  <c r="S89" i="47"/>
  <c r="S47" i="47" s="1"/>
  <c r="S93" i="47"/>
  <c r="T78" i="47"/>
  <c r="T88" i="47" s="1"/>
  <c r="T21" i="47"/>
  <c r="S22" i="47"/>
  <c r="S46" i="47" s="1"/>
  <c r="R92" i="47"/>
  <c r="AA32" i="55"/>
  <c r="V10" i="47" s="1"/>
  <c r="V11" i="47" s="1"/>
  <c r="Z33" i="55"/>
  <c r="AB31" i="55"/>
  <c r="U12" i="47"/>
  <c r="R144" i="47" l="1"/>
  <c r="R145" i="47"/>
  <c r="J142" i="47"/>
  <c r="J143" i="47" s="1"/>
  <c r="J146" i="47" s="1"/>
  <c r="I148" i="47"/>
  <c r="I149" i="47" s="1"/>
  <c r="I171" i="47"/>
  <c r="S92" i="47"/>
  <c r="T22" i="47"/>
  <c r="T46" i="47" s="1"/>
  <c r="U21" i="47"/>
  <c r="U78" i="47"/>
  <c r="U88" i="47" s="1"/>
  <c r="T93" i="47"/>
  <c r="T89" i="47"/>
  <c r="T47" i="47" s="1"/>
  <c r="S24" i="47"/>
  <c r="S29" i="47" s="1"/>
  <c r="AA33" i="55"/>
  <c r="W10" i="47" s="1"/>
  <c r="W11" i="47" s="1"/>
  <c r="Z34" i="55"/>
  <c r="AB32" i="55"/>
  <c r="V12" i="47"/>
  <c r="R62" i="47"/>
  <c r="R66" i="47"/>
  <c r="R59" i="47"/>
  <c r="R60" i="47"/>
  <c r="R64" i="47" s="1"/>
  <c r="R36" i="47"/>
  <c r="R37" i="47" s="1"/>
  <c r="R43" i="47"/>
  <c r="R48" i="47" s="1"/>
  <c r="R50" i="47" s="1"/>
  <c r="R30" i="47"/>
  <c r="S144" i="47" l="1"/>
  <c r="S145" i="47"/>
  <c r="K142" i="47"/>
  <c r="K143" i="47" s="1"/>
  <c r="K146" i="47" s="1"/>
  <c r="J148" i="47"/>
  <c r="J149" i="47" s="1"/>
  <c r="J171" i="47"/>
  <c r="S66" i="47"/>
  <c r="S62" i="47"/>
  <c r="S60" i="47"/>
  <c r="S64" i="47" s="1"/>
  <c r="S59" i="47"/>
  <c r="T24" i="47"/>
  <c r="T29" i="47" s="1"/>
  <c r="T43" i="47" s="1"/>
  <c r="T48" i="47" s="1"/>
  <c r="T50" i="47" s="1"/>
  <c r="U89" i="47"/>
  <c r="U47" i="47" s="1"/>
  <c r="U93" i="47"/>
  <c r="U22" i="47"/>
  <c r="U46" i="47" s="1"/>
  <c r="AA34" i="55"/>
  <c r="X10" i="47" s="1"/>
  <c r="X11" i="47" s="1"/>
  <c r="Z35" i="55"/>
  <c r="S36" i="47"/>
  <c r="S37" i="47" s="1"/>
  <c r="S43" i="47"/>
  <c r="S48" i="47" s="1"/>
  <c r="S50" i="47" s="1"/>
  <c r="S30" i="47"/>
  <c r="V78" i="47"/>
  <c r="V88" i="47" s="1"/>
  <c r="V21" i="47"/>
  <c r="AB33" i="55"/>
  <c r="W12" i="47"/>
  <c r="T92" i="47"/>
  <c r="T145" i="47" l="1"/>
  <c r="T144" i="47"/>
  <c r="K148" i="47"/>
  <c r="K149" i="47" s="1"/>
  <c r="K171" i="47"/>
  <c r="L142" i="47"/>
  <c r="L143" i="47" s="1"/>
  <c r="L146" i="47" s="1"/>
  <c r="T30" i="47"/>
  <c r="T36" i="47"/>
  <c r="T37" i="47" s="1"/>
  <c r="U92" i="47"/>
  <c r="V22" i="47"/>
  <c r="V46" i="47" s="1"/>
  <c r="U24" i="47"/>
  <c r="U29" i="47" s="1"/>
  <c r="V89" i="47"/>
  <c r="V47" i="47" s="1"/>
  <c r="V93" i="47"/>
  <c r="T66" i="47"/>
  <c r="T60" i="47"/>
  <c r="T64" i="47" s="1"/>
  <c r="T62" i="47"/>
  <c r="T59" i="47"/>
  <c r="AA35" i="55"/>
  <c r="Y10" i="47" s="1"/>
  <c r="Y11" i="47" s="1"/>
  <c r="Z36" i="55"/>
  <c r="W21" i="47"/>
  <c r="W78" i="47"/>
  <c r="W88" i="47" s="1"/>
  <c r="AB34" i="55"/>
  <c r="X12" i="47"/>
  <c r="U66" i="47" l="1"/>
  <c r="U145" i="47"/>
  <c r="U144" i="47"/>
  <c r="M142" i="47"/>
  <c r="M143" i="47" s="1"/>
  <c r="M146" i="47" s="1"/>
  <c r="L148" i="47"/>
  <c r="L149" i="47" s="1"/>
  <c r="L171" i="47"/>
  <c r="V24" i="47"/>
  <c r="V29" i="47" s="1"/>
  <c r="V30" i="47" s="1"/>
  <c r="U62" i="47"/>
  <c r="E27" i="68" s="1"/>
  <c r="U59" i="47"/>
  <c r="E34" i="68" s="1"/>
  <c r="U60" i="47"/>
  <c r="V92" i="47"/>
  <c r="Z37" i="55"/>
  <c r="AA36" i="55"/>
  <c r="Z10" i="47" s="1"/>
  <c r="Z11" i="47" s="1"/>
  <c r="W22" i="47"/>
  <c r="W46" i="47" s="1"/>
  <c r="AB35" i="55"/>
  <c r="Y12" i="47"/>
  <c r="X21" i="47"/>
  <c r="X78" i="47"/>
  <c r="X88" i="47" s="1"/>
  <c r="U43" i="47"/>
  <c r="U48" i="47" s="1"/>
  <c r="U50" i="47" s="1"/>
  <c r="U36" i="47"/>
  <c r="U37" i="47" s="1"/>
  <c r="U30" i="47"/>
  <c r="W89" i="47"/>
  <c r="W47" i="47" s="1"/>
  <c r="W93" i="47"/>
  <c r="V145" i="47" l="1"/>
  <c r="V144" i="47"/>
  <c r="V43" i="47"/>
  <c r="V48" i="47" s="1"/>
  <c r="V50" i="47" s="1"/>
  <c r="M171" i="47"/>
  <c r="M148" i="47"/>
  <c r="M149" i="47" s="1"/>
  <c r="N142" i="47"/>
  <c r="N143" i="47" s="1"/>
  <c r="N146" i="47" s="1"/>
  <c r="U64" i="47"/>
  <c r="E26" i="68" s="1"/>
  <c r="E35" i="68"/>
  <c r="V36" i="47"/>
  <c r="V37" i="47" s="1"/>
  <c r="V66" i="47"/>
  <c r="V62" i="47"/>
  <c r="V60" i="47"/>
  <c r="V64" i="47" s="1"/>
  <c r="V59" i="47"/>
  <c r="W24" i="47"/>
  <c r="W29" i="47" s="1"/>
  <c r="W36" i="47" s="1"/>
  <c r="Y78" i="47"/>
  <c r="Y88" i="47" s="1"/>
  <c r="Y21" i="47"/>
  <c r="X89" i="47"/>
  <c r="X47" i="47" s="1"/>
  <c r="X93" i="47"/>
  <c r="W92" i="47"/>
  <c r="X22" i="47"/>
  <c r="X46" i="47" s="1"/>
  <c r="AB36" i="55"/>
  <c r="Z12" i="47"/>
  <c r="AA37" i="55"/>
  <c r="AA10" i="47" s="1"/>
  <c r="AA11" i="47" s="1"/>
  <c r="Z38" i="55"/>
  <c r="W145" i="47" l="1"/>
  <c r="W144" i="47"/>
  <c r="N171" i="47"/>
  <c r="N148" i="47"/>
  <c r="N149" i="47" s="1"/>
  <c r="O142" i="47"/>
  <c r="O143" i="47" s="1"/>
  <c r="O146" i="47" s="1"/>
  <c r="X24" i="47"/>
  <c r="X29" i="47" s="1"/>
  <c r="X36" i="47" s="1"/>
  <c r="W37" i="47"/>
  <c r="W30" i="47"/>
  <c r="W43" i="47"/>
  <c r="W48" i="47" s="1"/>
  <c r="W50" i="47" s="1"/>
  <c r="Z21" i="47"/>
  <c r="Z78" i="47"/>
  <c r="Z88" i="47" s="1"/>
  <c r="W60" i="47"/>
  <c r="W64" i="47" s="1"/>
  <c r="W62" i="47"/>
  <c r="W59" i="47"/>
  <c r="W66" i="47"/>
  <c r="X92" i="47"/>
  <c r="Y22" i="47"/>
  <c r="Y46" i="47" s="1"/>
  <c r="Z39" i="55"/>
  <c r="AA38" i="55"/>
  <c r="AB10" i="47" s="1"/>
  <c r="AB11" i="47" s="1"/>
  <c r="AB37" i="55"/>
  <c r="AA12" i="47"/>
  <c r="Y89" i="47"/>
  <c r="Y47" i="47" s="1"/>
  <c r="Y93" i="47"/>
  <c r="X145" i="47" l="1"/>
  <c r="X144" i="47"/>
  <c r="O171" i="47"/>
  <c r="O148" i="47"/>
  <c r="O149" i="47" s="1"/>
  <c r="P142" i="47"/>
  <c r="P143" i="47" s="1"/>
  <c r="P146" i="47" s="1"/>
  <c r="X43" i="47"/>
  <c r="X48" i="47" s="1"/>
  <c r="X50" i="47" s="1"/>
  <c r="X30" i="47"/>
  <c r="X37" i="47"/>
  <c r="Y92" i="47"/>
  <c r="Y24" i="47"/>
  <c r="Y29" i="47" s="1"/>
  <c r="Y36" i="47" s="1"/>
  <c r="Z93" i="47"/>
  <c r="Z89" i="47"/>
  <c r="Z47" i="47" s="1"/>
  <c r="X60" i="47"/>
  <c r="X64" i="47" s="1"/>
  <c r="X59" i="47"/>
  <c r="X66" i="47"/>
  <c r="X62" i="47"/>
  <c r="Z22" i="47"/>
  <c r="Z46" i="47" s="1"/>
  <c r="AA21" i="47"/>
  <c r="AA78" i="47"/>
  <c r="AA88" i="47" s="1"/>
  <c r="AB38" i="55"/>
  <c r="AB12" i="47"/>
  <c r="AA39" i="55"/>
  <c r="AC10" i="47" s="1"/>
  <c r="AC11" i="47" s="1"/>
  <c r="Z40" i="55"/>
  <c r="Y59" i="47" l="1"/>
  <c r="Y144" i="47"/>
  <c r="Y145" i="47"/>
  <c r="Q142" i="47"/>
  <c r="Q143" i="47" s="1"/>
  <c r="Q146" i="47" s="1"/>
  <c r="P171" i="47"/>
  <c r="P148" i="47"/>
  <c r="P149" i="47" s="1"/>
  <c r="Y62" i="47"/>
  <c r="Y37" i="47"/>
  <c r="Y66" i="47"/>
  <c r="Y60" i="47"/>
  <c r="Y64" i="47" s="1"/>
  <c r="Y30" i="47"/>
  <c r="Y43" i="47"/>
  <c r="Y48" i="47" s="1"/>
  <c r="Y50" i="47" s="1"/>
  <c r="Z24" i="47"/>
  <c r="Z29" i="47" s="1"/>
  <c r="Z30" i="47" s="1"/>
  <c r="Z92" i="47"/>
  <c r="AA89" i="47"/>
  <c r="AA47" i="47" s="1"/>
  <c r="AA93" i="47"/>
  <c r="AA40" i="55"/>
  <c r="AD10" i="47" s="1"/>
  <c r="AD11" i="47" s="1"/>
  <c r="Z41" i="55"/>
  <c r="AB21" i="47"/>
  <c r="AB78" i="47"/>
  <c r="AB88" i="47" s="1"/>
  <c r="AA22" i="47"/>
  <c r="AA46" i="47" s="1"/>
  <c r="AB39" i="55"/>
  <c r="AC12" i="47"/>
  <c r="Z144" i="47" l="1"/>
  <c r="Z145" i="47"/>
  <c r="Q148" i="47"/>
  <c r="Q149" i="47" s="1"/>
  <c r="R142" i="47"/>
  <c r="R143" i="47" s="1"/>
  <c r="R146" i="47" s="1"/>
  <c r="Q171" i="47"/>
  <c r="Z62" i="47"/>
  <c r="F27" i="68" s="1"/>
  <c r="Z59" i="47"/>
  <c r="F34" i="68" s="1"/>
  <c r="Z60" i="47"/>
  <c r="Z36" i="47"/>
  <c r="Z37" i="47" s="1"/>
  <c r="Z66" i="47"/>
  <c r="Z43" i="47"/>
  <c r="Z48" i="47" s="1"/>
  <c r="Z50" i="47" s="1"/>
  <c r="AA92" i="47"/>
  <c r="Z42" i="55"/>
  <c r="AA42" i="55" s="1"/>
  <c r="AF10" i="47" s="1"/>
  <c r="AF11" i="47" s="1"/>
  <c r="AA41" i="55"/>
  <c r="AE10" i="47" s="1"/>
  <c r="AE11" i="47" s="1"/>
  <c r="AB40" i="55"/>
  <c r="AD12" i="47"/>
  <c r="AA24" i="47"/>
  <c r="AA29" i="47" s="1"/>
  <c r="AB89" i="47"/>
  <c r="AB47" i="47" s="1"/>
  <c r="AB93" i="47"/>
  <c r="AB22" i="47"/>
  <c r="AB46" i="47" s="1"/>
  <c r="AC21" i="47"/>
  <c r="AC78" i="47"/>
  <c r="AC88" i="47" s="1"/>
  <c r="AA62" i="47" l="1"/>
  <c r="AA144" i="47"/>
  <c r="AA145" i="47"/>
  <c r="R148" i="47"/>
  <c r="R149" i="47" s="1"/>
  <c r="R171" i="47"/>
  <c r="S142" i="47"/>
  <c r="S143" i="47" s="1"/>
  <c r="S146" i="47" s="1"/>
  <c r="Z64" i="47"/>
  <c r="F26" i="68" s="1"/>
  <c r="F35" i="68"/>
  <c r="AA66" i="47"/>
  <c r="AA59" i="47"/>
  <c r="G34" i="68" s="1"/>
  <c r="AA60" i="47"/>
  <c r="AA64" i="47" s="1"/>
  <c r="AB92" i="47"/>
  <c r="AB24" i="47"/>
  <c r="AB29" i="47" s="1"/>
  <c r="AB36" i="47" s="1"/>
  <c r="AA30" i="47"/>
  <c r="AA43" i="47"/>
  <c r="AA48" i="47" s="1"/>
  <c r="AA50" i="47" s="1"/>
  <c r="AA36" i="47"/>
  <c r="AA37" i="47" s="1"/>
  <c r="AD78" i="47"/>
  <c r="AD88" i="47" s="1"/>
  <c r="AD21" i="47"/>
  <c r="AC89" i="47"/>
  <c r="AC47" i="47" s="1"/>
  <c r="AC93" i="47"/>
  <c r="AC22" i="47"/>
  <c r="AC46" i="47" s="1"/>
  <c r="AB41" i="55"/>
  <c r="AE12" i="47"/>
  <c r="AB42" i="55"/>
  <c r="AA43" i="55"/>
  <c r="AB145" i="47" l="1"/>
  <c r="AB144" i="47"/>
  <c r="T142" i="47"/>
  <c r="T143" i="47" s="1"/>
  <c r="T146" i="47" s="1"/>
  <c r="S171" i="47"/>
  <c r="S148" i="47"/>
  <c r="S149" i="47" s="1"/>
  <c r="AB43" i="55"/>
  <c r="G35" i="68"/>
  <c r="AB30" i="47"/>
  <c r="AB43" i="47"/>
  <c r="AB48" i="47" s="1"/>
  <c r="AB50" i="47" s="1"/>
  <c r="AB62" i="47"/>
  <c r="AB59" i="47"/>
  <c r="AB60" i="47"/>
  <c r="AB64" i="47" s="1"/>
  <c r="AB37" i="47"/>
  <c r="AB66" i="47"/>
  <c r="AC24" i="47"/>
  <c r="AC29" i="47" s="1"/>
  <c r="AC43" i="47" s="1"/>
  <c r="AC48" i="47" s="1"/>
  <c r="AC50" i="47" s="1"/>
  <c r="AC92" i="47"/>
  <c r="AG11" i="47"/>
  <c r="AG10" i="47"/>
  <c r="AD22" i="47"/>
  <c r="AD46" i="47" s="1"/>
  <c r="AE78" i="47"/>
  <c r="AE88" i="47" s="1"/>
  <c r="AE21" i="47"/>
  <c r="AD89" i="47"/>
  <c r="AD47" i="47" s="1"/>
  <c r="AD93" i="47"/>
  <c r="AC66" i="47" l="1"/>
  <c r="AC145" i="47"/>
  <c r="AC144" i="47"/>
  <c r="T148" i="47"/>
  <c r="T149" i="47" s="1"/>
  <c r="U142" i="47"/>
  <c r="U143" i="47" s="1"/>
  <c r="U146" i="47" s="1"/>
  <c r="T171" i="47"/>
  <c r="AC59" i="47"/>
  <c r="AC62" i="47"/>
  <c r="AC60" i="47"/>
  <c r="AC64" i="47" s="1"/>
  <c r="AC30" i="47"/>
  <c r="AC36" i="47"/>
  <c r="AC37" i="47" s="1"/>
  <c r="AD24" i="47"/>
  <c r="AD29" i="47" s="1"/>
  <c r="AD36" i="47" s="1"/>
  <c r="AG12" i="47"/>
  <c r="AG21" i="47" s="1"/>
  <c r="AD92" i="47"/>
  <c r="AE93" i="47"/>
  <c r="AE89" i="47"/>
  <c r="AE47" i="47" s="1"/>
  <c r="AE22" i="47"/>
  <c r="AE46" i="47" s="1"/>
  <c r="AF12" i="47"/>
  <c r="AD66" i="47" l="1"/>
  <c r="AD145" i="47"/>
  <c r="AD144" i="47"/>
  <c r="V142" i="47"/>
  <c r="V143" i="47" s="1"/>
  <c r="V146" i="47" s="1"/>
  <c r="U148" i="47"/>
  <c r="U149" i="47" s="1"/>
  <c r="U171" i="47"/>
  <c r="AD30" i="47"/>
  <c r="AD62" i="47"/>
  <c r="AD37" i="47"/>
  <c r="AD60" i="47"/>
  <c r="AD64" i="47" s="1"/>
  <c r="AD43" i="47"/>
  <c r="AD48" i="47" s="1"/>
  <c r="AD50" i="47" s="1"/>
  <c r="AD59" i="47"/>
  <c r="AE92" i="47"/>
  <c r="AE24" i="47"/>
  <c r="AE29" i="47" s="1"/>
  <c r="AF21" i="47"/>
  <c r="AF78" i="47"/>
  <c r="AE66" i="47" l="1"/>
  <c r="AE145" i="47"/>
  <c r="AE144" i="47"/>
  <c r="V171" i="47"/>
  <c r="V148" i="47"/>
  <c r="V149" i="47" s="1"/>
  <c r="W142" i="47"/>
  <c r="W143" i="47" s="1"/>
  <c r="W146" i="47" s="1"/>
  <c r="AE62" i="47"/>
  <c r="AE60" i="47"/>
  <c r="AE64" i="47" s="1"/>
  <c r="AE59" i="47"/>
  <c r="AF22" i="47"/>
  <c r="AF24" i="47" s="1"/>
  <c r="AF29" i="47" s="1"/>
  <c r="AF88" i="47"/>
  <c r="AG78" i="47"/>
  <c r="AG88" i="47" s="1"/>
  <c r="AG93" i="47" s="1"/>
  <c r="AE43" i="47"/>
  <c r="AE48" i="47" s="1"/>
  <c r="AE50" i="47" s="1"/>
  <c r="AE36" i="47"/>
  <c r="AE37" i="47" s="1"/>
  <c r="AE30" i="47"/>
  <c r="X142" i="47" l="1"/>
  <c r="X143" i="47" s="1"/>
  <c r="X146" i="47" s="1"/>
  <c r="W148" i="47"/>
  <c r="W149" i="47" s="1"/>
  <c r="W171" i="47"/>
  <c r="AF93" i="47"/>
  <c r="AF89" i="47"/>
  <c r="AF36" i="47"/>
  <c r="AF43" i="47"/>
  <c r="C32" i="47"/>
  <c r="AF30" i="47"/>
  <c r="C31" i="47" s="1"/>
  <c r="C33" i="47"/>
  <c r="AF46" i="47"/>
  <c r="AG22" i="47"/>
  <c r="AG24" i="47" s="1"/>
  <c r="AG29" i="47" s="1"/>
  <c r="AG36" i="47" s="1"/>
  <c r="Y142" i="47" l="1"/>
  <c r="Y143" i="47" s="1"/>
  <c r="Y146" i="47" s="1"/>
  <c r="X148" i="47"/>
  <c r="X149" i="47" s="1"/>
  <c r="X171" i="47"/>
  <c r="E19" i="68"/>
  <c r="B19" i="68"/>
  <c r="AF37" i="47"/>
  <c r="C38" i="47" s="1"/>
  <c r="C39" i="47"/>
  <c r="C40" i="47"/>
  <c r="AF47" i="47"/>
  <c r="AF48" i="47" s="1"/>
  <c r="AG89" i="47"/>
  <c r="AG92" i="47" s="1"/>
  <c r="AF92" i="47"/>
  <c r="AF145" i="47" l="1"/>
  <c r="AF144" i="47"/>
  <c r="Z142" i="47"/>
  <c r="Z143" i="47" s="1"/>
  <c r="Z146" i="47" s="1"/>
  <c r="Y148" i="47"/>
  <c r="Y149" i="47" s="1"/>
  <c r="Y171" i="47"/>
  <c r="E20" i="68"/>
  <c r="AF50" i="47"/>
  <c r="C52" i="47"/>
  <c r="C53" i="47"/>
  <c r="AF59" i="47"/>
  <c r="AF62" i="47"/>
  <c r="G27" i="68" s="1"/>
  <c r="AF60" i="47"/>
  <c r="AF64" i="47" s="1"/>
  <c r="G26" i="68" s="1"/>
  <c r="F77" i="20" s="1"/>
  <c r="AF66" i="47"/>
  <c r="C1" i="60"/>
  <c r="B20" i="68"/>
  <c r="AA142" i="47" l="1"/>
  <c r="AA143" i="47" s="1"/>
  <c r="AA146" i="47" s="1"/>
  <c r="Z171" i="47"/>
  <c r="Z148" i="47"/>
  <c r="Z149" i="47" s="1"/>
  <c r="D57" i="47"/>
  <c r="AG59" i="47"/>
  <c r="D77" i="20"/>
  <c r="C56" i="47"/>
  <c r="D78" i="20" s="1"/>
  <c r="C55" i="47"/>
  <c r="AA171" i="47" l="1"/>
  <c r="AB142" i="47"/>
  <c r="AB143" i="47" s="1"/>
  <c r="AB146" i="47" s="1"/>
  <c r="AA148" i="47"/>
  <c r="AA149" i="47" s="1"/>
  <c r="AB148" i="47" l="1"/>
  <c r="AB149" i="47" s="1"/>
  <c r="AB171" i="47"/>
  <c r="AC142" i="47"/>
  <c r="AC143" i="47" s="1"/>
  <c r="AC146" i="47" s="1"/>
  <c r="AC171" i="47" l="1"/>
  <c r="AC148" i="47"/>
  <c r="AC149" i="47" s="1"/>
  <c r="AD142" i="47"/>
  <c r="AD143" i="47" s="1"/>
  <c r="AD146" i="47" s="1"/>
  <c r="AD148" i="47" l="1"/>
  <c r="AD149" i="47" s="1"/>
  <c r="AE142" i="47"/>
  <c r="AE143" i="47" s="1"/>
  <c r="AE146" i="47" s="1"/>
  <c r="AD171" i="47"/>
  <c r="AE171" i="47" l="1"/>
  <c r="AE148" i="47"/>
  <c r="AE149" i="47" s="1"/>
  <c r="AF142" i="47"/>
  <c r="AF143" i="47" l="1"/>
  <c r="AF146" i="47" s="1"/>
  <c r="AF171" i="47" l="1"/>
  <c r="D175" i="47" s="1"/>
  <c r="AF148" i="47"/>
  <c r="AF149" i="47" s="1"/>
  <c r="C1" i="74" l="1"/>
  <c r="F1" i="55"/>
  <c r="J1" i="68"/>
  <c r="G1" i="60"/>
  <c r="C175" i="47"/>
  <c r="B177" i="47" s="1" a="1"/>
  <c r="B177" i="47" s="1"/>
  <c r="B1" i="72"/>
  <c r="C1" i="47"/>
  <c r="C1" i="20"/>
  <c r="B178" i="4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<sst xmlns="http://schemas.openxmlformats.org/spreadsheetml/2006/main" count="840" uniqueCount="594">
  <si>
    <t>Financial Template</t>
  </si>
  <si>
    <t>Instructions</t>
  </si>
  <si>
    <t>I.  Sheet Definitions</t>
  </si>
  <si>
    <t>A. Input Data -
    (1) Instructions and definitions are in Input Data Instructions.</t>
  </si>
  <si>
    <t xml:space="preserve">B. Results -  Summary Overview of Financial Results </t>
  </si>
  <si>
    <t>C. Financials - Statement of Cash Flows, Income Statement and Balance Sheet</t>
  </si>
  <si>
    <t>D. Capex - Capital Expenditures per asset
     Check Input Data Instructions for more details</t>
  </si>
  <si>
    <t>E. Depreciation
   (1) Book -  depreciation usually has a different life than tax and has its own schedule sheet
   (2) Tax - separate from book depreciation</t>
  </si>
  <si>
    <t>F. Other Expenses
    (1) O&amp;M - Operations &amp; Maintenaince of an asset once it is service
    (2) Property Tax - Schedule for Property Tax set in Input Data Instructions</t>
  </si>
  <si>
    <t>G. Revenue Requirement - Calculates the amount of revenue we must recover from customers
     (1) Rate Case - Choose Rate Case Year(s) that can be turned on in Input Data tab.</t>
  </si>
  <si>
    <t>H. LFCR -  Levelized Fixed Charge Rate
     (1) Shows how much the levelized charge rate is.</t>
  </si>
  <si>
    <t xml:space="preserve">I. Residential Bill Impact - Shows revenue requirement/rate effect based off 1000 KWh bill. </t>
  </si>
  <si>
    <t>II.  GENERAL INSTRUCTIONS</t>
  </si>
  <si>
    <r>
      <rPr>
        <b/>
        <sz val="11"/>
        <color indexed="8"/>
        <rFont val="Calibri"/>
        <family val="2"/>
      </rPr>
      <t>A. Fields to Complete</t>
    </r>
    <r>
      <rPr>
        <sz val="11"/>
        <rFont val="Calibri"/>
        <family val="2"/>
      </rPr>
      <t xml:space="preserve"> - All fields with a light yellow background are areas where data can be entered (which should read in a blue font color.) Please do not type anywhere that does not have a yellow background.</t>
    </r>
  </si>
  <si>
    <r>
      <rPr>
        <b/>
        <sz val="11"/>
        <color indexed="8"/>
        <rFont val="Calibri"/>
        <family val="2"/>
      </rPr>
      <t>B. Tabs to Complete</t>
    </r>
    <r>
      <rPr>
        <sz val="11"/>
        <rFont val="Calibri"/>
        <family val="2"/>
      </rPr>
      <t xml:space="preserve"> - Please fill out the 'Input Data' Tab.  Please provide any supplementary information in the 'Additional Data' Tab.</t>
    </r>
  </si>
  <si>
    <r>
      <rPr>
        <b/>
        <sz val="11"/>
        <color indexed="8"/>
        <rFont val="Calibri"/>
        <family val="2"/>
      </rPr>
      <t>C. Drop-down Menus</t>
    </r>
    <r>
      <rPr>
        <sz val="11"/>
        <rFont val="Calibri"/>
        <family val="2"/>
      </rPr>
      <t xml:space="preserve"> - Many of the inputs are formatted as a drop down menu (with light grey background). Please make a selection from the menu and </t>
    </r>
    <r>
      <rPr>
        <b/>
        <sz val="11"/>
        <color indexed="8"/>
        <rFont val="Calibri"/>
        <family val="2"/>
      </rPr>
      <t>do not attempt to re-format these cells</t>
    </r>
    <r>
      <rPr>
        <sz val="11"/>
        <rFont val="Calibri"/>
        <family val="2"/>
      </rPr>
      <t xml:space="preserve">. </t>
    </r>
  </si>
  <si>
    <r>
      <t xml:space="preserve">D. Number Values - </t>
    </r>
    <r>
      <rPr>
        <sz val="11"/>
        <color indexed="8"/>
        <rFont val="Calibri"/>
        <family val="2"/>
      </rPr>
      <t>All dollar values should be entered as whole numbers.</t>
    </r>
  </si>
  <si>
    <r>
      <t xml:space="preserve">E. Miscellaneous - </t>
    </r>
    <r>
      <rPr>
        <sz val="11"/>
        <color indexed="8"/>
        <rFont val="Calibri"/>
        <family val="2"/>
      </rPr>
      <t xml:space="preserve">Towards the bottom of the input data tab is a section (highlighted in a light red backround) that shows the IRR and average ROE based on your current assumptions.  You can use this to help adjust the revenue or expense inputs when targeting a hurdle rate.  </t>
    </r>
  </si>
  <si>
    <t>III.  INPUT DATA INSTRUCTIONS</t>
  </si>
  <si>
    <r>
      <rPr>
        <b/>
        <sz val="11"/>
        <color indexed="8"/>
        <rFont val="Calibri"/>
        <family val="2"/>
      </rPr>
      <t>A. General Information</t>
    </r>
    <r>
      <rPr>
        <sz val="11"/>
        <rFont val="Calibri"/>
        <family val="2"/>
      </rPr>
      <t xml:space="preserve"> - 
   </t>
    </r>
    <r>
      <rPr>
        <b/>
        <sz val="11"/>
        <rFont val="Calibri"/>
        <family val="2"/>
      </rPr>
      <t>(1)</t>
    </r>
    <r>
      <rPr>
        <sz val="11"/>
        <rFont val="Calibri"/>
        <family val="2"/>
      </rPr>
      <t xml:space="preserve"> Enter a general description for the project name [</t>
    </r>
    <r>
      <rPr>
        <sz val="11"/>
        <color indexed="10"/>
        <rFont val="Calibri"/>
        <family val="2"/>
      </rPr>
      <t>user input</t>
    </r>
    <r>
      <rPr>
        <sz val="11"/>
        <rFont val="Calibri"/>
        <family val="2"/>
      </rPr>
      <t xml:space="preserve">]
  </t>
    </r>
    <r>
      <rPr>
        <b/>
        <sz val="11"/>
        <rFont val="Calibri"/>
        <family val="2"/>
      </rPr>
      <t xml:space="preserve"> (2)</t>
    </r>
    <r>
      <rPr>
        <sz val="11"/>
        <rFont val="Calibri"/>
        <family val="2"/>
      </rPr>
      <t xml:space="preserve"> Enter your opportunity team name/number [</t>
    </r>
    <r>
      <rPr>
        <sz val="11"/>
        <color indexed="10"/>
        <rFont val="Calibri"/>
        <family val="2"/>
      </rPr>
      <t>user input</t>
    </r>
    <r>
      <rPr>
        <sz val="11"/>
        <rFont val="Calibri"/>
        <family val="2"/>
      </rPr>
      <t xml:space="preserve">]
  </t>
    </r>
    <r>
      <rPr>
        <b/>
        <sz val="11"/>
        <rFont val="Calibri"/>
        <family val="2"/>
      </rPr>
      <t xml:space="preserve"> (3)</t>
    </r>
    <r>
      <rPr>
        <sz val="11"/>
        <rFont val="Calibri"/>
        <family val="2"/>
      </rPr>
      <t xml:space="preserve"> Enter a contact person or persons [</t>
    </r>
    <r>
      <rPr>
        <sz val="11"/>
        <color indexed="10"/>
        <rFont val="Calibri"/>
        <family val="2"/>
      </rPr>
      <t>user input</t>
    </r>
    <r>
      <rPr>
        <sz val="11"/>
        <rFont val="Calibri"/>
        <family val="2"/>
      </rPr>
      <t>]</t>
    </r>
  </si>
  <si>
    <r>
      <rPr>
        <b/>
        <sz val="11"/>
        <color indexed="8"/>
        <rFont val="Calibri"/>
        <family val="2"/>
      </rPr>
      <t>B. Entity</t>
    </r>
    <r>
      <rPr>
        <sz val="11"/>
        <rFont val="Calibri"/>
        <family val="2"/>
      </rPr>
      <t xml:space="preserve"> - Select the entity from the drop-down menu. [</t>
    </r>
    <r>
      <rPr>
        <sz val="11"/>
        <color indexed="10"/>
        <rFont val="Calibri"/>
        <family val="2"/>
      </rPr>
      <t>drop down menu</t>
    </r>
    <r>
      <rPr>
        <sz val="11"/>
        <rFont val="Calibri"/>
        <family val="2"/>
      </rPr>
      <t>]</t>
    </r>
  </si>
  <si>
    <r>
      <rPr>
        <b/>
        <sz val="11"/>
        <color indexed="8"/>
        <rFont val="Calibri"/>
        <family val="2"/>
      </rPr>
      <t>C. Project Start Year</t>
    </r>
    <r>
      <rPr>
        <sz val="11"/>
        <rFont val="Calibri"/>
        <family val="2"/>
      </rPr>
      <t xml:space="preserve"> - Select the start year for the project. [</t>
    </r>
    <r>
      <rPr>
        <sz val="11"/>
        <color indexed="10"/>
        <rFont val="Calibri"/>
        <family val="2"/>
      </rPr>
      <t>user input</t>
    </r>
    <r>
      <rPr>
        <sz val="11"/>
        <rFont val="Calibri"/>
        <family val="2"/>
      </rPr>
      <t>]</t>
    </r>
  </si>
  <si>
    <r>
      <rPr>
        <b/>
        <sz val="11"/>
        <color indexed="8"/>
        <rFont val="Calibri"/>
        <family val="2"/>
      </rPr>
      <t>D. 1st Year of Earnings</t>
    </r>
    <r>
      <rPr>
        <sz val="11"/>
        <rFont val="Calibri"/>
        <family val="2"/>
      </rPr>
      <t xml:space="preserve"> - Select the year for the 1st year that revenue and expenses (besides capital expenditures) will be incurred. [</t>
    </r>
    <r>
      <rPr>
        <sz val="11"/>
        <color indexed="10"/>
        <rFont val="Calibri"/>
        <family val="2"/>
      </rPr>
      <t>user input</t>
    </r>
    <r>
      <rPr>
        <sz val="11"/>
        <rFont val="Calibri"/>
        <family val="2"/>
      </rPr>
      <t>]</t>
    </r>
  </si>
  <si>
    <r>
      <rPr>
        <b/>
        <sz val="11"/>
        <color indexed="8"/>
        <rFont val="Calibri"/>
        <family val="2"/>
      </rPr>
      <t>E. Total Years to Model</t>
    </r>
    <r>
      <rPr>
        <sz val="11"/>
        <rFont val="Calibri"/>
        <family val="2"/>
      </rPr>
      <t xml:space="preserve"> - select the number of years to model.  Entry can not be greater than 25. [</t>
    </r>
    <r>
      <rPr>
        <sz val="11"/>
        <color indexed="10"/>
        <rFont val="Calibri"/>
        <family val="2"/>
      </rPr>
      <t>user input</t>
    </r>
    <r>
      <rPr>
        <sz val="11"/>
        <rFont val="Calibri"/>
        <family val="2"/>
      </rPr>
      <t>]</t>
    </r>
  </si>
  <si>
    <r>
      <rPr>
        <b/>
        <sz val="11"/>
        <color indexed="8"/>
        <rFont val="Calibri"/>
        <family val="2"/>
      </rPr>
      <t>F. Years Modeled</t>
    </r>
    <r>
      <rPr>
        <sz val="11"/>
        <rFont val="Calibri"/>
        <family val="2"/>
      </rPr>
      <t xml:space="preserve"> - Based on Project Start Year (item C) and Term/Years Modeled (item E). (</t>
    </r>
    <r>
      <rPr>
        <b/>
        <sz val="11"/>
        <rFont val="Calibri"/>
        <family val="2"/>
      </rPr>
      <t>do not attempt to change cell</t>
    </r>
    <r>
      <rPr>
        <sz val="11"/>
        <rFont val="Calibri"/>
        <family val="2"/>
      </rPr>
      <t>)</t>
    </r>
  </si>
  <si>
    <r>
      <rPr>
        <b/>
        <sz val="11"/>
        <color indexed="8"/>
        <rFont val="Calibri"/>
        <family val="2"/>
      </rPr>
      <t>G. Capital Structure</t>
    </r>
    <r>
      <rPr>
        <sz val="11"/>
        <rFont val="Calibri"/>
        <family val="2"/>
      </rPr>
      <t xml:space="preserve"> - Management controlled entry (</t>
    </r>
    <r>
      <rPr>
        <b/>
        <sz val="11"/>
        <rFont val="Calibri"/>
        <family val="2"/>
      </rPr>
      <t>do not attempt to change cell</t>
    </r>
    <r>
      <rPr>
        <sz val="11"/>
        <rFont val="Calibri"/>
        <family val="2"/>
      </rPr>
      <t>).  Based on entity selected in Input Item B.</t>
    </r>
  </si>
  <si>
    <r>
      <rPr>
        <b/>
        <sz val="11"/>
        <color indexed="8"/>
        <rFont val="Calibri"/>
        <family val="2"/>
      </rPr>
      <t>H. Cost of Equity</t>
    </r>
    <r>
      <rPr>
        <sz val="11"/>
        <rFont val="Calibri"/>
        <family val="2"/>
      </rPr>
      <t xml:space="preserve"> - Management controlled entry (</t>
    </r>
    <r>
      <rPr>
        <b/>
        <sz val="11"/>
        <rFont val="Calibri"/>
        <family val="2"/>
      </rPr>
      <t>do not attempt to change cell</t>
    </r>
    <r>
      <rPr>
        <sz val="11"/>
        <rFont val="Calibri"/>
        <family val="2"/>
      </rPr>
      <t>).  Based on entity selected in Input Item B.</t>
    </r>
  </si>
  <si>
    <r>
      <rPr>
        <b/>
        <sz val="11"/>
        <color indexed="8"/>
        <rFont val="Calibri"/>
        <family val="2"/>
      </rPr>
      <t>I. Interest Rate on Debt</t>
    </r>
    <r>
      <rPr>
        <sz val="11"/>
        <rFont val="Calibri"/>
        <family val="2"/>
      </rPr>
      <t xml:space="preserve"> - Management controlled entry (</t>
    </r>
    <r>
      <rPr>
        <b/>
        <sz val="11"/>
        <rFont val="Calibri"/>
        <family val="2"/>
      </rPr>
      <t>do not attempt to change cell</t>
    </r>
    <r>
      <rPr>
        <sz val="11"/>
        <rFont val="Calibri"/>
        <family val="2"/>
      </rPr>
      <t xml:space="preserve">).  Based on entity selected in Input Item B.
   </t>
    </r>
    <r>
      <rPr>
        <b/>
        <sz val="11"/>
        <rFont val="Calibri"/>
        <family val="2"/>
      </rPr>
      <t>(1)</t>
    </r>
    <r>
      <rPr>
        <sz val="11"/>
        <rFont val="Calibri"/>
        <family val="2"/>
      </rPr>
      <t xml:space="preserve"> Use Average Debt Rate - Averages debt rate based on entity selected in Input Item B. [</t>
    </r>
    <r>
      <rPr>
        <sz val="11"/>
        <color rgb="FFFF0000"/>
        <rFont val="Calibri"/>
        <family val="2"/>
      </rPr>
      <t>user input</t>
    </r>
    <r>
      <rPr>
        <sz val="11"/>
        <rFont val="Calibri"/>
        <family val="2"/>
      </rPr>
      <t xml:space="preserve">]
  </t>
    </r>
    <r>
      <rPr>
        <b/>
        <sz val="11"/>
        <rFont val="Calibri"/>
        <family val="2"/>
      </rPr>
      <t xml:space="preserve"> (2)</t>
    </r>
    <r>
      <rPr>
        <sz val="11"/>
        <rFont val="Calibri"/>
        <family val="2"/>
      </rPr>
      <t xml:space="preserve"> Number of Years from Project Start Year - Choose what year interest starts accruing. [</t>
    </r>
    <r>
      <rPr>
        <sz val="11"/>
        <color rgb="FFFF0000"/>
        <rFont val="Calibri"/>
        <family val="2"/>
      </rPr>
      <t>user input</t>
    </r>
    <r>
      <rPr>
        <sz val="11"/>
        <rFont val="Calibri"/>
        <family val="2"/>
      </rPr>
      <t>]</t>
    </r>
  </si>
  <si>
    <r>
      <rPr>
        <b/>
        <sz val="11"/>
        <color indexed="8"/>
        <rFont val="Calibri"/>
        <family val="2"/>
      </rPr>
      <t>J. Property Tax</t>
    </r>
    <r>
      <rPr>
        <sz val="11"/>
        <rFont val="Calibri"/>
        <family val="2"/>
      </rPr>
      <t xml:space="preserve"> - 
   </t>
    </r>
    <r>
      <rPr>
        <b/>
        <sz val="11"/>
        <rFont val="Calibri"/>
        <family val="2"/>
      </rPr>
      <t xml:space="preserve"> (1) </t>
    </r>
    <r>
      <rPr>
        <sz val="11"/>
        <rFont val="Calibri"/>
        <family val="2"/>
      </rPr>
      <t>Ad Valorem Tax - Management controlled entry (</t>
    </r>
    <r>
      <rPr>
        <b/>
        <sz val="11"/>
        <rFont val="Calibri"/>
        <family val="2"/>
      </rPr>
      <t>do not attempt to change cell</t>
    </r>
    <r>
      <rPr>
        <sz val="11"/>
        <rFont val="Calibri"/>
        <family val="2"/>
      </rPr>
      <t>).  Based on entity selected in Input Item B and  Subject to Property Tax cell. [</t>
    </r>
    <r>
      <rPr>
        <sz val="11"/>
        <color rgb="FFFF0000"/>
        <rFont val="Calibri"/>
        <family val="2"/>
      </rPr>
      <t>user input</t>
    </r>
    <r>
      <rPr>
        <sz val="11"/>
        <rFont val="Calibri"/>
        <family val="2"/>
      </rPr>
      <t xml:space="preserve">]
    </t>
    </r>
    <r>
      <rPr>
        <b/>
        <sz val="11"/>
        <rFont val="Calibri"/>
        <family val="2"/>
      </rPr>
      <t>(2)</t>
    </r>
    <r>
      <rPr>
        <sz val="11"/>
        <rFont val="Calibri"/>
        <family val="2"/>
      </rPr>
      <t xml:space="preserve"> % of NBV subject to Property Tax Rate - Management controlled entry (</t>
    </r>
    <r>
      <rPr>
        <b/>
        <sz val="11"/>
        <rFont val="Calibri"/>
        <family val="2"/>
      </rPr>
      <t>do not attempt to change cell</t>
    </r>
    <r>
      <rPr>
        <sz val="11"/>
        <rFont val="Calibri"/>
        <family val="2"/>
      </rPr>
      <t>). Based on selection in Solar Property Tax Exemption. [</t>
    </r>
    <r>
      <rPr>
        <sz val="11"/>
        <color rgb="FFFF0000"/>
        <rFont val="Calibri"/>
        <family val="2"/>
      </rPr>
      <t>user input</t>
    </r>
    <r>
      <rPr>
        <sz val="11"/>
        <rFont val="Calibri"/>
        <family val="2"/>
      </rPr>
      <t xml:space="preserve">]
    </t>
    </r>
    <r>
      <rPr>
        <b/>
        <sz val="11"/>
        <rFont val="Calibri"/>
        <family val="2"/>
      </rPr>
      <t>(3)</t>
    </r>
    <r>
      <rPr>
        <sz val="11"/>
        <rFont val="Calibri"/>
        <family val="2"/>
      </rPr>
      <t xml:space="preserve"> Subject to Property Tax - Turn on if project being modeled is subject to property tax. [</t>
    </r>
    <r>
      <rPr>
        <sz val="11"/>
        <color rgb="FFFF0000"/>
        <rFont val="Calibri"/>
        <family val="2"/>
      </rPr>
      <t>user input</t>
    </r>
    <r>
      <rPr>
        <sz val="11"/>
        <rFont val="Calibri"/>
        <family val="2"/>
      </rPr>
      <t xml:space="preserve">]
    </t>
    </r>
    <r>
      <rPr>
        <b/>
        <sz val="11"/>
        <rFont val="Calibri"/>
        <family val="2"/>
      </rPr>
      <t>(4)</t>
    </r>
    <r>
      <rPr>
        <sz val="11"/>
        <rFont val="Calibri"/>
        <family val="2"/>
      </rPr>
      <t xml:space="preserve"> Solar Property Tax Exemption - Turn on only for solar projects. [</t>
    </r>
    <r>
      <rPr>
        <sz val="11"/>
        <color rgb="FFFF0000"/>
        <rFont val="Calibri"/>
        <family val="2"/>
      </rPr>
      <t>user input</t>
    </r>
    <r>
      <rPr>
        <sz val="11"/>
        <rFont val="Calibri"/>
        <family val="2"/>
      </rPr>
      <t>]</t>
    </r>
  </si>
  <si>
    <t>L. Bonus Depreciation - Management controlled entry (do not attempt to change cell).</t>
  </si>
  <si>
    <r>
      <rPr>
        <b/>
        <sz val="11"/>
        <color indexed="8"/>
        <rFont val="Calibri"/>
        <family val="2"/>
      </rPr>
      <t>M. Investment Tax Credit -</t>
    </r>
    <r>
      <rPr>
        <sz val="11"/>
        <rFont val="Calibri"/>
        <family val="2"/>
      </rPr>
      <t xml:space="preserve"> 
   </t>
    </r>
    <r>
      <rPr>
        <b/>
        <sz val="11"/>
        <rFont val="Calibri"/>
        <family val="2"/>
      </rPr>
      <t>(1)</t>
    </r>
    <r>
      <rPr>
        <sz val="11"/>
        <rFont val="Calibri"/>
        <family val="2"/>
      </rPr>
      <t xml:space="preserve"> ITC Rate - Management controlled entry (</t>
    </r>
    <r>
      <rPr>
        <b/>
        <sz val="11"/>
        <rFont val="Calibri"/>
        <family val="2"/>
      </rPr>
      <t>do not attempt to change cell</t>
    </r>
    <r>
      <rPr>
        <sz val="11"/>
        <rFont val="Calibri"/>
        <family val="2"/>
      </rPr>
      <t xml:space="preserve">).
   </t>
    </r>
    <r>
      <rPr>
        <b/>
        <sz val="11"/>
        <rFont val="Calibri"/>
        <family val="2"/>
      </rPr>
      <t>(2)</t>
    </r>
    <r>
      <rPr>
        <sz val="11"/>
        <rFont val="Calibri"/>
        <family val="2"/>
      </rPr>
      <t xml:space="preserve"> Reduction in Tax Basis - Management controlled entry (</t>
    </r>
    <r>
      <rPr>
        <b/>
        <sz val="11"/>
        <rFont val="Calibri"/>
        <family val="2"/>
      </rPr>
      <t>do not attempt to change cell</t>
    </r>
    <r>
      <rPr>
        <sz val="11"/>
        <rFont val="Calibri"/>
        <family val="2"/>
      </rPr>
      <t>).</t>
    </r>
  </si>
  <si>
    <r>
      <t xml:space="preserve">N. AFUDC
 (1) </t>
    </r>
    <r>
      <rPr>
        <sz val="11"/>
        <rFont val="Calibri"/>
        <family val="2"/>
      </rPr>
      <t>Input either 1 (</t>
    </r>
    <r>
      <rPr>
        <i/>
        <sz val="11"/>
        <rFont val="Calibri"/>
        <family val="2"/>
      </rPr>
      <t xml:space="preserve">turn on) </t>
    </r>
    <r>
      <rPr>
        <sz val="11"/>
        <rFont val="Calibri"/>
        <family val="2"/>
      </rPr>
      <t>or 0 (</t>
    </r>
    <r>
      <rPr>
        <i/>
        <sz val="11"/>
        <rFont val="Calibri"/>
        <family val="2"/>
      </rPr>
      <t xml:space="preserve">turn off) </t>
    </r>
    <r>
      <rPr>
        <sz val="11"/>
        <rFont val="Calibri"/>
        <family val="2"/>
      </rPr>
      <t>AFUDC calculations. [</t>
    </r>
    <r>
      <rPr>
        <sz val="11"/>
        <color rgb="FFFF0000"/>
        <rFont val="Calibri"/>
        <family val="2"/>
      </rPr>
      <t>user input</t>
    </r>
    <r>
      <rPr>
        <sz val="11"/>
        <rFont val="Calibri"/>
        <family val="2"/>
      </rPr>
      <t xml:space="preserve">]
 </t>
    </r>
    <r>
      <rPr>
        <b/>
        <sz val="11"/>
        <rFont val="Calibri"/>
        <family val="2"/>
      </rPr>
      <t>(2)</t>
    </r>
    <r>
      <rPr>
        <sz val="11"/>
        <rFont val="Calibri"/>
        <family val="2"/>
      </rPr>
      <t xml:space="preserve"> If pre-calculated AFUDC numbers are available, input in "</t>
    </r>
    <r>
      <rPr>
        <i/>
        <sz val="11"/>
        <rFont val="Calibri"/>
        <family val="2"/>
      </rPr>
      <t>CAPEX"</t>
    </r>
    <r>
      <rPr>
        <sz val="11"/>
        <rFont val="Calibri"/>
        <family val="2"/>
      </rPr>
      <t xml:space="preserve"> sheet (rows 60-69). [</t>
    </r>
    <r>
      <rPr>
        <sz val="11"/>
        <color rgb="FFFF0000"/>
        <rFont val="Calibri"/>
        <family val="2"/>
      </rPr>
      <t>user</t>
    </r>
    <r>
      <rPr>
        <sz val="11"/>
        <rFont val="Calibri"/>
        <family val="2"/>
      </rPr>
      <t xml:space="preserve"> </t>
    </r>
    <r>
      <rPr>
        <sz val="11"/>
        <color rgb="FFFF0000"/>
        <rFont val="Calibri"/>
        <family val="2"/>
      </rPr>
      <t>input</t>
    </r>
    <r>
      <rPr>
        <sz val="11"/>
        <rFont val="Calibri"/>
        <family val="2"/>
      </rPr>
      <t>]</t>
    </r>
  </si>
  <si>
    <r>
      <rPr>
        <b/>
        <sz val="11"/>
        <color indexed="8"/>
        <rFont val="Calibri"/>
        <family val="2"/>
      </rPr>
      <t>O. Tax Rate</t>
    </r>
    <r>
      <rPr>
        <sz val="11"/>
        <rFont val="Calibri"/>
        <family val="2"/>
      </rPr>
      <t xml:space="preserve"> - Management controlled entry (</t>
    </r>
    <r>
      <rPr>
        <b/>
        <sz val="11"/>
        <rFont val="Calibri"/>
        <family val="2"/>
      </rPr>
      <t>do not attempt to change cell</t>
    </r>
    <r>
      <rPr>
        <sz val="11"/>
        <rFont val="Calibri"/>
        <family val="2"/>
      </rPr>
      <t>).</t>
    </r>
  </si>
  <si>
    <r>
      <rPr>
        <b/>
        <sz val="11"/>
        <color indexed="8"/>
        <rFont val="Calibri"/>
        <family val="2"/>
      </rPr>
      <t>P. Financial Drivers</t>
    </r>
    <r>
      <rPr>
        <sz val="11"/>
        <rFont val="Calibri"/>
        <family val="2"/>
      </rPr>
      <t xml:space="preserve"> - Revenue
   </t>
    </r>
    <r>
      <rPr>
        <b/>
        <sz val="11"/>
        <rFont val="Calibri"/>
        <family val="2"/>
      </rPr>
      <t>(1)</t>
    </r>
    <r>
      <rPr>
        <sz val="11"/>
        <rFont val="Calibri"/>
        <family val="2"/>
      </rPr>
      <t xml:space="preserve">  Check the 1st box (LFCR) if revenue stream should be based on a levelized fixed charge rate.  By checking this box, you will override any revenue amounts manually entered in the section below (item (4)). [</t>
    </r>
    <r>
      <rPr>
        <sz val="11"/>
        <color indexed="10"/>
        <rFont val="Calibri"/>
        <family val="2"/>
      </rPr>
      <t>check the box entry</t>
    </r>
    <r>
      <rPr>
        <sz val="11"/>
        <rFont val="Calibri"/>
        <family val="2"/>
      </rPr>
      <t xml:space="preserve">]
   </t>
    </r>
    <r>
      <rPr>
        <b/>
        <sz val="11"/>
        <rFont val="Calibri"/>
        <family val="2"/>
      </rPr>
      <t>(2)</t>
    </r>
    <r>
      <rPr>
        <sz val="11"/>
        <rFont val="Calibri"/>
        <family val="2"/>
      </rPr>
      <t xml:space="preserve">  Check the 2nd box (ROE) if revenue stream should be based on earning at the allowed ROE each year.  By checking this box, you will override any revenue amounts derived by checking the LFCR box or manually entered in the section below (item (4)) [</t>
    </r>
    <r>
      <rPr>
        <sz val="11"/>
        <color indexed="10"/>
        <rFont val="Calibri"/>
        <family val="2"/>
      </rPr>
      <t>check the box entry</t>
    </r>
    <r>
      <rPr>
        <sz val="11"/>
        <rFont val="Calibri"/>
        <family val="2"/>
      </rPr>
      <t xml:space="preserve">]
   </t>
    </r>
    <r>
      <rPr>
        <b/>
        <sz val="11"/>
        <rFont val="Calibri"/>
        <family val="2"/>
      </rPr>
      <t xml:space="preserve">(3)  </t>
    </r>
    <r>
      <rPr>
        <sz val="11"/>
        <rFont val="Calibri"/>
        <family val="2"/>
      </rPr>
      <t xml:space="preserve">Check the 3rd box (Rate Base Recovery) if there are rate cases in your project year. By checking this box, you will override any revenue amounts derived by checking the LFCR box or manually entered in the section below (item (4)) 
   </t>
    </r>
    <r>
      <rPr>
        <b/>
        <sz val="11"/>
        <rFont val="Calibri"/>
        <family val="2"/>
      </rPr>
      <t>(4)</t>
    </r>
    <r>
      <rPr>
        <sz val="11"/>
        <rFont val="Calibri"/>
        <family val="2"/>
      </rPr>
      <t xml:space="preserve"> Enter the revenue amounts expected in 1st year of earnings. [</t>
    </r>
    <r>
      <rPr>
        <sz val="11"/>
        <color indexed="10"/>
        <rFont val="Calibri"/>
        <family val="2"/>
      </rPr>
      <t>user input</t>
    </r>
    <r>
      <rPr>
        <sz val="11"/>
        <rFont val="Calibri"/>
        <family val="2"/>
      </rPr>
      <t xml:space="preserve">]
   </t>
    </r>
    <r>
      <rPr>
        <b/>
        <sz val="11"/>
        <rFont val="Calibri"/>
        <family val="2"/>
      </rPr>
      <t>(5)</t>
    </r>
    <r>
      <rPr>
        <sz val="11"/>
        <rFont val="Calibri"/>
        <family val="2"/>
      </rPr>
      <t xml:space="preserve"> Enter an annual escalator (if applicable) in the second column.  [</t>
    </r>
    <r>
      <rPr>
        <sz val="11"/>
        <color indexed="10"/>
        <rFont val="Calibri"/>
        <family val="2"/>
      </rPr>
      <t>user input</t>
    </r>
    <r>
      <rPr>
        <sz val="11"/>
        <rFont val="Calibri"/>
        <family val="2"/>
      </rPr>
      <t xml:space="preserve">]
   </t>
    </r>
    <r>
      <rPr>
        <b/>
        <sz val="11"/>
        <rFont val="Calibri"/>
        <family val="2"/>
      </rPr>
      <t>(6)</t>
    </r>
    <r>
      <rPr>
        <sz val="11"/>
        <rFont val="Calibri"/>
        <family val="2"/>
      </rPr>
      <t xml:space="preserve"> Enter in the third column the year the annual escalator entered in the second column would begin.  [</t>
    </r>
    <r>
      <rPr>
        <sz val="11"/>
        <color indexed="10"/>
        <rFont val="Calibri"/>
        <family val="2"/>
      </rPr>
      <t>user input</t>
    </r>
    <r>
      <rPr>
        <sz val="11"/>
        <rFont val="Calibri"/>
        <family val="2"/>
      </rPr>
      <t xml:space="preserve">]
   </t>
    </r>
    <r>
      <rPr>
        <b/>
        <sz val="11"/>
        <rFont val="Calibri"/>
        <family val="2"/>
      </rPr>
      <t>(7)</t>
    </r>
    <r>
      <rPr>
        <sz val="11"/>
        <rFont val="Calibri"/>
        <family val="2"/>
      </rPr>
      <t xml:space="preserve"> Use additional columns to add an incremental lump sum increase or decrease over the prior year amount (if applicable) by putting in a dollar amount for the increase / (decrease) in the calendar year the increase / (decrease) would start. [</t>
    </r>
    <r>
      <rPr>
        <sz val="11"/>
        <color indexed="10"/>
        <rFont val="Calibri"/>
        <family val="2"/>
      </rPr>
      <t xml:space="preserve">user input </t>
    </r>
    <r>
      <rPr>
        <sz val="11"/>
        <rFont val="Calibri"/>
        <family val="2"/>
      </rPr>
      <t>]</t>
    </r>
  </si>
  <si>
    <r>
      <rPr>
        <b/>
        <sz val="11"/>
        <color indexed="8"/>
        <rFont val="Calibri"/>
        <family val="2"/>
      </rPr>
      <t xml:space="preserve">Q. Fuel Expenses - </t>
    </r>
    <r>
      <rPr>
        <sz val="11"/>
        <color indexed="8"/>
        <rFont val="Calibri"/>
        <family val="2"/>
      </rPr>
      <t>Expense</t>
    </r>
    <r>
      <rPr>
        <sz val="11"/>
        <rFont val="Calibri"/>
        <family val="2"/>
      </rPr>
      <t xml:space="preserve">
   </t>
    </r>
    <r>
      <rPr>
        <b/>
        <sz val="11"/>
        <rFont val="Calibri"/>
        <family val="2"/>
      </rPr>
      <t xml:space="preserve">(1) </t>
    </r>
    <r>
      <rPr>
        <sz val="11"/>
        <rFont val="Calibri"/>
        <family val="2"/>
      </rPr>
      <t xml:space="preserve"> Enter the expense amounts expected in 1st year of earnings. [</t>
    </r>
    <r>
      <rPr>
        <sz val="11"/>
        <color indexed="10"/>
        <rFont val="Calibri"/>
        <family val="2"/>
      </rPr>
      <t>user input</t>
    </r>
    <r>
      <rPr>
        <sz val="11"/>
        <rFont val="Calibri"/>
        <family val="2"/>
      </rPr>
      <t xml:space="preserve">]
   </t>
    </r>
    <r>
      <rPr>
        <b/>
        <sz val="11"/>
        <rFont val="Calibri"/>
        <family val="2"/>
      </rPr>
      <t>(2)</t>
    </r>
    <r>
      <rPr>
        <sz val="11"/>
        <rFont val="Calibri"/>
        <family val="2"/>
      </rPr>
      <t xml:space="preserve"> Enter an annual escalator (if applicable) in the second column.  [</t>
    </r>
    <r>
      <rPr>
        <sz val="11"/>
        <color indexed="10"/>
        <rFont val="Calibri"/>
        <family val="2"/>
      </rPr>
      <t>user input</t>
    </r>
    <r>
      <rPr>
        <sz val="11"/>
        <rFont val="Calibri"/>
        <family val="2"/>
      </rPr>
      <t xml:space="preserve">]
   </t>
    </r>
    <r>
      <rPr>
        <b/>
        <sz val="11"/>
        <rFont val="Calibri"/>
        <family val="2"/>
      </rPr>
      <t>(3)</t>
    </r>
    <r>
      <rPr>
        <sz val="11"/>
        <rFont val="Calibri"/>
        <family val="2"/>
      </rPr>
      <t xml:space="preserve">  Enter in the third column the year the annual escalator entered in the second column would begin. [</t>
    </r>
    <r>
      <rPr>
        <sz val="11"/>
        <color indexed="10"/>
        <rFont val="Calibri"/>
        <family val="2"/>
      </rPr>
      <t>user input</t>
    </r>
    <r>
      <rPr>
        <sz val="11"/>
        <rFont val="Calibri"/>
        <family val="2"/>
      </rPr>
      <t xml:space="preserve">]
   </t>
    </r>
    <r>
      <rPr>
        <b/>
        <sz val="11"/>
        <rFont val="Calibri"/>
        <family val="2"/>
      </rPr>
      <t>(4)</t>
    </r>
    <r>
      <rPr>
        <sz val="11"/>
        <rFont val="Calibri"/>
        <family val="2"/>
      </rPr>
      <t xml:space="preserve"> Use additional columns to add an incremental lump sum increase or decrease over the prior year amount (if applicable) by putting in a dollar amount for the increase / (decrease) and a calendar year from the drop down menu for when this increase / (decrease) would start. [</t>
    </r>
    <r>
      <rPr>
        <sz val="11"/>
        <color indexed="10"/>
        <rFont val="Calibri"/>
        <family val="2"/>
      </rPr>
      <t>user input</t>
    </r>
    <r>
      <rPr>
        <sz val="11"/>
        <rFont val="Calibri"/>
        <family val="2"/>
      </rPr>
      <t>]</t>
    </r>
  </si>
  <si>
    <r>
      <rPr>
        <b/>
        <sz val="11"/>
        <color indexed="8"/>
        <rFont val="Calibri"/>
        <family val="2"/>
      </rPr>
      <t>R. MWh Assumptions for Solar</t>
    </r>
    <r>
      <rPr>
        <sz val="11"/>
        <rFont val="Calibri"/>
        <family val="2"/>
      </rPr>
      <t xml:space="preserve">
   </t>
    </r>
    <r>
      <rPr>
        <b/>
        <sz val="11"/>
        <rFont val="Calibri"/>
        <family val="2"/>
      </rPr>
      <t>(1)</t>
    </r>
    <r>
      <rPr>
        <sz val="11"/>
        <rFont val="Calibri"/>
        <family val="2"/>
      </rPr>
      <t xml:space="preserve"> Enter the MW-AC (if applicable). [</t>
    </r>
    <r>
      <rPr>
        <sz val="11"/>
        <color indexed="10"/>
        <rFont val="Calibri"/>
        <family val="2"/>
      </rPr>
      <t>user input</t>
    </r>
    <r>
      <rPr>
        <sz val="11"/>
        <rFont val="Calibri"/>
        <family val="2"/>
      </rPr>
      <t xml:space="preserve">]
   </t>
    </r>
    <r>
      <rPr>
        <b/>
        <sz val="11"/>
        <rFont val="Calibri"/>
        <family val="2"/>
      </rPr>
      <t>(2)</t>
    </r>
    <r>
      <rPr>
        <sz val="11"/>
        <rFont val="Calibri"/>
        <family val="2"/>
      </rPr>
      <t xml:space="preserve"> Enter the capacity factor.  [</t>
    </r>
    <r>
      <rPr>
        <sz val="11"/>
        <color indexed="10"/>
        <rFont val="Calibri"/>
        <family val="2"/>
      </rPr>
      <t>user input</t>
    </r>
    <r>
      <rPr>
        <sz val="11"/>
        <rFont val="Calibri"/>
        <family val="2"/>
      </rPr>
      <t xml:space="preserve">]
   </t>
    </r>
    <r>
      <rPr>
        <b/>
        <sz val="11"/>
        <rFont val="Calibri"/>
        <family val="2"/>
      </rPr>
      <t>(3)</t>
    </r>
    <r>
      <rPr>
        <sz val="11"/>
        <rFont val="Calibri"/>
        <family val="2"/>
      </rPr>
      <t xml:space="preserve"> Enter the degradation (if applicable) [</t>
    </r>
    <r>
      <rPr>
        <sz val="11"/>
        <color indexed="10"/>
        <rFont val="Calibri"/>
        <family val="2"/>
      </rPr>
      <t>user input</t>
    </r>
    <r>
      <rPr>
        <sz val="11"/>
        <rFont val="Calibri"/>
        <family val="2"/>
      </rPr>
      <t xml:space="preserve">]
  </t>
    </r>
  </si>
  <si>
    <t>IV.  Capital Expenditures</t>
  </si>
  <si>
    <r>
      <t xml:space="preserve">   </t>
    </r>
    <r>
      <rPr>
        <b/>
        <sz val="11"/>
        <rFont val="Calibri"/>
        <family val="2"/>
      </rPr>
      <t>(1)</t>
    </r>
    <r>
      <rPr>
        <sz val="11"/>
        <rFont val="Calibri"/>
        <family val="2"/>
      </rPr>
      <t xml:space="preserve"> Enter a description for the asset. [</t>
    </r>
    <r>
      <rPr>
        <sz val="11"/>
        <color indexed="10"/>
        <rFont val="Calibri"/>
        <family val="2"/>
      </rPr>
      <t>user input</t>
    </r>
    <r>
      <rPr>
        <sz val="11"/>
        <rFont val="Calibri"/>
        <family val="2"/>
      </rPr>
      <t xml:space="preserve">]
   </t>
    </r>
    <r>
      <rPr>
        <b/>
        <sz val="11"/>
        <rFont val="Calibri"/>
        <family val="2"/>
      </rPr>
      <t>(2)</t>
    </r>
    <r>
      <rPr>
        <sz val="11"/>
        <rFont val="Calibri"/>
        <family val="2"/>
      </rPr>
      <t xml:space="preserve"> Select a year the capital dollar is being spent and enter the capital expenditure amount by year for each asset type. </t>
    </r>
    <r>
      <rPr>
        <i/>
        <sz val="11"/>
        <rFont val="Calibri"/>
        <family val="2"/>
      </rPr>
      <t>Note: make sure that year(s) are at least equal or greater than the year selected in Item C above (Project Start Year).</t>
    </r>
    <r>
      <rPr>
        <sz val="11"/>
        <rFont val="Calibri"/>
        <family val="2"/>
      </rPr>
      <t xml:space="preserve"> [</t>
    </r>
    <r>
      <rPr>
        <sz val="11"/>
        <color indexed="10"/>
        <rFont val="Calibri"/>
        <family val="2"/>
      </rPr>
      <t>user input</t>
    </r>
    <r>
      <rPr>
        <sz val="11"/>
        <rFont val="Calibri"/>
        <family val="2"/>
      </rPr>
      <t xml:space="preserve">]
   </t>
    </r>
    <r>
      <rPr>
        <b/>
        <sz val="11"/>
        <rFont val="Calibri"/>
        <family val="2"/>
      </rPr>
      <t>(3)</t>
    </r>
    <r>
      <rPr>
        <sz val="11"/>
        <rFont val="Calibri"/>
        <family val="2"/>
      </rPr>
      <t xml:space="preserve"> Select the In-service year from the drop-down menu.  </t>
    </r>
    <r>
      <rPr>
        <i/>
        <sz val="11"/>
        <rFont val="Calibri"/>
        <family val="2"/>
      </rPr>
      <t>Note that the In-service year must be equal to or greater than the year selected in Input Item D above(1st Year of Earnings)</t>
    </r>
    <r>
      <rPr>
        <sz val="11"/>
        <rFont val="Calibri"/>
        <family val="2"/>
      </rPr>
      <t>. [</t>
    </r>
    <r>
      <rPr>
        <sz val="11"/>
        <color indexed="10"/>
        <rFont val="Calibri"/>
        <family val="2"/>
      </rPr>
      <t>user input</t>
    </r>
    <r>
      <rPr>
        <sz val="11"/>
        <rFont val="Calibri"/>
        <family val="2"/>
      </rPr>
      <t xml:space="preserve">]
   </t>
    </r>
    <r>
      <rPr>
        <b/>
        <sz val="11"/>
        <rFont val="Calibri"/>
        <family val="2"/>
      </rPr>
      <t>(4)</t>
    </r>
    <r>
      <rPr>
        <sz val="11"/>
        <rFont val="Calibri"/>
        <family val="2"/>
      </rPr>
      <t xml:space="preserve"> Enter the amount of months asset is in service during first year </t>
    </r>
    <r>
      <rPr>
        <b/>
        <sz val="11"/>
        <rFont val="Calibri"/>
        <family val="2"/>
      </rPr>
      <t>(if applicable</t>
    </r>
    <r>
      <rPr>
        <sz val="11"/>
        <rFont val="Calibri"/>
        <family val="2"/>
      </rPr>
      <t>) [</t>
    </r>
    <r>
      <rPr>
        <sz val="11"/>
        <color rgb="FFFF0000"/>
        <rFont val="Calibri"/>
        <family val="2"/>
      </rPr>
      <t>user input</t>
    </r>
    <r>
      <rPr>
        <sz val="11"/>
        <rFont val="Calibri"/>
        <family val="2"/>
      </rPr>
      <t xml:space="preserve">]
   </t>
    </r>
    <r>
      <rPr>
        <b/>
        <sz val="11"/>
        <rFont val="Calibri"/>
        <family val="2"/>
      </rPr>
      <t>(5)</t>
    </r>
    <r>
      <rPr>
        <sz val="11"/>
        <rFont val="Calibri"/>
        <family val="2"/>
      </rPr>
      <t xml:space="preserve"> Enter book life of the asset. [</t>
    </r>
    <r>
      <rPr>
        <sz val="11"/>
        <color rgb="FFFF0000"/>
        <rFont val="Calibri"/>
        <family val="2"/>
      </rPr>
      <t>user input</t>
    </r>
    <r>
      <rPr>
        <sz val="11"/>
        <rFont val="Calibri"/>
        <family val="2"/>
      </rPr>
      <t xml:space="preserve">]
   </t>
    </r>
    <r>
      <rPr>
        <b/>
        <sz val="11"/>
        <rFont val="Calibri"/>
        <family val="2"/>
      </rPr>
      <t>(6)</t>
    </r>
    <r>
      <rPr>
        <sz val="11"/>
        <rFont val="Calibri"/>
        <family val="2"/>
      </rPr>
      <t xml:space="preserve"> Enter tax life of the asset. [</t>
    </r>
    <r>
      <rPr>
        <sz val="11"/>
        <color rgb="FFFF0000"/>
        <rFont val="Calibri"/>
        <family val="2"/>
      </rPr>
      <t>user input</t>
    </r>
    <r>
      <rPr>
        <sz val="11"/>
        <rFont val="Calibri"/>
        <family val="2"/>
      </rPr>
      <t xml:space="preserve">]
  </t>
    </r>
    <r>
      <rPr>
        <b/>
        <sz val="11"/>
        <rFont val="Calibri"/>
        <family val="2"/>
      </rPr>
      <t xml:space="preserve"> (7)</t>
    </r>
    <r>
      <rPr>
        <sz val="11"/>
        <rFont val="Calibri"/>
        <family val="2"/>
      </rPr>
      <t xml:space="preserve"> Project Qualifies for ITC [</t>
    </r>
    <r>
      <rPr>
        <b/>
        <u/>
        <sz val="11"/>
        <color indexed="60"/>
        <rFont val="Calibri"/>
        <family val="2"/>
      </rPr>
      <t>NOTE: Please contact the Core Team before enabling ITC</t>
    </r>
    <r>
      <rPr>
        <sz val="11"/>
        <rFont val="Calibri"/>
        <family val="2"/>
      </rPr>
      <t>] - select either "Y" if project qualifies for ITC or "N" if it doesn't from the drop down menu. [</t>
    </r>
    <r>
      <rPr>
        <sz val="11"/>
        <color indexed="10"/>
        <rFont val="Calibri"/>
        <family val="2"/>
      </rPr>
      <t>user input</t>
    </r>
    <r>
      <rPr>
        <sz val="11"/>
        <rFont val="Calibri"/>
        <family val="2"/>
      </rPr>
      <t xml:space="preserve">]
   </t>
    </r>
    <r>
      <rPr>
        <b/>
        <sz val="11"/>
        <rFont val="Calibri"/>
        <family val="2"/>
      </rPr>
      <t>(8)</t>
    </r>
    <r>
      <rPr>
        <sz val="11"/>
        <rFont val="Calibri"/>
        <family val="2"/>
      </rPr>
      <t xml:space="preserve"> AFUDC By Year - Enter AFUDC amount by year [</t>
    </r>
    <r>
      <rPr>
        <sz val="11"/>
        <color rgb="FFFF0000"/>
        <rFont val="Calibri"/>
        <family val="2"/>
      </rPr>
      <t>user input</t>
    </r>
    <r>
      <rPr>
        <sz val="11"/>
        <rFont val="Calibri"/>
        <family val="2"/>
      </rPr>
      <t>]</t>
    </r>
  </si>
  <si>
    <t>IV.  O&amp;M</t>
  </si>
  <si>
    <r>
      <t xml:space="preserve"> (1)  Enter a description for the asset incurring O&amp;M. [</t>
    </r>
    <r>
      <rPr>
        <sz val="11"/>
        <color rgb="FFFF0000"/>
        <rFont val="Calibri"/>
        <family val="2"/>
        <scheme val="minor"/>
      </rPr>
      <t>user input</t>
    </r>
    <r>
      <rPr>
        <sz val="11"/>
        <rFont val="Calibri"/>
        <family val="2"/>
        <scheme val="minor"/>
      </rPr>
      <t>]</t>
    </r>
  </si>
  <si>
    <r>
      <t xml:space="preserve"> (2)  Enter growth rate of O&amp;M. [</t>
    </r>
    <r>
      <rPr>
        <sz val="11"/>
        <color rgb="FFFF0000"/>
        <rFont val="Calibri"/>
        <family val="2"/>
        <scheme val="minor"/>
      </rPr>
      <t>user input</t>
    </r>
    <r>
      <rPr>
        <sz val="11"/>
        <rFont val="Calibri"/>
        <family val="2"/>
        <scheme val="minor"/>
      </rPr>
      <t>]</t>
    </r>
  </si>
  <si>
    <r>
      <t xml:space="preserve"> (3)  Select what the year O&amp;M starts. [</t>
    </r>
    <r>
      <rPr>
        <sz val="11"/>
        <color rgb="FFFF0000"/>
        <rFont val="Calibri"/>
        <family val="2"/>
        <scheme val="minor"/>
      </rPr>
      <t>user input</t>
    </r>
    <r>
      <rPr>
        <sz val="11"/>
        <rFont val="Calibri"/>
        <family val="2"/>
        <scheme val="minor"/>
      </rPr>
      <t>]</t>
    </r>
  </si>
  <si>
    <t>light yellow background = manual input / check box</t>
  </si>
  <si>
    <t>light grey background = drop down menu</t>
  </si>
  <si>
    <t>Click button once all data/inputs are entered</t>
  </si>
  <si>
    <t>Note:  button can also be found in Financials tab (cell B1/B2)</t>
  </si>
  <si>
    <t>blue = management controlled input</t>
  </si>
  <si>
    <t>black = calculated</t>
  </si>
  <si>
    <t>A.</t>
  </si>
  <si>
    <t>General Information</t>
  </si>
  <si>
    <t>Project Tampa - Midtown (Updated Costs Sept 2022)</t>
  </si>
  <si>
    <t>Project Tampa</t>
  </si>
  <si>
    <t>Juan Villa</t>
  </si>
  <si>
    <t>B.</t>
  </si>
  <si>
    <t>Entity</t>
  </si>
  <si>
    <t>TEC</t>
  </si>
  <si>
    <t>C.</t>
  </si>
  <si>
    <t>Project Start Year</t>
  </si>
  <si>
    <t>D.</t>
  </si>
  <si>
    <t>1st Year of Earnings</t>
  </si>
  <si>
    <t>E.</t>
  </si>
  <si>
    <t>Additional Years Modeled after Start Year</t>
  </si>
  <si>
    <t>Total Years to Model</t>
  </si>
  <si>
    <t>F.</t>
  </si>
  <si>
    <t>Years Modeled</t>
  </si>
  <si>
    <t>G.</t>
  </si>
  <si>
    <t>Capital Structure</t>
  </si>
  <si>
    <t>Equity</t>
  </si>
  <si>
    <t>Debt</t>
  </si>
  <si>
    <t>H.</t>
  </si>
  <si>
    <t>Cost of Equity</t>
  </si>
  <si>
    <t>I.</t>
  </si>
  <si>
    <t>Interest Rate on Debt</t>
  </si>
  <si>
    <t>Use Average Debt Rate</t>
  </si>
  <si>
    <t>Y</t>
  </si>
  <si>
    <t>Number of Years from Project Start Year</t>
  </si>
  <si>
    <t>J.</t>
  </si>
  <si>
    <t>Property Tax</t>
  </si>
  <si>
    <t>Ad Valorem Tax - % of capital investment</t>
  </si>
  <si>
    <t>Subject to Property Tax</t>
  </si>
  <si>
    <t>% of NBV subject to Property Tax Rate</t>
  </si>
  <si>
    <t>Solar Property Tax Exemption</t>
  </si>
  <si>
    <t>N</t>
  </si>
  <si>
    <t>K.</t>
  </si>
  <si>
    <t>Capital Expenditures</t>
  </si>
  <si>
    <t>See "CAPEX" tab for data input</t>
  </si>
  <si>
    <t>L.</t>
  </si>
  <si>
    <t>Bonus Depreciation</t>
  </si>
  <si>
    <t>Bonus Deprciation Rate</t>
  </si>
  <si>
    <t>M.</t>
  </si>
  <si>
    <t>Investment Tax Credit (ITC)</t>
  </si>
  <si>
    <t>ITC Rate</t>
  </si>
  <si>
    <t>Reduction in Tax Basis</t>
  </si>
  <si>
    <t>Cash Utilization of ITC</t>
  </si>
  <si>
    <t>N.</t>
  </si>
  <si>
    <t>AFUDC</t>
  </si>
  <si>
    <t>Eligibility</t>
  </si>
  <si>
    <t>AFUDC Rate</t>
  </si>
  <si>
    <t>Effective Tax Rate with Changes in Federal and Stat Rates</t>
  </si>
  <si>
    <t>Pre-2019</t>
  </si>
  <si>
    <t>2019-2021</t>
  </si>
  <si>
    <t>2022-Forward</t>
  </si>
  <si>
    <t>O.</t>
  </si>
  <si>
    <t>Tax Rate</t>
  </si>
  <si>
    <t>Tax Rate on AFUDC</t>
  </si>
  <si>
    <t>P.</t>
  </si>
  <si>
    <t>Revenue (Incremental):</t>
  </si>
  <si>
    <t>Year 1 Mid-Year Earnings</t>
  </si>
  <si>
    <t>LFCR - Revenue Based on Levelized Fixed Charge Rate</t>
  </si>
  <si>
    <t>Note:  checking the box overrides the revenue inputs below in the model</t>
  </si>
  <si>
    <t>Levelized Rev. Requirement</t>
  </si>
  <si>
    <t>Levelized Rate</t>
  </si>
  <si>
    <t>ROE - Revenue Based on Allowed ROE Each Year</t>
  </si>
  <si>
    <t>Note:  checking here overrides LFCR above and revenue inputs below in the model</t>
  </si>
  <si>
    <t>Base Rate Recovery (i.e., Rate Case recovery)</t>
  </si>
  <si>
    <t>Assumed Rate Case Years</t>
  </si>
  <si>
    <t>Note:  2020 Strat Plan estimated "Rate Case(s)" in 2022-2025</t>
  </si>
  <si>
    <t>Years between Future Rate Cases</t>
  </si>
  <si>
    <t>Customer Growth (Base Revenue)</t>
  </si>
  <si>
    <t>Additional Incremental Revenue Increase (Decrease)</t>
  </si>
  <si>
    <t>Annual Escalator</t>
  </si>
  <si>
    <t>Year to Start Escalator</t>
  </si>
  <si>
    <t>Base Revenue (Reduction)</t>
  </si>
  <si>
    <t>Q.</t>
  </si>
  <si>
    <t>Fuel Expenses (Incremental):</t>
  </si>
  <si>
    <t>Additional Incremental ExpenseIncrease (Decrease)</t>
  </si>
  <si>
    <t>Fuel Expense (Savings)</t>
  </si>
  <si>
    <t>R.</t>
  </si>
  <si>
    <t>MWh Assumptions for Solar:</t>
  </si>
  <si>
    <t>MW-AC (if applicable)</t>
  </si>
  <si>
    <t>Capacity Factor</t>
  </si>
  <si>
    <t>Degradation (if applicable)</t>
  </si>
  <si>
    <t>Avalable Capacity</t>
  </si>
  <si>
    <t>S.</t>
  </si>
  <si>
    <t>Use IRR or MIRR</t>
  </si>
  <si>
    <t>Current Results (Unlevered)</t>
  </si>
  <si>
    <t>IRR</t>
  </si>
  <si>
    <t>Average ROE</t>
  </si>
  <si>
    <t>Current Results (Levered)</t>
  </si>
  <si>
    <t>Do Not Erase - used to populate above assumptions</t>
  </si>
  <si>
    <t>Entities</t>
  </si>
  <si>
    <t>PGS</t>
  </si>
  <si>
    <t>Other</t>
  </si>
  <si>
    <t>TEC/PGS</t>
  </si>
  <si>
    <t>&lt;---  Last Year to Average</t>
  </si>
  <si>
    <t>10 Year Rate</t>
  </si>
  <si>
    <t>Interest Rate</t>
  </si>
  <si>
    <t>30 Year Rate</t>
  </si>
  <si>
    <t>Note to interest rates:</t>
  </si>
  <si>
    <t>(1) Rates for TEC/PGS provided by Emera Treasury (Susan Joudrey 8/12/2022)</t>
  </si>
  <si>
    <t>(2) For "Other" (i.e., non-reg) -  added 50bps to TEC rates.</t>
  </si>
  <si>
    <t>Allowed ROE</t>
  </si>
  <si>
    <t>&lt;---  For Unreg. Projects, levered IRR needs to be 12% or greater</t>
  </si>
  <si>
    <t>Equity %</t>
  </si>
  <si>
    <t>&lt;---  For Unreg. Projects, cap structure per Emera Commercial Investment</t>
  </si>
  <si>
    <t>Rate Cases</t>
  </si>
  <si>
    <t>Project Team:</t>
  </si>
  <si>
    <t>Total Capital Spend ($ M)</t>
  </si>
  <si>
    <t>Term of Analysis</t>
  </si>
  <si>
    <t>Earnings Start Year</t>
  </si>
  <si>
    <t>Weighted Average Cost of Capital</t>
  </si>
  <si>
    <t>Weighted</t>
  </si>
  <si>
    <t>Pre-tax</t>
  </si>
  <si>
    <t>Post Tax</t>
  </si>
  <si>
    <t>WACC</t>
  </si>
  <si>
    <t>Project IRR / NPV</t>
  </si>
  <si>
    <t>IRR w/o T.V.</t>
  </si>
  <si>
    <t>NPV w/o T.V. ($M)</t>
  </si>
  <si>
    <t>IRR w/ T.V.</t>
  </si>
  <si>
    <t>NPV w/ T.V. ($M)</t>
  </si>
  <si>
    <t>Financial Impacts:</t>
  </si>
  <si>
    <t>Earning Year</t>
  </si>
  <si>
    <t>Average</t>
  </si>
  <si>
    <t>Calendar Year</t>
  </si>
  <si>
    <t>Over Term</t>
  </si>
  <si>
    <t>Average Return on Equity - Regulated</t>
  </si>
  <si>
    <t>Average Return on Equity - Market</t>
  </si>
  <si>
    <t>Revenue Requirement ($ M)</t>
  </si>
  <si>
    <t>Non-Fuel Revenue Requirement ($M)</t>
  </si>
  <si>
    <t>Incremental Fuel Impact ($ M)</t>
  </si>
  <si>
    <t>Net Income ($ M)</t>
  </si>
  <si>
    <t>Net Income - excluding AFUDC ($ M)</t>
  </si>
  <si>
    <t>Residential Rate Impact:</t>
  </si>
  <si>
    <t>Over 5 Years</t>
  </si>
  <si>
    <t>Current Rate Forecast</t>
  </si>
  <si>
    <t>Estimated Rate with Project</t>
  </si>
  <si>
    <t>Rate Impact</t>
  </si>
  <si>
    <t>Over 10 Years</t>
  </si>
  <si>
    <t>Assumptions:</t>
  </si>
  <si>
    <t>Projected Financial Summary by Year</t>
  </si>
  <si>
    <t>Term:</t>
  </si>
  <si>
    <t>Total</t>
  </si>
  <si>
    <t>UNLEVERED FREE CASH FLOW AND IRR</t>
  </si>
  <si>
    <t>Revenue:</t>
  </si>
  <si>
    <t>Base Revenue</t>
  </si>
  <si>
    <t>Fuel Revenue</t>
  </si>
  <si>
    <t>Project Revenue</t>
  </si>
  <si>
    <t>Revenue - LFCR</t>
  </si>
  <si>
    <t>Revenue - ROE Based</t>
  </si>
  <si>
    <t>Total Revenue</t>
  </si>
  <si>
    <t>Expenses:</t>
  </si>
  <si>
    <t>Fuel</t>
  </si>
  <si>
    <t>O&amp;M Expense</t>
  </si>
  <si>
    <t>Depreciation, Book</t>
  </si>
  <si>
    <t>Property Taxes</t>
  </si>
  <si>
    <t>Total Expenses</t>
  </si>
  <si>
    <t>Operating Income b/f income tax</t>
  </si>
  <si>
    <t>Income Tax Current</t>
  </si>
  <si>
    <t>Income Tax Deferred</t>
  </si>
  <si>
    <t>Operating Income After Tax</t>
  </si>
  <si>
    <t>Add: Depreciation, Book</t>
  </si>
  <si>
    <t>Add: Deferred Taxes</t>
  </si>
  <si>
    <t>Add: Investment Tax Credit - Generated</t>
  </si>
  <si>
    <t>Less:  Gross Capital Investment</t>
  </si>
  <si>
    <t>After-tax Net Cash Flow</t>
  </si>
  <si>
    <t>Cumulative</t>
  </si>
  <si>
    <t>Payback (Years)</t>
  </si>
  <si>
    <t>Net Present Value</t>
  </si>
  <si>
    <t xml:space="preserve"> Internal Rate of Return </t>
  </si>
  <si>
    <t>Asset's terminal value (TV)</t>
  </si>
  <si>
    <t>Net Cash Flow with (TV)</t>
  </si>
  <si>
    <t>Net Present Value (TV)</t>
  </si>
  <si>
    <t xml:space="preserve"> Internal Rate of Return (TV)</t>
  </si>
  <si>
    <t>LEVERED FREE CASH FLOW AND IRR</t>
  </si>
  <si>
    <t>Unlevered Free Cash Flow</t>
  </si>
  <si>
    <t>Debt Financing</t>
  </si>
  <si>
    <t>Interest Expense</t>
  </si>
  <si>
    <t>Addback Unlevered Taxes</t>
  </si>
  <si>
    <t>Effective Taxes</t>
  </si>
  <si>
    <t>Levered Free Cash Flow</t>
  </si>
  <si>
    <t>Asset Terminal Value</t>
  </si>
  <si>
    <t>Levered Free Cash Flow with Terminal Value</t>
  </si>
  <si>
    <t>Net Present Value (with TV)</t>
  </si>
  <si>
    <t xml:space="preserve"> Internal Rate of Return (with TV)</t>
  </si>
  <si>
    <t>Net Income</t>
  </si>
  <si>
    <t>Net Income (Excluding AFUDC)</t>
  </si>
  <si>
    <t>Return on Investment (net FA)</t>
  </si>
  <si>
    <t>Revenue Requirement</t>
  </si>
  <si>
    <t>Non-fuel Revenue Requirement</t>
  </si>
  <si>
    <t>Net Present Value Rate (Post-Tax WACC)</t>
  </si>
  <si>
    <t>INCOME STATEMENT</t>
  </si>
  <si>
    <t>Total Net Revenue</t>
  </si>
  <si>
    <t xml:space="preserve"> </t>
  </si>
  <si>
    <t>O&amp;M Expense (cost of service)</t>
  </si>
  <si>
    <t>Income before income tax</t>
  </si>
  <si>
    <t>Income Tax - ITC Amortization</t>
  </si>
  <si>
    <t>Net Income After  Tax</t>
  </si>
  <si>
    <t>EBITDA</t>
  </si>
  <si>
    <t>Deferred Tax</t>
  </si>
  <si>
    <t>Book Depreciation</t>
  </si>
  <si>
    <t>Tax Depreciation</t>
  </si>
  <si>
    <t>Difference</t>
  </si>
  <si>
    <t>Perm Basis Difference</t>
  </si>
  <si>
    <t>Differences - Total</t>
  </si>
  <si>
    <t>Deferred Tax Expense</t>
  </si>
  <si>
    <t>BALANCE SHEET</t>
  </si>
  <si>
    <t>ASSETS</t>
  </si>
  <si>
    <t>Fixed Assets:</t>
  </si>
  <si>
    <t>Gross Plant</t>
  </si>
  <si>
    <t>Beginning Balance</t>
  </si>
  <si>
    <t>Additions</t>
  </si>
  <si>
    <t>Total Plant</t>
  </si>
  <si>
    <t>Accumulated Depreciation</t>
  </si>
  <si>
    <t>Depreciation Expense</t>
  </si>
  <si>
    <t>Total Accum. Depreciation</t>
  </si>
  <si>
    <t>CWIP</t>
  </si>
  <si>
    <t>Fixed Assets Net</t>
  </si>
  <si>
    <t>Other Assets</t>
  </si>
  <si>
    <t>Total Assets</t>
  </si>
  <si>
    <t>Average Assets</t>
  </si>
  <si>
    <t>LIABILITIES &amp; SHAREHOLDER EQUITY</t>
  </si>
  <si>
    <t>Long Term Debt:</t>
  </si>
  <si>
    <t>Additional Debt</t>
  </si>
  <si>
    <t>Total Debt</t>
  </si>
  <si>
    <t>Accum. Deferred Income Tax:</t>
  </si>
  <si>
    <t>Deferred Income Taxes</t>
  </si>
  <si>
    <t>Total Accum. Deferred Tax</t>
  </si>
  <si>
    <t>Investment Tax Credit:</t>
  </si>
  <si>
    <t>Additional ITC</t>
  </si>
  <si>
    <t>Amortization</t>
  </si>
  <si>
    <t>Net ITC</t>
  </si>
  <si>
    <t>Shareholder Equity:</t>
  </si>
  <si>
    <t>Paid in Capital</t>
  </si>
  <si>
    <t>Net income after tax</t>
  </si>
  <si>
    <t>Dividend</t>
  </si>
  <si>
    <t>Total Equity (book)</t>
  </si>
  <si>
    <t>Total Liabilities &amp; Shareholder Equity</t>
  </si>
  <si>
    <t>B/S Check</t>
  </si>
  <si>
    <t>Average Debt</t>
  </si>
  <si>
    <t>Average Equity</t>
  </si>
  <si>
    <t>Average ITC</t>
  </si>
  <si>
    <t>Average Debt (excluding CWIP earning AFUDC)</t>
  </si>
  <si>
    <t>Average Equity (excluding CWIP earning AFUDC)</t>
  </si>
  <si>
    <t>Investment funding:</t>
  </si>
  <si>
    <t xml:space="preserve"> Equity funding</t>
  </si>
  <si>
    <t xml:space="preserve"> Debt funding</t>
  </si>
  <si>
    <t>Delta between total debt and debt on CWIP earning AFUDC</t>
  </si>
  <si>
    <t>Interest on Delta</t>
  </si>
  <si>
    <t>After Tax Interest Expense on Delta</t>
  </si>
  <si>
    <t>Average Debt - PASTE</t>
  </si>
  <si>
    <t>Average Equity - PASTE</t>
  </si>
  <si>
    <t>Check</t>
  </si>
  <si>
    <t>Exhibit C:  includes property tax in Rate/SF</t>
  </si>
  <si>
    <t>Exhibit D: Maintenance Capital</t>
  </si>
  <si>
    <t>RSF</t>
  </si>
  <si>
    <t>Reserve per RSF</t>
  </si>
  <si>
    <t>Annual Reserve</t>
  </si>
  <si>
    <t>Per Reeves Schedule on 275k RSF</t>
  </si>
  <si>
    <t>Book / Tax Lives</t>
  </si>
  <si>
    <t>Summary of Capex Spend</t>
  </si>
  <si>
    <t>Gensler Costs</t>
  </si>
  <si>
    <t>Interior Construction</t>
  </si>
  <si>
    <t>Interior Soft Costs</t>
  </si>
  <si>
    <t>FF&amp;E</t>
  </si>
  <si>
    <t>LEED Design Costs</t>
  </si>
  <si>
    <t>Cost without LEED Design</t>
  </si>
  <si>
    <t>Escalation &amp;</t>
  </si>
  <si>
    <t>Midtown Building Estimated Capex</t>
  </si>
  <si>
    <t>Contingency</t>
  </si>
  <si>
    <t>Land</t>
  </si>
  <si>
    <t>Core &amp; Shell</t>
  </si>
  <si>
    <t>%</t>
  </si>
  <si>
    <t>Hard Cost</t>
  </si>
  <si>
    <t>Soft Costs</t>
  </si>
  <si>
    <t>Profit, Fees and Commissions</t>
  </si>
  <si>
    <t>Total Building Cost</t>
  </si>
  <si>
    <t>Interior</t>
  </si>
  <si>
    <t>Furniture, Fixtures &amp; Equipment</t>
  </si>
  <si>
    <t>Interior Costs - Construction</t>
  </si>
  <si>
    <t>Interior Costs - Soft Costs</t>
  </si>
  <si>
    <t>LEED Design</t>
  </si>
  <si>
    <t>Total Interior Costs</t>
  </si>
  <si>
    <t>Total Midtown Building</t>
  </si>
  <si>
    <t>Capital Plug</t>
  </si>
  <si>
    <t>Parking Garage</t>
  </si>
  <si>
    <t>Total Midtown Capex</t>
  </si>
  <si>
    <t>Midtown Cost - provided by JLL on 9/12/2022</t>
  </si>
  <si>
    <t>Total Costs</t>
  </si>
  <si>
    <t>Less: Parking Garage</t>
  </si>
  <si>
    <t>Less:  TI Allowance</t>
  </si>
  <si>
    <t>Less:  Debt/Equity Fees</t>
  </si>
  <si>
    <t>Less:  Interest Carry</t>
  </si>
  <si>
    <t>Building Capex Total</t>
  </si>
  <si>
    <t>Total for Building/Parking</t>
  </si>
  <si>
    <t>TECO Contingency on Hard Costs</t>
  </si>
  <si>
    <t>Collier Commission</t>
  </si>
  <si>
    <t>Collier Commission Basis</t>
  </si>
  <si>
    <t>Façade</t>
  </si>
  <si>
    <t>Note:  need to add $7M to costs for façade update</t>
  </si>
  <si>
    <t>Interior Costs</t>
  </si>
  <si>
    <t>Fit-Out Manager (3% of interior construction)</t>
  </si>
  <si>
    <t>Consultant ($250k/year) and FTEs ($300k/year)</t>
  </si>
  <si>
    <t>Moving Costs</t>
  </si>
  <si>
    <t>Total Project</t>
  </si>
  <si>
    <t>Description</t>
  </si>
  <si>
    <t>In-Service Year
Leave Blank for Annual</t>
  </si>
  <si>
    <t>Year 1
Months in service</t>
  </si>
  <si>
    <t>CAPEX SPEND BY YEAR</t>
  </si>
  <si>
    <t>Land Assumption</t>
  </si>
  <si>
    <t>Hard Costs</t>
  </si>
  <si>
    <t>Soft Costs (excluding Int. Carry &amp; Debt/Equity Fees)</t>
  </si>
  <si>
    <t>FFE (pruely building &amp; Interior design)</t>
  </si>
  <si>
    <t>Parking Garage (1,000 Spaces)</t>
  </si>
  <si>
    <t>Developer Profit</t>
  </si>
  <si>
    <t>Interior Construction Costs (less TI Allow)</t>
  </si>
  <si>
    <t>Total Rate Base</t>
  </si>
  <si>
    <t>Check to Row 32 (Annual Capex Spend)</t>
  </si>
  <si>
    <t>MONTHLY TIMING OF SPEND (plot accordingly)</t>
  </si>
  <si>
    <t>Annual</t>
  </si>
  <si>
    <t>AFUDC BASIS ACCUMULATION (unique formula logic)</t>
  </si>
  <si>
    <t>current 6.46% … projecting 5.92% due to rate case filing</t>
  </si>
  <si>
    <t>Certificate of Occupancy</t>
  </si>
  <si>
    <t>In-service date</t>
  </si>
  <si>
    <t>AFUDC CALCULATION (assumes no accrual/reversal timing)</t>
  </si>
  <si>
    <t>Is my definition of in-service</t>
  </si>
  <si>
    <t>Then moving will commence</t>
  </si>
  <si>
    <t>And any punch list spending afterwards does not earn any AFUDC</t>
  </si>
  <si>
    <t xml:space="preserve">    (this includes the year 2025 spend for "interior construction")</t>
  </si>
  <si>
    <t>AFUDC by Year</t>
  </si>
  <si>
    <t>Maintenance Capital Multiplier</t>
  </si>
  <si>
    <t>&lt;---  used to increase Maintenance Capex over provided figures (use whole numbers)</t>
  </si>
  <si>
    <t>Capex Spend</t>
  </si>
  <si>
    <t>Cost Escalator</t>
  </si>
  <si>
    <t>&lt;---  used to increase capex over provided figures (use %)</t>
  </si>
  <si>
    <t>Book Life</t>
  </si>
  <si>
    <t>Tax Life</t>
  </si>
  <si>
    <t>ITC</t>
  </si>
  <si>
    <t>Midtown Building</t>
  </si>
  <si>
    <t>Furniture, Fixtures &amp; Equipment - Building</t>
  </si>
  <si>
    <t>Maintenance Capital</t>
  </si>
  <si>
    <t>David's AFUDC Calculation Toggle</t>
  </si>
  <si>
    <t>AFUDC BY YEAR</t>
  </si>
  <si>
    <t>CWIP BY YEAR</t>
  </si>
  <si>
    <t>CWIP (excluding capex earning AFUDC)</t>
  </si>
  <si>
    <t>Variance</t>
  </si>
  <si>
    <t>AFUDC Inputs</t>
  </si>
  <si>
    <t>AFUDC Calculation</t>
  </si>
  <si>
    <t>Depreciation / Depletion</t>
  </si>
  <si>
    <t>Life</t>
  </si>
  <si>
    <t>Annual Capital Cost</t>
  </si>
  <si>
    <t>Cumulative Capital Costs</t>
  </si>
  <si>
    <t>Depreciation Life</t>
  </si>
  <si>
    <t>Total Annual Capital</t>
  </si>
  <si>
    <t>Total Annual Depreciation &amp; Depletion</t>
  </si>
  <si>
    <t>Remaining</t>
  </si>
  <si>
    <t>Tax Depreciation / Deferred Taxes</t>
  </si>
  <si>
    <t>Annual Capital</t>
  </si>
  <si>
    <t>Depreciation</t>
  </si>
  <si>
    <t>MACRS Rate</t>
  </si>
  <si>
    <t>Bonus Depreciation %</t>
  </si>
  <si>
    <t>Total Tax Depreciation/Depletion</t>
  </si>
  <si>
    <t>Amortization of Perm Difference</t>
  </si>
  <si>
    <t>Total Book Depreciation/Depletion</t>
  </si>
  <si>
    <t>Diff</t>
  </si>
  <si>
    <t>x Tax Rate</t>
  </si>
  <si>
    <t>Cumulative Deferred Taxes</t>
  </si>
  <si>
    <t>Check DIT Expense</t>
  </si>
  <si>
    <t>ITC Amortization for Books</t>
  </si>
  <si>
    <t>Total Capital subject to ITC</t>
  </si>
  <si>
    <t>Amortization of ITC</t>
  </si>
  <si>
    <t>Total Amortization of ITC</t>
  </si>
  <si>
    <t>Totals</t>
  </si>
  <si>
    <t>ITC Beginning Balance</t>
  </si>
  <si>
    <t>Ending ITC - Net</t>
  </si>
  <si>
    <t>Perm Basis Reduction</t>
  </si>
  <si>
    <t>Reduction in tax basis</t>
  </si>
  <si>
    <t>DO NOT ERASE</t>
  </si>
  <si>
    <t>MACRS RATES TABLE</t>
  </si>
  <si>
    <t>Year</t>
  </si>
  <si>
    <t>O&amp;M</t>
  </si>
  <si>
    <t>&lt;---  Additional O&amp;M increase 2035-2051</t>
  </si>
  <si>
    <t>&lt;---  Additional O&amp;M increase 2045-2051</t>
  </si>
  <si>
    <t>Years Modeled:</t>
  </si>
  <si>
    <t>Growth Rate</t>
  </si>
  <si>
    <t>Year to Start Growth Rate</t>
  </si>
  <si>
    <t>INPUT</t>
  </si>
  <si>
    <t>Building O&amp;M</t>
  </si>
  <si>
    <t>Parking Garage O&amp;M</t>
  </si>
  <si>
    <t>Plaza O&amp;M (backout) - see toggle below</t>
  </si>
  <si>
    <t>Average - O&amp;M</t>
  </si>
  <si>
    <t>Plaza O&amp;M Reduction Toggle</t>
  </si>
  <si>
    <t>&lt;---  enter "1" to calculate O&amp;M reduction for Customer Rates  ---&gt;</t>
  </si>
  <si>
    <t>used to estimate customer rate impact when netted against Plaza O&amp;M that would go away.</t>
  </si>
  <si>
    <t>O&amp;M Breakdown:</t>
  </si>
  <si>
    <t>Building Square Feet</t>
  </si>
  <si>
    <t>Parking Capital</t>
  </si>
  <si>
    <t>Price Per Sq. Ft</t>
  </si>
  <si>
    <t>O&amp;M as a % of Capital</t>
  </si>
  <si>
    <t>&lt;---  1% is what was recommended by consultants per conversation with David N. (9/10/2021)</t>
  </si>
  <si>
    <t>Total Cost</t>
  </si>
  <si>
    <t>Annual O&amp;M for Parking</t>
  </si>
  <si>
    <t>O&amp;M per Sq Ft (per Collier)</t>
  </si>
  <si>
    <t>Note:  2021 O&amp;M per Sq Ft provided by Collier included property tax, which is calculated seperately in the model.  Therefore, we have excluded the property taxes portion from the $ per sq ft used above.</t>
  </si>
  <si>
    <t>Collier's Estimated O&amp;M Schedule - updated 8/9/2022</t>
  </si>
  <si>
    <t>Note:  Midtown and BOMA are 2021 estimates, TECO Plaza are years identified</t>
  </si>
  <si>
    <t>Expenses</t>
  </si>
  <si>
    <t>Net Fixed Assets (excluding CWIP)</t>
  </si>
  <si>
    <t>% of basis subject to tax rate</t>
  </si>
  <si>
    <t>Fixed Asset Basis</t>
  </si>
  <si>
    <t>Property Tax Rate</t>
  </si>
  <si>
    <t>Property Tax Expense</t>
  </si>
  <si>
    <t>Notes:  Poperty tax is based on value as of January 1st of each year.  Therefore, the value used will be based on prior year ending balance.  For Year 1, the value will be zero unless capital cost was spent prior to year 1.  |  80% solar exemption expires after 2037.</t>
  </si>
  <si>
    <t>Note:</t>
  </si>
  <si>
    <t>IRR w/ TV:</t>
  </si>
  <si>
    <t>WACC Target:</t>
  </si>
  <si>
    <t>ITC - Debt</t>
  </si>
  <si>
    <t>ITC - Equity</t>
  </si>
  <si>
    <t xml:space="preserve"> ITC Amortization</t>
  </si>
  <si>
    <t>PV of Revenue Requirements</t>
  </si>
  <si>
    <t>Levelized Revenue Requirement</t>
  </si>
  <si>
    <t>Revenue - Return on Debt</t>
  </si>
  <si>
    <t>Debt Rate</t>
  </si>
  <si>
    <t>Return on Debt</t>
  </si>
  <si>
    <t>Revenue - Return on Equity</t>
  </si>
  <si>
    <t>&lt;---  Note:  If model shows #REF!/#VALUE! error, delete cells and then click undo</t>
  </si>
  <si>
    <t>Return on Equity Rate</t>
  </si>
  <si>
    <t>Return on Equity (Post-Tax)</t>
  </si>
  <si>
    <t>After-tax Rate</t>
  </si>
  <si>
    <t>Return on Equity (Pre-Tax)</t>
  </si>
  <si>
    <t>Revenue - Return on Debt ITC</t>
  </si>
  <si>
    <t>Debt %</t>
  </si>
  <si>
    <t>Average ITC - Debt</t>
  </si>
  <si>
    <t>Revenue - Return on Equity ITC</t>
  </si>
  <si>
    <t>Average ITC - Equity</t>
  </si>
  <si>
    <t>Rate Case</t>
  </si>
  <si>
    <t>Rate Case Year</t>
  </si>
  <si>
    <t>Net Base Revenues</t>
  </si>
  <si>
    <t xml:space="preserve">Assumptions </t>
  </si>
  <si>
    <t>Revenue Requirement Summary</t>
  </si>
  <si>
    <t>Total Installed</t>
  </si>
  <si>
    <t>Type</t>
  </si>
  <si>
    <t>Amount</t>
  </si>
  <si>
    <t>Cost</t>
  </si>
  <si>
    <t>After-Tax</t>
  </si>
  <si>
    <t>Pre-Tax</t>
  </si>
  <si>
    <t>Years</t>
  </si>
  <si>
    <t>Common</t>
  </si>
  <si>
    <t>Preferred</t>
  </si>
  <si>
    <t>Cumm. NPV of Rev. Req.</t>
  </si>
  <si>
    <t>Levelized Rev. Req. Factor</t>
  </si>
  <si>
    <t>Property tax (% and rate)</t>
  </si>
  <si>
    <t>K Factor based on PW of Rev. Req.</t>
  </si>
  <si>
    <t>Fixed Rate Charge ($/kWh)</t>
  </si>
  <si>
    <t>Fixed Charge Rate Analysis</t>
  </si>
  <si>
    <t>Annual rev req.</t>
  </si>
  <si>
    <t>Average Rate Base</t>
  </si>
  <si>
    <t>Net Plant in Rate Base Beg. Year</t>
  </si>
  <si>
    <t>Additions to Gross Plant</t>
  </si>
  <si>
    <t>Book Depr.</t>
  </si>
  <si>
    <t>Def. Taxes</t>
  </si>
  <si>
    <t>Net Plant in Rate Base End Year</t>
  </si>
  <si>
    <t>In-Service Factor</t>
  </si>
  <si>
    <t>Avg. Rate Base</t>
  </si>
  <si>
    <t>Return on Rate Base</t>
  </si>
  <si>
    <t>Inc. Taxes</t>
  </si>
  <si>
    <t>Inc. Taxes
ITC Amort.</t>
  </si>
  <si>
    <t>Annual Rev. Req. 
(Fixed CC)</t>
  </si>
  <si>
    <t>PV of Rev. Req.</t>
  </si>
  <si>
    <t>Cumm. PV of Rev. Req.</t>
  </si>
  <si>
    <t>Levelized Rev. Req.</t>
  </si>
  <si>
    <t>PV of Levalized Rev, Req.</t>
  </si>
  <si>
    <t>MWhs</t>
  </si>
  <si>
    <t>PV of MWhs</t>
  </si>
  <si>
    <t>Annual Rate</t>
  </si>
  <si>
    <t>Average Annual Rate</t>
  </si>
  <si>
    <t>Annual Revenue</t>
  </si>
  <si>
    <t>PV of Annual Revenue</t>
  </si>
  <si>
    <t>LFCR</t>
  </si>
  <si>
    <t>Rev Req</t>
  </si>
  <si>
    <t>LFCR Avg RB</t>
  </si>
  <si>
    <t>RR Avg RB</t>
  </si>
  <si>
    <t>Check to Rev Req tab</t>
  </si>
  <si>
    <t>LFCR - Levelized</t>
  </si>
  <si>
    <t xml:space="preserve">Rev. Req - Levelized </t>
  </si>
  <si>
    <t>Tampa Electric</t>
  </si>
  <si>
    <t>DO NOT USE IF PROJECT ALREADY IN STRAT PLAN FORECAST - WOULD REQUIRE INCREMENTAL IMPACT ONLY TO CALC THIS SET OF RATE IMPACTS</t>
  </si>
  <si>
    <t>Residential Bill - 1000 KWh</t>
  </si>
  <si>
    <t>RESIDENTIAL RATES - REGULATORY FORECAST ONLY (EXCLUDES MAKEWHOLE ON STRAT PLAN GROWTH PROJECTS)</t>
  </si>
  <si>
    <t>RESIDENTIAL RATES - STRAT PLAN IMPACT</t>
  </si>
  <si>
    <t>USAGE -kWh</t>
  </si>
  <si>
    <t>Usage below threshold</t>
  </si>
  <si>
    <t>usage threshold:</t>
  </si>
  <si>
    <t>Usage above threshold</t>
  </si>
  <si>
    <t>Per 2020 Strat Plan - Base [source: P. Rusk, Regulatory]</t>
  </si>
  <si>
    <t>Per 2019 Strat Plan - with Strat Plan Impact [source: P. Rusk, Regulatory]</t>
  </si>
  <si>
    <t>Customer Charge</t>
  </si>
  <si>
    <t>Base Energy Charge &lt; 1000</t>
  </si>
  <si>
    <t>Base Energy Charge &gt; 1000</t>
  </si>
  <si>
    <t>SoBRA</t>
  </si>
  <si>
    <t>Fuel Cost Recovery &lt; 1000</t>
  </si>
  <si>
    <t>Fuel Cost Recovery &gt; 1000</t>
  </si>
  <si>
    <t>Capacity Cost Recovery</t>
  </si>
  <si>
    <t>Environmental Cost Recovery</t>
  </si>
  <si>
    <t>Energy Conservation</t>
  </si>
  <si>
    <t>Storm Protection Cost Recovery</t>
  </si>
  <si>
    <t>Clean Energy Transition Mechanism</t>
  </si>
  <si>
    <t>Gross Receipts Tax</t>
  </si>
  <si>
    <t>Estimated Rates - Base Forecast</t>
  </si>
  <si>
    <r>
      <t>Base Energy Charge</t>
    </r>
    <r>
      <rPr>
        <vertAlign val="superscript"/>
        <sz val="12"/>
        <rFont val="Calibri"/>
        <family val="2"/>
        <scheme val="minor"/>
      </rPr>
      <t xml:space="preserve"> </t>
    </r>
  </si>
  <si>
    <r>
      <t>Fuel Cost Recovery</t>
    </r>
    <r>
      <rPr>
        <vertAlign val="superscript"/>
        <sz val="12"/>
        <rFont val="Calibri"/>
        <family val="2"/>
        <scheme val="minor"/>
      </rPr>
      <t xml:space="preserve"> </t>
    </r>
  </si>
  <si>
    <t xml:space="preserve">Capacity Cost Recovery </t>
  </si>
  <si>
    <t>Estimated Rates with Project</t>
  </si>
  <si>
    <t>Base Revenue Makewhole</t>
  </si>
  <si>
    <t>Fuel Cost Recovery - Adjustment</t>
  </si>
  <si>
    <t>Capacity Cost Recovery - Adjustment</t>
  </si>
  <si>
    <t>Environmental Cost Recovery - Adjustment</t>
  </si>
  <si>
    <t>Energy Conservation - Adjustment</t>
  </si>
  <si>
    <t>Comparison to Regulatory Forecast - Increase (Decrease)</t>
  </si>
  <si>
    <t>Dollars</t>
  </si>
  <si>
    <t>Percentage</t>
  </si>
  <si>
    <t>$ Impact net of Plaza O&amp;M savings</t>
  </si>
  <si>
    <t>% Impact net of Plaza O&amp;M savings</t>
  </si>
  <si>
    <t>Calculation of Rate Impact from Project Revenue Requirement (000's)</t>
  </si>
  <si>
    <t>Base Revenue Increase $ - Makewhole</t>
  </si>
  <si>
    <t>Makewhole related to Residential Customers</t>
  </si>
  <si>
    <t>Residential KWh</t>
  </si>
  <si>
    <t>Residential Rate Increase</t>
  </si>
  <si>
    <t>Cumul Residential Rate Increase</t>
  </si>
  <si>
    <t>Fuel Adjustment from Project</t>
  </si>
  <si>
    <t>Fuel Delta</t>
  </si>
  <si>
    <t>RNEL per Strat Plan</t>
  </si>
  <si>
    <t>Per 2020 Strat Plan - Base Only [source: P. Rusk, Regulatory]</t>
  </si>
  <si>
    <t>Per 2018 Strat Plan - Base with Change Impacts [source: P. Rusk, Regulatory]</t>
  </si>
  <si>
    <t>Current Customer Charge</t>
  </si>
  <si>
    <t>&lt;-- updated 7/20</t>
  </si>
  <si>
    <t>Current Residential Energy Charge 1,000 kWh</t>
  </si>
  <si>
    <t>Fuel Charge 1,000 kWh</t>
  </si>
  <si>
    <t>Capacity Charge</t>
  </si>
  <si>
    <t>Environmental Charge</t>
  </si>
  <si>
    <t>Energy Conservation Charge</t>
  </si>
  <si>
    <t>Total Bill</t>
  </si>
  <si>
    <t>&lt;-- LTF Customer Bill Tab Row 84</t>
  </si>
  <si>
    <t>RNEL Per LTF (Fuel Cost Row 135)</t>
  </si>
  <si>
    <t>&lt;-- LTF Fuel tab row 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</si>
</sst>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00"/>
    <numFmt numFmtId="168" formatCode="dd\-mmm\-yy_)"/>
    <numFmt numFmtId="169" formatCode="General_)"/>
    <numFmt numFmtId="170" formatCode="_(* #,##0.00%_);[Red]_(* \-#,##0.00%_);[Green]_(* 0.00%_);_(@_)_%"/>
    <numFmt numFmtId="171" formatCode="#,##0.0\ \ \ _);\(#,##0.0\)"/>
    <numFmt numFmtId="172" formatCode="#,##0.0_);\(#,##0.0\)"/>
    <numFmt numFmtId="173" formatCode="#,##0.000_);\(#,##0.000\)"/>
    <numFmt numFmtId="174" formatCode="#,##0___);\(#,##0\)__"/>
    <numFmt numFmtId="175" formatCode="0.0000000"/>
    <numFmt numFmtId="176" formatCode="0.0"/>
    <numFmt numFmtId="177" formatCode="\ \ @"/>
    <numFmt numFmtId="178" formatCode="&quot;$&quot;#,##0\ ;[Red]\(&quot;$&quot;#,##0\)"/>
    <numFmt numFmtId="179" formatCode="#,##0.0_);[Red]\(#,##0.0\)"/>
    <numFmt numFmtId="180" formatCode="#,##0.000_);[Red]\(#,##0.000\)"/>
    <numFmt numFmtId="181" formatCode="&quot;$&quot;#,##0.00;\-&quot;$&quot;#,##0.00"/>
    <numFmt numFmtId="182" formatCode="&quot;$&quot;#,##0.0_);[Red]\(&quot;$&quot;#,##0.0\)"/>
    <numFmt numFmtId="183" formatCode="&quot;$&quot;#,##0.000_);[Red]\(&quot;$&quot;#,##0.000\)"/>
    <numFmt numFmtId="184" formatCode="_-* #,##0_-;\-* #,##0_-;_-* &quot;-&quot;_-;_-@_-"/>
    <numFmt numFmtId="185" formatCode="_-* #,##0.00_-;\-* #,##0.00_-;_-* &quot;-&quot;??_-;_-@_-"/>
    <numFmt numFmtId="186" formatCode="&quot;$&quot;#,##0.0_);\(&quot;$&quot;#,##0.0\)"/>
    <numFmt numFmtId="187" formatCode="_-* #,##0.0_-;\-* #,##0.0_-;_-* &quot;-&quot;??_-;_-@_-"/>
    <numFmt numFmtId="188" formatCode="#,##0.00&quot; $&quot;;\-#,##0.00&quot; $&quot;"/>
    <numFmt numFmtId="189" formatCode="&quot;$&quot;#,##0"/>
    <numFmt numFmtId="190" formatCode="0.00_)"/>
    <numFmt numFmtId="191" formatCode="#,##0.00_ ;[Red]\-#,##0.00\ "/>
    <numFmt numFmtId="192" formatCode="0.0\ &quot;x&quot;"/>
    <numFmt numFmtId="193" formatCode="[Blue]General"/>
    <numFmt numFmtId="194" formatCode="m/d"/>
    <numFmt numFmtId="195" formatCode="#,##0.0\%_);\(#,##0.0\%\);#,##0.0\%_);@_)"/>
    <numFmt numFmtId="196" formatCode="_(* #,##0.0_);_(* \(#,##0.0\);_(* &quot;-&quot;??_);_(@_)"/>
    <numFmt numFmtId="197" formatCode="_(&quot;$&quot;* #,##0_);_(&quot;$&quot;* \(#,##0\);_(&quot;$&quot;* &quot;-&quot;??_);_(@_)"/>
    <numFmt numFmtId="198" formatCode="_(&quot;$&quot;* #,##0.0_);_(&quot;$&quot;* \(#,##0.0\);_(&quot;$&quot;* &quot;-&quot;??_);_(@_)"/>
    <numFmt numFmtId="199" formatCode="0.0000%"/>
    <numFmt numFmtId="200" formatCode="#,##0.0000"/>
    <numFmt numFmtId="201" formatCode="_(* #,##0.00000_);_(* \(#,##0.00000\);_(* &quot;-&quot;??_);_(@_)"/>
    <numFmt numFmtId="202" formatCode="&quot;$&quot;#,##0.00"/>
    <numFmt numFmtId="203" formatCode="#,##0.0"/>
    <numFmt numFmtId="204" formatCode="#,##0.0000_);\(#,##0.0000\)"/>
    <numFmt numFmtId="205" formatCode="#,##0.000000_);\(#,##0.000000\)"/>
    <numFmt numFmtId="206" formatCode="#,##0.000000"/>
    <numFmt numFmtId="207" formatCode="0.000"/>
    <numFmt numFmtId="208" formatCode="&quot;$&quot;#,##0.000"/>
    <numFmt numFmtId="209" formatCode="0.00000"/>
    <numFmt numFmtId="210" formatCode="#,##0.000"/>
    <numFmt numFmtId="211" formatCode="&quot;$&quot;#,##0.0"/>
    <numFmt numFmtId="212" formatCode="0;0;\-;@"/>
    <numFmt numFmtId="213" formatCode="0_);\(0\)"/>
    <numFmt numFmtId="214" formatCode="_(* #,##0.000_);_(* \(#,##0.000\);_(* &quot;-&quot;??_);_(@_)"/>
    <numFmt numFmtId="215" formatCode="[Red]&quot;ERROR&quot;;[Red]&quot;ERROR&quot;;&quot;Ok&quot;"/>
    <numFmt numFmtId="216" formatCode="#,##0_);\(#,##0\);&quot;- &quot;"/>
    <numFmt numFmtId="217" formatCode="_(* #,##0.0000_);_(* \(#,##0.0000\);_(* &quot;-&quot;??_);_(@_)"/>
  </numFmts>
  <fonts count="158">
    <font>
      <sz val="12"/>
      <name val="Arial"/>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Times New Roman"/>
      <family val="1"/>
    </font>
    <font>
      <strike/>
      <sz val="8"/>
      <name val="Arial"/>
      <family val="2"/>
    </font>
    <font>
      <sz val="8"/>
      <color indexed="8"/>
      <name val="Arial"/>
      <family val="2"/>
    </font>
    <font>
      <sz val="8"/>
      <color indexed="12"/>
      <name val="Helvetica"/>
      <family val="2"/>
    </font>
    <font>
      <b/>
      <sz val="8"/>
      <color indexed="8"/>
      <name val="Arial"/>
      <family val="2"/>
    </font>
    <font>
      <sz val="8"/>
      <name val="Times New Roman"/>
      <family val="1"/>
    </font>
    <font>
      <sz val="10"/>
      <name val="Arial"/>
      <family val="2"/>
    </font>
    <font>
      <b/>
      <sz val="8"/>
      <name val="Times New Roman"/>
      <family val="1"/>
    </font>
    <font>
      <sz val="8"/>
      <name val="Palatino"/>
      <family val="1"/>
    </font>
    <font>
      <sz val="10"/>
      <color indexed="8"/>
      <name val="Arial"/>
      <family val="2"/>
    </font>
    <font>
      <sz val="10"/>
      <name val="Times New Roman"/>
      <family val="1"/>
    </font>
    <font>
      <sz val="8"/>
      <name val="Helv"/>
    </font>
    <font>
      <sz val="8"/>
      <color indexed="18"/>
      <name val="Times New Roman"/>
      <family val="1"/>
    </font>
    <font>
      <sz val="11"/>
      <name val="??"/>
      <family val="3"/>
      <charset val="129"/>
    </font>
    <font>
      <sz val="8"/>
      <name val="Helvetica-Narrow"/>
      <family val="2"/>
    </font>
    <font>
      <sz val="8"/>
      <name val="Arial"/>
      <family val="2"/>
    </font>
    <font>
      <sz val="7"/>
      <name val="Palatino"/>
      <family val="1"/>
    </font>
    <font>
      <sz val="8"/>
      <name val="Arial"/>
      <family val="2"/>
    </font>
    <font>
      <sz val="6"/>
      <color indexed="16"/>
      <name val="Palatino"/>
      <family val="1"/>
    </font>
    <font>
      <sz val="18"/>
      <name val="Helvetica-Black"/>
    </font>
    <font>
      <i/>
      <sz val="14"/>
      <name val="Palatino"/>
      <family val="1"/>
    </font>
    <font>
      <b/>
      <u/>
      <sz val="14"/>
      <name val="Arial Narrow"/>
      <family val="2"/>
    </font>
    <font>
      <sz val="10"/>
      <color indexed="12"/>
      <name val="Arial"/>
      <family val="2"/>
    </font>
    <font>
      <sz val="10"/>
      <color indexed="12"/>
      <name val="Arial"/>
      <family val="2"/>
    </font>
    <font>
      <sz val="12"/>
      <color indexed="37"/>
      <name val="swiss"/>
    </font>
    <font>
      <b/>
      <sz val="10"/>
      <color indexed="37"/>
      <name val="Arial MT"/>
    </font>
    <font>
      <sz val="7"/>
      <name val="Small Fonts"/>
      <family val="2"/>
    </font>
    <font>
      <sz val="8"/>
      <name val="Helvetica"/>
      <family val="2"/>
    </font>
    <font>
      <sz val="8"/>
      <color indexed="12"/>
      <name val="Arial"/>
      <family val="2"/>
    </font>
    <font>
      <b/>
      <sz val="8"/>
      <name val="Arial"/>
      <family val="2"/>
    </font>
    <font>
      <b/>
      <sz val="10"/>
      <color indexed="8"/>
      <name val="Arial"/>
      <family val="2"/>
    </font>
    <font>
      <b/>
      <sz val="26"/>
      <name val="Times New Roman"/>
      <family val="1"/>
    </font>
    <font>
      <b/>
      <sz val="18"/>
      <name val="Times New Roman"/>
      <family val="1"/>
    </font>
    <font>
      <sz val="10"/>
      <color indexed="16"/>
      <name val="Helvetica-Black"/>
    </font>
    <font>
      <i/>
      <sz val="8"/>
      <name val="Times New Roman"/>
      <family val="1"/>
    </font>
    <font>
      <sz val="10"/>
      <name val="C Helvetica Condensed"/>
    </font>
    <font>
      <sz val="10"/>
      <color indexed="55"/>
      <name val="Arial"/>
      <family val="2"/>
    </font>
    <font>
      <sz val="8"/>
      <color indexed="12"/>
      <name val="Times New Roman"/>
      <family val="1"/>
    </font>
    <font>
      <sz val="8"/>
      <color indexed="14"/>
      <name val="Helvetica"/>
      <family val="2"/>
    </font>
    <font>
      <sz val="10"/>
      <name val="Times New Roman"/>
      <family val="1"/>
    </font>
    <font>
      <sz val="8"/>
      <name val="Arial Narrow"/>
      <family val="2"/>
    </font>
    <font>
      <b/>
      <u/>
      <sz val="12"/>
      <name val="Arial Narrow"/>
      <family val="2"/>
    </font>
    <font>
      <b/>
      <u/>
      <sz val="10"/>
      <name val="Arial Narrow"/>
      <family val="2"/>
    </font>
    <font>
      <b/>
      <sz val="9"/>
      <name val="Arial"/>
      <family val="2"/>
    </font>
    <font>
      <b/>
      <sz val="9"/>
      <name val="Palatino"/>
      <family val="1"/>
    </font>
    <font>
      <sz val="9"/>
      <color indexed="21"/>
      <name val="Helvetica-Black"/>
    </font>
    <font>
      <sz val="9"/>
      <name val="Helvetica-Black"/>
    </font>
    <font>
      <sz val="8"/>
      <color indexed="8"/>
      <name val="Arial"/>
      <family val="2"/>
    </font>
    <font>
      <b/>
      <sz val="7"/>
      <color indexed="12"/>
      <name val="Arial"/>
      <family val="2"/>
    </font>
    <font>
      <i/>
      <sz val="12"/>
      <color indexed="8"/>
      <name val="Arial MT"/>
    </font>
    <font>
      <sz val="10"/>
      <color indexed="8"/>
      <name val="Arial"/>
      <family val="2"/>
    </font>
    <font>
      <sz val="8"/>
      <color indexed="9"/>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name val="Arial"/>
      <family val="2"/>
    </font>
    <font>
      <sz val="12"/>
      <name val="Arial MT"/>
    </font>
    <font>
      <sz val="11"/>
      <color indexed="8"/>
      <name val="Calibri"/>
      <family val="2"/>
    </font>
    <font>
      <b/>
      <sz val="11"/>
      <name val="Calibri"/>
      <family val="2"/>
    </font>
    <font>
      <sz val="11"/>
      <name val="Calibri"/>
      <family val="2"/>
    </font>
    <font>
      <b/>
      <sz val="11"/>
      <color indexed="8"/>
      <name val="Calibri"/>
      <family val="2"/>
    </font>
    <font>
      <sz val="11"/>
      <color indexed="10"/>
      <name val="Calibri"/>
      <family val="2"/>
    </font>
    <font>
      <i/>
      <sz val="11"/>
      <name val="Calibri"/>
      <family val="2"/>
    </font>
    <font>
      <b/>
      <u/>
      <sz val="11"/>
      <color indexed="60"/>
      <name val="Calibri"/>
      <family val="2"/>
    </font>
    <font>
      <sz val="11"/>
      <color theme="1"/>
      <name val="Calibri"/>
      <family val="2"/>
      <scheme val="minor"/>
    </font>
    <font>
      <b/>
      <sz val="11"/>
      <name val="Calibri"/>
      <family val="2"/>
      <scheme val="minor"/>
    </font>
    <font>
      <sz val="11"/>
      <name val="Calibri"/>
      <family val="2"/>
      <scheme val="minor"/>
    </font>
    <font>
      <sz val="11"/>
      <color rgb="FFFFFF00"/>
      <name val="Calibri"/>
      <family val="2"/>
      <scheme val="minor"/>
    </font>
    <font>
      <b/>
      <u/>
      <sz val="11"/>
      <color theme="1"/>
      <name val="Calibri"/>
      <family val="2"/>
      <scheme val="minor"/>
    </font>
    <font>
      <b/>
      <sz val="11"/>
      <color theme="1"/>
      <name val="Calibri"/>
      <family val="2"/>
      <scheme val="minor"/>
    </font>
    <font>
      <b/>
      <sz val="14"/>
      <color theme="1"/>
      <name val="Calibri"/>
      <family val="2"/>
      <scheme val="minor"/>
    </font>
    <font>
      <b/>
      <u/>
      <sz val="11"/>
      <name val="Calibri"/>
      <family val="2"/>
      <scheme val="minor"/>
    </font>
    <font>
      <sz val="11"/>
      <color indexed="12"/>
      <name val="Calibri"/>
      <family val="2"/>
      <scheme val="minor"/>
    </font>
    <font>
      <sz val="11"/>
      <color rgb="FF00B050"/>
      <name val="Calibri"/>
      <family val="2"/>
      <scheme val="minor"/>
    </font>
    <font>
      <b/>
      <sz val="11"/>
      <color rgb="FF00B050"/>
      <name val="Calibri"/>
      <family val="2"/>
      <scheme val="minor"/>
    </font>
    <font>
      <b/>
      <sz val="11"/>
      <color indexed="12"/>
      <name val="Calibri"/>
      <family val="2"/>
      <scheme val="minor"/>
    </font>
    <font>
      <sz val="11"/>
      <color rgb="FF0000CC"/>
      <name val="Calibri"/>
      <family val="2"/>
      <scheme val="minor"/>
    </font>
    <font>
      <i/>
      <sz val="11"/>
      <name val="Calibri"/>
      <family val="2"/>
      <scheme val="minor"/>
    </font>
    <font>
      <b/>
      <i/>
      <sz val="11"/>
      <name val="Calibri"/>
      <family val="2"/>
      <scheme val="minor"/>
    </font>
    <font>
      <sz val="11"/>
      <color rgb="FF006600"/>
      <name val="Calibri"/>
      <family val="2"/>
      <scheme val="minor"/>
    </font>
    <font>
      <i/>
      <sz val="10"/>
      <color rgb="FFFF0000"/>
      <name val="Calibri"/>
      <family val="2"/>
      <scheme val="minor"/>
    </font>
    <font>
      <u/>
      <sz val="11"/>
      <name val="Calibri"/>
      <family val="2"/>
      <scheme val="minor"/>
    </font>
    <font>
      <b/>
      <sz val="11"/>
      <color theme="3" tint="-0.249977111117893"/>
      <name val="Calibri"/>
      <family val="2"/>
      <scheme val="minor"/>
    </font>
    <font>
      <sz val="11"/>
      <color theme="3" tint="-0.249977111117893"/>
      <name val="Calibri"/>
      <family val="2"/>
      <scheme val="minor"/>
    </font>
    <font>
      <b/>
      <sz val="11"/>
      <color theme="0"/>
      <name val="Calibri"/>
      <family val="2"/>
      <scheme val="minor"/>
    </font>
    <font>
      <sz val="11"/>
      <color theme="0"/>
      <name val="Calibri"/>
      <family val="2"/>
      <scheme val="minor"/>
    </font>
    <font>
      <b/>
      <sz val="12"/>
      <name val="Calibri"/>
      <family val="2"/>
      <scheme val="minor"/>
    </font>
    <font>
      <b/>
      <sz val="12"/>
      <color theme="1"/>
      <name val="Calibri"/>
      <family val="2"/>
      <scheme val="minor"/>
    </font>
    <font>
      <sz val="12"/>
      <name val="Calibri"/>
      <family val="2"/>
      <scheme val="minor"/>
    </font>
    <font>
      <b/>
      <sz val="12"/>
      <color theme="3" tint="-0.249977111117893"/>
      <name val="Calibri"/>
      <family val="2"/>
      <scheme val="minor"/>
    </font>
    <font>
      <sz val="8"/>
      <name val="Calibri"/>
      <family val="2"/>
      <scheme val="minor"/>
    </font>
    <font>
      <sz val="8"/>
      <color rgb="FF0000CC"/>
      <name val="Calibri"/>
      <family val="2"/>
      <scheme val="minor"/>
    </font>
    <font>
      <i/>
      <sz val="10"/>
      <name val="Calibri"/>
      <family val="2"/>
      <scheme val="minor"/>
    </font>
    <font>
      <b/>
      <i/>
      <sz val="9"/>
      <name val="Calibri"/>
      <family val="2"/>
      <scheme val="minor"/>
    </font>
    <font>
      <b/>
      <i/>
      <sz val="9"/>
      <color rgb="FF0000CC"/>
      <name val="Calibri"/>
      <family val="2"/>
      <scheme val="minor"/>
    </font>
    <font>
      <i/>
      <sz val="9"/>
      <color rgb="FF0000CC"/>
      <name val="Calibri"/>
      <family val="2"/>
      <scheme val="minor"/>
    </font>
    <font>
      <b/>
      <u val="singleAccounting"/>
      <sz val="11"/>
      <name val="Calibri"/>
      <family val="2"/>
      <scheme val="minor"/>
    </font>
    <font>
      <b/>
      <sz val="11"/>
      <color rgb="FFFF0000"/>
      <name val="Calibri"/>
      <family val="2"/>
      <scheme val="minor"/>
    </font>
    <font>
      <sz val="11"/>
      <color indexed="8"/>
      <name val="Calibri"/>
      <family val="2"/>
      <scheme val="minor"/>
    </font>
    <font>
      <sz val="12"/>
      <name val="Arial"/>
      <family val="2"/>
    </font>
    <font>
      <sz val="11"/>
      <color rgb="FF0000FF"/>
      <name val="Calibri"/>
      <family val="2"/>
      <scheme val="minor"/>
    </font>
    <font>
      <u/>
      <sz val="11"/>
      <color rgb="FF00B050"/>
      <name val="Calibri"/>
      <family val="2"/>
      <scheme val="minor"/>
    </font>
    <font>
      <sz val="11"/>
      <color rgb="FFFF0000"/>
      <name val="Calibri"/>
      <family val="2"/>
      <scheme val="minor"/>
    </font>
    <font>
      <sz val="12"/>
      <color rgb="FF0000FF"/>
      <name val="Calibri"/>
      <family val="2"/>
      <scheme val="minor"/>
    </font>
    <font>
      <b/>
      <sz val="14"/>
      <name val="Calibri"/>
      <family val="2"/>
      <scheme val="minor"/>
    </font>
    <font>
      <sz val="11"/>
      <color theme="1"/>
      <name val="Arial"/>
      <family val="2"/>
    </font>
    <font>
      <sz val="12"/>
      <color theme="1"/>
      <name val="Calibri"/>
      <family val="2"/>
      <scheme val="minor"/>
    </font>
    <font>
      <sz val="12"/>
      <color rgb="FF00B050"/>
      <name val="Calibri"/>
      <family val="2"/>
      <scheme val="minor"/>
    </font>
    <font>
      <i/>
      <sz val="12"/>
      <color theme="1"/>
      <name val="Calibri"/>
      <family val="2"/>
      <scheme val="minor"/>
    </font>
    <font>
      <vertAlign val="superscript"/>
      <sz val="12"/>
      <name val="Calibri"/>
      <family val="2"/>
      <scheme val="minor"/>
    </font>
    <font>
      <i/>
      <sz val="12"/>
      <name val="Calibri"/>
      <family val="2"/>
      <scheme val="minor"/>
    </font>
    <font>
      <b/>
      <sz val="12"/>
      <color rgb="FF00B050"/>
      <name val="Calibri"/>
      <family val="2"/>
      <scheme val="minor"/>
    </font>
    <font>
      <b/>
      <sz val="11"/>
      <color rgb="FF0000FF"/>
      <name val="Calibri"/>
      <family val="2"/>
      <scheme val="minor"/>
    </font>
    <font>
      <sz val="11"/>
      <color rgb="FFFFFFCC"/>
      <name val="Calibri"/>
      <family val="2"/>
      <scheme val="minor"/>
    </font>
    <font>
      <b/>
      <sz val="11"/>
      <color rgb="FFFFFF00"/>
      <name val="Calibri"/>
      <family val="2"/>
      <scheme val="minor"/>
    </font>
    <font>
      <sz val="11"/>
      <color rgb="FFFF0000"/>
      <name val="Calibri"/>
      <family val="2"/>
    </font>
    <font>
      <i/>
      <sz val="11"/>
      <color rgb="FF0000FF"/>
      <name val="Calibri"/>
      <family val="2"/>
      <scheme val="minor"/>
    </font>
    <font>
      <b/>
      <sz val="12"/>
      <color theme="0"/>
      <name val="Calibri"/>
      <family val="2"/>
      <scheme val="minor"/>
    </font>
    <font>
      <sz val="12"/>
      <color rgb="FFFF0000"/>
      <name val="Calibri"/>
      <family val="2"/>
      <scheme val="minor"/>
    </font>
    <font>
      <b/>
      <sz val="12"/>
      <color rgb="FFFF0000"/>
      <name val="Calibri"/>
      <family val="2"/>
      <scheme val="minor"/>
    </font>
    <font>
      <i/>
      <sz val="11"/>
      <color theme="1" tint="0.499984740745262"/>
      <name val="Calibri"/>
      <family val="2"/>
      <scheme val="minor"/>
    </font>
    <font>
      <b/>
      <i/>
      <sz val="11"/>
      <color rgb="FFFF0000"/>
      <name val="Calibri"/>
      <family val="2"/>
      <scheme val="minor"/>
    </font>
    <font>
      <i/>
      <sz val="11"/>
      <color rgb="FFFF0000"/>
      <name val="Calibri"/>
      <family val="2"/>
      <scheme val="minor"/>
    </font>
    <font>
      <b/>
      <u/>
      <sz val="12"/>
      <name val="Calibri"/>
      <family val="2"/>
      <scheme val="minor"/>
    </font>
    <font>
      <i/>
      <sz val="9"/>
      <color rgb="FF0000FF"/>
      <name val="Calibri"/>
      <family val="2"/>
      <scheme val="minor"/>
    </font>
    <font>
      <b/>
      <i/>
      <sz val="9"/>
      <color rgb="FF0000FF"/>
      <name val="Calibri"/>
      <family val="2"/>
      <scheme val="minor"/>
    </font>
    <font>
      <b/>
      <sz val="9"/>
      <name val="Calibri"/>
      <family val="2"/>
      <scheme val="minor"/>
    </font>
    <font>
      <u/>
      <sz val="12"/>
      <name val="Calibri"/>
      <family val="2"/>
      <scheme val="minor"/>
    </font>
    <font>
      <sz val="12"/>
      <color theme="1"/>
      <name val="ArialMT"/>
      <family val="2"/>
    </font>
    <font>
      <sz val="11"/>
      <color rgb="FF000000"/>
      <name val="Calibri"/>
      <family val="2"/>
      <scheme val="minor"/>
    </font>
    <font>
      <b/>
      <sz val="11"/>
      <color rgb="FF000000"/>
      <name val="Calibri"/>
      <family val="2"/>
      <scheme val="minor"/>
    </font>
    <font>
      <b/>
      <u val="singleAccounting"/>
      <sz val="11"/>
      <color rgb="FF000000"/>
      <name val="Calibri"/>
      <family val="2"/>
      <scheme val="minor"/>
    </font>
    <font>
      <b/>
      <sz val="12"/>
      <color rgb="FF0000FF"/>
      <name val="Calibri"/>
      <family val="2"/>
      <scheme val="minor"/>
    </font>
    <font>
      <b/>
      <sz val="12"/>
      <name val="Arial"/>
      <family val="2"/>
    </font>
    <font>
      <b/>
      <u val="singleAccounting"/>
      <sz val="11"/>
      <color theme="1"/>
      <name val="Calibri"/>
      <family val="2"/>
      <scheme val="minor"/>
    </font>
    <font>
      <b/>
      <u/>
      <sz val="11"/>
      <color theme="0"/>
      <name val="Calibri"/>
      <family val="2"/>
      <scheme val="minor"/>
    </font>
    <font>
      <u/>
      <sz val="11"/>
      <color theme="1"/>
      <name val="Calibri"/>
      <family val="2"/>
      <scheme val="minor"/>
    </font>
    <font>
      <i/>
      <sz val="11"/>
      <color theme="1"/>
      <name val="Calibri"/>
      <family val="2"/>
      <scheme val="minor"/>
    </font>
    <font>
      <sz val="8"/>
      <color rgb="FF000000"/>
      <name val="Segoe UI"/>
      <family val="2"/>
    </font>
    <font>
      <sz val="11"/>
      <color rgb="FFFF0000"/>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bgColor indexed="8"/>
      </patternFill>
    </fill>
    <fill>
      <patternFill patternType="gray0625">
        <fgColor indexed="26"/>
        <bgColor indexed="43"/>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42"/>
        <bgColor indexed="64"/>
      </patternFill>
    </fill>
    <fill>
      <patternFill patternType="solid">
        <fgColor indexed="58"/>
        <bgColor indexed="64"/>
      </patternFill>
    </fill>
    <fill>
      <patternFill patternType="solid">
        <fgColor indexed="16"/>
        <bgColor indexed="64"/>
      </patternFill>
    </fill>
    <fill>
      <patternFill patternType="solid">
        <fgColor indexed="8"/>
        <bgColor indexed="64"/>
      </patternFill>
    </fill>
    <fill>
      <patternFill patternType="solid">
        <fgColor indexed="43"/>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bgColor indexed="64"/>
      </patternFill>
    </fill>
    <fill>
      <patternFill patternType="solid">
        <fgColor theme="3" tint="-0.49998474074526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FF"/>
        <bgColor rgb="FF000000"/>
      </patternFill>
    </fill>
    <fill>
      <patternFill patternType="solid">
        <fgColor theme="4" tint="0.79998168889431442"/>
        <bgColor rgb="FF000000"/>
      </patternFill>
    </fill>
    <fill>
      <patternFill patternType="solid">
        <fgColor theme="1"/>
        <bgColor indexed="64"/>
      </patternFill>
    </fill>
    <fill>
      <patternFill patternType="solid">
        <fgColor rgb="FFC00000"/>
        <bgColor indexed="64"/>
      </patternFill>
    </fill>
  </fills>
  <borders count="55">
    <border>
      <left/>
      <right/>
      <top/>
      <bottom/>
      <diagonal/>
    </border>
    <border>
      <left style="double">
        <color indexed="64"/>
      </left>
      <right/>
      <top/>
      <bottom style="hair">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indexed="64"/>
      </bottom>
      <diagonal/>
    </border>
    <border>
      <left/>
      <right/>
      <top style="medium">
        <color indexed="8"/>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diagonal/>
    </border>
    <border>
      <left/>
      <right/>
      <top style="thick">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8"/>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bottom style="medium">
        <color theme="3"/>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s>
  <cellStyleXfs count="437">
    <xf numFmtId="0" fontId="0" fillId="0" borderId="0"/>
    <xf numFmtId="167" fontId="8" fillId="0" borderId="0">
      <alignment horizontal="left" wrapText="1"/>
    </xf>
    <xf numFmtId="167" fontId="73" fillId="0" borderId="0">
      <alignment horizontal="left" wrapText="1"/>
    </xf>
    <xf numFmtId="167" fontId="8" fillId="0" borderId="0">
      <alignment horizontal="left" wrapText="1"/>
    </xf>
    <xf numFmtId="175" fontId="8" fillId="0" borderId="0">
      <alignment horizontal="left" wrapText="1"/>
    </xf>
    <xf numFmtId="175" fontId="73" fillId="0" borderId="0">
      <alignment horizontal="left" wrapText="1"/>
    </xf>
    <xf numFmtId="175"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5" fontId="8" fillId="0" borderId="0">
      <alignment horizontal="left" wrapText="1"/>
    </xf>
    <xf numFmtId="175" fontId="73" fillId="0" borderId="0">
      <alignment horizontal="left" wrapText="1"/>
    </xf>
    <xf numFmtId="175"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7" fontId="8" fillId="0" borderId="0">
      <alignment horizontal="left" wrapText="1"/>
    </xf>
    <xf numFmtId="177" fontId="73" fillId="0" borderId="0">
      <alignment horizontal="left" wrapText="1"/>
    </xf>
    <xf numFmtId="177" fontId="8" fillId="0" borderId="0">
      <alignment horizontal="left" wrapText="1"/>
    </xf>
    <xf numFmtId="177" fontId="8" fillId="0" borderId="0">
      <alignment horizontal="left" wrapText="1"/>
    </xf>
    <xf numFmtId="177" fontId="73" fillId="0" borderId="0">
      <alignment horizontal="left" wrapText="1"/>
    </xf>
    <xf numFmtId="177" fontId="8" fillId="0" borderId="0">
      <alignment horizontal="left" wrapText="1"/>
    </xf>
    <xf numFmtId="177" fontId="8" fillId="0" borderId="0">
      <alignment horizontal="left" wrapText="1"/>
    </xf>
    <xf numFmtId="177" fontId="73" fillId="0" borderId="0">
      <alignment horizontal="left" wrapText="1"/>
    </xf>
    <xf numFmtId="177" fontId="8" fillId="0" borderId="0">
      <alignment horizontal="left" wrapText="1"/>
    </xf>
    <xf numFmtId="177" fontId="8" fillId="0" borderId="0">
      <alignment horizontal="left" wrapText="1"/>
    </xf>
    <xf numFmtId="177" fontId="73" fillId="0" borderId="0">
      <alignment horizontal="left" wrapText="1"/>
    </xf>
    <xf numFmtId="17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76" fontId="8" fillId="0" borderId="0">
      <alignment horizontal="left" wrapText="1"/>
    </xf>
    <xf numFmtId="176" fontId="73" fillId="0" borderId="0">
      <alignment horizontal="left" wrapText="1"/>
    </xf>
    <xf numFmtId="176"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174" fontId="8" fillId="0" borderId="0">
      <alignment horizontal="left" wrapText="1"/>
    </xf>
    <xf numFmtId="174" fontId="73" fillId="0" borderId="0">
      <alignment horizontal="left" wrapText="1"/>
    </xf>
    <xf numFmtId="174" fontId="8" fillId="0" borderId="0">
      <alignment horizontal="left" wrapText="1"/>
    </xf>
    <xf numFmtId="167" fontId="8" fillId="0" borderId="0">
      <alignment horizontal="left" wrapText="1"/>
    </xf>
    <xf numFmtId="167" fontId="73" fillId="0" borderId="0">
      <alignment horizontal="left" wrapText="1"/>
    </xf>
    <xf numFmtId="167" fontId="8" fillId="0" borderId="0">
      <alignment horizontal="left" wrapText="1"/>
    </xf>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178" fontId="8" fillId="20" borderId="1">
      <alignment horizontal="center" vertical="center"/>
    </xf>
    <xf numFmtId="171" fontId="9" fillId="0" borderId="0"/>
    <xf numFmtId="0" fontId="63" fillId="3" borderId="0" applyNumberFormat="0" applyBorder="0" applyAlignment="0" applyProtection="0"/>
    <xf numFmtId="0" fontId="10" fillId="0" borderId="0" applyNumberFormat="0" applyFill="0" applyBorder="0" applyAlignment="0" applyProtection="0"/>
    <xf numFmtId="0" fontId="11" fillId="21" borderId="0" applyNumberFormat="0" applyFill="0" applyBorder="0" applyAlignment="0" applyProtection="0">
      <protection locked="0"/>
    </xf>
    <xf numFmtId="14" fontId="12" fillId="0" borderId="0" applyNumberFormat="0" applyFill="0" applyBorder="0" applyAlignment="0" applyProtection="0">
      <alignment horizontal="center"/>
    </xf>
    <xf numFmtId="0" fontId="13" fillId="21" borderId="2" applyNumberFormat="0" applyFill="0" applyBorder="0" applyAlignment="0" applyProtection="0">
      <protection locked="0"/>
    </xf>
    <xf numFmtId="0" fontId="14" fillId="0" borderId="3" applyNumberFormat="0" applyFont="0" applyFill="0" applyAlignment="0" applyProtection="0"/>
    <xf numFmtId="0" fontId="9" fillId="0" borderId="3" applyNumberFormat="0" applyFont="0" applyFill="0" applyAlignment="0" applyProtection="0"/>
    <xf numFmtId="169" fontId="15" fillId="0" borderId="4" applyNumberFormat="0" applyFill="0" applyAlignment="0" applyProtection="0"/>
    <xf numFmtId="169" fontId="8" fillId="0" borderId="4" applyNumberFormat="0" applyFill="0" applyAlignment="0" applyProtection="0"/>
    <xf numFmtId="0" fontId="64" fillId="22" borderId="5" applyNumberFormat="0" applyAlignment="0" applyProtection="0"/>
    <xf numFmtId="0" fontId="65" fillId="23" borderId="6" applyNumberFormat="0" applyAlignment="0" applyProtection="0"/>
    <xf numFmtId="43" fontId="8" fillId="0" borderId="0" applyFont="0" applyFill="0" applyBorder="0" applyAlignment="0" applyProtection="0"/>
    <xf numFmtId="179" fontId="9" fillId="0" borderId="0" applyFont="0" applyFill="0" applyBorder="0" applyAlignment="0" applyProtection="0"/>
    <xf numFmtId="40" fontId="15" fillId="0" borderId="0" applyBorder="0" applyProtection="0"/>
    <xf numFmtId="40" fontId="8" fillId="0" borderId="0" applyBorder="0" applyProtection="0"/>
    <xf numFmtId="180" fontId="16" fillId="0" borderId="0" applyFont="0" applyFill="0" applyBorder="0" applyAlignment="0" applyProtection="0">
      <alignment horizontal="center"/>
    </xf>
    <xf numFmtId="0" fontId="17" fillId="0" borderId="0" applyFont="0" applyFill="0" applyBorder="0" applyAlignment="0" applyProtection="0">
      <alignment horizontal="right"/>
    </xf>
    <xf numFmtId="37" fontId="18" fillId="0" borderId="0"/>
    <xf numFmtId="0" fontId="17" fillId="0" borderId="0" applyFont="0" applyFill="0" applyBorder="0" applyAlignment="0" applyProtection="0">
      <alignment horizontal="right"/>
    </xf>
    <xf numFmtId="43" fontId="73" fillId="0" borderId="0" applyFont="0" applyFill="0" applyBorder="0" applyAlignment="0" applyProtection="0"/>
    <xf numFmtId="43" fontId="8"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1" fontId="8" fillId="0" borderId="0">
      <protection locked="0"/>
    </xf>
    <xf numFmtId="44" fontId="8" fillId="0" borderId="0" applyFont="0" applyFill="0" applyBorder="0" applyAlignment="0" applyProtection="0"/>
    <xf numFmtId="182" fontId="19" fillId="0" borderId="0" applyFont="0" applyFill="0" applyBorder="0" applyAlignment="0" applyProtection="0"/>
    <xf numFmtId="8" fontId="9" fillId="0" borderId="0" applyFont="0" applyFill="0" applyBorder="0" applyAlignment="0" applyProtection="0"/>
    <xf numFmtId="183" fontId="9" fillId="0" borderId="0" applyFont="0" applyFill="0" applyBorder="0" applyAlignment="0" applyProtection="0"/>
    <xf numFmtId="0" fontId="17" fillId="0" borderId="0" applyFont="0" applyFill="0" applyBorder="0" applyAlignment="0" applyProtection="0">
      <alignment horizontal="right"/>
    </xf>
    <xf numFmtId="0" fontId="17" fillId="0" borderId="0" applyFont="0" applyFill="0" applyBorder="0" applyAlignment="0" applyProtection="0">
      <alignment horizontal="right"/>
    </xf>
    <xf numFmtId="44" fontId="82" fillId="0" borderId="0" applyFont="0" applyFill="0" applyBorder="0" applyAlignment="0" applyProtection="0"/>
    <xf numFmtId="44" fontId="82" fillId="0" borderId="0" applyFont="0" applyFill="0" applyBorder="0" applyAlignment="0" applyProtection="0"/>
    <xf numFmtId="181" fontId="8" fillId="0" borderId="0">
      <protection locked="0"/>
    </xf>
    <xf numFmtId="7" fontId="20" fillId="0" borderId="0" applyFill="0" applyBorder="0">
      <alignment horizontal="right"/>
    </xf>
    <xf numFmtId="8" fontId="21" fillId="0" borderId="0" applyNumberFormat="0" applyFill="0" applyBorder="0" applyAlignment="0"/>
    <xf numFmtId="6" fontId="22" fillId="0" borderId="0">
      <protection locked="0"/>
    </xf>
    <xf numFmtId="0" fontId="17" fillId="0" borderId="0" applyFont="0" applyFill="0" applyBorder="0" applyAlignment="0" applyProtection="0"/>
    <xf numFmtId="6" fontId="22" fillId="0" borderId="0">
      <protection locked="0"/>
    </xf>
    <xf numFmtId="40" fontId="23" fillId="0" borderId="0"/>
    <xf numFmtId="184" fontId="8" fillId="0" borderId="0" applyFont="0" applyFill="0" applyBorder="0" applyAlignment="0" applyProtection="0"/>
    <xf numFmtId="185" fontId="8" fillId="0" borderId="0" applyFont="0" applyFill="0" applyBorder="0" applyAlignment="0" applyProtection="0"/>
    <xf numFmtId="186" fontId="9" fillId="0" borderId="0"/>
    <xf numFmtId="0" fontId="17" fillId="0" borderId="7" applyNumberFormat="0" applyFont="0" applyFill="0" applyAlignment="0" applyProtection="0"/>
    <xf numFmtId="0" fontId="66" fillId="0" borderId="0" applyNumberFormat="0" applyFill="0" applyBorder="0" applyAlignment="0" applyProtection="0"/>
    <xf numFmtId="0" fontId="9" fillId="0" borderId="0" applyProtection="0"/>
    <xf numFmtId="0" fontId="7" fillId="0" borderId="0" applyProtection="0"/>
    <xf numFmtId="0" fontId="8" fillId="0" borderId="0" applyProtection="0"/>
    <xf numFmtId="0" fontId="24" fillId="0" borderId="0" applyProtection="0"/>
    <xf numFmtId="187" fontId="8" fillId="0" borderId="0">
      <protection locked="0"/>
    </xf>
    <xf numFmtId="173" fontId="20" fillId="0" borderId="0" applyFill="0" applyBorder="0">
      <alignment horizontal="right"/>
    </xf>
    <xf numFmtId="0" fontId="25" fillId="0" borderId="0" applyFill="0" applyBorder="0" applyProtection="0">
      <alignment horizontal="left"/>
    </xf>
    <xf numFmtId="179" fontId="24" fillId="21" borderId="8" applyFont="0" applyBorder="0" applyAlignment="0" applyProtection="0">
      <alignment vertical="top"/>
    </xf>
    <xf numFmtId="0" fontId="67" fillId="4" borderId="0" applyNumberFormat="0" applyBorder="0" applyAlignment="0" applyProtection="0"/>
    <xf numFmtId="38" fontId="26" fillId="24" borderId="0" applyNumberFormat="0" applyBorder="0" applyAlignment="0" applyProtection="0"/>
    <xf numFmtId="38" fontId="24" fillId="24" borderId="0" applyNumberFormat="0" applyBorder="0" applyAlignment="0" applyProtection="0"/>
    <xf numFmtId="0" fontId="17" fillId="0" borderId="0" applyFont="0" applyFill="0" applyBorder="0" applyAlignment="0" applyProtection="0">
      <alignment horizontal="right"/>
    </xf>
    <xf numFmtId="0" fontId="27" fillId="0" borderId="0" applyProtection="0">
      <alignment horizontal="right"/>
    </xf>
    <xf numFmtId="181" fontId="8" fillId="0" borderId="0">
      <protection locked="0"/>
    </xf>
    <xf numFmtId="0" fontId="28" fillId="0" borderId="0" applyProtection="0">
      <alignment horizontal="left"/>
    </xf>
    <xf numFmtId="0" fontId="29" fillId="0" borderId="0" applyProtection="0">
      <alignment horizontal="left"/>
    </xf>
    <xf numFmtId="0" fontId="68" fillId="0" borderId="0" applyNumberFormat="0" applyFill="0" applyBorder="0" applyAlignment="0" applyProtection="0"/>
    <xf numFmtId="188" fontId="8" fillId="0" borderId="0">
      <protection locked="0"/>
    </xf>
    <xf numFmtId="188" fontId="8" fillId="0" borderId="0">
      <protection locked="0"/>
    </xf>
    <xf numFmtId="0" fontId="30" fillId="0" borderId="0"/>
    <xf numFmtId="0" fontId="31" fillId="0" borderId="9" applyNumberFormat="0" applyFill="0" applyAlignment="0" applyProtection="0"/>
    <xf numFmtId="172" fontId="32" fillId="0" borderId="0" applyNumberFormat="0" applyFill="0" applyBorder="0" applyAlignment="0" applyProtection="0"/>
    <xf numFmtId="10" fontId="26" fillId="25" borderId="8" applyNumberFormat="0" applyBorder="0" applyAlignment="0" applyProtection="0"/>
    <xf numFmtId="10" fontId="24" fillId="25" borderId="8" applyNumberFormat="0" applyBorder="0" applyAlignment="0" applyProtection="0"/>
    <xf numFmtId="172" fontId="31" fillId="0" borderId="0" applyNumberFormat="0" applyFill="0" applyBorder="0" applyAlignment="0" applyProtection="0"/>
    <xf numFmtId="189" fontId="24" fillId="25" borderId="0" applyNumberFormat="0" applyFont="0" applyBorder="0" applyAlignment="0" applyProtection="0">
      <alignment horizontal="center"/>
      <protection locked="0"/>
    </xf>
    <xf numFmtId="165" fontId="24" fillId="25" borderId="10" applyNumberFormat="0" applyFont="0" applyAlignment="0" applyProtection="0">
      <alignment horizontal="center"/>
      <protection locked="0"/>
    </xf>
    <xf numFmtId="168" fontId="33" fillId="26" borderId="11" applyNumberFormat="0" applyBorder="0" applyAlignment="0" applyProtection="0"/>
    <xf numFmtId="0" fontId="34" fillId="27" borderId="0" applyNumberFormat="0"/>
    <xf numFmtId="190" fontId="9" fillId="0" borderId="0">
      <alignment horizontal="left"/>
    </xf>
    <xf numFmtId="0" fontId="69" fillId="0" borderId="12" applyNumberFormat="0" applyFill="0" applyAlignment="0" applyProtection="0"/>
    <xf numFmtId="0" fontId="17" fillId="0" borderId="0" applyFont="0" applyFill="0" applyBorder="0" applyAlignment="0" applyProtection="0">
      <alignment horizontal="right"/>
    </xf>
    <xf numFmtId="191" fontId="8" fillId="0" borderId="0" applyFill="0" applyBorder="0" applyProtection="0">
      <alignment horizontal="right"/>
    </xf>
    <xf numFmtId="192" fontId="9" fillId="0" borderId="0" applyFill="0" applyBorder="0" applyProtection="0">
      <alignment horizontal="right"/>
    </xf>
    <xf numFmtId="0" fontId="70" fillId="28" borderId="0" applyNumberFormat="0" applyBorder="0" applyAlignment="0" applyProtection="0"/>
    <xf numFmtId="37" fontId="35" fillId="0" borderId="0"/>
    <xf numFmtId="193" fontId="8" fillId="0" borderId="0"/>
    <xf numFmtId="0" fontId="73" fillId="0" borderId="0"/>
    <xf numFmtId="0" fontId="82" fillId="0" borderId="0"/>
    <xf numFmtId="0" fontId="82" fillId="0" borderId="0"/>
    <xf numFmtId="0" fontId="8" fillId="0" borderId="0"/>
    <xf numFmtId="0" fontId="82" fillId="0" borderId="0"/>
    <xf numFmtId="0" fontId="74" fillId="0" borderId="0"/>
    <xf numFmtId="0" fontId="8" fillId="0" borderId="0"/>
    <xf numFmtId="0" fontId="36" fillId="0" borderId="0" applyFill="0" applyBorder="0" applyAlignment="0" applyProtection="0"/>
    <xf numFmtId="0" fontId="15" fillId="29" borderId="13" applyNumberFormat="0" applyFont="0" applyAlignment="0" applyProtection="0"/>
    <xf numFmtId="0" fontId="8" fillId="29" borderId="13" applyNumberFormat="0" applyFont="0" applyAlignment="0" applyProtection="0"/>
    <xf numFmtId="172" fontId="26" fillId="0" borderId="0"/>
    <xf numFmtId="172" fontId="24" fillId="0" borderId="0"/>
    <xf numFmtId="172" fontId="37" fillId="0" borderId="0">
      <protection locked="0"/>
    </xf>
    <xf numFmtId="1" fontId="38" fillId="0" borderId="0" applyFont="0" applyFill="0" applyBorder="0" applyAlignment="0" applyProtection="0">
      <protection locked="0"/>
    </xf>
    <xf numFmtId="0" fontId="71" fillId="22" borderId="14" applyNumberFormat="0" applyAlignment="0" applyProtection="0"/>
    <xf numFmtId="40" fontId="18" fillId="21" borderId="0">
      <alignment horizontal="right"/>
    </xf>
    <xf numFmtId="0" fontId="39" fillId="21" borderId="0">
      <alignment horizontal="left"/>
    </xf>
    <xf numFmtId="0" fontId="40" fillId="0" borderId="0" applyFill="0" applyBorder="0" applyProtection="0">
      <alignment horizontal="left"/>
    </xf>
    <xf numFmtId="0" fontId="41" fillId="0" borderId="0" applyFill="0" applyBorder="0" applyProtection="0">
      <alignment horizontal="left"/>
    </xf>
    <xf numFmtId="1" fontId="42" fillId="0" borderId="0" applyProtection="0">
      <alignment horizontal="right" vertical="center"/>
    </xf>
    <xf numFmtId="194" fontId="8" fillId="0" borderId="0" applyFont="0" applyFill="0" applyBorder="0" applyAlignment="0" applyProtection="0"/>
    <xf numFmtId="9" fontId="8" fillId="0" borderId="0" applyFont="0" applyFill="0" applyBorder="0" applyAlignment="0" applyProtection="0"/>
    <xf numFmtId="10" fontId="24" fillId="0" borderId="0"/>
    <xf numFmtId="165" fontId="43" fillId="0" borderId="0" applyFont="0" applyFill="0" applyBorder="0" applyAlignment="0" applyProtection="0"/>
    <xf numFmtId="170" fontId="44" fillId="0" borderId="0" applyFont="0" applyFill="0" applyBorder="0" applyAlignment="0" applyProtection="0"/>
    <xf numFmtId="165" fontId="45" fillId="0" borderId="0"/>
    <xf numFmtId="9" fontId="73" fillId="0" borderId="0" applyFont="0" applyFill="0" applyBorder="0" applyAlignment="0" applyProtection="0"/>
    <xf numFmtId="9" fontId="82" fillId="0" borderId="0" applyFont="0" applyFill="0" applyBorder="0" applyAlignment="0" applyProtection="0"/>
    <xf numFmtId="9" fontId="8" fillId="0" borderId="0" applyFont="0" applyFill="0" applyBorder="0" applyAlignment="0" applyProtection="0"/>
    <xf numFmtId="195" fontId="9" fillId="0" borderId="0" applyFont="0" applyFill="0" applyBorder="0" applyProtection="0">
      <alignment horizontal="right"/>
    </xf>
    <xf numFmtId="165" fontId="9" fillId="0" borderId="0"/>
    <xf numFmtId="165" fontId="46" fillId="0" borderId="0"/>
    <xf numFmtId="164" fontId="20" fillId="0" borderId="0" applyFill="0" applyBorder="0">
      <alignment horizontal="right"/>
    </xf>
    <xf numFmtId="0" fontId="38" fillId="24" borderId="8" applyNumberFormat="0" applyFont="0" applyAlignment="0" applyProtection="0"/>
    <xf numFmtId="189" fontId="24" fillId="24" borderId="0" applyNumberFormat="0" applyFont="0" applyBorder="0" applyAlignment="0" applyProtection="0">
      <alignment horizontal="center"/>
      <protection locked="0"/>
    </xf>
    <xf numFmtId="37" fontId="47" fillId="0" borderId="0" applyNumberFormat="0" applyFill="0" applyBorder="0" applyAlignment="0" applyProtection="0"/>
    <xf numFmtId="0" fontId="48" fillId="30" borderId="0" applyNumberFormat="0" applyFont="0" applyBorder="0" applyAlignment="0" applyProtection="0"/>
    <xf numFmtId="0" fontId="19" fillId="30" borderId="0" applyNumberFormat="0" applyFont="0" applyBorder="0" applyAlignment="0" applyProtection="0"/>
    <xf numFmtId="0" fontId="49" fillId="31" borderId="0" applyNumberFormat="0" applyFont="0" applyBorder="0" applyAlignment="0" applyProtection="0">
      <alignment horizontal="center"/>
    </xf>
    <xf numFmtId="0" fontId="50" fillId="0" borderId="0"/>
    <xf numFmtId="0" fontId="8" fillId="32" borderId="0"/>
    <xf numFmtId="167" fontId="8" fillId="0" borderId="0">
      <alignment horizontal="left" wrapText="1"/>
    </xf>
    <xf numFmtId="0" fontId="51" fillId="0" borderId="0"/>
    <xf numFmtId="0" fontId="38" fillId="24" borderId="0" applyNumberFormat="0" applyFont="0" applyBorder="0" applyAlignment="0" applyProtection="0"/>
    <xf numFmtId="0" fontId="52" fillId="0" borderId="0" applyFill="0" applyBorder="0" applyProtection="0">
      <alignment horizontal="center" vertical="center"/>
    </xf>
    <xf numFmtId="0" fontId="53" fillId="0" borderId="0" applyBorder="0" applyProtection="0">
      <alignment vertical="center"/>
    </xf>
    <xf numFmtId="0" fontId="53" fillId="0" borderId="10" applyBorder="0" applyProtection="0">
      <alignment horizontal="right" vertical="center"/>
    </xf>
    <xf numFmtId="0" fontId="54" fillId="33" borderId="0" applyBorder="0" applyProtection="0">
      <alignment horizontal="centerContinuous" vertical="center"/>
    </xf>
    <xf numFmtId="0" fontId="54" fillId="34" borderId="10" applyBorder="0" applyProtection="0">
      <alignment horizontal="centerContinuous" vertical="center"/>
    </xf>
    <xf numFmtId="0" fontId="52" fillId="0" borderId="0" applyFill="0" applyBorder="0" applyProtection="0"/>
    <xf numFmtId="0" fontId="55" fillId="0" borderId="0" applyFill="0" applyBorder="0" applyProtection="0">
      <alignment horizontal="left"/>
    </xf>
    <xf numFmtId="0" fontId="25" fillId="0" borderId="15" applyFill="0" applyBorder="0" applyProtection="0">
      <alignment horizontal="left" vertical="top"/>
    </xf>
    <xf numFmtId="0" fontId="11" fillId="21" borderId="16" applyNumberFormat="0" applyFont="0" applyFill="0" applyAlignment="0" applyProtection="0">
      <protection locked="0"/>
    </xf>
    <xf numFmtId="0" fontId="11" fillId="21" borderId="17" applyNumberFormat="0" applyFont="0" applyFill="0" applyAlignment="0" applyProtection="0">
      <protection locked="0"/>
    </xf>
    <xf numFmtId="0" fontId="38" fillId="0" borderId="0" applyNumberFormat="0" applyFill="0" applyBorder="0" applyAlignment="0" applyProtection="0"/>
    <xf numFmtId="18" fontId="56" fillId="21" borderId="0" applyFont="0" applyFill="0" applyBorder="0" applyAlignment="0" applyProtection="0">
      <protection locked="0"/>
    </xf>
    <xf numFmtId="18" fontId="11" fillId="21" borderId="0" applyFont="0" applyFill="0" applyBorder="0" applyAlignment="0" applyProtection="0">
      <protection locked="0"/>
    </xf>
    <xf numFmtId="0" fontId="48" fillId="0" borderId="0">
      <alignment horizontal="center"/>
    </xf>
    <xf numFmtId="0" fontId="19" fillId="0" borderId="0">
      <alignment horizontal="center"/>
    </xf>
    <xf numFmtId="0" fontId="72" fillId="0" borderId="0" applyNumberFormat="0" applyFill="0" applyBorder="0" applyAlignment="0" applyProtection="0"/>
    <xf numFmtId="190" fontId="16" fillId="0" borderId="0">
      <alignment horizontal="centerContinuous"/>
      <protection locked="0"/>
    </xf>
    <xf numFmtId="188" fontId="8" fillId="0" borderId="18">
      <protection locked="0"/>
    </xf>
    <xf numFmtId="169" fontId="57" fillId="0" borderId="0">
      <alignment horizontal="left"/>
      <protection locked="0"/>
    </xf>
    <xf numFmtId="0" fontId="58" fillId="0" borderId="0" applyNumberFormat="0" applyFont="0" applyFill="0"/>
    <xf numFmtId="38" fontId="59" fillId="0" borderId="19" applyFill="0" applyBorder="0" applyAlignment="0" applyProtection="0">
      <protection locked="0"/>
    </xf>
    <xf numFmtId="38" fontId="18" fillId="0" borderId="19" applyFill="0" applyBorder="0" applyAlignment="0" applyProtection="0">
      <protection locked="0"/>
    </xf>
    <xf numFmtId="37" fontId="26" fillId="35" borderId="0" applyNumberFormat="0" applyBorder="0" applyAlignment="0" applyProtection="0"/>
    <xf numFmtId="37" fontId="24" fillId="35" borderId="0" applyNumberFormat="0" applyBorder="0" applyAlignment="0" applyProtection="0"/>
    <xf numFmtId="37" fontId="24" fillId="0" borderId="0"/>
    <xf numFmtId="37" fontId="24" fillId="35" borderId="0" applyNumberFormat="0" applyBorder="0" applyAlignment="0" applyProtection="0"/>
    <xf numFmtId="3" fontId="37" fillId="0" borderId="9" applyProtection="0"/>
    <xf numFmtId="14" fontId="49" fillId="0" borderId="0" applyNumberFormat="0" applyFont="0" applyBorder="0" applyAlignment="0" applyProtection="0">
      <alignment horizontal="center"/>
    </xf>
    <xf numFmtId="0" fontId="8" fillId="0" borderId="0" applyFont="0" applyFill="0" applyBorder="0" applyAlignment="0" applyProtection="0"/>
    <xf numFmtId="0" fontId="8" fillId="0" borderId="0" applyFont="0" applyFill="0" applyBorder="0" applyAlignment="0" applyProtection="0"/>
    <xf numFmtId="0" fontId="61" fillId="0" borderId="0" applyNumberFormat="0" applyFill="0" applyBorder="0" applyAlignment="0" applyProtection="0"/>
    <xf numFmtId="0" fontId="38" fillId="21" borderId="0" applyNumberFormat="0" applyFont="0" applyAlignment="0" applyProtection="0"/>
    <xf numFmtId="0" fontId="38" fillId="21" borderId="16" applyNumberFormat="0" applyFont="0" applyAlignment="0" applyProtection="0">
      <protection locked="0"/>
    </xf>
    <xf numFmtId="0" fontId="60" fillId="0" borderId="0" applyNumberFormat="0" applyFill="0" applyBorder="0" applyAlignment="0" applyProtection="0"/>
    <xf numFmtId="169" fontId="14" fillId="0" borderId="0" applyFont="0" applyFill="0" applyBorder="0" applyProtection="0">
      <alignment horizontal="right"/>
    </xf>
    <xf numFmtId="169" fontId="9" fillId="0" borderId="0" applyFont="0" applyFill="0" applyBorder="0" applyProtection="0">
      <alignment horizontal="right"/>
    </xf>
    <xf numFmtId="0" fontId="6" fillId="0" borderId="0"/>
    <xf numFmtId="0" fontId="117" fillId="0" borderId="0"/>
    <xf numFmtId="9"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123" fillId="0" borderId="0"/>
    <xf numFmtId="43" fontId="123" fillId="0" borderId="0" applyFont="0" applyFill="0" applyBorder="0" applyAlignment="0" applyProtection="0"/>
    <xf numFmtId="9" fontId="4" fillId="0" borderId="0" applyFont="0" applyFill="0" applyBorder="0" applyAlignment="0" applyProtection="0"/>
    <xf numFmtId="0" fontId="146" fillId="0" borderId="0"/>
    <xf numFmtId="43" fontId="146" fillId="0" borderId="0" applyFont="0" applyFill="0" applyBorder="0" applyAlignment="0" applyProtection="0"/>
  </cellStyleXfs>
  <cellXfs count="722">
    <xf numFmtId="0" fontId="0" fillId="0" borderId="0" xfId="0"/>
    <xf numFmtId="0" fontId="83" fillId="0" borderId="0" xfId="0" applyFont="1"/>
    <xf numFmtId="0" fontId="84" fillId="0" borderId="0" xfId="0" applyFont="1"/>
    <xf numFmtId="0" fontId="83" fillId="0" borderId="10" xfId="0" applyFont="1" applyBorder="1" applyAlignment="1">
      <alignment horizontal="center"/>
    </xf>
    <xf numFmtId="166" fontId="84" fillId="0" borderId="0" xfId="275" applyNumberFormat="1" applyFont="1"/>
    <xf numFmtId="10" fontId="84" fillId="0" borderId="0" xfId="367" applyNumberFormat="1" applyFont="1"/>
    <xf numFmtId="0" fontId="84" fillId="0" borderId="0" xfId="0" applyFont="1" applyAlignment="1">
      <alignment horizontal="left" indent="1"/>
    </xf>
    <xf numFmtId="0" fontId="83" fillId="0" borderId="0" xfId="352" applyFont="1" applyAlignment="1">
      <alignment horizontal="left"/>
    </xf>
    <xf numFmtId="0" fontId="84" fillId="0" borderId="0" xfId="352" applyFont="1" applyAlignment="1">
      <alignment horizontal="left" indent="1"/>
    </xf>
    <xf numFmtId="0" fontId="85" fillId="36" borderId="0" xfId="0" applyFont="1" applyFill="1"/>
    <xf numFmtId="0" fontId="86" fillId="37" borderId="0" xfId="0" applyFont="1" applyFill="1" applyAlignment="1">
      <alignment horizontal="centerContinuous"/>
    </xf>
    <xf numFmtId="0" fontId="84" fillId="37" borderId="0" xfId="0" applyFont="1" applyFill="1"/>
    <xf numFmtId="0" fontId="84" fillId="37" borderId="10" xfId="0" applyFont="1" applyFill="1" applyBorder="1" applyAlignment="1">
      <alignment horizontal="center"/>
    </xf>
    <xf numFmtId="0" fontId="84" fillId="37" borderId="0" xfId="0" applyFont="1" applyFill="1" applyAlignment="1">
      <alignment horizontal="center"/>
    </xf>
    <xf numFmtId="0" fontId="87" fillId="0" borderId="0" xfId="0" applyFont="1"/>
    <xf numFmtId="166" fontId="84" fillId="0" borderId="0" xfId="285" applyNumberFormat="1" applyFont="1"/>
    <xf numFmtId="166" fontId="88" fillId="38" borderId="0" xfId="285" applyNumberFormat="1" applyFont="1" applyFill="1"/>
    <xf numFmtId="0" fontId="89" fillId="0" borderId="0" xfId="349" applyFont="1"/>
    <xf numFmtId="0" fontId="84" fillId="0" borderId="0" xfId="349" applyFont="1" applyAlignment="1">
      <alignment horizontal="center"/>
    </xf>
    <xf numFmtId="0" fontId="84" fillId="0" borderId="0" xfId="349" applyFont="1"/>
    <xf numFmtId="3" fontId="84" fillId="0" borderId="0" xfId="349" applyNumberFormat="1" applyFont="1"/>
    <xf numFmtId="0" fontId="83" fillId="0" borderId="0" xfId="349" applyFont="1"/>
    <xf numFmtId="8" fontId="84" fillId="0" borderId="0" xfId="349" applyNumberFormat="1" applyFont="1" applyAlignment="1">
      <alignment horizontal="center"/>
    </xf>
    <xf numFmtId="0" fontId="84" fillId="0" borderId="0" xfId="349" quotePrefix="1" applyFont="1" applyAlignment="1">
      <alignment horizontal="right"/>
    </xf>
    <xf numFmtId="202" fontId="84" fillId="0" borderId="0" xfId="349" applyNumberFormat="1" applyFont="1" applyAlignment="1">
      <alignment horizontal="center"/>
    </xf>
    <xf numFmtId="0" fontId="84" fillId="0" borderId="0" xfId="349" quotePrefix="1" applyFont="1" applyAlignment="1">
      <alignment horizontal="center"/>
    </xf>
    <xf numFmtId="165" fontId="84" fillId="0" borderId="0" xfId="349" applyNumberFormat="1" applyFont="1"/>
    <xf numFmtId="10" fontId="90" fillId="0" borderId="0" xfId="349" applyNumberFormat="1" applyFont="1"/>
    <xf numFmtId="0" fontId="90" fillId="0" borderId="0" xfId="349" applyFont="1" applyAlignment="1">
      <alignment horizontal="center"/>
    </xf>
    <xf numFmtId="0" fontId="84" fillId="0" borderId="0" xfId="349" applyFont="1" applyAlignment="1">
      <alignment horizontal="left"/>
    </xf>
    <xf numFmtId="0" fontId="90" fillId="0" borderId="0" xfId="349" applyFont="1"/>
    <xf numFmtId="10" fontId="84" fillId="0" borderId="0" xfId="349" applyNumberFormat="1" applyFont="1" applyAlignment="1">
      <alignment horizontal="center"/>
    </xf>
    <xf numFmtId="0" fontId="84" fillId="0" borderId="10" xfId="349" applyFont="1" applyBorder="1" applyAlignment="1">
      <alignment horizontal="center"/>
    </xf>
    <xf numFmtId="203" fontId="84" fillId="0" borderId="0" xfId="349" applyNumberFormat="1" applyFont="1"/>
    <xf numFmtId="0" fontId="83" fillId="0" borderId="0" xfId="349" applyFont="1" applyAlignment="1">
      <alignment horizontal="center"/>
    </xf>
    <xf numFmtId="0" fontId="91" fillId="0" borderId="0" xfId="0" applyFont="1" applyAlignment="1" applyProtection="1">
      <alignment horizontal="centerContinuous"/>
      <protection locked="0"/>
    </xf>
    <xf numFmtId="0" fontId="84" fillId="0" borderId="0" xfId="0" applyFont="1" applyAlignment="1">
      <alignment horizontal="center"/>
    </xf>
    <xf numFmtId="0" fontId="92" fillId="0" borderId="22" xfId="0" applyFont="1" applyBorder="1" applyAlignment="1">
      <alignment horizontal="center"/>
    </xf>
    <xf numFmtId="0" fontId="83" fillId="0" borderId="22" xfId="0" applyFont="1" applyBorder="1" applyAlignment="1">
      <alignment horizontal="center"/>
    </xf>
    <xf numFmtId="0" fontId="93" fillId="0" borderId="0" xfId="0" applyFont="1" applyAlignment="1" applyProtection="1">
      <alignment horizontal="center"/>
      <protection locked="0"/>
    </xf>
    <xf numFmtId="166" fontId="91" fillId="0" borderId="0" xfId="275" applyNumberFormat="1" applyFont="1"/>
    <xf numFmtId="166" fontId="84" fillId="0" borderId="0" xfId="275" applyNumberFormat="1" applyFont="1" applyAlignment="1">
      <alignment horizontal="right"/>
    </xf>
    <xf numFmtId="166" fontId="84" fillId="0" borderId="10" xfId="275" applyNumberFormat="1" applyFont="1" applyBorder="1"/>
    <xf numFmtId="166" fontId="84" fillId="0" borderId="23" xfId="275" applyNumberFormat="1" applyFont="1" applyBorder="1"/>
    <xf numFmtId="166" fontId="84" fillId="0" borderId="23" xfId="0" applyNumberFormat="1" applyFont="1" applyBorder="1"/>
    <xf numFmtId="10" fontId="91" fillId="0" borderId="0" xfId="0" applyNumberFormat="1" applyFont="1"/>
    <xf numFmtId="10" fontId="91" fillId="0" borderId="10" xfId="0" applyNumberFormat="1" applyFont="1" applyBorder="1"/>
    <xf numFmtId="164" fontId="91" fillId="0" borderId="0" xfId="367" applyNumberFormat="1" applyFont="1"/>
    <xf numFmtId="0" fontId="89" fillId="0" borderId="0" xfId="0" applyFont="1"/>
    <xf numFmtId="166" fontId="84" fillId="0" borderId="24" xfId="275" applyNumberFormat="1" applyFont="1" applyBorder="1"/>
    <xf numFmtId="0" fontId="83" fillId="0" borderId="0" xfId="0" applyFont="1" applyAlignment="1">
      <alignment horizontal="left" indent="1"/>
    </xf>
    <xf numFmtId="0" fontId="92" fillId="0" borderId="25" xfId="0" applyFont="1" applyBorder="1" applyAlignment="1">
      <alignment horizontal="center"/>
    </xf>
    <xf numFmtId="0" fontId="83" fillId="0" borderId="25" xfId="0" applyFont="1" applyBorder="1" applyAlignment="1">
      <alignment horizontal="center"/>
    </xf>
    <xf numFmtId="0" fontId="89" fillId="0" borderId="0" xfId="0" applyFont="1" applyAlignment="1" applyProtection="1">
      <alignment horizontal="left"/>
      <protection locked="0"/>
    </xf>
    <xf numFmtId="165" fontId="94" fillId="0" borderId="0" xfId="367" applyNumberFormat="1" applyFont="1" applyAlignment="1">
      <alignment horizontal="center"/>
    </xf>
    <xf numFmtId="165" fontId="84" fillId="0" borderId="10" xfId="367" applyNumberFormat="1" applyFont="1" applyBorder="1"/>
    <xf numFmtId="166" fontId="84" fillId="0" borderId="10" xfId="275" applyNumberFormat="1" applyFont="1" applyBorder="1" applyAlignment="1">
      <alignment horizontal="right"/>
    </xf>
    <xf numFmtId="5" fontId="83" fillId="0" borderId="0" xfId="0" applyNumberFormat="1" applyFont="1"/>
    <xf numFmtId="37" fontId="84" fillId="0" borderId="0" xfId="0" applyNumberFormat="1" applyFont="1" applyAlignment="1">
      <alignment horizontal="right"/>
    </xf>
    <xf numFmtId="0" fontId="84" fillId="0" borderId="0" xfId="0" applyFont="1" applyAlignment="1">
      <alignment horizontal="left"/>
    </xf>
    <xf numFmtId="37" fontId="84" fillId="0" borderId="0" xfId="0" applyNumberFormat="1" applyFont="1"/>
    <xf numFmtId="5" fontId="83" fillId="0" borderId="0" xfId="0" applyNumberFormat="1" applyFont="1" applyAlignment="1">
      <alignment horizontal="left"/>
    </xf>
    <xf numFmtId="10" fontId="84" fillId="0" borderId="0" xfId="367" quotePrefix="1" applyNumberFormat="1" applyFont="1" applyAlignment="1">
      <alignment horizontal="left"/>
    </xf>
    <xf numFmtId="37" fontId="84" fillId="0" borderId="0" xfId="0" quotePrefix="1" applyNumberFormat="1" applyFont="1" applyAlignment="1">
      <alignment horizontal="left"/>
    </xf>
    <xf numFmtId="10" fontId="83" fillId="0" borderId="3" xfId="0" applyNumberFormat="1" applyFont="1" applyBorder="1" applyAlignment="1">
      <alignment horizontal="right"/>
    </xf>
    <xf numFmtId="37" fontId="84" fillId="0" borderId="3" xfId="0" quotePrefix="1" applyNumberFormat="1" applyFont="1" applyBorder="1" applyAlignment="1">
      <alignment horizontal="left"/>
    </xf>
    <xf numFmtId="0" fontId="84" fillId="0" borderId="0" xfId="0" applyFont="1" applyAlignment="1">
      <alignment horizontal="right"/>
    </xf>
    <xf numFmtId="10" fontId="84" fillId="0" borderId="0" xfId="0" applyNumberFormat="1" applyFont="1" applyAlignment="1">
      <alignment horizontal="right"/>
    </xf>
    <xf numFmtId="172" fontId="83" fillId="0" borderId="0" xfId="0" applyNumberFormat="1" applyFont="1" applyAlignment="1">
      <alignment horizontal="centerContinuous"/>
    </xf>
    <xf numFmtId="10" fontId="84" fillId="0" borderId="0" xfId="0" applyNumberFormat="1" applyFont="1"/>
    <xf numFmtId="165" fontId="84" fillId="0" borderId="0" xfId="0" applyNumberFormat="1" applyFont="1"/>
    <xf numFmtId="10" fontId="83" fillId="0" borderId="0" xfId="367" applyNumberFormat="1" applyFont="1" applyAlignment="1">
      <alignment horizontal="right"/>
    </xf>
    <xf numFmtId="165" fontId="83" fillId="0" borderId="0" xfId="0" applyNumberFormat="1" applyFont="1" applyAlignment="1">
      <alignment horizontal="right"/>
    </xf>
    <xf numFmtId="197" fontId="84" fillId="0" borderId="0" xfId="289" applyNumberFormat="1" applyFont="1" applyAlignment="1">
      <alignment horizontal="right"/>
    </xf>
    <xf numFmtId="197" fontId="83" fillId="0" borderId="18" xfId="289" applyNumberFormat="1" applyFont="1" applyBorder="1"/>
    <xf numFmtId="37" fontId="84" fillId="0" borderId="0" xfId="0" applyNumberFormat="1" applyFont="1" applyAlignment="1">
      <alignment horizontal="center"/>
    </xf>
    <xf numFmtId="37" fontId="96" fillId="0" borderId="0" xfId="0" applyNumberFormat="1" applyFont="1" applyAlignment="1">
      <alignment horizontal="right"/>
    </xf>
    <xf numFmtId="37" fontId="91" fillId="0" borderId="0" xfId="0" applyNumberFormat="1" applyFont="1"/>
    <xf numFmtId="165" fontId="84" fillId="0" borderId="0" xfId="0" applyNumberFormat="1" applyFont="1" applyAlignment="1">
      <alignment horizontal="right"/>
    </xf>
    <xf numFmtId="5" fontId="83" fillId="0" borderId="0" xfId="351" applyNumberFormat="1" applyFont="1" applyAlignment="1">
      <alignment horizontal="right"/>
    </xf>
    <xf numFmtId="37" fontId="83" fillId="0" borderId="0" xfId="351" applyNumberFormat="1" applyFont="1" applyAlignment="1">
      <alignment horizontal="right"/>
    </xf>
    <xf numFmtId="166" fontId="83" fillId="0" borderId="0" xfId="275" applyNumberFormat="1" applyFont="1" applyAlignment="1">
      <alignment horizontal="right"/>
    </xf>
    <xf numFmtId="166" fontId="91" fillId="0" borderId="10" xfId="275" applyNumberFormat="1" applyFont="1" applyBorder="1" applyAlignment="1">
      <alignment horizontal="right"/>
    </xf>
    <xf numFmtId="166" fontId="84" fillId="0" borderId="24" xfId="275" applyNumberFormat="1" applyFont="1" applyBorder="1" applyAlignment="1">
      <alignment horizontal="right"/>
    </xf>
    <xf numFmtId="166" fontId="83" fillId="0" borderId="0" xfId="275" applyNumberFormat="1" applyFont="1"/>
    <xf numFmtId="197" fontId="83" fillId="0" borderId="0" xfId="289" applyNumberFormat="1" applyFont="1" applyAlignment="1">
      <alignment horizontal="right"/>
    </xf>
    <xf numFmtId="166" fontId="86" fillId="0" borderId="0" xfId="275" applyNumberFormat="1" applyFont="1" applyAlignment="1">
      <alignment horizontal="center"/>
    </xf>
    <xf numFmtId="166" fontId="84" fillId="38" borderId="0" xfId="275" applyNumberFormat="1" applyFont="1" applyFill="1"/>
    <xf numFmtId="166" fontId="91" fillId="0" borderId="0" xfId="275" applyNumberFormat="1" applyFont="1" applyAlignment="1">
      <alignment horizontal="center"/>
    </xf>
    <xf numFmtId="166" fontId="97" fillId="0" borderId="0" xfId="275" applyNumberFormat="1" applyFont="1" applyAlignment="1">
      <alignment horizontal="center"/>
    </xf>
    <xf numFmtId="166" fontId="98" fillId="39" borderId="0" xfId="275" applyNumberFormat="1" applyFont="1" applyFill="1"/>
    <xf numFmtId="166" fontId="85" fillId="36" borderId="0" xfId="275" applyNumberFormat="1" applyFont="1" applyFill="1"/>
    <xf numFmtId="166" fontId="84" fillId="37" borderId="0" xfId="275" applyNumberFormat="1" applyFont="1" applyFill="1" applyAlignment="1">
      <alignment horizontal="centerContinuous"/>
    </xf>
    <xf numFmtId="166" fontId="87" fillId="37" borderId="0" xfId="275" applyNumberFormat="1" applyFont="1" applyFill="1" applyAlignment="1">
      <alignment horizontal="centerContinuous"/>
    </xf>
    <xf numFmtId="10" fontId="91" fillId="0" borderId="0" xfId="367" applyNumberFormat="1" applyFont="1"/>
    <xf numFmtId="166" fontId="96" fillId="0" borderId="18" xfId="275" applyNumberFormat="1" applyFont="1" applyBorder="1"/>
    <xf numFmtId="37" fontId="95" fillId="0" borderId="0" xfId="0" applyNumberFormat="1" applyFont="1" applyAlignment="1">
      <alignment horizontal="right"/>
    </xf>
    <xf numFmtId="0" fontId="95" fillId="0" borderId="0" xfId="0" applyFont="1"/>
    <xf numFmtId="166" fontId="95" fillId="0" borderId="0" xfId="275" applyNumberFormat="1" applyFont="1" applyAlignment="1">
      <alignment horizontal="right"/>
    </xf>
    <xf numFmtId="166" fontId="96" fillId="0" borderId="18" xfId="275" applyNumberFormat="1" applyFont="1" applyBorder="1" applyAlignment="1">
      <alignment horizontal="right"/>
    </xf>
    <xf numFmtId="37" fontId="98" fillId="39" borderId="0" xfId="0" applyNumberFormat="1" applyFont="1" applyFill="1" applyAlignment="1">
      <alignment horizontal="right"/>
    </xf>
    <xf numFmtId="166" fontId="98" fillId="39" borderId="0" xfId="275" applyNumberFormat="1" applyFont="1" applyFill="1" applyAlignment="1">
      <alignment horizontal="right"/>
    </xf>
    <xf numFmtId="37" fontId="98" fillId="0" borderId="0" xfId="0" applyNumberFormat="1" applyFont="1" applyAlignment="1">
      <alignment horizontal="right"/>
    </xf>
    <xf numFmtId="166" fontId="98" fillId="0" borderId="0" xfId="275" applyNumberFormat="1" applyFont="1" applyAlignment="1">
      <alignment horizontal="right"/>
    </xf>
    <xf numFmtId="166" fontId="84" fillId="0" borderId="16" xfId="275" applyNumberFormat="1" applyFont="1" applyBorder="1" applyAlignment="1">
      <alignment horizontal="right"/>
    </xf>
    <xf numFmtId="5" fontId="84" fillId="0" borderId="0" xfId="0" applyNumberFormat="1" applyFont="1"/>
    <xf numFmtId="37" fontId="99" fillId="0" borderId="0" xfId="0" applyNumberFormat="1" applyFont="1"/>
    <xf numFmtId="37" fontId="95" fillId="0" borderId="0" xfId="0" applyNumberFormat="1" applyFont="1" applyAlignment="1">
      <alignment horizontal="left"/>
    </xf>
    <xf numFmtId="37" fontId="84" fillId="0" borderId="0" xfId="0" applyNumberFormat="1" applyFont="1" applyAlignment="1">
      <alignment horizontal="left" indent="2"/>
    </xf>
    <xf numFmtId="37" fontId="96" fillId="0" borderId="0" xfId="0" applyNumberFormat="1" applyFont="1" applyAlignment="1">
      <alignment horizontal="left"/>
    </xf>
    <xf numFmtId="37" fontId="84" fillId="0" borderId="0" xfId="351" applyNumberFormat="1" applyFont="1"/>
    <xf numFmtId="166" fontId="91" fillId="0" borderId="10" xfId="275" applyNumberFormat="1" applyFont="1" applyBorder="1"/>
    <xf numFmtId="5" fontId="84" fillId="0" borderId="0" xfId="0" applyNumberFormat="1" applyFont="1" applyAlignment="1">
      <alignment horizontal="left"/>
    </xf>
    <xf numFmtId="166" fontId="84" fillId="0" borderId="0" xfId="275" applyNumberFormat="1" applyFont="1" applyAlignment="1">
      <alignment horizontal="center"/>
    </xf>
    <xf numFmtId="166" fontId="84" fillId="0" borderId="0" xfId="275" applyNumberFormat="1" applyFont="1" applyAlignment="1">
      <alignment horizontal="left"/>
    </xf>
    <xf numFmtId="172" fontId="84" fillId="0" borderId="0" xfId="0" applyNumberFormat="1" applyFont="1" applyAlignment="1">
      <alignment horizontal="centerContinuous"/>
    </xf>
    <xf numFmtId="197" fontId="83" fillId="0" borderId="0" xfId="0" applyNumberFormat="1" applyFont="1"/>
    <xf numFmtId="37" fontId="91" fillId="0" borderId="10" xfId="0" applyNumberFormat="1" applyFont="1" applyBorder="1"/>
    <xf numFmtId="37" fontId="84" fillId="0" borderId="23" xfId="0" applyNumberFormat="1" applyFont="1" applyBorder="1"/>
    <xf numFmtId="199" fontId="91" fillId="0" borderId="0" xfId="0" applyNumberFormat="1" applyFont="1" applyAlignment="1">
      <alignment horizontal="center"/>
    </xf>
    <xf numFmtId="37" fontId="83" fillId="0" borderId="0" xfId="0" applyNumberFormat="1" applyFont="1"/>
    <xf numFmtId="10" fontId="83" fillId="0" borderId="23" xfId="349" applyNumberFormat="1" applyFont="1" applyBorder="1" applyAlignment="1">
      <alignment horizontal="center"/>
    </xf>
    <xf numFmtId="165" fontId="83" fillId="0" borderId="23" xfId="349" applyNumberFormat="1" applyFont="1" applyBorder="1" applyAlignment="1">
      <alignment horizontal="center"/>
    </xf>
    <xf numFmtId="5" fontId="84" fillId="0" borderId="0" xfId="0" quotePrefix="1" applyNumberFormat="1" applyFont="1" applyAlignment="1">
      <alignment horizontal="left"/>
    </xf>
    <xf numFmtId="0" fontId="84" fillId="0" borderId="0" xfId="349" applyFont="1" applyAlignment="1">
      <alignment horizontal="center" wrapText="1"/>
    </xf>
    <xf numFmtId="3" fontId="100" fillId="40" borderId="10" xfId="349" applyNumberFormat="1" applyFont="1" applyFill="1" applyBorder="1" applyAlignment="1">
      <alignment horizontal="center"/>
    </xf>
    <xf numFmtId="0" fontId="101" fillId="40" borderId="26" xfId="349" applyFont="1" applyFill="1" applyBorder="1" applyAlignment="1">
      <alignment horizontal="center"/>
    </xf>
    <xf numFmtId="0" fontId="84" fillId="0" borderId="27" xfId="349" applyFont="1" applyBorder="1" applyAlignment="1">
      <alignment horizontal="center"/>
    </xf>
    <xf numFmtId="1" fontId="91" fillId="0" borderId="28" xfId="349" applyNumberFormat="1" applyFont="1" applyBorder="1" applyAlignment="1">
      <alignment horizontal="center"/>
    </xf>
    <xf numFmtId="0" fontId="91" fillId="0" borderId="28" xfId="349" applyFont="1" applyBorder="1" applyAlignment="1">
      <alignment horizontal="center"/>
    </xf>
    <xf numFmtId="0" fontId="90" fillId="0" borderId="39" xfId="349" applyFont="1" applyBorder="1" applyAlignment="1">
      <alignment horizontal="center"/>
    </xf>
    <xf numFmtId="3" fontId="84" fillId="0" borderId="39" xfId="349" applyNumberFormat="1" applyFont="1" applyBorder="1" applyAlignment="1">
      <alignment horizontal="center"/>
    </xf>
    <xf numFmtId="0" fontId="84" fillId="0" borderId="40" xfId="349" applyFont="1" applyBorder="1" applyAlignment="1">
      <alignment horizontal="center"/>
    </xf>
    <xf numFmtId="0" fontId="84" fillId="0" borderId="39" xfId="349" applyFont="1" applyBorder="1" applyAlignment="1">
      <alignment horizontal="center"/>
    </xf>
    <xf numFmtId="3" fontId="102" fillId="41" borderId="30" xfId="349" applyNumberFormat="1" applyFont="1" applyFill="1" applyBorder="1"/>
    <xf numFmtId="0" fontId="103" fillId="41" borderId="16" xfId="349" applyFont="1" applyFill="1" applyBorder="1" applyAlignment="1">
      <alignment horizontal="center"/>
    </xf>
    <xf numFmtId="3" fontId="103" fillId="41" borderId="16" xfId="349" applyNumberFormat="1" applyFont="1" applyFill="1" applyBorder="1"/>
    <xf numFmtId="3" fontId="103" fillId="41" borderId="31" xfId="349" applyNumberFormat="1" applyFont="1" applyFill="1" applyBorder="1"/>
    <xf numFmtId="3" fontId="91" fillId="0" borderId="2" xfId="349" applyNumberFormat="1" applyFont="1" applyBorder="1"/>
    <xf numFmtId="164" fontId="91" fillId="0" borderId="2" xfId="349" applyNumberFormat="1" applyFont="1" applyBorder="1"/>
    <xf numFmtId="9" fontId="91" fillId="0" borderId="0" xfId="349" applyNumberFormat="1" applyFont="1" applyAlignment="1">
      <alignment horizontal="center"/>
    </xf>
    <xf numFmtId="10" fontId="91" fillId="0" borderId="2" xfId="349" applyNumberFormat="1" applyFont="1" applyBorder="1"/>
    <xf numFmtId="0" fontId="84" fillId="0" borderId="10" xfId="0" applyFont="1" applyBorder="1"/>
    <xf numFmtId="10" fontId="90" fillId="0" borderId="21" xfId="349" applyNumberFormat="1" applyFont="1" applyBorder="1"/>
    <xf numFmtId="0" fontId="103" fillId="41" borderId="16" xfId="349" applyFont="1" applyFill="1" applyBorder="1"/>
    <xf numFmtId="0" fontId="103" fillId="41" borderId="31" xfId="349" applyFont="1" applyFill="1" applyBorder="1"/>
    <xf numFmtId="3" fontId="100" fillId="40" borderId="20" xfId="349" applyNumberFormat="1" applyFont="1" applyFill="1" applyBorder="1"/>
    <xf numFmtId="3" fontId="100" fillId="40" borderId="21" xfId="349" applyNumberFormat="1" applyFont="1" applyFill="1" applyBorder="1" applyAlignment="1">
      <alignment horizontal="center"/>
    </xf>
    <xf numFmtId="165" fontId="91" fillId="0" borderId="0" xfId="349" applyNumberFormat="1" applyFont="1" applyAlignment="1">
      <alignment horizontal="center"/>
    </xf>
    <xf numFmtId="10" fontId="91" fillId="0" borderId="0" xfId="349" applyNumberFormat="1" applyFont="1" applyAlignment="1">
      <alignment horizontal="center"/>
    </xf>
    <xf numFmtId="10" fontId="84" fillId="0" borderId="2" xfId="349" applyNumberFormat="1" applyFont="1" applyBorder="1" applyAlignment="1">
      <alignment horizontal="center"/>
    </xf>
    <xf numFmtId="165" fontId="90" fillId="0" borderId="0" xfId="349" applyNumberFormat="1" applyFont="1" applyAlignment="1">
      <alignment horizontal="center"/>
    </xf>
    <xf numFmtId="165" fontId="84" fillId="0" borderId="0" xfId="349" applyNumberFormat="1" applyFont="1" applyAlignment="1">
      <alignment horizontal="center"/>
    </xf>
    <xf numFmtId="165" fontId="84" fillId="0" borderId="2" xfId="349" applyNumberFormat="1" applyFont="1" applyBorder="1" applyAlignment="1">
      <alignment horizontal="center"/>
    </xf>
    <xf numFmtId="0" fontId="83" fillId="0" borderId="15" xfId="349" applyFont="1" applyBorder="1"/>
    <xf numFmtId="10" fontId="83" fillId="0" borderId="2" xfId="349" applyNumberFormat="1" applyFont="1" applyBorder="1"/>
    <xf numFmtId="0" fontId="83" fillId="0" borderId="20" xfId="349" applyFont="1" applyBorder="1"/>
    <xf numFmtId="0" fontId="102" fillId="41" borderId="30" xfId="0" applyFont="1" applyFill="1" applyBorder="1"/>
    <xf numFmtId="0" fontId="103" fillId="41" borderId="16" xfId="0" applyFont="1" applyFill="1" applyBorder="1"/>
    <xf numFmtId="0" fontId="103" fillId="41" borderId="31" xfId="0" applyFont="1" applyFill="1" applyBorder="1"/>
    <xf numFmtId="37" fontId="91" fillId="0" borderId="2" xfId="284" applyNumberFormat="1" applyFont="1" applyBorder="1"/>
    <xf numFmtId="0" fontId="84" fillId="0" borderId="10" xfId="349" applyFont="1" applyBorder="1"/>
    <xf numFmtId="198" fontId="84" fillId="0" borderId="2" xfId="289" applyNumberFormat="1" applyFont="1" applyBorder="1"/>
    <xf numFmtId="3" fontId="83" fillId="0" borderId="32" xfId="349" applyNumberFormat="1" applyFont="1" applyBorder="1"/>
    <xf numFmtId="10" fontId="83" fillId="0" borderId="33" xfId="349" applyNumberFormat="1" applyFont="1" applyBorder="1" applyAlignment="1">
      <alignment horizontal="center"/>
    </xf>
    <xf numFmtId="3" fontId="83" fillId="0" borderId="15" xfId="349" applyNumberFormat="1" applyFont="1" applyBorder="1"/>
    <xf numFmtId="165" fontId="83" fillId="0" borderId="15" xfId="349" applyNumberFormat="1" applyFont="1" applyBorder="1"/>
    <xf numFmtId="165" fontId="83" fillId="0" borderId="20" xfId="349" applyNumberFormat="1" applyFont="1" applyBorder="1"/>
    <xf numFmtId="0" fontId="83" fillId="0" borderId="15" xfId="0" applyFont="1" applyBorder="1"/>
    <xf numFmtId="0" fontId="100" fillId="40" borderId="3" xfId="349" applyFont="1" applyFill="1" applyBorder="1" applyAlignment="1">
      <alignment horizontal="center" wrapText="1"/>
    </xf>
    <xf numFmtId="0" fontId="100" fillId="40" borderId="26" xfId="349" applyFont="1" applyFill="1" applyBorder="1" applyAlignment="1">
      <alignment horizontal="center" wrapText="1"/>
    </xf>
    <xf numFmtId="0" fontId="100" fillId="40" borderId="34" xfId="349" quotePrefix="1" applyFont="1" applyFill="1" applyBorder="1" applyAlignment="1">
      <alignment horizontal="center" wrapText="1"/>
    </xf>
    <xf numFmtId="0" fontId="100" fillId="40" borderId="26" xfId="349" quotePrefix="1" applyFont="1" applyFill="1" applyBorder="1" applyAlignment="1">
      <alignment horizontal="center" wrapText="1"/>
    </xf>
    <xf numFmtId="3" fontId="100" fillId="40" borderId="30" xfId="349" applyNumberFormat="1" applyFont="1" applyFill="1" applyBorder="1" applyAlignment="1">
      <alignment horizontal="center"/>
    </xf>
    <xf numFmtId="3" fontId="100" fillId="40" borderId="16" xfId="349" applyNumberFormat="1" applyFont="1" applyFill="1" applyBorder="1" applyAlignment="1">
      <alignment horizontal="center"/>
    </xf>
    <xf numFmtId="3" fontId="100" fillId="40" borderId="31" xfId="349" applyNumberFormat="1" applyFont="1" applyFill="1" applyBorder="1" applyAlignment="1">
      <alignment horizontal="center"/>
    </xf>
    <xf numFmtId="165" fontId="84" fillId="0" borderId="0" xfId="0" applyNumberFormat="1" applyFont="1" applyAlignment="1">
      <alignment horizontal="center"/>
    </xf>
    <xf numFmtId="0" fontId="104" fillId="0" borderId="0" xfId="0" applyFont="1"/>
    <xf numFmtId="10" fontId="84" fillId="37" borderId="0" xfId="367" applyNumberFormat="1" applyFont="1" applyFill="1" applyAlignment="1">
      <alignment horizontal="center"/>
    </xf>
    <xf numFmtId="10" fontId="84" fillId="37" borderId="23" xfId="367" applyNumberFormat="1" applyFont="1" applyFill="1" applyBorder="1" applyAlignment="1">
      <alignment horizontal="center"/>
    </xf>
    <xf numFmtId="0" fontId="87" fillId="37" borderId="10" xfId="275" applyNumberFormat="1" applyFont="1" applyFill="1" applyBorder="1" applyAlignment="1">
      <alignment horizontal="center"/>
    </xf>
    <xf numFmtId="0" fontId="87" fillId="0" borderId="10" xfId="275" applyNumberFormat="1" applyFont="1" applyBorder="1" applyAlignment="1">
      <alignment horizontal="center"/>
    </xf>
    <xf numFmtId="0" fontId="84" fillId="0" borderId="0" xfId="275" applyNumberFormat="1" applyFont="1" applyAlignment="1">
      <alignment horizontal="center"/>
    </xf>
    <xf numFmtId="0" fontId="105" fillId="0" borderId="0" xfId="0" applyFont="1"/>
    <xf numFmtId="0" fontId="104" fillId="0" borderId="0" xfId="349" applyFont="1"/>
    <xf numFmtId="10" fontId="84" fillId="0" borderId="0" xfId="367" applyNumberFormat="1" applyFont="1" applyAlignment="1">
      <alignment horizontal="center"/>
    </xf>
    <xf numFmtId="10" fontId="84" fillId="0" borderId="0" xfId="0" applyNumberFormat="1" applyFont="1" applyAlignment="1">
      <alignment horizontal="center"/>
    </xf>
    <xf numFmtId="0" fontId="83" fillId="0" borderId="3" xfId="0" applyFont="1" applyBorder="1" applyAlignment="1">
      <alignment horizontal="centerContinuous"/>
    </xf>
    <xf numFmtId="10" fontId="83" fillId="0" borderId="18" xfId="0" applyNumberFormat="1" applyFont="1" applyBorder="1" applyAlignment="1">
      <alignment horizontal="center"/>
    </xf>
    <xf numFmtId="10" fontId="91" fillId="0" borderId="0" xfId="0" applyNumberFormat="1" applyFont="1" applyAlignment="1">
      <alignment horizontal="center"/>
    </xf>
    <xf numFmtId="0" fontId="84" fillId="37" borderId="35" xfId="0" applyFont="1" applyFill="1" applyBorder="1" applyAlignment="1">
      <alignment horizontal="right"/>
    </xf>
    <xf numFmtId="10" fontId="91" fillId="37" borderId="36" xfId="0" applyNumberFormat="1" applyFont="1" applyFill="1" applyBorder="1" applyAlignment="1">
      <alignment horizontal="center"/>
    </xf>
    <xf numFmtId="0" fontId="106" fillId="0" borderId="0" xfId="0" applyFont="1"/>
    <xf numFmtId="10" fontId="83" fillId="0" borderId="0" xfId="0" applyNumberFormat="1" applyFont="1" applyAlignment="1">
      <alignment horizontal="left"/>
    </xf>
    <xf numFmtId="176" fontId="84" fillId="0" borderId="0" xfId="275" applyNumberFormat="1" applyFont="1" applyAlignment="1">
      <alignment horizontal="center"/>
    </xf>
    <xf numFmtId="0" fontId="84" fillId="0" borderId="42" xfId="0" applyFont="1" applyBorder="1"/>
    <xf numFmtId="0" fontId="107" fillId="0" borderId="0" xfId="0" applyFont="1"/>
    <xf numFmtId="0" fontId="107" fillId="0" borderId="42" xfId="0" applyFont="1" applyBorder="1"/>
    <xf numFmtId="0" fontId="100" fillId="0" borderId="0" xfId="0" applyFont="1"/>
    <xf numFmtId="0" fontId="100" fillId="0" borderId="42" xfId="0" applyFont="1" applyBorder="1"/>
    <xf numFmtId="0" fontId="84" fillId="0" borderId="0" xfId="0" applyFont="1" applyAlignment="1">
      <alignment wrapText="1"/>
    </xf>
    <xf numFmtId="0" fontId="108" fillId="0" borderId="0" xfId="0" applyFont="1"/>
    <xf numFmtId="0" fontId="84" fillId="38" borderId="36" xfId="0" applyFont="1" applyFill="1" applyBorder="1" applyAlignment="1">
      <alignment horizontal="centerContinuous"/>
    </xf>
    <xf numFmtId="0" fontId="108" fillId="0" borderId="0" xfId="0" applyFont="1" applyAlignment="1">
      <alignment horizontal="right"/>
    </xf>
    <xf numFmtId="0" fontId="109" fillId="0" borderId="0" xfId="0" applyFont="1" applyAlignment="1">
      <alignment horizontal="centerContinuous"/>
    </xf>
    <xf numFmtId="0" fontId="83" fillId="0" borderId="0" xfId="0" applyFont="1" applyAlignment="1">
      <alignment vertical="center"/>
    </xf>
    <xf numFmtId="0" fontId="94" fillId="0" borderId="0" xfId="0" applyFont="1"/>
    <xf numFmtId="0" fontId="94" fillId="0" borderId="24" xfId="0" applyFont="1" applyBorder="1" applyAlignment="1">
      <alignment horizontal="center"/>
    </xf>
    <xf numFmtId="0" fontId="90" fillId="0" borderId="0" xfId="275" applyNumberFormat="1" applyFont="1" applyAlignment="1">
      <alignment horizontal="center"/>
    </xf>
    <xf numFmtId="0" fontId="84" fillId="0" borderId="0" xfId="352" applyFont="1"/>
    <xf numFmtId="9" fontId="84" fillId="0" borderId="8" xfId="367" applyFont="1" applyBorder="1" applyAlignment="1">
      <alignment horizontal="center"/>
    </xf>
    <xf numFmtId="9" fontId="84" fillId="0" borderId="0" xfId="367" applyFont="1" applyAlignment="1">
      <alignment horizontal="center"/>
    </xf>
    <xf numFmtId="10" fontId="84" fillId="0" borderId="8" xfId="367" applyNumberFormat="1" applyFont="1" applyBorder="1" applyAlignment="1">
      <alignment horizontal="center"/>
    </xf>
    <xf numFmtId="10" fontId="90" fillId="0" borderId="0" xfId="367" applyNumberFormat="1" applyFont="1" applyAlignment="1">
      <alignment horizontal="center"/>
    </xf>
    <xf numFmtId="10" fontId="90" fillId="0" borderId="38" xfId="367" applyNumberFormat="1" applyFont="1" applyBorder="1" applyAlignment="1">
      <alignment horizontal="center"/>
    </xf>
    <xf numFmtId="10" fontId="90" fillId="0" borderId="0" xfId="367" applyNumberFormat="1" applyFont="1" applyAlignment="1">
      <alignment horizontal="right"/>
    </xf>
    <xf numFmtId="0" fontId="83" fillId="0" borderId="0" xfId="0" applyFont="1" applyAlignment="1">
      <alignment horizontal="left"/>
    </xf>
    <xf numFmtId="0" fontId="84" fillId="0" borderId="0" xfId="0" applyFont="1" applyAlignment="1">
      <alignment horizontal="left" indent="2"/>
    </xf>
    <xf numFmtId="9" fontId="90" fillId="0" borderId="8" xfId="367" applyFont="1" applyBorder="1" applyAlignment="1">
      <alignment horizontal="center"/>
    </xf>
    <xf numFmtId="43" fontId="84" fillId="0" borderId="0" xfId="275" applyFont="1"/>
    <xf numFmtId="9" fontId="90" fillId="0" borderId="0" xfId="367" applyFont="1" applyAlignment="1">
      <alignment horizontal="center"/>
    </xf>
    <xf numFmtId="10" fontId="94" fillId="0" borderId="8" xfId="367" applyNumberFormat="1" applyFont="1" applyBorder="1" applyAlignment="1">
      <alignment horizontal="center"/>
    </xf>
    <xf numFmtId="10" fontId="94" fillId="0" borderId="0" xfId="367" applyNumberFormat="1" applyFont="1" applyAlignment="1">
      <alignment horizontal="center"/>
    </xf>
    <xf numFmtId="164" fontId="90" fillId="0" borderId="8" xfId="367" applyNumberFormat="1" applyFont="1" applyBorder="1" applyAlignment="1">
      <alignment horizontal="center"/>
    </xf>
    <xf numFmtId="164" fontId="90" fillId="0" borderId="0" xfId="367" applyNumberFormat="1" applyFont="1" applyAlignment="1">
      <alignment horizontal="center"/>
    </xf>
    <xf numFmtId="0" fontId="102" fillId="42" borderId="43" xfId="0" applyFont="1" applyFill="1" applyBorder="1" applyAlignment="1">
      <alignment horizontal="centerContinuous"/>
    </xf>
    <xf numFmtId="164" fontId="102" fillId="42" borderId="44" xfId="367" applyNumberFormat="1" applyFont="1" applyFill="1" applyBorder="1" applyAlignment="1">
      <alignment horizontal="center" wrapText="1"/>
    </xf>
    <xf numFmtId="164" fontId="102" fillId="42" borderId="45" xfId="367" applyNumberFormat="1" applyFont="1" applyFill="1" applyBorder="1" applyAlignment="1">
      <alignment horizontal="center" wrapText="1"/>
    </xf>
    <xf numFmtId="0" fontId="85" fillId="0" borderId="0" xfId="0" applyFont="1"/>
    <xf numFmtId="0" fontId="83" fillId="0" borderId="0" xfId="0" applyFont="1" applyAlignment="1">
      <alignment horizontal="center"/>
    </xf>
    <xf numFmtId="0" fontId="94" fillId="0" borderId="8" xfId="0" applyFont="1" applyBorder="1" applyAlignment="1">
      <alignment horizontal="center"/>
    </xf>
    <xf numFmtId="165" fontId="94" fillId="0" borderId="8" xfId="367" applyNumberFormat="1" applyFont="1" applyBorder="1" applyAlignment="1">
      <alignment horizontal="center"/>
    </xf>
    <xf numFmtId="165" fontId="84" fillId="0" borderId="0" xfId="367" applyNumberFormat="1" applyFont="1" applyAlignment="1">
      <alignment horizontal="center"/>
    </xf>
    <xf numFmtId="0" fontId="110" fillId="0" borderId="0" xfId="0" applyFont="1"/>
    <xf numFmtId="0" fontId="94" fillId="0" borderId="8" xfId="0" applyFont="1" applyBorder="1"/>
    <xf numFmtId="0" fontId="112" fillId="38" borderId="8" xfId="0" applyFont="1" applyFill="1" applyBorder="1" applyAlignment="1">
      <alignment horizontal="centerContinuous" vertical="center"/>
    </xf>
    <xf numFmtId="7" fontId="84" fillId="0" borderId="0" xfId="0" applyNumberFormat="1" applyFont="1" applyAlignment="1">
      <alignment horizontal="center"/>
    </xf>
    <xf numFmtId="7" fontId="84" fillId="0" borderId="10" xfId="0" applyNumberFormat="1" applyFont="1" applyBorder="1" applyAlignment="1">
      <alignment horizontal="center"/>
    </xf>
    <xf numFmtId="7" fontId="84" fillId="0" borderId="18" xfId="0" applyNumberFormat="1" applyFont="1" applyBorder="1" applyAlignment="1">
      <alignment horizontal="center"/>
    </xf>
    <xf numFmtId="0" fontId="83" fillId="0" borderId="0" xfId="0" applyFont="1" applyAlignment="1">
      <alignment horizontal="center" wrapText="1"/>
    </xf>
    <xf numFmtId="0" fontId="95" fillId="39" borderId="0" xfId="0" applyFont="1" applyFill="1"/>
    <xf numFmtId="0" fontId="95" fillId="39" borderId="0" xfId="0" applyFont="1" applyFill="1" applyAlignment="1">
      <alignment horizontal="right"/>
    </xf>
    <xf numFmtId="10" fontId="95" fillId="39" borderId="0" xfId="0" applyNumberFormat="1" applyFont="1" applyFill="1" applyAlignment="1">
      <alignment horizontal="center"/>
    </xf>
    <xf numFmtId="0" fontId="84" fillId="39" borderId="0" xfId="0" applyFont="1" applyFill="1"/>
    <xf numFmtId="0" fontId="98" fillId="0" borderId="0" xfId="0" applyFont="1"/>
    <xf numFmtId="0" fontId="77" fillId="0" borderId="24" xfId="0" applyFont="1" applyBorder="1" applyAlignment="1">
      <alignment wrapText="1"/>
    </xf>
    <xf numFmtId="0" fontId="77" fillId="38" borderId="24" xfId="0" applyFont="1" applyFill="1" applyBorder="1" applyAlignment="1">
      <alignment wrapText="1"/>
    </xf>
    <xf numFmtId="0" fontId="87" fillId="0" borderId="24" xfId="0" applyFont="1" applyBorder="1" applyAlignment="1">
      <alignment wrapText="1"/>
    </xf>
    <xf numFmtId="0" fontId="95" fillId="0" borderId="8" xfId="0" applyFont="1" applyBorder="1" applyAlignment="1">
      <alignment horizontal="center"/>
    </xf>
    <xf numFmtId="0" fontId="112" fillId="0" borderId="8" xfId="0" applyFont="1" applyBorder="1" applyAlignment="1">
      <alignment horizontal="centerContinuous" vertical="center"/>
    </xf>
    <xf numFmtId="0" fontId="84" fillId="0" borderId="36" xfId="0" applyFont="1" applyBorder="1" applyAlignment="1">
      <alignment horizontal="centerContinuous"/>
    </xf>
    <xf numFmtId="0" fontId="111" fillId="0" borderId="8" xfId="0" applyFont="1" applyBorder="1" applyAlignment="1">
      <alignment horizontal="centerContinuous" vertical="center"/>
    </xf>
    <xf numFmtId="166" fontId="84" fillId="0" borderId="0" xfId="0" applyNumberFormat="1" applyFont="1"/>
    <xf numFmtId="10" fontId="91" fillId="0" borderId="10" xfId="367" applyNumberFormat="1" applyFont="1" applyBorder="1"/>
    <xf numFmtId="166" fontId="84" fillId="0" borderId="18" xfId="275" applyNumberFormat="1" applyFont="1" applyBorder="1"/>
    <xf numFmtId="166" fontId="114" fillId="0" borderId="0" xfId="285" applyNumberFormat="1" applyFont="1"/>
    <xf numFmtId="0" fontId="96" fillId="0" borderId="0" xfId="0" applyFont="1"/>
    <xf numFmtId="0" fontId="94" fillId="0" borderId="0" xfId="0" applyFont="1" applyAlignment="1">
      <alignment horizontal="center"/>
    </xf>
    <xf numFmtId="0" fontId="84" fillId="0" borderId="0" xfId="0" applyFont="1" applyAlignment="1">
      <alignment horizontal="centerContinuous"/>
    </xf>
    <xf numFmtId="0" fontId="115" fillId="0" borderId="0" xfId="0" applyFont="1" applyAlignment="1">
      <alignment horizontal="centerContinuous"/>
    </xf>
    <xf numFmtId="0" fontId="83" fillId="0" borderId="0" xfId="0" applyFont="1" applyAlignment="1">
      <alignment horizontal="right" indent="1"/>
    </xf>
    <xf numFmtId="0" fontId="83" fillId="37" borderId="0" xfId="0" applyFont="1" applyFill="1" applyAlignment="1">
      <alignment horizontal="center"/>
    </xf>
    <xf numFmtId="0" fontId="83" fillId="37" borderId="10" xfId="0" applyFont="1" applyFill="1" applyBorder="1" applyAlignment="1">
      <alignment horizontal="center" wrapText="1"/>
    </xf>
    <xf numFmtId="0" fontId="102" fillId="42" borderId="0" xfId="0" applyFont="1" applyFill="1"/>
    <xf numFmtId="0" fontId="84" fillId="42" borderId="10" xfId="0" applyFont="1" applyFill="1" applyBorder="1" applyAlignment="1">
      <alignment horizontal="center"/>
    </xf>
    <xf numFmtId="10" fontId="83" fillId="42" borderId="10" xfId="0" applyNumberFormat="1" applyFont="1" applyFill="1" applyBorder="1" applyAlignment="1">
      <alignment horizontal="left"/>
    </xf>
    <xf numFmtId="0" fontId="84" fillId="42" borderId="10" xfId="0" applyFont="1" applyFill="1" applyBorder="1"/>
    <xf numFmtId="0" fontId="102" fillId="42" borderId="45" xfId="275" applyNumberFormat="1" applyFont="1" applyFill="1" applyBorder="1" applyAlignment="1">
      <alignment horizontal="center" wrapText="1"/>
    </xf>
    <xf numFmtId="0" fontId="102" fillId="42" borderId="45" xfId="367" applyNumberFormat="1" applyFont="1" applyFill="1" applyBorder="1" applyAlignment="1">
      <alignment horizontal="center" wrapText="1"/>
    </xf>
    <xf numFmtId="10" fontId="83" fillId="0" borderId="0" xfId="0" applyNumberFormat="1" applyFont="1" applyAlignment="1">
      <alignment horizontal="right"/>
    </xf>
    <xf numFmtId="10" fontId="83" fillId="0" borderId="0" xfId="0" applyNumberFormat="1" applyFont="1" applyAlignment="1">
      <alignment horizontal="left" indent="4"/>
    </xf>
    <xf numFmtId="14" fontId="116" fillId="0" borderId="0" xfId="0" applyNumberFormat="1" applyFont="1" applyAlignment="1">
      <alignment horizontal="right"/>
    </xf>
    <xf numFmtId="14" fontId="84" fillId="0" borderId="0" xfId="0" applyNumberFormat="1" applyFont="1" applyAlignment="1">
      <alignment horizontal="right"/>
    </xf>
    <xf numFmtId="0" fontId="83" fillId="0" borderId="3" xfId="0" applyFont="1" applyBorder="1" applyAlignment="1">
      <alignment horizontal="left"/>
    </xf>
    <xf numFmtId="1" fontId="83" fillId="0" borderId="0" xfId="0" applyNumberFormat="1" applyFont="1" applyAlignment="1">
      <alignment horizontal="centerContinuous"/>
    </xf>
    <xf numFmtId="0" fontId="93" fillId="0" borderId="0" xfId="275" applyNumberFormat="1" applyFont="1" applyAlignment="1">
      <alignment horizontal="center"/>
    </xf>
    <xf numFmtId="0" fontId="92" fillId="0" borderId="0" xfId="275" applyNumberFormat="1" applyFont="1" applyAlignment="1">
      <alignment horizontal="center"/>
    </xf>
    <xf numFmtId="0" fontId="84" fillId="0" borderId="0" xfId="0" quotePrefix="1" applyFont="1" applyAlignment="1">
      <alignment horizontal="left" indent="1"/>
    </xf>
    <xf numFmtId="0" fontId="84" fillId="0" borderId="0" xfId="0" quotePrefix="1" applyFont="1" applyAlignment="1">
      <alignment horizontal="left"/>
    </xf>
    <xf numFmtId="0" fontId="83" fillId="0" borderId="0" xfId="0" applyFont="1" applyAlignment="1">
      <alignment horizontal="right"/>
    </xf>
    <xf numFmtId="0" fontId="83" fillId="0" borderId="3" xfId="0" applyFont="1" applyBorder="1" applyAlignment="1">
      <alignment horizontal="right"/>
    </xf>
    <xf numFmtId="0" fontId="84" fillId="0" borderId="3" xfId="0" applyFont="1" applyBorder="1" applyAlignment="1">
      <alignment horizontal="right"/>
    </xf>
    <xf numFmtId="9" fontId="90" fillId="0" borderId="0" xfId="0" applyNumberFormat="1" applyFont="1" applyAlignment="1">
      <alignment horizontal="right"/>
    </xf>
    <xf numFmtId="0" fontId="90" fillId="0" borderId="0" xfId="0" applyFont="1" applyAlignment="1">
      <alignment horizontal="right"/>
    </xf>
    <xf numFmtId="5" fontId="90" fillId="0" borderId="0" xfId="0" applyNumberFormat="1" applyFont="1" applyAlignment="1">
      <alignment horizontal="right"/>
    </xf>
    <xf numFmtId="37" fontId="84" fillId="0" borderId="3" xfId="0" applyNumberFormat="1" applyFont="1" applyBorder="1"/>
    <xf numFmtId="0" fontId="84" fillId="0" borderId="3" xfId="0" applyFont="1" applyBorder="1"/>
    <xf numFmtId="197" fontId="84" fillId="0" borderId="0" xfId="0" applyNumberFormat="1" applyFont="1"/>
    <xf numFmtId="0" fontId="84" fillId="0" borderId="0" xfId="0" applyFont="1" applyAlignment="1">
      <alignment horizontal="left" indent="3"/>
    </xf>
    <xf numFmtId="0" fontId="99" fillId="0" borderId="0" xfId="0" applyFont="1" applyAlignment="1">
      <alignment horizontal="center"/>
    </xf>
    <xf numFmtId="0" fontId="99" fillId="0" borderId="0" xfId="0" applyFont="1"/>
    <xf numFmtId="0" fontId="96" fillId="0" borderId="0" xfId="0" applyFont="1" applyAlignment="1">
      <alignment horizontal="left"/>
    </xf>
    <xf numFmtId="0" fontId="96" fillId="0" borderId="0" xfId="0" applyFont="1" applyAlignment="1">
      <alignment horizontal="right"/>
    </xf>
    <xf numFmtId="0" fontId="89" fillId="0" borderId="0" xfId="0" applyFont="1" applyAlignment="1">
      <alignment horizontal="center"/>
    </xf>
    <xf numFmtId="165" fontId="90" fillId="0" borderId="0" xfId="0" applyNumberFormat="1" applyFont="1" applyAlignment="1">
      <alignment horizontal="right"/>
    </xf>
    <xf numFmtId="165" fontId="91" fillId="0" borderId="0" xfId="0" applyNumberFormat="1" applyFont="1"/>
    <xf numFmtId="0" fontId="102" fillId="42" borderId="44" xfId="367" applyNumberFormat="1" applyFont="1" applyFill="1" applyBorder="1" applyAlignment="1">
      <alignment horizontal="center" wrapText="1"/>
    </xf>
    <xf numFmtId="37" fontId="103" fillId="0" borderId="0" xfId="275" applyNumberFormat="1" applyFont="1" applyAlignment="1" applyProtection="1">
      <alignment horizontal="center"/>
      <protection locked="0"/>
    </xf>
    <xf numFmtId="43" fontId="84" fillId="0" borderId="0" xfId="0" applyNumberFormat="1" applyFont="1"/>
    <xf numFmtId="165" fontId="84" fillId="0" borderId="0" xfId="367" applyNumberFormat="1" applyFont="1"/>
    <xf numFmtId="164" fontId="84" fillId="0" borderId="0" xfId="367" applyNumberFormat="1" applyFont="1"/>
    <xf numFmtId="164" fontId="91" fillId="38" borderId="0" xfId="367" applyNumberFormat="1" applyFont="1" applyFill="1"/>
    <xf numFmtId="0" fontId="119" fillId="0" borderId="0" xfId="0" applyFont="1" applyAlignment="1">
      <alignment horizontal="left" indent="1"/>
    </xf>
    <xf numFmtId="0" fontId="91" fillId="0" borderId="0" xfId="275" applyNumberFormat="1" applyFont="1" applyAlignment="1">
      <alignment horizontal="center"/>
    </xf>
    <xf numFmtId="0" fontId="84" fillId="0" borderId="8" xfId="275" applyNumberFormat="1" applyFont="1" applyBorder="1" applyAlignment="1" applyProtection="1">
      <alignment horizontal="center"/>
      <protection locked="0"/>
    </xf>
    <xf numFmtId="10" fontId="83" fillId="0" borderId="0" xfId="367" applyNumberFormat="1" applyFont="1"/>
    <xf numFmtId="164" fontId="84" fillId="0" borderId="0" xfId="367" applyNumberFormat="1" applyFont="1" applyAlignment="1">
      <alignment horizontal="center"/>
    </xf>
    <xf numFmtId="166" fontId="120" fillId="0" borderId="0" xfId="275" applyNumberFormat="1" applyFont="1"/>
    <xf numFmtId="166" fontId="120" fillId="0" borderId="0" xfId="0" applyNumberFormat="1" applyFont="1"/>
    <xf numFmtId="0" fontId="104" fillId="0" borderId="0" xfId="0" applyFont="1" applyAlignment="1">
      <alignment horizontal="center"/>
    </xf>
    <xf numFmtId="0" fontId="104" fillId="0" borderId="10" xfId="0" applyFont="1" applyBorder="1" applyAlignment="1">
      <alignment horizontal="center"/>
    </xf>
    <xf numFmtId="0" fontId="106" fillId="0" borderId="0" xfId="0" applyFont="1" applyAlignment="1">
      <alignment horizontal="center"/>
    </xf>
    <xf numFmtId="0" fontId="104" fillId="0" borderId="10" xfId="0" applyFont="1" applyBorder="1"/>
    <xf numFmtId="166" fontId="106" fillId="0" borderId="0" xfId="275" applyNumberFormat="1" applyFont="1"/>
    <xf numFmtId="0" fontId="104" fillId="0" borderId="10" xfId="0" applyFont="1" applyBorder="1" applyAlignment="1">
      <alignment horizontal="center" wrapText="1"/>
    </xf>
    <xf numFmtId="166" fontId="106" fillId="0" borderId="0" xfId="0" applyNumberFormat="1" applyFont="1"/>
    <xf numFmtId="1" fontId="106" fillId="0" borderId="0" xfId="275" applyNumberFormat="1" applyFont="1" applyAlignment="1">
      <alignment horizontal="center"/>
    </xf>
    <xf numFmtId="166" fontId="106" fillId="0" borderId="23" xfId="0" applyNumberFormat="1" applyFont="1" applyBorder="1"/>
    <xf numFmtId="0" fontId="106" fillId="0" borderId="23" xfId="0" applyFont="1" applyBorder="1"/>
    <xf numFmtId="0" fontId="106" fillId="0" borderId="23" xfId="0" applyFont="1" applyBorder="1" applyAlignment="1">
      <alignment horizontal="center"/>
    </xf>
    <xf numFmtId="1" fontId="106" fillId="0" borderId="23" xfId="275" applyNumberFormat="1" applyFont="1" applyBorder="1" applyAlignment="1">
      <alignment horizontal="center"/>
    </xf>
    <xf numFmtId="0" fontId="122" fillId="0" borderId="0" xfId="0" applyFont="1"/>
    <xf numFmtId="0" fontId="104" fillId="0" borderId="0" xfId="0" applyFont="1" applyAlignment="1">
      <alignment horizontal="center" wrapText="1"/>
    </xf>
    <xf numFmtId="166" fontId="91" fillId="0" borderId="0" xfId="275" applyNumberFormat="1" applyFont="1" applyAlignment="1">
      <alignment horizontal="right"/>
    </xf>
    <xf numFmtId="196" fontId="91" fillId="0" borderId="0" xfId="275" applyNumberFormat="1" applyFont="1"/>
    <xf numFmtId="10" fontId="106" fillId="0" borderId="0" xfId="367" applyNumberFormat="1" applyFont="1"/>
    <xf numFmtId="166" fontId="84" fillId="0" borderId="3" xfId="275" applyNumberFormat="1" applyFont="1" applyBorder="1"/>
    <xf numFmtId="0" fontId="124" fillId="0" borderId="0" xfId="432" applyFont="1"/>
    <xf numFmtId="43" fontId="124" fillId="0" borderId="0" xfId="433" applyFont="1"/>
    <xf numFmtId="0" fontId="104" fillId="0" borderId="0" xfId="432" applyFont="1" applyAlignment="1">
      <alignment horizontal="left"/>
    </xf>
    <xf numFmtId="0" fontId="124" fillId="0" borderId="0" xfId="432" applyFont="1" applyAlignment="1">
      <alignment horizontal="left" indent="1"/>
    </xf>
    <xf numFmtId="201" fontId="106" fillId="0" borderId="0" xfId="432" applyNumberFormat="1" applyFont="1"/>
    <xf numFmtId="166" fontId="106" fillId="0" borderId="0" xfId="432" applyNumberFormat="1" applyFont="1"/>
    <xf numFmtId="0" fontId="126" fillId="0" borderId="0" xfId="432" applyFont="1" applyAlignment="1">
      <alignment horizontal="right"/>
    </xf>
    <xf numFmtId="0" fontId="106" fillId="21" borderId="0" xfId="432" applyFont="1" applyFill="1" applyAlignment="1">
      <alignment horizontal="left" indent="1"/>
    </xf>
    <xf numFmtId="202" fontId="124" fillId="0" borderId="0" xfId="433" applyNumberFormat="1" applyFont="1"/>
    <xf numFmtId="2" fontId="124" fillId="0" borderId="0" xfId="433" applyNumberFormat="1" applyFont="1"/>
    <xf numFmtId="0" fontId="106" fillId="0" borderId="0" xfId="432" applyFont="1" applyAlignment="1">
      <alignment horizontal="left" indent="1"/>
    </xf>
    <xf numFmtId="0" fontId="124" fillId="21" borderId="0" xfId="432" applyFont="1" applyFill="1" applyAlignment="1">
      <alignment horizontal="left" indent="1"/>
    </xf>
    <xf numFmtId="2" fontId="124" fillId="0" borderId="10" xfId="433" applyNumberFormat="1" applyFont="1" applyBorder="1"/>
    <xf numFmtId="0" fontId="104" fillId="21" borderId="0" xfId="432" applyFont="1" applyFill="1" applyAlignment="1">
      <alignment horizontal="left" vertical="top" indent="2"/>
    </xf>
    <xf numFmtId="202" fontId="105" fillId="0" borderId="18" xfId="433" applyNumberFormat="1" applyFont="1" applyBorder="1"/>
    <xf numFmtId="43" fontId="124" fillId="0" borderId="0" xfId="432" applyNumberFormat="1" applyFont="1"/>
    <xf numFmtId="165" fontId="124" fillId="0" borderId="16" xfId="432" applyNumberFormat="1" applyFont="1" applyBorder="1"/>
    <xf numFmtId="0" fontId="105" fillId="0" borderId="0" xfId="432" applyFont="1"/>
    <xf numFmtId="0" fontId="126" fillId="0" borderId="0" xfId="432" applyFont="1"/>
    <xf numFmtId="0" fontId="121" fillId="43" borderId="47" xfId="0" applyFont="1" applyFill="1" applyBorder="1"/>
    <xf numFmtId="0" fontId="121" fillId="43" borderId="47" xfId="0" applyFont="1" applyFill="1" applyBorder="1" applyAlignment="1">
      <alignment horizontal="center"/>
    </xf>
    <xf numFmtId="1" fontId="121" fillId="43" borderId="47" xfId="275" applyNumberFormat="1" applyFont="1" applyFill="1" applyBorder="1" applyAlignment="1">
      <alignment horizontal="center"/>
    </xf>
    <xf numFmtId="0" fontId="121" fillId="43" borderId="48" xfId="0" applyFont="1" applyFill="1" applyBorder="1"/>
    <xf numFmtId="0" fontId="121" fillId="43" borderId="48" xfId="0" applyFont="1" applyFill="1" applyBorder="1" applyAlignment="1">
      <alignment horizontal="center"/>
    </xf>
    <xf numFmtId="166" fontId="121" fillId="43" borderId="47" xfId="275" applyNumberFormat="1" applyFont="1" applyFill="1" applyBorder="1"/>
    <xf numFmtId="9" fontId="121" fillId="43" borderId="47" xfId="367" applyFont="1" applyFill="1" applyBorder="1" applyAlignment="1">
      <alignment horizontal="center"/>
    </xf>
    <xf numFmtId="9" fontId="121" fillId="43" borderId="48" xfId="367" applyFont="1" applyFill="1" applyBorder="1" applyAlignment="1">
      <alignment horizontal="center"/>
    </xf>
    <xf numFmtId="1" fontId="106" fillId="0" borderId="0" xfId="0" applyNumberFormat="1" applyFont="1" applyAlignment="1">
      <alignment horizontal="center"/>
    </xf>
    <xf numFmtId="10" fontId="121" fillId="43" borderId="47" xfId="367" applyNumberFormat="1" applyFont="1" applyFill="1" applyBorder="1" applyAlignment="1">
      <alignment horizontal="center"/>
    </xf>
    <xf numFmtId="10" fontId="106" fillId="0" borderId="0" xfId="0" applyNumberFormat="1" applyFont="1" applyAlignment="1">
      <alignment horizontal="center"/>
    </xf>
    <xf numFmtId="0" fontId="104" fillId="0" borderId="0" xfId="0" applyFont="1" applyAlignment="1">
      <alignment horizontal="left" wrapText="1"/>
    </xf>
    <xf numFmtId="0" fontId="129" fillId="0" borderId="0" xfId="0" applyFont="1" applyAlignment="1">
      <alignment horizontal="left" wrapText="1"/>
    </xf>
    <xf numFmtId="0" fontId="91" fillId="0" borderId="0" xfId="0" applyFont="1" applyAlignment="1">
      <alignment horizontal="left" indent="1"/>
    </xf>
    <xf numFmtId="0" fontId="106" fillId="0" borderId="0" xfId="367" applyNumberFormat="1" applyFont="1" applyAlignment="1">
      <alignment horizontal="center"/>
    </xf>
    <xf numFmtId="166" fontId="87" fillId="0" borderId="0" xfId="285" applyNumberFormat="1" applyFont="1"/>
    <xf numFmtId="166" fontId="83" fillId="0" borderId="0" xfId="275" applyNumberFormat="1" applyFont="1" applyAlignment="1">
      <alignment horizontal="center"/>
    </xf>
    <xf numFmtId="0" fontId="118" fillId="37" borderId="0" xfId="352" applyFont="1" applyFill="1" applyAlignment="1">
      <alignment horizontal="left"/>
    </xf>
    <xf numFmtId="0" fontId="130" fillId="37" borderId="0" xfId="352" applyFont="1" applyFill="1" applyAlignment="1">
      <alignment horizontal="left"/>
    </xf>
    <xf numFmtId="0" fontId="84" fillId="0" borderId="8" xfId="0" applyFont="1" applyBorder="1" applyAlignment="1">
      <alignment horizontal="left"/>
    </xf>
    <xf numFmtId="0" fontId="91" fillId="0" borderId="0" xfId="0" applyFont="1" applyAlignment="1">
      <alignment horizontal="center"/>
    </xf>
    <xf numFmtId="0" fontId="112" fillId="43" borderId="8" xfId="0" applyFont="1" applyFill="1" applyBorder="1" applyAlignment="1">
      <alignment horizontal="centerContinuous" vertical="center"/>
    </xf>
    <xf numFmtId="0" fontId="84" fillId="43" borderId="36" xfId="0" applyFont="1" applyFill="1" applyBorder="1" applyAlignment="1">
      <alignment horizontal="centerContinuous"/>
    </xf>
    <xf numFmtId="0" fontId="94" fillId="43" borderId="8" xfId="275" applyNumberFormat="1" applyFont="1" applyFill="1" applyBorder="1" applyAlignment="1" applyProtection="1">
      <alignment horizontal="center"/>
      <protection locked="0"/>
    </xf>
    <xf numFmtId="0" fontId="90" fillId="43" borderId="8" xfId="275" applyNumberFormat="1" applyFont="1" applyFill="1" applyBorder="1" applyAlignment="1" applyProtection="1">
      <alignment horizontal="center"/>
      <protection locked="0"/>
    </xf>
    <xf numFmtId="0" fontId="131" fillId="43" borderId="8" xfId="0" applyFont="1" applyFill="1" applyBorder="1" applyProtection="1">
      <protection locked="0"/>
    </xf>
    <xf numFmtId="10" fontId="90" fillId="43" borderId="37" xfId="367" applyNumberFormat="1" applyFont="1" applyFill="1" applyBorder="1" applyAlignment="1" applyProtection="1">
      <alignment horizontal="center"/>
      <protection locked="0"/>
    </xf>
    <xf numFmtId="0" fontId="94" fillId="43" borderId="35" xfId="0" applyFont="1" applyFill="1" applyBorder="1" applyProtection="1">
      <protection locked="0"/>
    </xf>
    <xf numFmtId="0" fontId="94" fillId="43" borderId="24" xfId="0" applyFont="1" applyFill="1" applyBorder="1" applyProtection="1">
      <protection locked="0"/>
    </xf>
    <xf numFmtId="0" fontId="94" fillId="43" borderId="36" xfId="0" applyFont="1" applyFill="1" applyBorder="1" applyProtection="1">
      <protection locked="0"/>
    </xf>
    <xf numFmtId="0" fontId="94" fillId="38" borderId="8" xfId="0" applyFont="1" applyFill="1" applyBorder="1" applyAlignment="1" applyProtection="1">
      <alignment horizontal="center"/>
      <protection locked="0"/>
    </xf>
    <xf numFmtId="0" fontId="104" fillId="21" borderId="0" xfId="432" applyFont="1" applyFill="1" applyAlignment="1">
      <alignment horizontal="left" indent="1"/>
    </xf>
    <xf numFmtId="2" fontId="105" fillId="0" borderId="0" xfId="433" applyNumberFormat="1" applyFont="1"/>
    <xf numFmtId="166" fontId="125" fillId="0" borderId="0" xfId="275" applyNumberFormat="1" applyFont="1"/>
    <xf numFmtId="165" fontId="124" fillId="0" borderId="0" xfId="367" applyNumberFormat="1" applyFont="1"/>
    <xf numFmtId="201" fontId="121" fillId="43" borderId="46" xfId="432" applyNumberFormat="1" applyFont="1" applyFill="1" applyBorder="1"/>
    <xf numFmtId="3" fontId="121" fillId="43" borderId="46" xfId="432" applyNumberFormat="1" applyFont="1" applyFill="1" applyBorder="1" applyAlignment="1">
      <alignment horizontal="center"/>
    </xf>
    <xf numFmtId="166" fontId="121" fillId="43" borderId="46" xfId="433" applyNumberFormat="1" applyFont="1" applyFill="1" applyBorder="1"/>
    <xf numFmtId="165" fontId="124" fillId="0" borderId="0" xfId="432" applyNumberFormat="1" applyFont="1"/>
    <xf numFmtId="0" fontId="104" fillId="0" borderId="3" xfId="432" applyFont="1" applyBorder="1" applyAlignment="1">
      <alignment horizontal="center"/>
    </xf>
    <xf numFmtId="0" fontId="104" fillId="0" borderId="0" xfId="432" applyFont="1" applyAlignment="1">
      <alignment horizontal="center"/>
    </xf>
    <xf numFmtId="202" fontId="124" fillId="0" borderId="0" xfId="432" applyNumberFormat="1" applyFont="1"/>
    <xf numFmtId="0" fontId="128" fillId="0" borderId="0" xfId="432" applyFont="1" applyAlignment="1">
      <alignment horizontal="left" indent="2"/>
    </xf>
    <xf numFmtId="0" fontId="128" fillId="21" borderId="0" xfId="432" applyFont="1" applyFill="1" applyAlignment="1">
      <alignment horizontal="left" indent="2"/>
    </xf>
    <xf numFmtId="0" fontId="105" fillId="0" borderId="0" xfId="432" applyFont="1" applyAlignment="1">
      <alignment horizontal="left" indent="2"/>
    </xf>
    <xf numFmtId="0" fontId="84" fillId="36" borderId="0" xfId="0" applyFont="1" applyFill="1"/>
    <xf numFmtId="10" fontId="83" fillId="0" borderId="0" xfId="367" quotePrefix="1" applyNumberFormat="1" applyFont="1" applyAlignment="1">
      <alignment horizontal="right"/>
    </xf>
    <xf numFmtId="43" fontId="124" fillId="0" borderId="23" xfId="275" applyFont="1" applyBorder="1"/>
    <xf numFmtId="0" fontId="126" fillId="0" borderId="0" xfId="432" applyFont="1" applyAlignment="1">
      <alignment horizontal="left"/>
    </xf>
    <xf numFmtId="166" fontId="118" fillId="43" borderId="37" xfId="275" applyNumberFormat="1" applyFont="1" applyFill="1" applyBorder="1" applyAlignment="1" applyProtection="1">
      <alignment horizontal="center"/>
      <protection locked="0"/>
    </xf>
    <xf numFmtId="0" fontId="118" fillId="43" borderId="37" xfId="275" applyNumberFormat="1" applyFont="1" applyFill="1" applyBorder="1" applyAlignment="1" applyProtection="1">
      <alignment horizontal="center"/>
      <protection locked="0"/>
    </xf>
    <xf numFmtId="0" fontId="84" fillId="0" borderId="0" xfId="352" applyFont="1" applyAlignment="1">
      <alignment horizontal="left" indent="2"/>
    </xf>
    <xf numFmtId="0" fontId="83" fillId="0" borderId="0" xfId="0" applyFont="1" applyAlignment="1">
      <alignment horizontal="left" vertical="center" indent="1"/>
    </xf>
    <xf numFmtId="0" fontId="83" fillId="0" borderId="0" xfId="352" applyFont="1" applyAlignment="1">
      <alignment horizontal="left" indent="1"/>
    </xf>
    <xf numFmtId="0" fontId="84" fillId="0" borderId="8" xfId="0" applyFont="1" applyBorder="1" applyAlignment="1">
      <alignment horizontal="center"/>
    </xf>
    <xf numFmtId="0" fontId="83" fillId="0" borderId="0" xfId="352" applyFont="1"/>
    <xf numFmtId="4" fontId="84" fillId="0" borderId="0" xfId="349" applyNumberFormat="1" applyFont="1" applyAlignment="1">
      <alignment horizontal="center"/>
    </xf>
    <xf numFmtId="43" fontId="84" fillId="0" borderId="0" xfId="275" applyFont="1" applyAlignment="1">
      <alignment horizontal="center"/>
    </xf>
    <xf numFmtId="196" fontId="84" fillId="0" borderId="0" xfId="275" applyNumberFormat="1" applyFont="1" applyAlignment="1">
      <alignment horizontal="center"/>
    </xf>
    <xf numFmtId="166" fontId="84" fillId="0" borderId="27" xfId="275" applyNumberFormat="1" applyFont="1" applyBorder="1" applyAlignment="1">
      <alignment horizontal="center"/>
    </xf>
    <xf numFmtId="166" fontId="84" fillId="0" borderId="29" xfId="275" applyNumberFormat="1" applyFont="1" applyBorder="1" applyAlignment="1">
      <alignment horizontal="center"/>
    </xf>
    <xf numFmtId="166" fontId="84" fillId="0" borderId="40" xfId="275" applyNumberFormat="1" applyFont="1" applyBorder="1" applyAlignment="1">
      <alignment horizontal="center"/>
    </xf>
    <xf numFmtId="166" fontId="84" fillId="0" borderId="41" xfId="275" applyNumberFormat="1" applyFont="1" applyBorder="1" applyAlignment="1">
      <alignment horizontal="center"/>
    </xf>
    <xf numFmtId="166" fontId="83" fillId="0" borderId="18" xfId="275" applyNumberFormat="1" applyFont="1" applyBorder="1" applyAlignment="1">
      <alignment horizontal="center"/>
    </xf>
    <xf numFmtId="0" fontId="100" fillId="40" borderId="3" xfId="349" quotePrefix="1" applyFont="1" applyFill="1" applyBorder="1" applyAlignment="1">
      <alignment horizontal="center" wrapText="1"/>
    </xf>
    <xf numFmtId="204" fontId="84" fillId="0" borderId="27" xfId="289" applyNumberFormat="1" applyFont="1" applyBorder="1" applyAlignment="1">
      <alignment horizontal="center"/>
    </xf>
    <xf numFmtId="204" fontId="84" fillId="0" borderId="29" xfId="374" applyNumberFormat="1" applyFont="1" applyBorder="1" applyAlignment="1">
      <alignment horizontal="center"/>
    </xf>
    <xf numFmtId="204" fontId="84" fillId="0" borderId="40" xfId="289" applyNumberFormat="1" applyFont="1" applyBorder="1" applyAlignment="1">
      <alignment horizontal="center"/>
    </xf>
    <xf numFmtId="204" fontId="84" fillId="0" borderId="41" xfId="374" applyNumberFormat="1" applyFont="1" applyBorder="1" applyAlignment="1">
      <alignment horizontal="center"/>
    </xf>
    <xf numFmtId="205" fontId="120" fillId="0" borderId="0" xfId="349" applyNumberFormat="1" applyFont="1" applyAlignment="1">
      <alignment horizontal="center"/>
    </xf>
    <xf numFmtId="10" fontId="83" fillId="0" borderId="2" xfId="367" applyNumberFormat="1" applyFont="1" applyBorder="1"/>
    <xf numFmtId="200" fontId="83" fillId="0" borderId="21" xfId="349" applyNumberFormat="1" applyFont="1" applyBorder="1" applyAlignment="1">
      <alignment horizontal="right"/>
    </xf>
    <xf numFmtId="0" fontId="83" fillId="0" borderId="0" xfId="349" applyFont="1" applyAlignment="1">
      <alignment horizontal="centerContinuous"/>
    </xf>
    <xf numFmtId="0" fontId="83" fillId="0" borderId="0" xfId="0" applyFont="1" applyAlignment="1">
      <alignment horizontal="centerContinuous"/>
    </xf>
    <xf numFmtId="206" fontId="84" fillId="0" borderId="0" xfId="349" applyNumberFormat="1" applyFont="1" applyAlignment="1">
      <alignment horizontal="center"/>
    </xf>
    <xf numFmtId="0" fontId="120" fillId="39" borderId="0" xfId="349" applyFont="1" applyFill="1" applyAlignment="1">
      <alignment horizontal="center"/>
    </xf>
    <xf numFmtId="0" fontId="120" fillId="39" borderId="0" xfId="349" quotePrefix="1" applyFont="1" applyFill="1"/>
    <xf numFmtId="43" fontId="120" fillId="39" borderId="0" xfId="349" applyNumberFormat="1" applyFont="1" applyFill="1" applyAlignment="1">
      <alignment horizontal="center"/>
    </xf>
    <xf numFmtId="166" fontId="120" fillId="39" borderId="0" xfId="275" applyNumberFormat="1" applyFont="1" applyFill="1" applyAlignment="1">
      <alignment horizontal="center"/>
    </xf>
    <xf numFmtId="0" fontId="120" fillId="39" borderId="0" xfId="349" quotePrefix="1" applyFont="1" applyFill="1" applyAlignment="1">
      <alignment horizontal="center"/>
    </xf>
    <xf numFmtId="166" fontId="120" fillId="39" borderId="18" xfId="349" applyNumberFormat="1" applyFont="1" applyFill="1" applyBorder="1" applyAlignment="1">
      <alignment horizontal="center"/>
    </xf>
    <xf numFmtId="207" fontId="90" fillId="43" borderId="8" xfId="367" applyNumberFormat="1" applyFont="1" applyFill="1" applyBorder="1" applyAlignment="1" applyProtection="1">
      <alignment horizontal="center"/>
      <protection locked="0"/>
    </xf>
    <xf numFmtId="37" fontId="84" fillId="0" borderId="0" xfId="349" applyNumberFormat="1" applyFont="1" applyAlignment="1">
      <alignment horizontal="center"/>
    </xf>
    <xf numFmtId="166" fontId="84" fillId="0" borderId="3" xfId="0" applyNumberFormat="1" applyFont="1" applyBorder="1"/>
    <xf numFmtId="43" fontId="84" fillId="0" borderId="0" xfId="349" applyNumberFormat="1" applyFont="1" applyAlignment="1">
      <alignment horizontal="center"/>
    </xf>
    <xf numFmtId="0" fontId="83" fillId="44" borderId="10" xfId="0" applyFont="1" applyFill="1" applyBorder="1" applyAlignment="1">
      <alignment horizontal="centerContinuous"/>
    </xf>
    <xf numFmtId="0" fontId="84" fillId="44" borderId="0" xfId="0" applyFont="1" applyFill="1"/>
    <xf numFmtId="166" fontId="84" fillId="44" borderId="0" xfId="275" applyNumberFormat="1" applyFont="1" applyFill="1"/>
    <xf numFmtId="166" fontId="84" fillId="44" borderId="0" xfId="0" applyNumberFormat="1" applyFont="1" applyFill="1"/>
    <xf numFmtId="4" fontId="84" fillId="0" borderId="0" xfId="349" quotePrefix="1" applyNumberFormat="1" applyFont="1" applyAlignment="1">
      <alignment horizontal="center"/>
    </xf>
    <xf numFmtId="0" fontId="83" fillId="44" borderId="10" xfId="0" applyFont="1" applyFill="1" applyBorder="1" applyAlignment="1">
      <alignment horizontal="center"/>
    </xf>
    <xf numFmtId="0" fontId="132" fillId="36" borderId="0" xfId="0" applyFont="1" applyFill="1" applyAlignment="1">
      <alignment horizontal="centerContinuous"/>
    </xf>
    <xf numFmtId="0" fontId="134" fillId="37" borderId="0" xfId="0" applyFont="1" applyFill="1"/>
    <xf numFmtId="0" fontId="118" fillId="37" borderId="0" xfId="0" applyFont="1" applyFill="1"/>
    <xf numFmtId="0" fontId="115" fillId="39" borderId="0" xfId="349" applyFont="1" applyFill="1"/>
    <xf numFmtId="10" fontId="118" fillId="43" borderId="8" xfId="367" applyNumberFormat="1" applyFont="1" applyFill="1" applyBorder="1" applyAlignment="1">
      <alignment horizontal="center"/>
    </xf>
    <xf numFmtId="0" fontId="91" fillId="43" borderId="47" xfId="0" applyFont="1" applyFill="1" applyBorder="1" applyAlignment="1">
      <alignment horizontal="center"/>
    </xf>
    <xf numFmtId="0" fontId="78" fillId="45" borderId="24" xfId="0" applyFont="1" applyFill="1" applyBorder="1" applyAlignment="1">
      <alignment wrapText="1"/>
    </xf>
    <xf numFmtId="0" fontId="84" fillId="38" borderId="0" xfId="0" applyFont="1" applyFill="1"/>
    <xf numFmtId="0" fontId="84" fillId="38" borderId="10" xfId="0" applyFont="1" applyFill="1" applyBorder="1"/>
    <xf numFmtId="166" fontId="84" fillId="0" borderId="0" xfId="0" applyNumberFormat="1" applyFont="1" applyAlignment="1">
      <alignment horizontal="left" indent="1"/>
    </xf>
    <xf numFmtId="0" fontId="118" fillId="43" borderId="8" xfId="275" applyNumberFormat="1" applyFont="1" applyFill="1" applyBorder="1" applyAlignment="1" applyProtection="1">
      <alignment horizontal="center"/>
      <protection locked="0"/>
    </xf>
    <xf numFmtId="0" fontId="135" fillId="41" borderId="0" xfId="432" applyFont="1" applyFill="1" applyAlignment="1">
      <alignment horizontal="centerContinuous"/>
    </xf>
    <xf numFmtId="43" fontId="106" fillId="0" borderId="46" xfId="432" applyNumberFormat="1" applyFont="1" applyBorder="1"/>
    <xf numFmtId="201" fontId="106" fillId="0" borderId="46" xfId="432" applyNumberFormat="1" applyFont="1" applyBorder="1"/>
    <xf numFmtId="166" fontId="106" fillId="0" borderId="49" xfId="432" applyNumberFormat="1" applyFont="1" applyBorder="1"/>
    <xf numFmtId="0" fontId="105" fillId="0" borderId="10" xfId="432" applyFont="1" applyBorder="1" applyAlignment="1">
      <alignment horizontal="center"/>
    </xf>
    <xf numFmtId="0" fontId="124" fillId="0" borderId="0" xfId="0" applyFont="1"/>
    <xf numFmtId="0" fontId="121" fillId="0" borderId="0" xfId="432" applyFont="1"/>
    <xf numFmtId="43" fontId="121" fillId="0" borderId="0" xfId="432" applyNumberFormat="1" applyFont="1"/>
    <xf numFmtId="209" fontId="121" fillId="0" borderId="0" xfId="432" applyNumberFormat="1" applyFont="1"/>
    <xf numFmtId="166" fontId="121" fillId="0" borderId="0" xfId="275" applyNumberFormat="1" applyFont="1"/>
    <xf numFmtId="166" fontId="125" fillId="43" borderId="46" xfId="275" applyNumberFormat="1" applyFont="1" applyFill="1" applyBorder="1"/>
    <xf numFmtId="166" fontId="124" fillId="0" borderId="0" xfId="275" applyNumberFormat="1" applyFont="1"/>
    <xf numFmtId="166" fontId="106" fillId="0" borderId="46" xfId="275" applyNumberFormat="1" applyFont="1" applyBorder="1"/>
    <xf numFmtId="166" fontId="106" fillId="0" borderId="49" xfId="275" applyNumberFormat="1" applyFont="1" applyBorder="1"/>
    <xf numFmtId="166" fontId="114" fillId="0" borderId="0" xfId="275" applyNumberFormat="1" applyFont="1" applyAlignment="1">
      <alignment horizontal="center"/>
    </xf>
    <xf numFmtId="208" fontId="91" fillId="0" borderId="2" xfId="349" applyNumberFormat="1" applyFont="1" applyBorder="1"/>
    <xf numFmtId="210" fontId="91" fillId="0" borderId="28" xfId="349" quotePrefix="1" applyNumberFormat="1" applyFont="1" applyBorder="1" applyAlignment="1">
      <alignment horizontal="center"/>
    </xf>
    <xf numFmtId="210" fontId="91" fillId="0" borderId="28" xfId="349" applyNumberFormat="1" applyFont="1" applyBorder="1" applyAlignment="1">
      <alignment horizontal="center"/>
    </xf>
    <xf numFmtId="210" fontId="84" fillId="0" borderId="28" xfId="349" applyNumberFormat="1" applyFont="1" applyBorder="1" applyAlignment="1">
      <alignment horizontal="center"/>
    </xf>
    <xf numFmtId="210" fontId="84" fillId="0" borderId="39" xfId="349" quotePrefix="1" applyNumberFormat="1" applyFont="1" applyBorder="1" applyAlignment="1">
      <alignment horizontal="center"/>
    </xf>
    <xf numFmtId="210" fontId="91" fillId="0" borderId="39" xfId="349" applyNumberFormat="1" applyFont="1" applyBorder="1" applyAlignment="1">
      <alignment horizontal="center"/>
    </xf>
    <xf numFmtId="210" fontId="84" fillId="0" borderId="39" xfId="349" applyNumberFormat="1" applyFont="1" applyBorder="1" applyAlignment="1">
      <alignment horizontal="center"/>
    </xf>
    <xf numFmtId="210" fontId="84" fillId="0" borderId="27" xfId="349" applyNumberFormat="1" applyFont="1" applyBorder="1" applyAlignment="1">
      <alignment horizontal="center"/>
    </xf>
    <xf numFmtId="210" fontId="84" fillId="0" borderId="40" xfId="349" applyNumberFormat="1" applyFont="1" applyBorder="1" applyAlignment="1">
      <alignment horizontal="center"/>
    </xf>
    <xf numFmtId="210" fontId="83" fillId="0" borderId="27" xfId="349" applyNumberFormat="1" applyFont="1" applyBorder="1" applyAlignment="1">
      <alignment horizontal="center"/>
    </xf>
    <xf numFmtId="210" fontId="84" fillId="0" borderId="28" xfId="374" applyNumberFormat="1" applyFont="1" applyBorder="1" applyAlignment="1">
      <alignment horizontal="center"/>
    </xf>
    <xf numFmtId="210" fontId="84" fillId="0" borderId="29" xfId="349" applyNumberFormat="1" applyFont="1" applyBorder="1" applyAlignment="1">
      <alignment horizontal="center"/>
    </xf>
    <xf numFmtId="210" fontId="84" fillId="0" borderId="27" xfId="289" applyNumberFormat="1" applyFont="1" applyBorder="1" applyAlignment="1">
      <alignment horizontal="center"/>
    </xf>
    <xf numFmtId="210" fontId="84" fillId="0" borderId="29" xfId="374" applyNumberFormat="1" applyFont="1" applyBorder="1" applyAlignment="1">
      <alignment horizontal="center"/>
    </xf>
    <xf numFmtId="210" fontId="83" fillId="0" borderId="40" xfId="349" applyNumberFormat="1" applyFont="1" applyBorder="1" applyAlignment="1">
      <alignment horizontal="center"/>
    </xf>
    <xf numFmtId="210" fontId="84" fillId="0" borderId="39" xfId="374" applyNumberFormat="1" applyFont="1" applyBorder="1" applyAlignment="1">
      <alignment horizontal="center"/>
    </xf>
    <xf numFmtId="210" fontId="84" fillId="0" borderId="41" xfId="349" applyNumberFormat="1" applyFont="1" applyBorder="1" applyAlignment="1">
      <alignment horizontal="center"/>
    </xf>
    <xf numFmtId="210" fontId="84" fillId="0" borderId="40" xfId="289" applyNumberFormat="1" applyFont="1" applyBorder="1" applyAlignment="1">
      <alignment horizontal="center"/>
    </xf>
    <xf numFmtId="210" fontId="84" fillId="0" borderId="41" xfId="374" applyNumberFormat="1" applyFont="1" applyBorder="1" applyAlignment="1">
      <alignment horizontal="center"/>
    </xf>
    <xf numFmtId="173" fontId="84" fillId="0" borderId="27" xfId="289" applyNumberFormat="1" applyFont="1" applyBorder="1" applyAlignment="1">
      <alignment horizontal="center"/>
    </xf>
    <xf numFmtId="173" fontId="84" fillId="0" borderId="29" xfId="374" applyNumberFormat="1" applyFont="1" applyBorder="1" applyAlignment="1">
      <alignment horizontal="center"/>
    </xf>
    <xf numFmtId="173" fontId="84" fillId="0" borderId="40" xfId="289" applyNumberFormat="1" applyFont="1" applyBorder="1" applyAlignment="1">
      <alignment horizontal="center"/>
    </xf>
    <xf numFmtId="173" fontId="84" fillId="0" borderId="41" xfId="374" applyNumberFormat="1" applyFont="1" applyBorder="1" applyAlignment="1">
      <alignment horizontal="center"/>
    </xf>
    <xf numFmtId="173" fontId="83" fillId="0" borderId="18" xfId="349" applyNumberFormat="1" applyFont="1" applyBorder="1" applyAlignment="1">
      <alignment horizontal="center"/>
    </xf>
    <xf numFmtId="0" fontId="106" fillId="0" borderId="0" xfId="432" applyFont="1"/>
    <xf numFmtId="209" fontId="106" fillId="0" borderId="0" xfId="432" applyNumberFormat="1" applyFont="1"/>
    <xf numFmtId="166" fontId="124" fillId="0" borderId="0" xfId="432" applyNumberFormat="1" applyFont="1"/>
    <xf numFmtId="43" fontId="106" fillId="0" borderId="0" xfId="432" applyNumberFormat="1" applyFont="1"/>
    <xf numFmtId="43" fontId="106" fillId="0" borderId="0" xfId="0" applyNumberFormat="1" applyFont="1"/>
    <xf numFmtId="166" fontId="120" fillId="43" borderId="37" xfId="275" applyNumberFormat="1" applyFont="1" applyFill="1" applyBorder="1" applyAlignment="1" applyProtection="1">
      <alignment horizontal="center"/>
      <protection locked="0"/>
    </xf>
    <xf numFmtId="166" fontId="136" fillId="43" borderId="47" xfId="275" applyNumberFormat="1" applyFont="1" applyFill="1" applyBorder="1"/>
    <xf numFmtId="43" fontId="137" fillId="46" borderId="0" xfId="433" applyFont="1" applyFill="1"/>
    <xf numFmtId="43" fontId="124" fillId="46" borderId="0" xfId="433" applyFont="1" applyFill="1"/>
    <xf numFmtId="3" fontId="84" fillId="0" borderId="0" xfId="0" applyNumberFormat="1" applyFont="1" applyAlignment="1">
      <alignment horizontal="right"/>
    </xf>
    <xf numFmtId="3" fontId="84" fillId="0" borderId="0" xfId="0" applyNumberFormat="1" applyFont="1" applyAlignment="1">
      <alignment horizontal="center"/>
    </xf>
    <xf numFmtId="9" fontId="84" fillId="0" borderId="0" xfId="0" applyNumberFormat="1" applyFont="1" applyAlignment="1">
      <alignment horizontal="center"/>
    </xf>
    <xf numFmtId="212" fontId="84" fillId="0" borderId="0" xfId="0" applyNumberFormat="1" applyFont="1" applyAlignment="1">
      <alignment horizontal="center"/>
    </xf>
    <xf numFmtId="211" fontId="84" fillId="0" borderId="0" xfId="0" applyNumberFormat="1" applyFont="1" applyAlignment="1">
      <alignment horizontal="center"/>
    </xf>
    <xf numFmtId="1" fontId="106" fillId="0" borderId="0" xfId="275" applyNumberFormat="1" applyFont="1" applyBorder="1" applyAlignment="1">
      <alignment horizontal="center"/>
    </xf>
    <xf numFmtId="213" fontId="83" fillId="0" borderId="0" xfId="275" quotePrefix="1" applyNumberFormat="1" applyFont="1" applyAlignment="1">
      <alignment horizontal="right"/>
    </xf>
    <xf numFmtId="166" fontId="138" fillId="0" borderId="0" xfId="275" applyNumberFormat="1" applyFont="1" applyAlignment="1">
      <alignment horizontal="center"/>
    </xf>
    <xf numFmtId="166" fontId="84" fillId="0" borderId="0" xfId="275" applyNumberFormat="1" applyFont="1" applyFill="1"/>
    <xf numFmtId="0" fontId="83" fillId="0" borderId="0" xfId="352" applyFont="1" applyAlignment="1">
      <alignment horizontal="center"/>
    </xf>
    <xf numFmtId="164" fontId="84" fillId="0" borderId="8" xfId="367" applyNumberFormat="1" applyFont="1" applyBorder="1" applyAlignment="1">
      <alignment horizontal="center"/>
    </xf>
    <xf numFmtId="0" fontId="89" fillId="0" borderId="0" xfId="352" applyFont="1" applyAlignment="1">
      <alignment horizontal="centerContinuous"/>
    </xf>
    <xf numFmtId="0" fontId="99" fillId="0" borderId="0" xfId="0" applyFont="1" applyAlignment="1">
      <alignment horizontal="centerContinuous"/>
    </xf>
    <xf numFmtId="164" fontId="84" fillId="0" borderId="36" xfId="367" applyNumberFormat="1" applyFont="1" applyBorder="1" applyAlignment="1">
      <alignment horizontal="centerContinuous"/>
    </xf>
    <xf numFmtId="0" fontId="84" fillId="0" borderId="8" xfId="0" applyFont="1" applyBorder="1" applyAlignment="1">
      <alignment horizontal="centerContinuous"/>
    </xf>
    <xf numFmtId="10" fontId="118" fillId="0" borderId="8" xfId="367" applyNumberFormat="1" applyFont="1" applyFill="1" applyBorder="1" applyAlignment="1">
      <alignment horizontal="center"/>
    </xf>
    <xf numFmtId="0" fontId="84" fillId="44" borderId="0" xfId="0" applyFont="1" applyFill="1" applyAlignment="1">
      <alignment horizontal="center"/>
    </xf>
    <xf numFmtId="0" fontId="83" fillId="44" borderId="0" xfId="0" applyFont="1" applyFill="1" applyAlignment="1">
      <alignment horizontal="center"/>
    </xf>
    <xf numFmtId="164" fontId="84" fillId="44" borderId="0" xfId="367" applyNumberFormat="1" applyFont="1" applyFill="1" applyAlignment="1">
      <alignment horizontal="center"/>
    </xf>
    <xf numFmtId="0" fontId="132" fillId="36" borderId="0" xfId="0" applyFont="1" applyFill="1"/>
    <xf numFmtId="214" fontId="84" fillId="0" borderId="0" xfId="275" applyNumberFormat="1" applyFont="1"/>
    <xf numFmtId="0" fontId="84" fillId="47" borderId="0" xfId="0" applyFont="1" applyFill="1"/>
    <xf numFmtId="0" fontId="83" fillId="37" borderId="0" xfId="0" applyFont="1" applyFill="1"/>
    <xf numFmtId="166" fontId="84" fillId="37" borderId="0" xfId="0" applyNumberFormat="1" applyFont="1" applyFill="1"/>
    <xf numFmtId="10" fontId="132" fillId="36" borderId="0" xfId="0" applyNumberFormat="1" applyFont="1" applyFill="1" applyAlignment="1">
      <alignment horizontal="left" indent="1"/>
    </xf>
    <xf numFmtId="0" fontId="132" fillId="36" borderId="0" xfId="0" applyFont="1" applyFill="1" applyAlignment="1">
      <alignment horizontal="left" indent="1"/>
    </xf>
    <xf numFmtId="0" fontId="139" fillId="39" borderId="0" xfId="0" applyFont="1" applyFill="1"/>
    <xf numFmtId="10" fontId="83" fillId="0" borderId="3" xfId="367" quotePrefix="1" applyNumberFormat="1" applyFont="1" applyBorder="1" applyAlignment="1">
      <alignment horizontal="right"/>
    </xf>
    <xf numFmtId="37" fontId="84" fillId="47" borderId="0" xfId="351" applyNumberFormat="1" applyFont="1" applyFill="1"/>
    <xf numFmtId="37" fontId="83" fillId="47" borderId="0" xfId="351" applyNumberFormat="1" applyFont="1" applyFill="1" applyAlignment="1">
      <alignment horizontal="right"/>
    </xf>
    <xf numFmtId="166" fontId="84" fillId="47" borderId="0" xfId="275" applyNumberFormat="1" applyFont="1" applyFill="1" applyAlignment="1">
      <alignment horizontal="right"/>
    </xf>
    <xf numFmtId="37" fontId="84" fillId="47" borderId="0" xfId="0" applyNumberFormat="1" applyFont="1" applyFill="1"/>
    <xf numFmtId="37" fontId="84" fillId="47" borderId="0" xfId="0" applyNumberFormat="1" applyFont="1" applyFill="1" applyAlignment="1">
      <alignment horizontal="right"/>
    </xf>
    <xf numFmtId="166" fontId="84" fillId="47" borderId="0" xfId="275" applyNumberFormat="1" applyFont="1" applyFill="1"/>
    <xf numFmtId="0" fontId="120" fillId="47" borderId="0" xfId="0" applyFont="1" applyFill="1" applyAlignment="1">
      <alignment horizontal="center"/>
    </xf>
    <xf numFmtId="0" fontId="140" fillId="39" borderId="0" xfId="0" applyFont="1" applyFill="1" applyAlignment="1">
      <alignment horizontal="center"/>
    </xf>
    <xf numFmtId="166" fontId="140" fillId="39" borderId="0" xfId="0" applyNumberFormat="1" applyFont="1" applyFill="1" applyAlignment="1">
      <alignment horizontal="right"/>
    </xf>
    <xf numFmtId="37" fontId="84" fillId="45" borderId="0" xfId="351" applyNumberFormat="1" applyFont="1" applyFill="1"/>
    <xf numFmtId="37" fontId="83" fillId="45" borderId="0" xfId="351" applyNumberFormat="1" applyFont="1" applyFill="1" applyAlignment="1">
      <alignment horizontal="right"/>
    </xf>
    <xf numFmtId="166" fontId="84" fillId="45" borderId="0" xfId="275" applyNumberFormat="1" applyFont="1" applyFill="1" applyAlignment="1">
      <alignment horizontal="right"/>
    </xf>
    <xf numFmtId="166" fontId="84" fillId="45" borderId="0" xfId="275" applyNumberFormat="1" applyFont="1" applyFill="1"/>
    <xf numFmtId="0" fontId="84" fillId="45" borderId="0" xfId="0" applyFont="1" applyFill="1"/>
    <xf numFmtId="37" fontId="84" fillId="45" borderId="0" xfId="0" applyNumberFormat="1" applyFont="1" applyFill="1"/>
    <xf numFmtId="37" fontId="84" fillId="45" borderId="0" xfId="0" applyNumberFormat="1" applyFont="1" applyFill="1" applyAlignment="1">
      <alignment horizontal="right"/>
    </xf>
    <xf numFmtId="37" fontId="84" fillId="45" borderId="0" xfId="0" applyNumberFormat="1" applyFont="1" applyFill="1" applyAlignment="1">
      <alignment horizontal="left" indent="1"/>
    </xf>
    <xf numFmtId="166" fontId="84" fillId="45" borderId="24" xfId="275" applyNumberFormat="1" applyFont="1" applyFill="1" applyBorder="1"/>
    <xf numFmtId="0" fontId="84" fillId="45" borderId="0" xfId="0" applyFont="1" applyFill="1" applyAlignment="1">
      <alignment horizontal="left" indent="1"/>
    </xf>
    <xf numFmtId="0" fontId="84" fillId="45" borderId="0" xfId="0" applyFont="1" applyFill="1" applyAlignment="1">
      <alignment horizontal="left" indent="2"/>
    </xf>
    <xf numFmtId="0" fontId="84" fillId="45" borderId="0" xfId="0" applyFont="1" applyFill="1" applyAlignment="1">
      <alignment horizontal="center"/>
    </xf>
    <xf numFmtId="166" fontId="84" fillId="45" borderId="10" xfId="275" applyNumberFormat="1" applyFont="1" applyFill="1" applyBorder="1"/>
    <xf numFmtId="0" fontId="141" fillId="0" borderId="0" xfId="0" applyFont="1"/>
    <xf numFmtId="10" fontId="90" fillId="0" borderId="8" xfId="367" applyNumberFormat="1" applyFont="1" applyBorder="1" applyAlignment="1">
      <alignment horizontal="center"/>
    </xf>
    <xf numFmtId="166" fontId="106" fillId="45" borderId="0" xfId="275" applyNumberFormat="1" applyFont="1" applyFill="1" applyBorder="1"/>
    <xf numFmtId="0" fontId="76" fillId="38" borderId="24" xfId="0" applyFont="1" applyFill="1" applyBorder="1" applyAlignment="1">
      <alignment wrapText="1"/>
    </xf>
    <xf numFmtId="10" fontId="118" fillId="0" borderId="0" xfId="367" applyNumberFormat="1" applyFont="1" applyFill="1" applyBorder="1" applyAlignment="1">
      <alignment horizontal="center"/>
    </xf>
    <xf numFmtId="0" fontId="111" fillId="37" borderId="0" xfId="0" applyFont="1" applyFill="1" applyAlignment="1">
      <alignment horizontal="right" vertical="center" indent="4"/>
    </xf>
    <xf numFmtId="0" fontId="107" fillId="37" borderId="0" xfId="0" applyFont="1" applyFill="1"/>
    <xf numFmtId="0" fontId="112" fillId="37" borderId="0" xfId="0" applyFont="1" applyFill="1" applyAlignment="1">
      <alignment horizontal="centerContinuous" vertical="center"/>
    </xf>
    <xf numFmtId="0" fontId="113" fillId="37" borderId="0" xfId="0" applyFont="1" applyFill="1" applyAlignment="1">
      <alignment horizontal="centerContinuous" vertical="center"/>
    </xf>
    <xf numFmtId="0" fontId="111" fillId="37" borderId="0" xfId="0" applyFont="1" applyFill="1" applyAlignment="1">
      <alignment horizontal="centerContinuous" vertical="center"/>
    </xf>
    <xf numFmtId="0" fontId="84" fillId="37" borderId="0" xfId="0" applyFont="1" applyFill="1" applyAlignment="1">
      <alignment horizontal="centerContinuous" vertical="center"/>
    </xf>
    <xf numFmtId="0" fontId="84" fillId="37" borderId="42" xfId="0" applyFont="1" applyFill="1" applyBorder="1"/>
    <xf numFmtId="0" fontId="107" fillId="37" borderId="42" xfId="0" applyFont="1" applyFill="1" applyBorder="1"/>
    <xf numFmtId="0" fontId="143" fillId="37" borderId="0" xfId="0" applyFont="1" applyFill="1" applyAlignment="1">
      <alignment horizontal="centerContinuous"/>
    </xf>
    <xf numFmtId="0" fontId="142" fillId="37" borderId="0" xfId="0" applyFont="1" applyFill="1" applyAlignment="1">
      <alignment horizontal="centerContinuous" vertical="center"/>
    </xf>
    <xf numFmtId="0" fontId="142" fillId="37" borderId="0" xfId="0" applyFont="1" applyFill="1" applyAlignment="1">
      <alignment horizontal="left" indent="1"/>
    </xf>
    <xf numFmtId="0" fontId="142" fillId="37" borderId="0" xfId="0" applyFont="1" applyFill="1" applyAlignment="1">
      <alignment horizontal="left" vertical="top" indent="1"/>
    </xf>
    <xf numFmtId="0" fontId="108" fillId="37" borderId="0" xfId="0" applyFont="1" applyFill="1"/>
    <xf numFmtId="215" fontId="98" fillId="39" borderId="0" xfId="0" applyNumberFormat="1" applyFont="1" applyFill="1" applyAlignment="1">
      <alignment horizontal="center"/>
    </xf>
    <xf numFmtId="0" fontId="144" fillId="36" borderId="0" xfId="0" applyFont="1" applyFill="1" applyAlignment="1">
      <alignment horizontal="center" wrapText="1"/>
    </xf>
    <xf numFmtId="0" fontId="144" fillId="36" borderId="0" xfId="0" applyFont="1" applyFill="1" applyAlignment="1">
      <alignment horizontal="center" vertical="center" wrapText="1"/>
    </xf>
    <xf numFmtId="0" fontId="83" fillId="0" borderId="0" xfId="0" applyFont="1" applyAlignment="1">
      <alignment horizontal="left" vertical="center"/>
    </xf>
    <xf numFmtId="167" fontId="121" fillId="48" borderId="0" xfId="432" applyNumberFormat="1" applyFont="1" applyFill="1"/>
    <xf numFmtId="10" fontId="118" fillId="43" borderId="50" xfId="367" applyNumberFormat="1" applyFont="1" applyFill="1" applyBorder="1" applyAlignment="1">
      <alignment horizontal="center"/>
    </xf>
    <xf numFmtId="0" fontId="130" fillId="43" borderId="50" xfId="367" applyNumberFormat="1" applyFont="1" applyFill="1" applyBorder="1" applyAlignment="1">
      <alignment horizontal="center"/>
    </xf>
    <xf numFmtId="2" fontId="124" fillId="0" borderId="0" xfId="433" applyNumberFormat="1" applyFont="1" applyBorder="1"/>
    <xf numFmtId="202" fontId="105" fillId="0" borderId="0" xfId="433" applyNumberFormat="1" applyFont="1" applyBorder="1"/>
    <xf numFmtId="201" fontId="121" fillId="43" borderId="0" xfId="432" applyNumberFormat="1" applyFont="1" applyFill="1"/>
    <xf numFmtId="166" fontId="125" fillId="43" borderId="0" xfId="275" applyNumberFormat="1" applyFont="1" applyFill="1" applyBorder="1"/>
    <xf numFmtId="166" fontId="106" fillId="0" borderId="0" xfId="275" applyNumberFormat="1" applyFont="1" applyBorder="1"/>
    <xf numFmtId="43" fontId="124" fillId="0" borderId="0" xfId="275" applyFont="1" applyBorder="1"/>
    <xf numFmtId="0" fontId="105" fillId="0" borderId="0" xfId="432" applyFont="1" applyAlignment="1">
      <alignment horizontal="center"/>
    </xf>
    <xf numFmtId="0" fontId="121" fillId="43" borderId="52" xfId="0" applyFont="1" applyFill="1" applyBorder="1" applyAlignment="1">
      <alignment horizontal="center"/>
    </xf>
    <xf numFmtId="166" fontId="106" fillId="0" borderId="0" xfId="367" applyNumberFormat="1" applyFont="1"/>
    <xf numFmtId="166" fontId="84" fillId="46" borderId="0" xfId="275" applyNumberFormat="1" applyFont="1" applyFill="1" applyAlignment="1">
      <alignment horizontal="right"/>
    </xf>
    <xf numFmtId="166" fontId="84" fillId="46" borderId="0" xfId="0" applyNumberFormat="1" applyFont="1" applyFill="1"/>
    <xf numFmtId="197" fontId="84" fillId="0" borderId="3" xfId="0" applyNumberFormat="1" applyFont="1" applyBorder="1"/>
    <xf numFmtId="2" fontId="106" fillId="0" borderId="0" xfId="275" applyNumberFormat="1" applyFont="1" applyAlignment="1">
      <alignment horizontal="center"/>
    </xf>
    <xf numFmtId="166" fontId="106" fillId="43" borderId="47" xfId="275" applyNumberFormat="1" applyFont="1" applyFill="1" applyBorder="1"/>
    <xf numFmtId="197" fontId="106" fillId="0" borderId="23" xfId="0" applyNumberFormat="1" applyFont="1" applyBorder="1"/>
    <xf numFmtId="10" fontId="121" fillId="43" borderId="46" xfId="367" applyNumberFormat="1" applyFont="1" applyFill="1" applyBorder="1" applyAlignment="1">
      <alignment horizontal="right"/>
    </xf>
    <xf numFmtId="0" fontId="145" fillId="0" borderId="0" xfId="0" applyFont="1"/>
    <xf numFmtId="0" fontId="121" fillId="43" borderId="47" xfId="275" applyNumberFormat="1" applyFont="1" applyFill="1" applyBorder="1" applyAlignment="1">
      <alignment horizontal="center"/>
    </xf>
    <xf numFmtId="43" fontId="106" fillId="0" borderId="0" xfId="275" applyFont="1"/>
    <xf numFmtId="2" fontId="121" fillId="43" borderId="53" xfId="0" applyNumberFormat="1" applyFont="1" applyFill="1" applyBorder="1" applyAlignment="1">
      <alignment horizontal="center"/>
    </xf>
    <xf numFmtId="0" fontId="104" fillId="0" borderId="10" xfId="367" applyNumberFormat="1" applyFont="1" applyBorder="1" applyAlignment="1">
      <alignment horizontal="center"/>
    </xf>
    <xf numFmtId="0" fontId="145" fillId="0" borderId="0" xfId="0" applyFont="1" applyAlignment="1">
      <alignment horizontal="left" indent="1"/>
    </xf>
    <xf numFmtId="0" fontId="106" fillId="0" borderId="0" xfId="0" applyFont="1" applyAlignment="1">
      <alignment horizontal="left" indent="1"/>
    </xf>
    <xf numFmtId="43" fontId="106" fillId="0" borderId="0" xfId="0" applyNumberFormat="1" applyFont="1" applyAlignment="1">
      <alignment horizontal="left" indent="1"/>
    </xf>
    <xf numFmtId="0" fontId="110" fillId="0" borderId="0" xfId="0" applyFont="1" applyAlignment="1">
      <alignment horizontal="left" indent="1"/>
    </xf>
    <xf numFmtId="166" fontId="136" fillId="0" borderId="0" xfId="275" applyNumberFormat="1" applyFont="1"/>
    <xf numFmtId="0" fontId="87" fillId="0" borderId="10" xfId="435" applyFont="1" applyBorder="1" applyAlignment="1">
      <alignment horizontal="center"/>
    </xf>
    <xf numFmtId="166" fontId="125" fillId="43" borderId="47" xfId="275" applyNumberFormat="1" applyFont="1" applyFill="1" applyBorder="1"/>
    <xf numFmtId="166" fontId="104" fillId="0" borderId="18" xfId="275" applyNumberFormat="1" applyFont="1" applyBorder="1"/>
    <xf numFmtId="0" fontId="135" fillId="36" borderId="0" xfId="0" applyFont="1" applyFill="1"/>
    <xf numFmtId="166" fontId="104" fillId="0" borderId="18" xfId="0" applyNumberFormat="1" applyFont="1" applyBorder="1"/>
    <xf numFmtId="17" fontId="150" fillId="46" borderId="0" xfId="0" applyNumberFormat="1" applyFont="1" applyFill="1" applyAlignment="1">
      <alignment horizontal="center"/>
    </xf>
    <xf numFmtId="0" fontId="137" fillId="0" borderId="0" xfId="0" applyFont="1"/>
    <xf numFmtId="17" fontId="104" fillId="0" borderId="10" xfId="0" applyNumberFormat="1" applyFont="1" applyBorder="1" applyAlignment="1">
      <alignment horizontal="center"/>
    </xf>
    <xf numFmtId="0" fontId="135" fillId="36" borderId="10" xfId="0" applyFont="1" applyFill="1" applyBorder="1"/>
    <xf numFmtId="0" fontId="137" fillId="46" borderId="10" xfId="0" applyFont="1" applyFill="1" applyBorder="1" applyAlignment="1">
      <alignment horizontal="center"/>
    </xf>
    <xf numFmtId="0" fontId="106" fillId="46" borderId="0" xfId="0" applyFont="1" applyFill="1"/>
    <xf numFmtId="0" fontId="137" fillId="46" borderId="0" xfId="0" applyFont="1" applyFill="1"/>
    <xf numFmtId="10" fontId="150" fillId="46" borderId="0" xfId="0" applyNumberFormat="1" applyFont="1" applyFill="1" applyAlignment="1">
      <alignment horizontal="center"/>
    </xf>
    <xf numFmtId="166" fontId="104" fillId="0" borderId="0" xfId="0" applyNumberFormat="1" applyFont="1"/>
    <xf numFmtId="166" fontId="121" fillId="0" borderId="0" xfId="0" applyNumberFormat="1" applyFont="1"/>
    <xf numFmtId="17" fontId="104" fillId="0" borderId="0" xfId="0" applyNumberFormat="1" applyFont="1" applyAlignment="1">
      <alignment horizontal="center"/>
    </xf>
    <xf numFmtId="166" fontId="151" fillId="0" borderId="0" xfId="0" applyNumberFormat="1" applyFont="1"/>
    <xf numFmtId="166" fontId="104" fillId="46" borderId="0" xfId="0" applyNumberFormat="1" applyFont="1" applyFill="1"/>
    <xf numFmtId="166" fontId="104" fillId="46" borderId="0" xfId="0" applyNumberFormat="1" applyFont="1" applyFill="1" applyAlignment="1">
      <alignment horizontal="right"/>
    </xf>
    <xf numFmtId="166" fontId="151" fillId="0" borderId="18" xfId="0" applyNumberFormat="1" applyFont="1" applyBorder="1"/>
    <xf numFmtId="166" fontId="0" fillId="0" borderId="0" xfId="0" applyNumberFormat="1"/>
    <xf numFmtId="0" fontId="121" fillId="0" borderId="0" xfId="0" applyFont="1"/>
    <xf numFmtId="166" fontId="106" fillId="0" borderId="0" xfId="275" applyNumberFormat="1" applyFont="1" applyFill="1" applyBorder="1"/>
    <xf numFmtId="166" fontId="104" fillId="0" borderId="23" xfId="0" applyNumberFormat="1" applyFont="1" applyBorder="1"/>
    <xf numFmtId="0" fontId="87" fillId="0" borderId="0" xfId="435" applyFont="1" applyAlignment="1">
      <alignment horizontal="center"/>
    </xf>
    <xf numFmtId="0" fontId="87" fillId="0" borderId="0" xfId="435" applyFont="1"/>
    <xf numFmtId="166" fontId="118" fillId="43" borderId="47" xfId="275" applyNumberFormat="1" applyFont="1" applyFill="1" applyBorder="1"/>
    <xf numFmtId="0" fontId="106" fillId="40" borderId="0" xfId="0" applyFont="1" applyFill="1"/>
    <xf numFmtId="0" fontId="141" fillId="40" borderId="0" xfId="0" applyFont="1" applyFill="1"/>
    <xf numFmtId="0" fontId="104" fillId="40" borderId="0" xfId="0" applyFont="1" applyFill="1"/>
    <xf numFmtId="0" fontId="128" fillId="0" borderId="0" xfId="0" applyFont="1" applyAlignment="1">
      <alignment horizontal="left" indent="1"/>
    </xf>
    <xf numFmtId="0" fontId="2" fillId="0" borderId="0" xfId="435" applyFont="1"/>
    <xf numFmtId="216" fontId="147" fillId="49" borderId="0" xfId="436" applyNumberFormat="1" applyFont="1" applyFill="1" applyBorder="1" applyAlignment="1">
      <alignment vertical="center"/>
    </xf>
    <xf numFmtId="166" fontId="148" fillId="49" borderId="0" xfId="436" applyNumberFormat="1" applyFont="1" applyFill="1" applyBorder="1" applyAlignment="1">
      <alignment horizontal="right" vertical="center"/>
    </xf>
    <xf numFmtId="166" fontId="148" fillId="0" borderId="0" xfId="436" applyNumberFormat="1" applyFont="1" applyFill="1" applyBorder="1" applyAlignment="1">
      <alignment horizontal="right" vertical="center"/>
    </xf>
    <xf numFmtId="37" fontId="148" fillId="49" borderId="0" xfId="436" applyNumberFormat="1" applyFont="1" applyFill="1" applyBorder="1" applyAlignment="1">
      <alignment horizontal="center" vertical="center"/>
    </xf>
    <xf numFmtId="37" fontId="148" fillId="0" borderId="0" xfId="436" applyNumberFormat="1" applyFont="1" applyFill="1" applyBorder="1" applyAlignment="1">
      <alignment horizontal="center" vertical="center"/>
    </xf>
    <xf numFmtId="216" fontId="148" fillId="50" borderId="0" xfId="436" applyNumberFormat="1" applyFont="1" applyFill="1" applyBorder="1" applyAlignment="1">
      <alignment horizontal="center" vertical="center"/>
    </xf>
    <xf numFmtId="166" fontId="87" fillId="37" borderId="0" xfId="436" applyNumberFormat="1" applyFont="1" applyFill="1" applyBorder="1"/>
    <xf numFmtId="0" fontId="136" fillId="39" borderId="0" xfId="0" applyFont="1" applyFill="1"/>
    <xf numFmtId="166" fontId="136" fillId="39" borderId="0" xfId="275" applyNumberFormat="1" applyFont="1" applyFill="1"/>
    <xf numFmtId="216" fontId="147" fillId="50" borderId="0" xfId="436" applyNumberFormat="1" applyFont="1" applyFill="1" applyBorder="1" applyAlignment="1">
      <alignment vertical="center"/>
    </xf>
    <xf numFmtId="0" fontId="103" fillId="51" borderId="0" xfId="435" applyFont="1" applyFill="1"/>
    <xf numFmtId="0" fontId="153" fillId="51" borderId="0" xfId="435" applyFont="1" applyFill="1" applyAlignment="1">
      <alignment vertical="center"/>
    </xf>
    <xf numFmtId="0" fontId="154" fillId="0" borderId="0" xfId="435" applyFont="1" applyAlignment="1">
      <alignment horizontal="center"/>
    </xf>
    <xf numFmtId="216" fontId="147" fillId="50" borderId="0" xfId="436" applyNumberFormat="1" applyFont="1" applyFill="1" applyBorder="1" applyAlignment="1">
      <alignment horizontal="center" vertical="center"/>
    </xf>
    <xf numFmtId="166" fontId="148" fillId="50" borderId="0" xfId="275" applyNumberFormat="1" applyFont="1" applyFill="1" applyBorder="1" applyAlignment="1">
      <alignment horizontal="center" vertical="center"/>
    </xf>
    <xf numFmtId="166" fontId="87" fillId="0" borderId="0" xfId="436" applyNumberFormat="1" applyFont="1" applyFill="1"/>
    <xf numFmtId="216" fontId="147" fillId="0" borderId="0" xfId="436" applyNumberFormat="1" applyFont="1" applyFill="1" applyBorder="1" applyAlignment="1">
      <alignment vertical="center"/>
    </xf>
    <xf numFmtId="216" fontId="147" fillId="0" borderId="10" xfId="436" applyNumberFormat="1" applyFont="1" applyFill="1" applyBorder="1" applyAlignment="1">
      <alignment vertical="center"/>
    </xf>
    <xf numFmtId="216" fontId="147" fillId="0" borderId="18" xfId="436" applyNumberFormat="1" applyFont="1" applyFill="1" applyBorder="1" applyAlignment="1">
      <alignment vertical="center"/>
    </xf>
    <xf numFmtId="0" fontId="1" fillId="38" borderId="0" xfId="435" applyFont="1" applyFill="1"/>
    <xf numFmtId="0" fontId="126" fillId="38" borderId="0" xfId="432" applyFont="1" applyFill="1"/>
    <xf numFmtId="202" fontId="126" fillId="38" borderId="0" xfId="432" applyNumberFormat="1" applyFont="1" applyFill="1"/>
    <xf numFmtId="165" fontId="126" fillId="38" borderId="0" xfId="367" applyNumberFormat="1" applyFont="1" applyFill="1"/>
    <xf numFmtId="166" fontId="121" fillId="43" borderId="48" xfId="0" applyNumberFormat="1" applyFont="1" applyFill="1" applyBorder="1"/>
    <xf numFmtId="0" fontId="132" fillId="52" borderId="0" xfId="435" applyFont="1" applyFill="1"/>
    <xf numFmtId="0" fontId="121" fillId="43" borderId="54" xfId="0" applyFont="1" applyFill="1" applyBorder="1" applyAlignment="1">
      <alignment horizontal="center" vertical="center"/>
    </xf>
    <xf numFmtId="10" fontId="121" fillId="43" borderId="54" xfId="367" applyNumberFormat="1" applyFont="1" applyFill="1" applyBorder="1" applyAlignment="1">
      <alignment horizontal="center" vertical="center"/>
    </xf>
    <xf numFmtId="166" fontId="120" fillId="43" borderId="47" xfId="275" applyNumberFormat="1" applyFont="1" applyFill="1" applyBorder="1"/>
    <xf numFmtId="166" fontId="120" fillId="43" borderId="49" xfId="275" applyNumberFormat="1" applyFont="1" applyFill="1" applyBorder="1"/>
    <xf numFmtId="0" fontId="120" fillId="0" borderId="0" xfId="435" applyFont="1"/>
    <xf numFmtId="0" fontId="154" fillId="0" borderId="0" xfId="435" applyFont="1"/>
    <xf numFmtId="14" fontId="87" fillId="37" borderId="0" xfId="436" applyNumberFormat="1" applyFont="1" applyFill="1" applyBorder="1" applyAlignment="1">
      <alignment horizontal="center" vertical="center"/>
    </xf>
    <xf numFmtId="166" fontId="152" fillId="37" borderId="0" xfId="436" applyNumberFormat="1" applyFont="1" applyFill="1" applyBorder="1" applyAlignment="1">
      <alignment horizontal="center" vertical="center"/>
    </xf>
    <xf numFmtId="213" fontId="152" fillId="37" borderId="0" xfId="436" applyNumberFormat="1" applyFont="1" applyFill="1" applyBorder="1" applyAlignment="1">
      <alignment horizontal="center" vertical="center"/>
    </xf>
    <xf numFmtId="10" fontId="87" fillId="37" borderId="0" xfId="367" applyNumberFormat="1" applyFont="1" applyFill="1" applyBorder="1"/>
    <xf numFmtId="0" fontId="83" fillId="37" borderId="0" xfId="0" applyFont="1" applyFill="1" applyAlignment="1">
      <alignment horizontal="left"/>
    </xf>
    <xf numFmtId="166" fontId="83" fillId="37" borderId="0" xfId="436" applyNumberFormat="1" applyFont="1" applyFill="1" applyBorder="1" applyAlignment="1">
      <alignment horizontal="left"/>
    </xf>
    <xf numFmtId="216" fontId="149" fillId="50" borderId="0" xfId="436" applyNumberFormat="1" applyFont="1" applyFill="1" applyBorder="1" applyAlignment="1">
      <alignment horizontal="center" vertical="center"/>
    </xf>
    <xf numFmtId="199" fontId="87" fillId="37" borderId="0" xfId="367" applyNumberFormat="1" applyFont="1" applyFill="1" applyBorder="1"/>
    <xf numFmtId="0" fontId="84" fillId="37" borderId="0" xfId="0" applyFont="1" applyFill="1" applyAlignment="1">
      <alignment horizontal="left" vertical="top" indent="1"/>
    </xf>
    <xf numFmtId="0" fontId="84" fillId="50" borderId="0" xfId="0" applyFont="1" applyFill="1" applyAlignment="1">
      <alignment horizontal="left" indent="1"/>
    </xf>
    <xf numFmtId="216" fontId="84" fillId="0" borderId="0" xfId="0" applyNumberFormat="1" applyFont="1"/>
    <xf numFmtId="216" fontId="148" fillId="50" borderId="0" xfId="436" applyNumberFormat="1" applyFont="1" applyFill="1" applyBorder="1" applyAlignment="1">
      <alignment vertical="center"/>
    </xf>
    <xf numFmtId="0" fontId="84" fillId="37" borderId="0" xfId="0" applyFont="1" applyFill="1" applyAlignment="1">
      <alignment horizontal="left" vertical="top" indent="2"/>
    </xf>
    <xf numFmtId="216" fontId="87" fillId="37" borderId="0" xfId="436" applyNumberFormat="1" applyFont="1" applyFill="1" applyBorder="1" applyAlignment="1">
      <alignment horizontal="center" vertical="center"/>
    </xf>
    <xf numFmtId="0" fontId="155" fillId="0" borderId="0" xfId="435" applyFont="1"/>
    <xf numFmtId="0" fontId="106" fillId="43" borderId="47" xfId="0" applyFont="1" applyFill="1" applyBorder="1"/>
    <xf numFmtId="0" fontId="106" fillId="43" borderId="53" xfId="0" applyFont="1" applyFill="1" applyBorder="1"/>
    <xf numFmtId="0" fontId="141" fillId="46" borderId="0" xfId="0" applyFont="1" applyFill="1"/>
    <xf numFmtId="217" fontId="106" fillId="0" borderId="0" xfId="0" applyNumberFormat="1" applyFont="1"/>
    <xf numFmtId="166" fontId="106" fillId="46" borderId="0" xfId="275" applyNumberFormat="1" applyFont="1" applyFill="1"/>
    <xf numFmtId="217" fontId="106" fillId="0" borderId="0" xfId="275" applyNumberFormat="1" applyFont="1"/>
    <xf numFmtId="0" fontId="145" fillId="37" borderId="0" xfId="0" applyFont="1" applyFill="1"/>
    <xf numFmtId="217" fontId="121" fillId="37" borderId="0" xfId="275" applyNumberFormat="1" applyFont="1" applyFill="1"/>
    <xf numFmtId="0" fontId="106" fillId="37" borderId="0" xfId="0" applyFont="1" applyFill="1"/>
    <xf numFmtId="10" fontId="106" fillId="37" borderId="0" xfId="367" applyNumberFormat="1" applyFont="1" applyFill="1"/>
    <xf numFmtId="0" fontId="121" fillId="37" borderId="51" xfId="0" applyFont="1" applyFill="1" applyBorder="1"/>
    <xf numFmtId="166" fontId="120" fillId="0" borderId="0" xfId="275" applyNumberFormat="1" applyFont="1" applyFill="1"/>
    <xf numFmtId="167" fontId="121" fillId="0" borderId="0" xfId="432" applyNumberFormat="1" applyFont="1"/>
    <xf numFmtId="166" fontId="121" fillId="0" borderId="0" xfId="275" applyNumberFormat="1" applyFont="1" applyFill="1"/>
    <xf numFmtId="9" fontId="121" fillId="43" borderId="46" xfId="367" applyFont="1" applyFill="1" applyBorder="1" applyAlignment="1">
      <alignment horizontal="center"/>
    </xf>
    <xf numFmtId="0" fontId="1" fillId="0" borderId="0" xfId="435" applyFont="1"/>
    <xf numFmtId="166" fontId="1" fillId="0" borderId="0" xfId="275" applyNumberFormat="1" applyFont="1"/>
    <xf numFmtId="166" fontId="1" fillId="0" borderId="23" xfId="275" applyNumberFormat="1" applyFont="1" applyBorder="1"/>
    <xf numFmtId="0" fontId="1" fillId="0" borderId="0" xfId="435" applyFont="1" applyAlignment="1">
      <alignment horizontal="right"/>
    </xf>
    <xf numFmtId="166" fontId="1" fillId="0" borderId="0" xfId="435" applyNumberFormat="1" applyFont="1"/>
    <xf numFmtId="0" fontId="1" fillId="0" borderId="0" xfId="435" applyFont="1" applyAlignment="1">
      <alignment horizontal="center"/>
    </xf>
    <xf numFmtId="9" fontId="1" fillId="0" borderId="0" xfId="367" applyFont="1" applyAlignment="1">
      <alignment horizontal="center"/>
    </xf>
    <xf numFmtId="173" fontId="1" fillId="0" borderId="0" xfId="435" applyNumberFormat="1" applyFont="1"/>
    <xf numFmtId="9" fontId="1" fillId="0" borderId="0" xfId="367" applyFont="1"/>
    <xf numFmtId="166" fontId="1" fillId="0" borderId="24" xfId="275" applyNumberFormat="1" applyFont="1" applyBorder="1"/>
    <xf numFmtId="37" fontId="1" fillId="38" borderId="0" xfId="275" applyNumberFormat="1" applyFont="1" applyFill="1" applyAlignment="1">
      <alignment horizontal="center"/>
    </xf>
    <xf numFmtId="9" fontId="1" fillId="38" borderId="0" xfId="367" applyFont="1" applyFill="1" applyAlignment="1">
      <alignment horizontal="center"/>
    </xf>
    <xf numFmtId="166" fontId="1" fillId="0" borderId="24" xfId="435" applyNumberFormat="1" applyFont="1" applyBorder="1"/>
    <xf numFmtId="166" fontId="1" fillId="0" borderId="23" xfId="435" applyNumberFormat="1" applyFont="1" applyBorder="1"/>
    <xf numFmtId="166" fontId="1" fillId="0" borderId="18" xfId="435" applyNumberFormat="1" applyFont="1" applyBorder="1"/>
    <xf numFmtId="43" fontId="1" fillId="0" borderId="0" xfId="435" applyNumberFormat="1" applyFont="1"/>
    <xf numFmtId="0" fontId="1" fillId="37" borderId="0" xfId="435" applyFont="1" applyFill="1"/>
    <xf numFmtId="166" fontId="1" fillId="37" borderId="0" xfId="436" applyNumberFormat="1" applyFont="1" applyFill="1" applyBorder="1"/>
    <xf numFmtId="166" fontId="1" fillId="37" borderId="0" xfId="436" applyNumberFormat="1" applyFont="1" applyFill="1" applyBorder="1" applyAlignment="1">
      <alignment horizontal="center" vertical="center"/>
    </xf>
    <xf numFmtId="0" fontId="1" fillId="37" borderId="0" xfId="0" applyFont="1" applyFill="1"/>
    <xf numFmtId="216" fontId="1" fillId="50" borderId="0" xfId="0" applyNumberFormat="1" applyFont="1" applyFill="1" applyAlignment="1">
      <alignment vertical="center"/>
    </xf>
    <xf numFmtId="166" fontId="1" fillId="37" borderId="0" xfId="436" applyNumberFormat="1" applyFont="1" applyFill="1" applyBorder="1" applyAlignment="1">
      <alignment horizontal="left" indent="2"/>
    </xf>
    <xf numFmtId="216" fontId="1" fillId="0" borderId="0" xfId="435" applyNumberFormat="1" applyFont="1"/>
    <xf numFmtId="216" fontId="1" fillId="0" borderId="0" xfId="0" applyNumberFormat="1" applyFont="1" applyAlignment="1">
      <alignment vertical="center"/>
    </xf>
    <xf numFmtId="10" fontId="1" fillId="0" borderId="0" xfId="367" applyNumberFormat="1" applyFont="1"/>
    <xf numFmtId="166" fontId="1" fillId="38" borderId="0" xfId="275" applyNumberFormat="1" applyFont="1" applyFill="1" applyAlignment="1">
      <alignment horizontal="center"/>
    </xf>
    <xf numFmtId="166" fontId="1" fillId="45" borderId="0" xfId="275" applyNumberFormat="1" applyFont="1" applyFill="1"/>
    <xf numFmtId="43" fontId="1" fillId="0" borderId="0" xfId="275" applyFont="1"/>
    <xf numFmtId="0" fontId="1" fillId="0" borderId="0" xfId="285" applyNumberFormat="1" applyFont="1" applyAlignment="1">
      <alignment horizontal="left"/>
    </xf>
    <xf numFmtId="0" fontId="83" fillId="37" borderId="0" xfId="0" applyFont="1" applyFill="1" applyAlignment="1">
      <alignment horizontal="center"/>
    </xf>
    <xf numFmtId="166" fontId="87" fillId="37" borderId="0" xfId="436" applyNumberFormat="1" applyFont="1" applyFill="1" applyBorder="1" applyAlignment="1">
      <alignment horizontal="center"/>
    </xf>
    <xf numFmtId="166" fontId="87" fillId="37" borderId="0" xfId="436" applyNumberFormat="1" applyFont="1" applyFill="1" applyBorder="1" applyAlignment="1">
      <alignment horizontal="center" vertical="center"/>
    </xf>
  </cellXfs>
  <cellStyles count="437">
    <cellStyle name="_AllocInt" xfId="1"/>
    <cellStyle name="_AllocInt_$105M - Main" xfId="2"/>
    <cellStyle name="_AllocInt_$105M - Main 2" xfId="3"/>
    <cellStyle name="_Archer TD 1000MW 05-15-00" xfId="4"/>
    <cellStyle name="_Archer TD 1000MW 05-15-00_$105M - Main" xfId="5"/>
    <cellStyle name="_Archer TD 1000MW 05-15-00_$105M - Main 2" xfId="6"/>
    <cellStyle name="_Bayonne Breakage" xfId="7"/>
    <cellStyle name="_Bayonne Breakage_$105M - Main" xfId="8"/>
    <cellStyle name="_Bayonne Breakage_$105M - Main 2" xfId="9"/>
    <cellStyle name="_Bayonne Restructure 2-9-01" xfId="10"/>
    <cellStyle name="_Bayonne Restructure 2-9-01_$105M - Main" xfId="11"/>
    <cellStyle name="_Bayonne Restructure 2-9-01_$105M - Main 2" xfId="12"/>
    <cellStyle name="_Bayonne Restructuring 10-17" xfId="13"/>
    <cellStyle name="_Bayonne Restructuring 10-17_$105M - Main" xfId="14"/>
    <cellStyle name="_Bayonne Restructuring 10-17_$105M - Main 2" xfId="15"/>
    <cellStyle name="_Bayonne Restructuring 11-15" xfId="16"/>
    <cellStyle name="_Bayonne Restructuring 11-15_$105M - Main" xfId="17"/>
    <cellStyle name="_Bayonne Restructuring 11-15_$105M - Main 2" xfId="18"/>
    <cellStyle name="_Bayonne Restructuring 1-19" xfId="19"/>
    <cellStyle name="_Bayonne Restructuring 1-19_$105M - Main" xfId="20"/>
    <cellStyle name="_Bayonne Restructuring 1-19_$105M - Main 2" xfId="21"/>
    <cellStyle name="_Book9" xfId="22"/>
    <cellStyle name="_Book9_$105M - Main" xfId="23"/>
    <cellStyle name="_Book9_$105M - Main 2" xfId="24"/>
    <cellStyle name="_Camden Debt Breakage" xfId="25"/>
    <cellStyle name="_Camden Debt Breakage_$105M - Main" xfId="26"/>
    <cellStyle name="_Camden Debt Breakage_$105M - Main 2" xfId="27"/>
    <cellStyle name="_Camden_Bayonne Restructure 6-06-01" xfId="28"/>
    <cellStyle name="_Camden_Bayonne Restructure 6-06-01_$105M - Main" xfId="29"/>
    <cellStyle name="_Camden_Bayonne Restructure 6-06-01_$105M - Main 2" xfId="30"/>
    <cellStyle name="_Camden_Bayonne Restructure 7-06-01" xfId="31"/>
    <cellStyle name="_Camden_Bayonne Restructure 7-06-01_$105M - Main" xfId="32"/>
    <cellStyle name="_Camden_Bayonne Restructure 7-06-01_$105M - Main 2" xfId="33"/>
    <cellStyle name="_Camden_Bayonne Restructure 7-2-01" xfId="34"/>
    <cellStyle name="_Camden_Bayonne Restructure 7-2-01_$105M - Main" xfId="35"/>
    <cellStyle name="_Camden_Bayonne Restructure 7-2-01_$105M - Main 2" xfId="36"/>
    <cellStyle name="_CBIV v11" xfId="37"/>
    <cellStyle name="_CBIV v11_$105M - Main" xfId="38"/>
    <cellStyle name="_CBIV v11_$105M - Main 2" xfId="39"/>
    <cellStyle name="_CBIV v6" xfId="40"/>
    <cellStyle name="_CBIV v6_$105M - Main" xfId="41"/>
    <cellStyle name="_CBIV v6_$105M - Main 2" xfId="42"/>
    <cellStyle name="_Close Schedules 05-2002" xfId="43"/>
    <cellStyle name="_Close Schedules 05-2002_$105M - Main" xfId="44"/>
    <cellStyle name="_Close Schedules 05-2002_$105M - Main 2" xfId="45"/>
    <cellStyle name="_Consolidated Summary - Portfolio_v12" xfId="46"/>
    <cellStyle name="_Consolidated Summary - Portfolio_v12_$105M - Main" xfId="47"/>
    <cellStyle name="_Consolidated Summary - Portfolio_v12_$105M - Main 2" xfId="48"/>
    <cellStyle name="_Dell with sensitivity" xfId="49"/>
    <cellStyle name="_Dell with sensitivity_$105M - Main" xfId="50"/>
    <cellStyle name="_Dell with sensitivity_$105M - Main 2" xfId="51"/>
    <cellStyle name="_Dell_6c_Stdv10_sensitivity sheet" xfId="52"/>
    <cellStyle name="_Dell_6c_Stdv10_sensitivity sheet_$105M - Main" xfId="53"/>
    <cellStyle name="_Dell_6c_Stdv10_sensitivity sheet_$105M - Main 2" xfId="54"/>
    <cellStyle name="_Dell_6c_Stdv8_EntergyRFPv2_Final" xfId="55"/>
    <cellStyle name="_Dell_6c_Stdv8_EntergyRFPv2_Final_$105M - Main" xfId="56"/>
    <cellStyle name="_Dell_6c_Stdv8_EntergyRFPv2_Final_$105M - Main 2" xfId="57"/>
    <cellStyle name="_Dell_Level_5a" xfId="58"/>
    <cellStyle name="_Dell_Level_5a_$105M - Main" xfId="59"/>
    <cellStyle name="_Dell_Level_5a_$105M - Main 2" xfId="60"/>
    <cellStyle name="_Dell_Level_5d" xfId="61"/>
    <cellStyle name="_Dell_Level_5d_$105M - Main" xfId="62"/>
    <cellStyle name="_Dell_Level_5d_$105M - Main 2" xfId="63"/>
    <cellStyle name="_Dell_Level_6c" xfId="64"/>
    <cellStyle name="_Dell_Level_6c_$105M - Main" xfId="65"/>
    <cellStyle name="_Dell_Level_6c_$105M - Main 2" xfId="66"/>
    <cellStyle name="_ECP Model v30 B" xfId="67"/>
    <cellStyle name="_ECP Model v30 B_$105M - Main" xfId="68"/>
    <cellStyle name="_ECP Model v30 B_$105M - Main 2" xfId="69"/>
    <cellStyle name="_ECP Model v65" xfId="70"/>
    <cellStyle name="_ECP Model v65_$105M - Main" xfId="71"/>
    <cellStyle name="_ECP Model v65_$105M - Main 2" xfId="72"/>
    <cellStyle name="_ecp new - Enron buyout 01-05-01" xfId="73"/>
    <cellStyle name="_ecp new - Enron buyout 01-05-01_$105M - Main" xfId="74"/>
    <cellStyle name="_ecp new - Enron buyout 01-05-01_$105M - Main 2" xfId="75"/>
    <cellStyle name="_ecp new - Enron buyout 04-09-01" xfId="76"/>
    <cellStyle name="_ecp new - Enron buyout 04-09-01_$105M - Main" xfId="77"/>
    <cellStyle name="_ecp new - Enron buyout 04-09-01_$105M - Main 2" xfId="78"/>
    <cellStyle name="_ecp new 10" xfId="79"/>
    <cellStyle name="_ecp new 10_$105M - Main" xfId="80"/>
    <cellStyle name="_ecp new 10_$105M - Main 2" xfId="81"/>
    <cellStyle name="_El Dora1" xfId="82"/>
    <cellStyle name="_El Dora1_$105M - Main" xfId="83"/>
    <cellStyle name="_El Dora1_$105M - Main 2" xfId="84"/>
    <cellStyle name="_El Dorado - 0100 v2" xfId="85"/>
    <cellStyle name="_El Dorado - 0100 v2_$105M - Main" xfId="86"/>
    <cellStyle name="_El Dorado - 0100 v2_$105M - Main 2" xfId="87"/>
    <cellStyle name="_El Dorado - 0100 v6" xfId="88"/>
    <cellStyle name="_El Dorado - 0100 v6_$105M - Main" xfId="89"/>
    <cellStyle name="_El Dorado - 0100 v6_$105M - Main 2" xfId="90"/>
    <cellStyle name="_El Dorado - Bank Version 1-15" xfId="91"/>
    <cellStyle name="_El Dorado - Bank Version 1-15_$105M - Main" xfId="92"/>
    <cellStyle name="_El Dorado - Bank Version 1-15_$105M - Main 2" xfId="93"/>
    <cellStyle name="_El Dorado - Bank Version 1-31v3b_upside" xfId="94"/>
    <cellStyle name="_El Dorado - Bank Version 1-31v3b_upside_$105M - Main" xfId="95"/>
    <cellStyle name="_El Dorado - Bank Version 1-31v3b_upside_$105M - Main 2" xfId="96"/>
    <cellStyle name="_El Dorado 0101 v1 early ops test" xfId="97"/>
    <cellStyle name="_El Dorado 0101 v1 early ops test_$105M - Main" xfId="98"/>
    <cellStyle name="_El Dorado 0101 v1 early ops test_$105M - Main 2" xfId="99"/>
    <cellStyle name="_El Dorado 1000 v5 10-27-00" xfId="100"/>
    <cellStyle name="_El Dorado 1000 v5 10-27-00_$105M - Main" xfId="101"/>
    <cellStyle name="_El Dorado 1000 v5 10-27-00_$105M - Main 2" xfId="102"/>
    <cellStyle name="_El Dorado 1000 v8" xfId="103"/>
    <cellStyle name="_El Dorado 1000 v8_$105M - Main" xfId="104"/>
    <cellStyle name="_El Dorado 1000 v8_$105M - Main 2" xfId="105"/>
    <cellStyle name="_El Dorado 1100 v1" xfId="106"/>
    <cellStyle name="_El Dorado 1100 v1_$105M - Main" xfId="107"/>
    <cellStyle name="_El Dorado 1100 v1_$105M - Main 2" xfId="108"/>
    <cellStyle name="_El Dorado 1200 v2 Equity" xfId="109"/>
    <cellStyle name="_El Dorado 1200 v2 Equity_$105M - Main" xfId="110"/>
    <cellStyle name="_El Dorado 1200 v2 Equity_$105M - Main 2" xfId="111"/>
    <cellStyle name="_El Dorado 1200 v2 Equity_Dell_6c_Stdv8_EntergyRFPv2_Final" xfId="112"/>
    <cellStyle name="_El Dorado 1200 v2 Equity_Dell_6c_Stdv8_EntergyRFPv2_Final_$105M - Main" xfId="113"/>
    <cellStyle name="_El Dorado 1200 v2 Equity_Dell_6c_Stdv8_EntergyRFPv2_Final_$105M - Main 2" xfId="114"/>
    <cellStyle name="_El Dorado 1200 v2 Equity_El Dorado 8-20-01Contract" xfId="115"/>
    <cellStyle name="_El Dorado 1200 v2 Equity_El Dorado 8-20-01Contract_$105M - Main" xfId="116"/>
    <cellStyle name="_El Dorado 1200 v2 Equity_El Dorado 8-20-01Contract_$105M - Main 2" xfId="117"/>
    <cellStyle name="_El Dorado 1200 v2 Equity_Guadalupe Project_TPS" xfId="118"/>
    <cellStyle name="_El Dorado 1200 v2 Equity_Guadalupe Project_TPS_$105M - Main" xfId="119"/>
    <cellStyle name="_El Dorado 1200 v2 Equity_Guadalupe Project_TPS_$105M - Main 2" xfId="120"/>
    <cellStyle name="_El Dorado 1200 v2 Equity_Odessa Project_TPS" xfId="121"/>
    <cellStyle name="_El Dorado 1200 v2 Equity_Odessa Project_TPS_$105M - Main" xfId="122"/>
    <cellStyle name="_El Dorado 1200 v2 Equity_Odessa Project_TPS_$105M - Main 2" xfId="123"/>
    <cellStyle name="_El Dorado 1200 v2 Equity_Panda2_Master" xfId="124"/>
    <cellStyle name="_El Dorado 1200 v2 Equity_Panda2_Master_$105M - Main" xfId="125"/>
    <cellStyle name="_El Dorado 1200 v2 Equity_Panda2_Master_$105M - Main 2" xfId="126"/>
    <cellStyle name="_El Dorado 1200 v2 Equity_Sean Example" xfId="127"/>
    <cellStyle name="_El Dorado 1200 v2 Equity_Sean Example_$105M - Main" xfId="128"/>
    <cellStyle name="_El Dorado 1200 v2 Equity_Sean Example_$105M - Main 2" xfId="129"/>
    <cellStyle name="_El Dorado 2-13" xfId="130"/>
    <cellStyle name="_El Dorado 2-13_$105M - Main" xfId="131"/>
    <cellStyle name="_El Dorado 2-13_$105M - Main 2" xfId="132"/>
    <cellStyle name="_El Dorado 3-15" xfId="133"/>
    <cellStyle name="_El Dorado 3-15_$105M - Main" xfId="134"/>
    <cellStyle name="_El Dorado 3-15_$105M - Main 2" xfId="135"/>
    <cellStyle name="_El Dorado 3-19" xfId="136"/>
    <cellStyle name="_El Dorado 3-19_$105M - Main" xfId="137"/>
    <cellStyle name="_El Dorado 3-19_$105M - Main 2" xfId="138"/>
    <cellStyle name="_El Dorado 3-29" xfId="139"/>
    <cellStyle name="_El Dorado 3-29_$105M - Main" xfId="140"/>
    <cellStyle name="_El Dorado 3-29_$105M - Main 2" xfId="141"/>
    <cellStyle name="_El Dorado 8-20-01Contract" xfId="142"/>
    <cellStyle name="_El Dorado 8-20-01Contract_$105M - Main" xfId="143"/>
    <cellStyle name="_El Dorado 8-20-01Contract_$105M - Main 2" xfId="144"/>
    <cellStyle name="_El Dorado Const Bud 06-08-01 Revised 2" xfId="145"/>
    <cellStyle name="_El Dorado Const Bud 06-08-01 Revised 2_$105M - Main" xfId="146"/>
    <cellStyle name="_El Dorado Const Bud 06-08-01 Revised 2_$105M - Main 2" xfId="147"/>
    <cellStyle name="_El Dorado Project Model 0900 v2" xfId="148"/>
    <cellStyle name="_El Dorado Project Model 0900 v2_$105M - Main" xfId="149"/>
    <cellStyle name="_El Dorado Project Model 0900 v2_$105M - Main 2" xfId="150"/>
    <cellStyle name="_El_Do_Gila_2x2000MW_CC_101100_partcov4_17%_100%const" xfId="151"/>
    <cellStyle name="_El_Do_Gila_2x2000MW_CC_101100_partcov4_17%_100%const_$105M - Main" xfId="152"/>
    <cellStyle name="_El_Do_Gila_2x2000MW_CC_101100_partcov4_17%_100%const_$105M - Main 2" xfId="153"/>
    <cellStyle name="_Frontera_6c_Stdv9" xfId="154"/>
    <cellStyle name="_Frontera_6c_Stdv9_$105M - Main" xfId="155"/>
    <cellStyle name="_Frontera_6c_Stdv9_$105M - Main 2" xfId="156"/>
    <cellStyle name="_Gila River - Bank Version 12-16" xfId="157"/>
    <cellStyle name="_Gila River - Bank Version 12-16_$105M - Main" xfId="158"/>
    <cellStyle name="_Gila River - Bank Version 12-16_$105M - Main 2" xfId="159"/>
    <cellStyle name="_Gila River 062600 v1" xfId="160"/>
    <cellStyle name="_Gila River 062600 v1_$105M - Main" xfId="161"/>
    <cellStyle name="_Gila River 062600 v1_$105M - Main 2" xfId="162"/>
    <cellStyle name="_Gila River 2-13.xls Chart 1149" xfId="163"/>
    <cellStyle name="_Gila River 2-13.xls Chart 1149_$105M - Main" xfId="164"/>
    <cellStyle name="_Gila River 2-13.xls Chart 1149_$105M - Main 2" xfId="165"/>
    <cellStyle name="_Gila River 3-29_25yr" xfId="166"/>
    <cellStyle name="_Gila River 3-29_25yr_$105M - Main" xfId="167"/>
    <cellStyle name="_Gila River 3-29_25yr_$105M - Main 2" xfId="168"/>
    <cellStyle name="_GILApropertytax" xfId="169"/>
    <cellStyle name="_GILApropertytax_$105M - Main" xfId="170"/>
    <cellStyle name="_GILApropertytax_$105M - Main 2" xfId="171"/>
    <cellStyle name="_Hamakua_refinance_042301" xfId="172"/>
    <cellStyle name="_Hamakua_refinance_042301_$105M - Main" xfId="173"/>
    <cellStyle name="_Hamakua_refinance_042301_$105M - Main 2" xfId="174"/>
    <cellStyle name="_Illinois 111100 v1" xfId="175"/>
    <cellStyle name="_Illinois 111100 v1_$105M - Main" xfId="176"/>
    <cellStyle name="_Illinois 111100 v1_$105M - Main 2" xfId="177"/>
    <cellStyle name="_Loan Draw Schedule" xfId="178"/>
    <cellStyle name="_Loan Draw Schedule_$105M - Main" xfId="179"/>
    <cellStyle name="_Loan Draw Schedule_$105M - Main 2" xfId="180"/>
    <cellStyle name="_McAdams_6c_Stdv8_EntergyRFP_Finalv2" xfId="181"/>
    <cellStyle name="_McAdams_6c_Stdv8_EntergyRFP_Finalv2_$105M - Main" xfId="182"/>
    <cellStyle name="_McAdams_6c_Stdv8_EntergyRFP_Finalv2_$105M - Main 2" xfId="183"/>
    <cellStyle name="_McAdams_Level_5d" xfId="184"/>
    <cellStyle name="_McAdams_Level_5d_$105M - Main" xfId="185"/>
    <cellStyle name="_McAdams_Level_5d_$105M - Main 2" xfId="186"/>
    <cellStyle name="_Missouri 0502 v6_TPS_PPA" xfId="187"/>
    <cellStyle name="_Missouri 0502 v6_TPS_PPA_$105M - Main" xfId="188"/>
    <cellStyle name="_Missouri 0502 v6_TPS_PPA_$105M - Main 2" xfId="189"/>
    <cellStyle name="_Oneta 052200 v1" xfId="190"/>
    <cellStyle name="_Oneta 052200 v1_$105M - Main" xfId="191"/>
    <cellStyle name="_Oneta 052200 v1_$105M - Main 2" xfId="192"/>
    <cellStyle name="_Oneta 061300" xfId="193"/>
    <cellStyle name="_Oneta 061300_$105M - Main" xfId="194"/>
    <cellStyle name="_Oneta 061300_$105M - Main 2" xfId="195"/>
    <cellStyle name="_Panda equity support fc Aug 2002 plus 2003 budget" xfId="196"/>
    <cellStyle name="_Panda equity support fc Aug 2002 plus 2003 budget_$105M - Main" xfId="197"/>
    <cellStyle name="_Panda equity support fc Aug 2002 plus 2003 budget_$105M - Main 2" xfId="198"/>
    <cellStyle name="_Panda2_Master" xfId="199"/>
    <cellStyle name="_Panda2_Master_$105M - Main" xfId="200"/>
    <cellStyle name="_Panda2_Master_$105M - Main 2" xfId="201"/>
    <cellStyle name="_Portfolio Analysis_April TES Revised" xfId="202"/>
    <cellStyle name="_Portfolio Analysis_April TES Revised_$105M - Main" xfId="203"/>
    <cellStyle name="_Portfolio Analysis_April TES Revised_$105M - Main 2" xfId="204"/>
    <cellStyle name="_Portfolio Analysis_version14_032602_May COD's" xfId="205"/>
    <cellStyle name="_Portfolio Analysis_version14_032602_May COD's_$105M - Main" xfId="206"/>
    <cellStyle name="_Portfolio Analysis_version14_032602_May COD's_$105M - Main 2" xfId="207"/>
    <cellStyle name="_Portfolio Analysis_version14_032602_May COD's_New Gila" xfId="208"/>
    <cellStyle name="_Portfolio Analysis_version14_032602_May COD's_New Gila_$105M - Main" xfId="209"/>
    <cellStyle name="_Portfolio Analysis_version14_032602_May COD's_New Gila_$105M - Main 2" xfId="210"/>
    <cellStyle name="_PPA Curve Analysis" xfId="211"/>
    <cellStyle name="_PPA Curve Analysis_$105M - Main" xfId="212"/>
    <cellStyle name="_PPA Curve Analysis_$105M - Main 2" xfId="213"/>
    <cellStyle name="_Project Model Form Links" xfId="214"/>
    <cellStyle name="_Project Model Form Links_$105M - Main" xfId="215"/>
    <cellStyle name="_Project Model Form Links_$105M - Main 2" xfId="216"/>
    <cellStyle name="_Rating Agency Analysis v2" xfId="217"/>
    <cellStyle name="_Rating Agency Analysis v2_$105M - Main" xfId="218"/>
    <cellStyle name="_Rating Agency Analysis v2_$105M - Main 2" xfId="219"/>
    <cellStyle name="_Sean Example" xfId="220"/>
    <cellStyle name="_Sean Example_$105M - Main" xfId="221"/>
    <cellStyle name="_Sean Example_$105M - Main 2" xfId="222"/>
    <cellStyle name="_TECO Combined Return Analysis NEW 01-23-01" xfId="223"/>
    <cellStyle name="_TECO Combined Return Analysis NEW 01-23-01_$105M - Main" xfId="224"/>
    <cellStyle name="_TECO Combined Return Analysis NEW 01-23-01_$105M - Main 2" xfId="225"/>
    <cellStyle name="_Teco Fuel Pro Forma 10-31-2001" xfId="226"/>
    <cellStyle name="_Teco Fuel Pro Forma 10-31-2001_$105M - Main" xfId="227"/>
    <cellStyle name="_Teco Fuel Pro Forma 10-31-2001_$105M - Main 2" xfId="228"/>
    <cellStyle name="_TIE Consolidated 09-18-00 c2 Teco" xfId="229"/>
    <cellStyle name="_TIE Consolidated 09-18-00 c2 Teco_$105M - Main" xfId="230"/>
    <cellStyle name="_TIE Consolidated 09-18-00 c2 Teco_$105M - Main 2" xfId="231"/>
    <cellStyle name="_TPS" xfId="232"/>
    <cellStyle name="_TPS_$105M - Main" xfId="233"/>
    <cellStyle name="_TPS_$105M - Main 2" xfId="234"/>
    <cellStyle name="_West Michigan 0800 v1 test" xfId="235"/>
    <cellStyle name="_West Michigan 0800 v1 test_$105M - Main" xfId="236"/>
    <cellStyle name="_West Michigan 0800 v1 test_$105M - Main 2" xfId="237"/>
    <cellStyle name="20% - Accent1" xfId="238" builtinId="30" customBuiltin="1"/>
    <cellStyle name="20% - Accent2" xfId="239" builtinId="34" customBuiltin="1"/>
    <cellStyle name="20% - Accent3" xfId="240" builtinId="38" customBuiltin="1"/>
    <cellStyle name="20% - Accent4" xfId="241" builtinId="42" customBuiltin="1"/>
    <cellStyle name="20% - Accent5" xfId="242" builtinId="46" customBuiltin="1"/>
    <cellStyle name="20% - Accent6" xfId="243" builtinId="50" customBuiltin="1"/>
    <cellStyle name="40% - Accent1" xfId="244" builtinId="31" customBuiltin="1"/>
    <cellStyle name="40% - Accent2" xfId="245" builtinId="35" customBuiltin="1"/>
    <cellStyle name="40% - Accent3" xfId="246" builtinId="39" customBuiltin="1"/>
    <cellStyle name="40% - Accent4" xfId="247" builtinId="43" customBuiltin="1"/>
    <cellStyle name="40% - Accent5" xfId="248" builtinId="47" customBuiltin="1"/>
    <cellStyle name="40% - Accent6" xfId="249" builtinId="51" customBuiltin="1"/>
    <cellStyle name="60% - Accent1" xfId="250" builtinId="32" customBuiltin="1"/>
    <cellStyle name="60% - Accent2" xfId="251" builtinId="36" customBuiltin="1"/>
    <cellStyle name="60% - Accent3" xfId="252" builtinId="40" customBuiltin="1"/>
    <cellStyle name="60% - Accent4" xfId="253" builtinId="44" customBuiltin="1"/>
    <cellStyle name="60% - Accent5" xfId="254" builtinId="48" customBuiltin="1"/>
    <cellStyle name="60% - Accent6" xfId="255" builtinId="52" customBuiltin="1"/>
    <cellStyle name="Accent1" xfId="256" builtinId="29" customBuiltin="1"/>
    <cellStyle name="Accent2" xfId="257" builtinId="33" customBuiltin="1"/>
    <cellStyle name="Accent3" xfId="258" builtinId="37" customBuiltin="1"/>
    <cellStyle name="Accent4" xfId="259" builtinId="41" customBuiltin="1"/>
    <cellStyle name="Accent5" xfId="260" builtinId="45" customBuiltin="1"/>
    <cellStyle name="Accent6" xfId="261" builtinId="49" customBuiltin="1"/>
    <cellStyle name="Actual Date" xfId="262"/>
    <cellStyle name="adjusted" xfId="263"/>
    <cellStyle name="Bad" xfId="264" builtinId="27" customBuiltin="1"/>
    <cellStyle name="BlackStrike" xfId="265"/>
    <cellStyle name="BlackText" xfId="266"/>
    <cellStyle name="blue" xfId="267"/>
    <cellStyle name="BoldText" xfId="268"/>
    <cellStyle name="Border Heavy" xfId="269"/>
    <cellStyle name="Border Heavy 2" xfId="270"/>
    <cellStyle name="Border Thin" xfId="271"/>
    <cellStyle name="Border Thin 2" xfId="272"/>
    <cellStyle name="Calculation" xfId="273" builtinId="22" customBuiltin="1"/>
    <cellStyle name="Check Cell" xfId="274" builtinId="23" customBuiltin="1"/>
    <cellStyle name="Comma" xfId="275" builtinId="3"/>
    <cellStyle name="Comma [1]" xfId="276"/>
    <cellStyle name="Comma [2]" xfId="277"/>
    <cellStyle name="Comma [2] 2" xfId="278"/>
    <cellStyle name="Comma [3]" xfId="279"/>
    <cellStyle name="Comma 0" xfId="280"/>
    <cellStyle name="Comma 0 [0]" xfId="281"/>
    <cellStyle name="Comma 2" xfId="282"/>
    <cellStyle name="Comma 3" xfId="283"/>
    <cellStyle name="Comma 3 2" xfId="284"/>
    <cellStyle name="Comma 4" xfId="285"/>
    <cellStyle name="Comma 5" xfId="286"/>
    <cellStyle name="Comma 6" xfId="287"/>
    <cellStyle name="Comma 7" xfId="431"/>
    <cellStyle name="Comma 8" xfId="433"/>
    <cellStyle name="Comma 9" xfId="436"/>
    <cellStyle name="Comma0" xfId="288"/>
    <cellStyle name="Currency" xfId="289" builtinId="4"/>
    <cellStyle name="Currency [1]" xfId="290"/>
    <cellStyle name="Currency [2]" xfId="291"/>
    <cellStyle name="Currency [3]" xfId="292"/>
    <cellStyle name="Currency 0" xfId="293"/>
    <cellStyle name="Currency 2" xfId="294"/>
    <cellStyle name="Currency 3" xfId="295"/>
    <cellStyle name="Currency 4" xfId="296"/>
    <cellStyle name="Currency0" xfId="297"/>
    <cellStyle name="Currsmall" xfId="298"/>
    <cellStyle name="Data Link" xfId="299"/>
    <cellStyle name="Date" xfId="300"/>
    <cellStyle name="Date Aligned" xfId="301"/>
    <cellStyle name="Date_$105M - Main" xfId="302"/>
    <cellStyle name="decimal" xfId="303"/>
    <cellStyle name="Dezimal [0]_Compiling Utility Macros" xfId="304"/>
    <cellStyle name="Dezimal_Compiling Utility Macros" xfId="305"/>
    <cellStyle name="Dollar1" xfId="306"/>
    <cellStyle name="Dotted Line" xfId="307"/>
    <cellStyle name="Explanatory Text" xfId="308" builtinId="53" customBuiltin="1"/>
    <cellStyle name="F3" xfId="309"/>
    <cellStyle name="F5" xfId="310"/>
    <cellStyle name="F6" xfId="311"/>
    <cellStyle name="F7" xfId="312"/>
    <cellStyle name="Fixed" xfId="313"/>
    <cellStyle name="Fixlong" xfId="314"/>
    <cellStyle name="Footnote" xfId="315"/>
    <cellStyle name="Formula" xfId="316"/>
    <cellStyle name="Good" xfId="317" builtinId="26" customBuiltin="1"/>
    <cellStyle name="Grey" xfId="318"/>
    <cellStyle name="Grey 2" xfId="319"/>
    <cellStyle name="Hard Percent" xfId="320"/>
    <cellStyle name="Header" xfId="321"/>
    <cellStyle name="Heading 1" xfId="322" builtinId="16" customBuiltin="1"/>
    <cellStyle name="Heading 2" xfId="323" builtinId="17" customBuiltin="1"/>
    <cellStyle name="Heading 3" xfId="324" builtinId="18" customBuiltin="1"/>
    <cellStyle name="Heading 4" xfId="325" builtinId="19" customBuiltin="1"/>
    <cellStyle name="Heading1" xfId="326"/>
    <cellStyle name="Heading2" xfId="327"/>
    <cellStyle name="HEADINGS" xfId="328"/>
    <cellStyle name="HIGHLIGHT" xfId="329"/>
    <cellStyle name="Input" xfId="330" builtinId="20" customBuiltin="1"/>
    <cellStyle name="Input [yellow]" xfId="331"/>
    <cellStyle name="Input [yellow] 2" xfId="332"/>
    <cellStyle name="Input 2" xfId="333"/>
    <cellStyle name="Input1" xfId="334"/>
    <cellStyle name="Input2" xfId="335"/>
    <cellStyle name="INPUTS" xfId="336"/>
    <cellStyle name="Inputs2" xfId="337"/>
    <cellStyle name="Lable8Left" xfId="338"/>
    <cellStyle name="Linked Cell" xfId="339" builtinId="24" customBuiltin="1"/>
    <cellStyle name="Multiple" xfId="340"/>
    <cellStyle name="Multiple [1]" xfId="341"/>
    <cellStyle name="Multiple_bkh" xfId="342"/>
    <cellStyle name="Neutral" xfId="343" builtinId="28" customBuiltin="1"/>
    <cellStyle name="no dec" xfId="344"/>
    <cellStyle name="Normal" xfId="0" builtinId="0"/>
    <cellStyle name="Normal - Style1" xfId="345"/>
    <cellStyle name="Normal 10" xfId="430"/>
    <cellStyle name="Normal 11" xfId="432"/>
    <cellStyle name="Normal 12" xfId="435"/>
    <cellStyle name="Normal 2" xfId="346"/>
    <cellStyle name="Normal 3" xfId="347"/>
    <cellStyle name="Normal 4" xfId="348"/>
    <cellStyle name="Normal 4 2" xfId="349"/>
    <cellStyle name="Normal 5" xfId="350"/>
    <cellStyle name="Normal 6" xfId="351"/>
    <cellStyle name="Normal 7" xfId="426"/>
    <cellStyle name="Normal 8" xfId="427"/>
    <cellStyle name="Normal 9" xfId="429"/>
    <cellStyle name="Normal_SJ II Model- Base 01112008" xfId="352"/>
    <cellStyle name="NormalHelv" xfId="353"/>
    <cellStyle name="Note" xfId="354" builtinId="10" customBuiltin="1"/>
    <cellStyle name="Note 2" xfId="355"/>
    <cellStyle name="Num1" xfId="356"/>
    <cellStyle name="Num1 2" xfId="357"/>
    <cellStyle name="Num1Blue" xfId="358"/>
    <cellStyle name="number" xfId="359"/>
    <cellStyle name="Output" xfId="360" builtinId="21" customBuiltin="1"/>
    <cellStyle name="Output Amounts" xfId="361"/>
    <cellStyle name="Output Line Items" xfId="362"/>
    <cellStyle name="Page Heading Large" xfId="363"/>
    <cellStyle name="Page Heading Small" xfId="364"/>
    <cellStyle name="Page Number" xfId="365"/>
    <cellStyle name="pct_sub" xfId="366"/>
    <cellStyle name="Percent" xfId="367" builtinId="5"/>
    <cellStyle name="Percent [.00%]" xfId="368"/>
    <cellStyle name="Percent [1]" xfId="369"/>
    <cellStyle name="Percent [2]" xfId="370"/>
    <cellStyle name="Percent 1" xfId="371"/>
    <cellStyle name="Percent 2" xfId="372"/>
    <cellStyle name="Percent 3" xfId="373"/>
    <cellStyle name="Percent 3 2" xfId="428"/>
    <cellStyle name="Percent 4" xfId="374"/>
    <cellStyle name="Percent 5" xfId="434"/>
    <cellStyle name="Percent Hard" xfId="375"/>
    <cellStyle name="Percent1" xfId="376"/>
    <cellStyle name="Percent1Blue" xfId="377"/>
    <cellStyle name="Perlong" xfId="378"/>
    <cellStyle name="Private" xfId="379"/>
    <cellStyle name="Private1" xfId="380"/>
    <cellStyle name="Right" xfId="381"/>
    <cellStyle name="Shaded" xfId="382"/>
    <cellStyle name="Shaded 2" xfId="383"/>
    <cellStyle name="Shading" xfId="384"/>
    <cellStyle name="SMALL HEADINGS" xfId="385"/>
    <cellStyle name="Standard_Anpassen der Amortisation" xfId="386"/>
    <cellStyle name="Style 1" xfId="387"/>
    <cellStyle name="SUB HEADING" xfId="388"/>
    <cellStyle name="Summary" xfId="389"/>
    <cellStyle name="Table Col Head" xfId="390"/>
    <cellStyle name="Table Head" xfId="391"/>
    <cellStyle name="Table Head Aligned" xfId="392"/>
    <cellStyle name="Table Head Blue" xfId="393"/>
    <cellStyle name="Table Head Green" xfId="394"/>
    <cellStyle name="Table Sub Head" xfId="395"/>
    <cellStyle name="Table Title" xfId="396"/>
    <cellStyle name="Table Units" xfId="397"/>
    <cellStyle name="TableBase" xfId="398"/>
    <cellStyle name="TableHead" xfId="399"/>
    <cellStyle name="Text" xfId="400"/>
    <cellStyle name="Time" xfId="401"/>
    <cellStyle name="Time 2" xfId="402"/>
    <cellStyle name="Tina" xfId="403"/>
    <cellStyle name="Tina 2" xfId="404"/>
    <cellStyle name="Title" xfId="405" builtinId="15" customBuiltin="1"/>
    <cellStyle name="Title8" xfId="406"/>
    <cellStyle name="Total" xfId="407" builtinId="25" customBuiltin="1"/>
    <cellStyle name="ubordinated Debt" xfId="408"/>
    <cellStyle name="UNITS" xfId="409"/>
    <cellStyle name="UNLocked" xfId="410"/>
    <cellStyle name="UNLocked 2" xfId="411"/>
    <cellStyle name="Unprot" xfId="412"/>
    <cellStyle name="Unprot 2" xfId="413"/>
    <cellStyle name="Unprot$" xfId="414"/>
    <cellStyle name="Unprot_$105M - Main" xfId="415"/>
    <cellStyle name="Unprotect" xfId="416"/>
    <cellStyle name="UNSHADED" xfId="417"/>
    <cellStyle name="Währung [0]_Compiling Utility Macros" xfId="418"/>
    <cellStyle name="Währung_Compiling Utility Macros" xfId="419"/>
    <cellStyle name="Warning Text" xfId="420" builtinId="11" customBuiltin="1"/>
    <cellStyle name="WhitePattern" xfId="421"/>
    <cellStyle name="WhitePattern1" xfId="422"/>
    <cellStyle name="WhiteText" xfId="423"/>
    <cellStyle name="Year" xfId="424"/>
    <cellStyle name="Year 2" xfId="425"/>
  </cellStyles>
  <dxfs count="22">
    <dxf>
      <font>
        <color theme="1"/>
      </font>
      <fill>
        <patternFill patternType="solid">
          <bgColor rgb="FF92D050"/>
        </patternFill>
      </fill>
    </dxf>
    <dxf>
      <fill>
        <patternFill>
          <bgColor rgb="FFFF0000"/>
        </patternFill>
      </fill>
    </dxf>
    <dxf>
      <font>
        <color theme="1"/>
      </font>
      <fill>
        <patternFill patternType="solid">
          <bgColor rgb="FF92D050"/>
        </patternFill>
      </fill>
    </dxf>
    <dxf>
      <fill>
        <patternFill>
          <bgColor rgb="FFFF0000"/>
        </patternFill>
      </fill>
    </dxf>
    <dxf>
      <font>
        <color theme="1"/>
      </font>
      <fill>
        <patternFill patternType="solid">
          <bgColor rgb="FF92D050"/>
        </patternFill>
      </fill>
    </dxf>
    <dxf>
      <fill>
        <patternFill>
          <bgColor rgb="FFFF0000"/>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bgColor rgb="FFFF000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s>
  <tableStyles count="0" defaultTableStyle="TableStyleMedium9" defaultPivotStyle="PivotStyleLight16"/>
  <colors>
    <mruColors>
      <color rgb="FF0000FF"/>
      <color rgb="FFFFFFCC"/>
      <color rgb="FF006600"/>
      <color rgb="FF339933"/>
      <color rgb="FF008080"/>
      <color rgb="FF3399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fmlaLink="$C$56" lockText="1"/>
</file>

<file path=xl/ctrlProps/ctrlProp2.xml><?xml version="1.0" encoding="utf-8"?>
<formControlPr xmlns="http://schemas.microsoft.com/office/spreadsheetml/2009/9/main" objectType="CheckBox" fmlaLink="$C$55" lockText="1"/>
</file>

<file path=xl/ctrlProps/ctrlProp3.xml><?xml version="1.0" encoding="utf-8"?>
<formControlPr xmlns="http://schemas.microsoft.com/office/spreadsheetml/2009/9/main" objectType="Radio" checked="Checked" firstButton="1" fmlaLink="J55"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fmlaLink="$C$54" lockText="1"/>
</file>

<file path=xl/ctrlProps/ctrlProp6.xml><?xml version="1.0" encoding="utf-8"?>
<formControlPr xmlns="http://schemas.microsoft.com/office/spreadsheetml/2009/9/main" objectType="CheckBox" checked="Checked" fmlaLink="$C$57"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emf"/><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54</xdr:row>
          <xdr:rowOff>182880</xdr:rowOff>
        </xdr:from>
        <xdr:to>
          <xdr:col>2</xdr:col>
          <xdr:colOff>906780</xdr:colOff>
          <xdr:row>56</xdr:row>
          <xdr:rowOff>30480</xdr:rowOff>
        </xdr:to>
        <xdr:sp macro="" textlink="">
          <xdr:nvSpPr>
            <xdr:cNvPr id="42100" name="Check Box 116" hidden="1">
              <a:extLst>
                <a:ext uri="{63B3BB69-23CF-44E3-9099-C40C66FF867C}">
                  <a14:compatExt spid="_x0000_s42100"/>
                </a:ext>
                <a:ext uri="{FF2B5EF4-FFF2-40B4-BE49-F238E27FC236}">
                  <a16:creationId xmlns:a16="http://schemas.microsoft.com/office/drawing/2014/main" id="{00000000-0008-0000-0100-00007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0</xdr:rowOff>
        </xdr:from>
        <xdr:to>
          <xdr:col>2</xdr:col>
          <xdr:colOff>929640</xdr:colOff>
          <xdr:row>55</xdr:row>
          <xdr:rowOff>15240</xdr:rowOff>
        </xdr:to>
        <xdr:sp macro="" textlink="">
          <xdr:nvSpPr>
            <xdr:cNvPr id="42101" name="Check Box 117" hidden="1">
              <a:extLst>
                <a:ext uri="{63B3BB69-23CF-44E3-9099-C40C66FF867C}">
                  <a14:compatExt spid="_x0000_s42101"/>
                </a:ext>
                <a:ext uri="{FF2B5EF4-FFF2-40B4-BE49-F238E27FC236}">
                  <a16:creationId xmlns:a16="http://schemas.microsoft.com/office/drawing/2014/main" id="{00000000-0008-0000-0100-00007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a:t>
              </a:r>
            </a:p>
          </xdr:txBody>
        </xdr:sp>
        <xdr:clientData/>
      </xdr:twoCellAnchor>
    </mc:Choice>
    <mc:Fallback/>
  </mc:AlternateContent>
  <xdr:twoCellAnchor editAs="oneCell">
    <xdr:from>
      <xdr:col>17</xdr:col>
      <xdr:colOff>304800</xdr:colOff>
      <xdr:row>0</xdr:row>
      <xdr:rowOff>76200</xdr:rowOff>
    </xdr:from>
    <xdr:to>
      <xdr:col>25</xdr:col>
      <xdr:colOff>189752</xdr:colOff>
      <xdr:row>14</xdr:row>
      <xdr:rowOff>136192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849850" y="76200"/>
          <a:ext cx="5980952" cy="26666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53340</xdr:colOff>
          <xdr:row>53</xdr:row>
          <xdr:rowOff>182880</xdr:rowOff>
        </xdr:from>
        <xdr:to>
          <xdr:col>9</xdr:col>
          <xdr:colOff>929640</xdr:colOff>
          <xdr:row>55</xdr:row>
          <xdr:rowOff>22860</xdr:rowOff>
        </xdr:to>
        <xdr:sp macro="" textlink="">
          <xdr:nvSpPr>
            <xdr:cNvPr id="42104" name="Option Button 120" hidden="1">
              <a:extLst>
                <a:ext uri="{63B3BB69-23CF-44E3-9099-C40C66FF867C}">
                  <a14:compatExt spid="_x0000_s42104"/>
                </a:ext>
                <a:ext uri="{FF2B5EF4-FFF2-40B4-BE49-F238E27FC236}">
                  <a16:creationId xmlns:a16="http://schemas.microsoft.com/office/drawing/2014/main" id="{00000000-0008-0000-0100-00007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54</xdr:row>
          <xdr:rowOff>15240</xdr:rowOff>
        </xdr:from>
        <xdr:to>
          <xdr:col>11</xdr:col>
          <xdr:colOff>906780</xdr:colOff>
          <xdr:row>55</xdr:row>
          <xdr:rowOff>22860</xdr:rowOff>
        </xdr:to>
        <xdr:sp macro="" textlink="">
          <xdr:nvSpPr>
            <xdr:cNvPr id="42106" name="Option Button 122" hidden="1">
              <a:extLst>
                <a:ext uri="{63B3BB69-23CF-44E3-9099-C40C66FF867C}">
                  <a14:compatExt spid="_x0000_s42106"/>
                </a:ext>
                <a:ext uri="{FF2B5EF4-FFF2-40B4-BE49-F238E27FC236}">
                  <a16:creationId xmlns:a16="http://schemas.microsoft.com/office/drawing/2014/main" id="{00000000-0008-0000-0100-00007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0</xdr:rowOff>
        </xdr:from>
        <xdr:to>
          <xdr:col>2</xdr:col>
          <xdr:colOff>929640</xdr:colOff>
          <xdr:row>54</xdr:row>
          <xdr:rowOff>15240</xdr:rowOff>
        </xdr:to>
        <xdr:sp macro="" textlink="">
          <xdr:nvSpPr>
            <xdr:cNvPr id="42107" name="Check Box 123" hidden="1">
              <a:extLst>
                <a:ext uri="{63B3BB69-23CF-44E3-9099-C40C66FF867C}">
                  <a14:compatExt spid="_x0000_s42107"/>
                </a:ext>
                <a:ext uri="{FF2B5EF4-FFF2-40B4-BE49-F238E27FC236}">
                  <a16:creationId xmlns:a16="http://schemas.microsoft.com/office/drawing/2014/main" id="{00000000-0008-0000-0100-00007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a:t>
              </a:r>
            </a:p>
          </xdr:txBody>
        </xdr:sp>
        <xdr:clientData/>
      </xdr:twoCellAnchor>
    </mc:Choice>
    <mc:Fallback/>
  </mc:AlternateContent>
  <xdr:twoCellAnchor>
    <xdr:from>
      <xdr:col>7</xdr:col>
      <xdr:colOff>161926</xdr:colOff>
      <xdr:row>8</xdr:row>
      <xdr:rowOff>19051</xdr:rowOff>
    </xdr:from>
    <xdr:to>
      <xdr:col>8</xdr:col>
      <xdr:colOff>657226</xdr:colOff>
      <xdr:row>8</xdr:row>
      <xdr:rowOff>180975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58276" y="1628776"/>
          <a:ext cx="1428750" cy="161924"/>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Project Description</a:t>
          </a:r>
          <a:endParaRPr lang="en-US" sz="1000" i="1">
            <a:solidFill>
              <a:srgbClr val="0000FF"/>
            </a:solidFill>
          </a:endParaRPr>
        </a:p>
      </xdr:txBody>
    </xdr:sp>
    <xdr:clientData/>
  </xdr:twoCellAnchor>
  <xdr:twoCellAnchor>
    <xdr:from>
      <xdr:col>3</xdr:col>
      <xdr:colOff>190501</xdr:colOff>
      <xdr:row>12</xdr:row>
      <xdr:rowOff>19049</xdr:rowOff>
    </xdr:from>
    <xdr:to>
      <xdr:col>4</xdr:col>
      <xdr:colOff>304801</xdr:colOff>
      <xdr:row>12</xdr:row>
      <xdr:rowOff>180974</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5353051" y="2390774"/>
          <a:ext cx="1047750"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Drop-down</a:t>
          </a:r>
          <a:endParaRPr lang="en-US" sz="1000" i="1">
            <a:solidFill>
              <a:srgbClr val="0000FF"/>
            </a:solidFill>
          </a:endParaRPr>
        </a:p>
      </xdr:txBody>
    </xdr:sp>
    <xdr:clientData/>
  </xdr:twoCellAnchor>
  <xdr:twoCellAnchor>
    <xdr:from>
      <xdr:col>3</xdr:col>
      <xdr:colOff>209550</xdr:colOff>
      <xdr:row>14</xdr:row>
      <xdr:rowOff>0</xdr:rowOff>
    </xdr:from>
    <xdr:to>
      <xdr:col>7</xdr:col>
      <xdr:colOff>876300</xdr:colOff>
      <xdr:row>14</xdr:row>
      <xdr:rowOff>171450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5372100" y="2752725"/>
          <a:ext cx="44005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first year of project</a:t>
          </a:r>
          <a:r>
            <a:rPr lang="en-US" sz="1000" i="1" baseline="0">
              <a:solidFill>
                <a:srgbClr val="0000FF"/>
              </a:solidFill>
              <a:sym typeface="Symbol" panose="05050102010706020507" pitchFamily="18" charset="2"/>
            </a:rPr>
            <a:t> capital spend or revenue/expense incurred</a:t>
          </a:r>
          <a:endParaRPr lang="en-US" sz="1000" i="1">
            <a:solidFill>
              <a:srgbClr val="0000FF"/>
            </a:solidFill>
            <a:sym typeface="Symbol" panose="05050102010706020507" pitchFamily="18" charset="2"/>
          </a:endParaRPr>
        </a:p>
      </xdr:txBody>
    </xdr:sp>
    <xdr:clientData/>
  </xdr:twoCellAnchor>
  <xdr:twoCellAnchor>
    <xdr:from>
      <xdr:col>3</xdr:col>
      <xdr:colOff>228600</xdr:colOff>
      <xdr:row>15</xdr:row>
      <xdr:rowOff>190499</xdr:rowOff>
    </xdr:from>
    <xdr:to>
      <xdr:col>5</xdr:col>
      <xdr:colOff>923925</xdr:colOff>
      <xdr:row>16</xdr:row>
      <xdr:rowOff>180974</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91150" y="3133724"/>
          <a:ext cx="2562225" cy="18097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first year </a:t>
          </a:r>
          <a:r>
            <a:rPr lang="en-US" sz="1000" i="1" baseline="0">
              <a:solidFill>
                <a:srgbClr val="0000FF"/>
              </a:solidFill>
              <a:sym typeface="Symbol" panose="05050102010706020507" pitchFamily="18" charset="2"/>
            </a:rPr>
            <a:t>revenue/expense incurred</a:t>
          </a:r>
          <a:endParaRPr lang="en-US" sz="1000" i="1">
            <a:solidFill>
              <a:srgbClr val="0000FF"/>
            </a:solidFill>
            <a:sym typeface="Symbol" panose="05050102010706020507" pitchFamily="18" charset="2"/>
          </a:endParaRPr>
        </a:p>
      </xdr:txBody>
    </xdr:sp>
    <xdr:clientData/>
  </xdr:twoCellAnchor>
  <xdr:twoCellAnchor>
    <xdr:from>
      <xdr:col>7</xdr:col>
      <xdr:colOff>142875</xdr:colOff>
      <xdr:row>18</xdr:row>
      <xdr:rowOff>0</xdr:rowOff>
    </xdr:from>
    <xdr:to>
      <xdr:col>9</xdr:col>
      <xdr:colOff>838200</xdr:colOff>
      <xdr:row>18</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9039225" y="3514725"/>
          <a:ext cx="2562225"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years to model (from 1-30)</a:t>
          </a:r>
        </a:p>
      </xdr:txBody>
    </xdr:sp>
    <xdr:clientData/>
  </xdr:twoCellAnchor>
  <xdr:twoCellAnchor>
    <xdr:from>
      <xdr:col>7</xdr:col>
      <xdr:colOff>171449</xdr:colOff>
      <xdr:row>9</xdr:row>
      <xdr:rowOff>28575</xdr:rowOff>
    </xdr:from>
    <xdr:to>
      <xdr:col>8</xdr:col>
      <xdr:colOff>904874</xdr:colOff>
      <xdr:row>9</xdr:row>
      <xdr:rowOff>180975</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9067799" y="1828800"/>
          <a:ext cx="1666875" cy="1524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Strategic Intiative Team</a:t>
          </a:r>
          <a:endParaRPr lang="en-US" sz="1000" i="1">
            <a:solidFill>
              <a:srgbClr val="0000FF"/>
            </a:solidFill>
          </a:endParaRPr>
        </a:p>
      </xdr:txBody>
    </xdr:sp>
    <xdr:clientData/>
  </xdr:twoCellAnchor>
  <xdr:twoCellAnchor>
    <xdr:from>
      <xdr:col>7</xdr:col>
      <xdr:colOff>171450</xdr:colOff>
      <xdr:row>10</xdr:row>
      <xdr:rowOff>28574</xdr:rowOff>
    </xdr:from>
    <xdr:to>
      <xdr:col>8</xdr:col>
      <xdr:colOff>561975</xdr:colOff>
      <xdr:row>10</xdr:row>
      <xdr:rowOff>190499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9067800" y="2019299"/>
          <a:ext cx="1323975"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Contact Person(s)</a:t>
          </a:r>
          <a:endParaRPr lang="en-US" sz="1000" i="1">
            <a:solidFill>
              <a:srgbClr val="0000FF"/>
            </a:solidFill>
          </a:endParaRPr>
        </a:p>
      </xdr:txBody>
    </xdr:sp>
    <xdr:clientData/>
  </xdr:twoCellAnchor>
  <xdr:twoCellAnchor>
    <xdr:from>
      <xdr:col>12</xdr:col>
      <xdr:colOff>190500</xdr:colOff>
      <xdr:row>27</xdr:row>
      <xdr:rowOff>190499</xdr:rowOff>
    </xdr:from>
    <xdr:to>
      <xdr:col>16</xdr:col>
      <xdr:colOff>66675</xdr:colOff>
      <xdr:row>28</xdr:row>
      <xdr:rowOff>171450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3754100" y="5419724"/>
          <a:ext cx="3609975" cy="171451"/>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Do not change G29 or L29 without discussing with H.</a:t>
          </a:r>
          <a:r>
            <a:rPr lang="en-US" sz="1000" i="1" baseline="0">
              <a:solidFill>
                <a:srgbClr val="0000FF"/>
              </a:solidFill>
              <a:sym typeface="Symbol" panose="05050102010706020507" pitchFamily="18" charset="2"/>
            </a:rPr>
            <a:t> Bruen</a:t>
          </a:r>
          <a:endParaRPr lang="en-US" sz="1000" i="1">
            <a:solidFill>
              <a:srgbClr val="0000FF"/>
            </a:solidFill>
            <a:sym typeface="Symbol" panose="05050102010706020507" pitchFamily="18" charset="2"/>
          </a:endParaRPr>
        </a:p>
      </xdr:txBody>
    </xdr:sp>
    <xdr:clientData/>
  </xdr:twoCellAnchor>
  <xdr:twoCellAnchor>
    <xdr:from>
      <xdr:col>7</xdr:col>
      <xdr:colOff>95250</xdr:colOff>
      <xdr:row>31</xdr:row>
      <xdr:rowOff>0</xdr:rowOff>
    </xdr:from>
    <xdr:to>
      <xdr:col>10</xdr:col>
      <xdr:colOff>495300</xdr:colOff>
      <xdr:row>31</xdr:row>
      <xdr:rowOff>171450</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8991600" y="5991225"/>
          <a:ext cx="320040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Do not</a:t>
          </a:r>
          <a:r>
            <a:rPr lang="en-US" sz="1000" i="1" baseline="0">
              <a:solidFill>
                <a:srgbClr val="0000FF"/>
              </a:solidFill>
              <a:sym typeface="Symbol" panose="05050102010706020507" pitchFamily="18" charset="2"/>
            </a:rPr>
            <a:t> change without discussing with H. Bruen</a:t>
          </a:r>
          <a:endParaRPr lang="en-US" sz="1000" i="1">
            <a:solidFill>
              <a:srgbClr val="0000FF"/>
            </a:solidFill>
            <a:sym typeface="Symbol" panose="05050102010706020507" pitchFamily="18" charset="2"/>
          </a:endParaRPr>
        </a:p>
      </xdr:txBody>
    </xdr:sp>
    <xdr:clientData/>
  </xdr:twoCellAnchor>
  <xdr:twoCellAnchor>
    <xdr:from>
      <xdr:col>7</xdr:col>
      <xdr:colOff>95250</xdr:colOff>
      <xdr:row>32</xdr:row>
      <xdr:rowOff>28575</xdr:rowOff>
    </xdr:from>
    <xdr:to>
      <xdr:col>9</xdr:col>
      <xdr:colOff>295275</xdr:colOff>
      <xdr:row>33</xdr:row>
      <xdr:rowOff>0</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8991600" y="6210300"/>
          <a:ext cx="2066925"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Only</a:t>
          </a:r>
          <a:r>
            <a:rPr lang="en-US" sz="1000" i="1" baseline="0">
              <a:solidFill>
                <a:srgbClr val="0000FF"/>
              </a:solidFill>
              <a:sym typeface="Symbol" panose="05050102010706020507" pitchFamily="18" charset="2"/>
            </a:rPr>
            <a:t> enter "Y" if solar project</a:t>
          </a:r>
          <a:endParaRPr lang="en-US" sz="1000" i="1">
            <a:solidFill>
              <a:srgbClr val="0000FF"/>
            </a:solidFill>
            <a:sym typeface="Symbol" panose="05050102010706020507" pitchFamily="18" charset="2"/>
          </a:endParaRPr>
        </a:p>
      </xdr:txBody>
    </xdr:sp>
    <xdr:clientData/>
  </xdr:twoCellAnchor>
  <xdr:twoCellAnchor>
    <xdr:from>
      <xdr:col>3</xdr:col>
      <xdr:colOff>104774</xdr:colOff>
      <xdr:row>52</xdr:row>
      <xdr:rowOff>190499</xdr:rowOff>
    </xdr:from>
    <xdr:to>
      <xdr:col>10</xdr:col>
      <xdr:colOff>885825</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267324" y="9229724"/>
          <a:ext cx="7315201" cy="161926"/>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 if 1st year earnings is for partial year (model will calculate mid-year</a:t>
          </a:r>
          <a:r>
            <a:rPr lang="en-US" sz="1000" i="1" baseline="0">
              <a:solidFill>
                <a:srgbClr val="0000FF"/>
              </a:solidFill>
              <a:sym typeface="Symbol" panose="05050102010706020507" pitchFamily="18" charset="2"/>
            </a:rPr>
            <a:t> on calculated revenue amount except for Rate Case years</a:t>
          </a:r>
          <a:endParaRPr lang="en-US" sz="1000" i="1">
            <a:solidFill>
              <a:srgbClr val="0000FF"/>
            </a:solidFill>
            <a:sym typeface="Symbol" panose="05050102010706020507" pitchFamily="18" charset="2"/>
          </a:endParaRPr>
        </a:p>
      </xdr:txBody>
    </xdr:sp>
    <xdr:clientData/>
  </xdr:twoCellAnchor>
  <xdr:twoCellAnchor>
    <xdr:from>
      <xdr:col>12</xdr:col>
      <xdr:colOff>190500</xdr:colOff>
      <xdr:row>54</xdr:row>
      <xdr:rowOff>0</xdr:rowOff>
    </xdr:from>
    <xdr:to>
      <xdr:col>22</xdr:col>
      <xdr:colOff>590550</xdr:colOff>
      <xdr:row>55</xdr:row>
      <xdr:rowOff>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13754100" y="9420225"/>
          <a:ext cx="8191500" cy="1905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 C50 if using a Levelized Fixed Charge Rate amount for revenue and then choose between J50 and L50 if using a revenue amount or rate amount</a:t>
          </a:r>
        </a:p>
      </xdr:txBody>
    </xdr:sp>
    <xdr:clientData/>
  </xdr:twoCellAnchor>
  <xdr:twoCellAnchor>
    <xdr:from>
      <xdr:col>7</xdr:col>
      <xdr:colOff>628650</xdr:colOff>
      <xdr:row>55</xdr:row>
      <xdr:rowOff>28575</xdr:rowOff>
    </xdr:from>
    <xdr:to>
      <xdr:col>12</xdr:col>
      <xdr:colOff>409575</xdr:colOff>
      <xdr:row>55</xdr:row>
      <xdr:rowOff>171450</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9525000" y="9639300"/>
          <a:ext cx="4448175" cy="14287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 C51 if using a revenue based on midpoint</a:t>
          </a:r>
          <a:r>
            <a:rPr lang="en-US" sz="1000" i="1" baseline="0">
              <a:solidFill>
                <a:srgbClr val="0000FF"/>
              </a:solidFill>
              <a:sym typeface="Symbol" panose="05050102010706020507" pitchFamily="18" charset="2"/>
            </a:rPr>
            <a:t> of allowed return of equity</a:t>
          </a:r>
          <a:endParaRPr lang="en-US" sz="1000" i="1">
            <a:solidFill>
              <a:srgbClr val="0000FF"/>
            </a:solidFill>
            <a:sym typeface="Symbol" panose="05050102010706020507" pitchFamily="18" charset="2"/>
          </a:endParaRPr>
        </a:p>
      </xdr:txBody>
    </xdr:sp>
    <xdr:clientData/>
  </xdr:twoCellAnchor>
  <xdr:twoCellAnchor>
    <xdr:from>
      <xdr:col>3</xdr:col>
      <xdr:colOff>428624</xdr:colOff>
      <xdr:row>56</xdr:row>
      <xdr:rowOff>0</xdr:rowOff>
    </xdr:from>
    <xdr:to>
      <xdr:col>13</xdr:col>
      <xdr:colOff>361949</xdr:colOff>
      <xdr:row>56</xdr:row>
      <xdr:rowOff>180975</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91174" y="9801225"/>
          <a:ext cx="9267825" cy="18097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 C52 if project will be recovered through Base Rates (i.e., rate case years).  Do not enter a check mark</a:t>
          </a:r>
          <a:r>
            <a:rPr lang="en-US" sz="1000" i="1" baseline="0">
              <a:solidFill>
                <a:srgbClr val="0000FF"/>
              </a:solidFill>
              <a:sym typeface="Symbol" panose="05050102010706020507" pitchFamily="18" charset="2"/>
            </a:rPr>
            <a:t> in C49-C51 or enter amounts in row 58,  if using this assumption</a:t>
          </a:r>
          <a:endParaRPr lang="en-US" sz="1000" i="1">
            <a:solidFill>
              <a:srgbClr val="0000FF"/>
            </a:solidFill>
            <a:sym typeface="Symbol" panose="05050102010706020507" pitchFamily="18" charset="2"/>
          </a:endParaRPr>
        </a:p>
      </xdr:txBody>
    </xdr:sp>
    <xdr:clientData/>
  </xdr:twoCellAnchor>
  <mc:AlternateContent xmlns:mc="http://schemas.openxmlformats.org/markup-compatibility/2006">
    <mc:Choice xmlns:a14="http://schemas.microsoft.com/office/drawing/2010/main" Requires="a14">
      <xdr:twoCellAnchor editAs="oneCell">
        <xdr:from>
          <xdr:col>2</xdr:col>
          <xdr:colOff>15240</xdr:colOff>
          <xdr:row>56</xdr:row>
          <xdr:rowOff>15240</xdr:rowOff>
        </xdr:from>
        <xdr:to>
          <xdr:col>2</xdr:col>
          <xdr:colOff>929640</xdr:colOff>
          <xdr:row>57</xdr:row>
          <xdr:rowOff>15240</xdr:rowOff>
        </xdr:to>
        <xdr:sp macro="" textlink="">
          <xdr:nvSpPr>
            <xdr:cNvPr id="42108" name="Check Box 124" hidden="1">
              <a:extLst>
                <a:ext uri="{63B3BB69-23CF-44E3-9099-C40C66FF867C}">
                  <a14:compatExt spid="_x0000_s42108"/>
                </a:ext>
                <a:ext uri="{FF2B5EF4-FFF2-40B4-BE49-F238E27FC236}">
                  <a16:creationId xmlns:a16="http://schemas.microsoft.com/office/drawing/2014/main" id="{00000000-0008-0000-0100-00007CA40000}"/>
                </a:ext>
              </a:extLst>
            </xdr:cNvPr>
            <xdr:cNvSpPr/>
          </xdr:nvSpPr>
          <xdr:spPr bwMode="auto">
            <a:xfrm>
              <a:off x="0" y="0"/>
              <a:ext cx="0" cy="0"/>
            </a:xfrm>
            <a:prstGeom prst="rect">
              <a:avLst/>
            </a:prstGeom>
            <a:solidFill>
              <a:srgbClr val="FFFFCC"/>
            </a:solidFill>
            <a:ln w="9525">
              <a:solidFill>
                <a:srgbClr val="000000"/>
              </a:solidFill>
              <a:miter lim="800000"/>
              <a:headEnd/>
              <a:tailEnd/>
            </a:ln>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Enable</a:t>
              </a:r>
            </a:p>
          </xdr:txBody>
        </xdr:sp>
        <xdr:clientData/>
      </xdr:twoCellAnchor>
    </mc:Choice>
    <mc:Fallback/>
  </mc:AlternateContent>
  <xdr:twoCellAnchor>
    <xdr:from>
      <xdr:col>3</xdr:col>
      <xdr:colOff>142875</xdr:colOff>
      <xdr:row>59</xdr:row>
      <xdr:rowOff>9525</xdr:rowOff>
    </xdr:from>
    <xdr:to>
      <xdr:col>6</xdr:col>
      <xdr:colOff>552450</xdr:colOff>
      <xdr:row>59</xdr:row>
      <xdr:rowOff>180975</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5305425" y="10191750"/>
          <a:ext cx="3209925"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Do not change C54 without discussing with H. Bruen</a:t>
          </a:r>
        </a:p>
      </xdr:txBody>
    </xdr:sp>
    <xdr:clientData/>
  </xdr:twoCellAnchor>
  <xdr:twoCellAnchor>
    <xdr:from>
      <xdr:col>15</xdr:col>
      <xdr:colOff>104774</xdr:colOff>
      <xdr:row>63</xdr:row>
      <xdr:rowOff>0</xdr:rowOff>
    </xdr:from>
    <xdr:to>
      <xdr:col>27</xdr:col>
      <xdr:colOff>761999</xdr:colOff>
      <xdr:row>63</xdr:row>
      <xdr:rowOff>171450</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6468724" y="11134725"/>
          <a:ext cx="9458325"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incremental</a:t>
          </a:r>
          <a:r>
            <a:rPr lang="en-US" sz="1000" i="1" baseline="0">
              <a:solidFill>
                <a:srgbClr val="0000FF"/>
              </a:solidFill>
              <a:sym typeface="Symbol" panose="05050102010706020507" pitchFamily="18" charset="2"/>
            </a:rPr>
            <a:t> revenue in E58-O58 and any escalation % in C58 with year escalation starts. Do not enter amounts here if you have entered a check in C50-C52 above.</a:t>
          </a:r>
          <a:endParaRPr lang="en-US" sz="1000" i="1">
            <a:solidFill>
              <a:srgbClr val="0000FF"/>
            </a:solidFill>
            <a:sym typeface="Symbol" panose="05050102010706020507" pitchFamily="18" charset="2"/>
          </a:endParaRPr>
        </a:p>
      </xdr:txBody>
    </xdr:sp>
    <xdr:clientData/>
  </xdr:twoCellAnchor>
  <xdr:twoCellAnchor>
    <xdr:from>
      <xdr:col>15</xdr:col>
      <xdr:colOff>104776</xdr:colOff>
      <xdr:row>67</xdr:row>
      <xdr:rowOff>380999</xdr:rowOff>
    </xdr:from>
    <xdr:to>
      <xdr:col>22</xdr:col>
      <xdr:colOff>619126</xdr:colOff>
      <xdr:row>68</xdr:row>
      <xdr:rowOff>180974</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16468726" y="12277724"/>
          <a:ext cx="5505450" cy="18097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incremental</a:t>
          </a:r>
          <a:r>
            <a:rPr lang="en-US" sz="1000" i="1" baseline="0">
              <a:solidFill>
                <a:srgbClr val="0000FF"/>
              </a:solidFill>
              <a:sym typeface="Symbol" panose="05050102010706020507" pitchFamily="18" charset="2"/>
            </a:rPr>
            <a:t> fuel expense in E63-O63 and any  escalation % in C63 with year escalation starts. </a:t>
          </a:r>
          <a:endParaRPr lang="en-US" sz="1000" i="1">
            <a:solidFill>
              <a:srgbClr val="0000FF"/>
            </a:solidFill>
            <a:sym typeface="Symbol" panose="05050102010706020507" pitchFamily="18" charset="2"/>
          </a:endParaRPr>
        </a:p>
      </xdr:txBody>
    </xdr:sp>
    <xdr:clientData/>
  </xdr:twoCellAnchor>
  <xdr:twoCellAnchor>
    <xdr:from>
      <xdr:col>3</xdr:col>
      <xdr:colOff>76201</xdr:colOff>
      <xdr:row>71</xdr:row>
      <xdr:rowOff>0</xdr:rowOff>
    </xdr:from>
    <xdr:to>
      <xdr:col>9</xdr:col>
      <xdr:colOff>895351</xdr:colOff>
      <xdr:row>71</xdr:row>
      <xdr:rowOff>171450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5238751" y="12849225"/>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Applies to solar projects only (used in LFCR - Levelized Rate calculation).  Conatct H. Bruen if unsure of how to use</a:t>
          </a:r>
        </a:p>
      </xdr:txBody>
    </xdr:sp>
    <xdr:clientData/>
  </xdr:twoCellAnchor>
  <xdr:twoCellAnchor>
    <xdr:from>
      <xdr:col>3</xdr:col>
      <xdr:colOff>76200</xdr:colOff>
      <xdr:row>73</xdr:row>
      <xdr:rowOff>0</xdr:rowOff>
    </xdr:from>
    <xdr:to>
      <xdr:col>9</xdr:col>
      <xdr:colOff>895350</xdr:colOff>
      <xdr:row>73</xdr:row>
      <xdr:rowOff>171450</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5238750" y="13230225"/>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Applies to solar projects only (used in LFCR - Levelized Rate calculation).  Conatct H. Bruen if unsure of how to use</a:t>
          </a:r>
        </a:p>
      </xdr:txBody>
    </xdr:sp>
    <xdr:clientData/>
  </xdr:twoCellAnchor>
  <xdr:twoCellAnchor>
    <xdr:from>
      <xdr:col>3</xdr:col>
      <xdr:colOff>85725</xdr:colOff>
      <xdr:row>72</xdr:row>
      <xdr:rowOff>0</xdr:rowOff>
    </xdr:from>
    <xdr:to>
      <xdr:col>9</xdr:col>
      <xdr:colOff>904875</xdr:colOff>
      <xdr:row>72</xdr:row>
      <xdr:rowOff>171450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248275" y="13039725"/>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Applies to solar projects only (used in LFCR - Levelized Rate calculation).  Conatct H. Bruen if unsure of how to use</a:t>
          </a:r>
        </a:p>
      </xdr:txBody>
    </xdr:sp>
    <xdr:clientData/>
  </xdr:twoCellAnchor>
  <xdr:twoCellAnchor>
    <xdr:from>
      <xdr:col>3</xdr:col>
      <xdr:colOff>123825</xdr:colOff>
      <xdr:row>43</xdr:row>
      <xdr:rowOff>0</xdr:rowOff>
    </xdr:from>
    <xdr:to>
      <xdr:col>6</xdr:col>
      <xdr:colOff>533400</xdr:colOff>
      <xdr:row>43</xdr:row>
      <xdr:rowOff>171450</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5286375" y="8277225"/>
          <a:ext cx="3209925"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Do not change C44 without discussing with H. Bruen</a:t>
          </a:r>
        </a:p>
      </xdr:txBody>
    </xdr:sp>
    <xdr:clientData/>
  </xdr:twoCellAnchor>
  <xdr:twoCellAnchor>
    <xdr:from>
      <xdr:col>3</xdr:col>
      <xdr:colOff>66675</xdr:colOff>
      <xdr:row>74</xdr:row>
      <xdr:rowOff>0</xdr:rowOff>
    </xdr:from>
    <xdr:to>
      <xdr:col>9</xdr:col>
      <xdr:colOff>885825</xdr:colOff>
      <xdr:row>74</xdr:row>
      <xdr:rowOff>171450</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5229225" y="14439900"/>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Applies to solar projects only (used in LFCR - Levelized Rate calculation).  Conatct H. Bruen if unsure of how to use</a:t>
          </a:r>
        </a:p>
      </xdr:txBody>
    </xdr:sp>
    <xdr:clientData/>
  </xdr:twoCellAnchor>
  <xdr:twoCellAnchor>
    <xdr:from>
      <xdr:col>1</xdr:col>
      <xdr:colOff>85725</xdr:colOff>
      <xdr:row>90</xdr:row>
      <xdr:rowOff>19049</xdr:rowOff>
    </xdr:from>
    <xdr:to>
      <xdr:col>1</xdr:col>
      <xdr:colOff>3552824</xdr:colOff>
      <xdr:row>94</xdr:row>
      <xdr:rowOff>47624</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66725" y="16868774"/>
          <a:ext cx="3467099" cy="790575"/>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00FF"/>
              </a:solidFill>
            </a:rPr>
            <a:t>Note</a:t>
          </a:r>
          <a:r>
            <a:rPr lang="en-US" sz="1100" b="0">
              <a:solidFill>
                <a:srgbClr val="0000FF"/>
              </a:solidFill>
            </a:rPr>
            <a:t>:  Interest rates for Reg Companies are based on latest 30-Year borrowing rate forecast provided by Emera Treasury.  Non-reg uses the 10 year rates.</a:t>
          </a:r>
        </a:p>
        <a:p>
          <a:r>
            <a:rPr lang="en-US" sz="1100" b="0">
              <a:solidFill>
                <a:srgbClr val="0000FF"/>
              </a:solidFill>
            </a:rPr>
            <a:t>Current rates forecast were provided on 9/24/2020.</a:t>
          </a:r>
        </a:p>
      </xdr:txBody>
    </xdr:sp>
    <xdr:clientData/>
  </xdr:twoCellAnchor>
  <xdr:twoCellAnchor>
    <xdr:from>
      <xdr:col>3</xdr:col>
      <xdr:colOff>179916</xdr:colOff>
      <xdr:row>46</xdr:row>
      <xdr:rowOff>21167</xdr:rowOff>
    </xdr:from>
    <xdr:to>
      <xdr:col>8</xdr:col>
      <xdr:colOff>232833</xdr:colOff>
      <xdr:row>46</xdr:row>
      <xdr:rowOff>187853</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5342466" y="8869892"/>
          <a:ext cx="4720167" cy="166686"/>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0">
              <a:solidFill>
                <a:srgbClr val="0000FF"/>
              </a:solidFill>
              <a:sym typeface="Symbol" panose="05050102010706020507" pitchFamily="18" charset="2"/>
            </a:rPr>
            <a:t>  &lt;---</a:t>
          </a:r>
          <a:r>
            <a:rPr lang="en-US" sz="1000" i="0" baseline="0">
              <a:solidFill>
                <a:srgbClr val="0000FF"/>
              </a:solidFill>
              <a:sym typeface="Symbol" panose="05050102010706020507" pitchFamily="18" charset="2"/>
            </a:rPr>
            <a:t> 1 = ON, 0 = OFF, iF manual numbers available, input in "CAPEX" sheet (rows 60-69)</a:t>
          </a:r>
        </a:p>
        <a:p>
          <a:pPr algn="l"/>
          <a:endParaRPr lang="en-US" sz="1000" i="0" baseline="0">
            <a:solidFill>
              <a:srgbClr val="0000FF"/>
            </a:solidFill>
            <a:sym typeface="Symbol" panose="05050102010706020507" pitchFamily="18" charset="2"/>
          </a:endParaRPr>
        </a:p>
        <a:p>
          <a:pPr algn="ctr"/>
          <a:endParaRPr lang="en-US" sz="1000" i="0">
            <a:solidFill>
              <a:srgbClr val="0000FF"/>
            </a:solidFill>
            <a:sym typeface="Symbol" panose="05050102010706020507" pitchFamily="18" charset="2"/>
          </a:endParaRPr>
        </a:p>
        <a:p>
          <a:pPr algn="ctr"/>
          <a:r>
            <a:rPr lang="en-US" sz="1000" i="0">
              <a:solidFill>
                <a:srgbClr val="0000FF"/>
              </a:solidFill>
              <a:sym typeface="Symbol" panose="05050102010706020507" pitchFamily="18" charset="2"/>
            </a:rPr>
            <a:t></a:t>
          </a:r>
        </a:p>
      </xdr:txBody>
    </xdr:sp>
    <xdr:clientData/>
  </xdr:twoCellAnchor>
  <mc:AlternateContent xmlns:mc="http://schemas.openxmlformats.org/markup-compatibility/2006">
    <mc:Choice xmlns:a14="http://schemas.microsoft.com/office/drawing/2010/main" Requires="a14">
      <xdr:twoCellAnchor editAs="oneCell">
        <xdr:from>
          <xdr:col>0</xdr:col>
          <xdr:colOff>106680</xdr:colOff>
          <xdr:row>3</xdr:row>
          <xdr:rowOff>38100</xdr:rowOff>
        </xdr:from>
        <xdr:to>
          <xdr:col>1</xdr:col>
          <xdr:colOff>746760</xdr:colOff>
          <xdr:row>4</xdr:row>
          <xdr:rowOff>22860</xdr:rowOff>
        </xdr:to>
        <xdr:sp macro="" textlink="">
          <xdr:nvSpPr>
            <xdr:cNvPr id="42110" name="Button 126" hidden="1">
              <a:extLst>
                <a:ext uri="{63B3BB69-23CF-44E3-9099-C40C66FF867C}">
                  <a14:compatExt spid="_x0000_s42110"/>
                </a:ext>
                <a:ext uri="{FF2B5EF4-FFF2-40B4-BE49-F238E27FC236}">
                  <a16:creationId xmlns:a16="http://schemas.microsoft.com/office/drawing/2014/main" id="{00000000-0008-0000-0100-00007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FF0000"/>
                  </a:solidFill>
                  <a:latin typeface="Calibri"/>
                  <a:cs typeface="Calibri"/>
                </a:rPr>
                <a:t>Debt &amp; Equity</a:t>
              </a:r>
            </a:p>
          </xdr:txBody>
        </xdr:sp>
        <xdr:clientData fPrintsWithSheet="0"/>
      </xdr:twoCellAnchor>
    </mc:Choice>
    <mc:Fallback/>
  </mc:AlternateContent>
  <xdr:twoCellAnchor>
    <xdr:from>
      <xdr:col>1</xdr:col>
      <xdr:colOff>790575</xdr:colOff>
      <xdr:row>3</xdr:row>
      <xdr:rowOff>57150</xdr:rowOff>
    </xdr:from>
    <xdr:to>
      <xdr:col>1</xdr:col>
      <xdr:colOff>3629025</xdr:colOff>
      <xdr:row>4</xdr:row>
      <xdr:rowOff>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171575" y="561975"/>
          <a:ext cx="2838450" cy="257175"/>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rPr>
            <a:t>&lt;---  Click button to populate debt and equity</a:t>
          </a:r>
        </a:p>
      </xdr:txBody>
    </xdr:sp>
    <xdr:clientData/>
  </xdr:twoCellAnchor>
  <xdr:twoCellAnchor>
    <xdr:from>
      <xdr:col>3</xdr:col>
      <xdr:colOff>104775</xdr:colOff>
      <xdr:row>0</xdr:row>
      <xdr:rowOff>28575</xdr:rowOff>
    </xdr:from>
    <xdr:to>
      <xdr:col>4</xdr:col>
      <xdr:colOff>219075</xdr:colOff>
      <xdr:row>0</xdr:row>
      <xdr:rowOff>190500</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5267325" y="28575"/>
          <a:ext cx="1047750"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twoCellAnchor>
    <xdr:from>
      <xdr:col>3</xdr:col>
      <xdr:colOff>57150</xdr:colOff>
      <xdr:row>75</xdr:row>
      <xdr:rowOff>0</xdr:rowOff>
    </xdr:from>
    <xdr:to>
      <xdr:col>9</xdr:col>
      <xdr:colOff>876300</xdr:colOff>
      <xdr:row>75</xdr:row>
      <xdr:rowOff>171450</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5219700" y="14630400"/>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Enter 0 for IRR or</a:t>
          </a:r>
          <a:r>
            <a:rPr lang="en-US" sz="1000" i="1" baseline="0">
              <a:solidFill>
                <a:srgbClr val="0000FF"/>
              </a:solidFill>
              <a:sym typeface="Symbol" panose="05050102010706020507" pitchFamily="18" charset="2"/>
            </a:rPr>
            <a:t> </a:t>
          </a:r>
          <a:r>
            <a:rPr lang="en-US" sz="1000" i="1">
              <a:solidFill>
                <a:srgbClr val="0000FF"/>
              </a:solidFill>
              <a:sym typeface="Symbol" panose="05050102010706020507" pitchFamily="18" charset="2"/>
            </a:rPr>
            <a:t>1 for MIRR).  Conatct H. Bruen if unsure of how to use</a:t>
          </a:r>
        </a:p>
      </xdr:txBody>
    </xdr:sp>
    <xdr:clientData/>
  </xdr:twoCellAnchor>
  <xdr:twoCellAnchor editAs="oneCell">
    <xdr:from>
      <xdr:col>17</xdr:col>
      <xdr:colOff>0</xdr:colOff>
      <xdr:row>87</xdr:row>
      <xdr:rowOff>0</xdr:rowOff>
    </xdr:from>
    <xdr:to>
      <xdr:col>22</xdr:col>
      <xdr:colOff>576659</xdr:colOff>
      <xdr:row>103</xdr:row>
      <xdr:rowOff>68099</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16840200" y="16490950"/>
          <a:ext cx="4227909" cy="3014499"/>
        </a:xfrm>
        <a:prstGeom prst="rect">
          <a:avLst/>
        </a:prstGeom>
      </xdr:spPr>
    </xdr:pic>
    <xdr:clientData/>
  </xdr:twoCellAnchor>
  <xdr:twoCellAnchor editAs="oneCell">
    <xdr:from>
      <xdr:col>13</xdr:col>
      <xdr:colOff>501650</xdr:colOff>
      <xdr:row>30</xdr:row>
      <xdr:rowOff>25400</xdr:rowOff>
    </xdr:from>
    <xdr:to>
      <xdr:col>18</xdr:col>
      <xdr:colOff>236930</xdr:colOff>
      <xdr:row>46</xdr:row>
      <xdr:rowOff>107631</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stretch>
          <a:fillRect/>
        </a:stretch>
      </xdr:blipFill>
      <xdr:spPr>
        <a:xfrm>
          <a:off x="14420850" y="5651500"/>
          <a:ext cx="3386530" cy="30286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180975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5038725" y="28575"/>
          <a:ext cx="904875" cy="1524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47625</xdr:colOff>
      <xdr:row>0</xdr:row>
      <xdr:rowOff>38100</xdr:rowOff>
    </xdr:from>
    <xdr:to>
      <xdr:col>11</xdr:col>
      <xdr:colOff>333375</xdr:colOff>
      <xdr:row>1</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639550" y="38100"/>
          <a:ext cx="1047750" cy="161925"/>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2362200</xdr:colOff>
          <xdr:row>1</xdr:row>
          <xdr:rowOff>53340</xdr:rowOff>
        </xdr:from>
        <xdr:to>
          <xdr:col>1</xdr:col>
          <xdr:colOff>868680</xdr:colOff>
          <xdr:row>2</xdr:row>
          <xdr:rowOff>137160</xdr:rowOff>
        </xdr:to>
        <xdr:sp macro="" textlink="">
          <xdr:nvSpPr>
            <xdr:cNvPr id="46339" name="Button 259" hidden="1">
              <a:extLst>
                <a:ext uri="{63B3BB69-23CF-44E3-9099-C40C66FF867C}">
                  <a14:compatExt spid="_x0000_s46339"/>
                </a:ext>
                <a:ext uri="{FF2B5EF4-FFF2-40B4-BE49-F238E27FC236}">
                  <a16:creationId xmlns:a16="http://schemas.microsoft.com/office/drawing/2014/main" id="{00000000-0008-0000-0300-000003B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100" b="0" i="0" u="none" strike="noStrike" baseline="0">
                  <a:solidFill>
                    <a:srgbClr val="FF0000"/>
                  </a:solidFill>
                  <a:latin typeface="Arial"/>
                  <a:cs typeface="Arial"/>
                </a:rPr>
                <a:t>Debt &amp; Equity</a:t>
              </a:r>
            </a:p>
          </xdr:txBody>
        </xdr:sp>
        <xdr:clientData fPrintsWithSheet="0"/>
      </xdr:twoCellAnchor>
    </mc:Choice>
    <mc:Fallback/>
  </mc:AlternateContent>
  <xdr:twoCellAnchor>
    <xdr:from>
      <xdr:col>3</xdr:col>
      <xdr:colOff>38099</xdr:colOff>
      <xdr:row>0</xdr:row>
      <xdr:rowOff>38101</xdr:rowOff>
    </xdr:from>
    <xdr:to>
      <xdr:col>3</xdr:col>
      <xdr:colOff>942974</xdr:colOff>
      <xdr:row>1</xdr:row>
      <xdr:rowOff>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429124" y="38101"/>
          <a:ext cx="904875" cy="1524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0</xdr:row>
      <xdr:rowOff>9525</xdr:rowOff>
    </xdr:from>
    <xdr:to>
      <xdr:col>7</xdr:col>
      <xdr:colOff>466032</xdr:colOff>
      <xdr:row>13</xdr:row>
      <xdr:rowOff>180629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7175" y="9525"/>
          <a:ext cx="5542857" cy="2771429"/>
        </a:xfrm>
        <a:prstGeom prst="rect">
          <a:avLst/>
        </a:prstGeom>
      </xdr:spPr>
    </xdr:pic>
    <xdr:clientData/>
  </xdr:twoCellAnchor>
  <xdr:twoCellAnchor editAs="oneCell">
    <xdr:from>
      <xdr:col>0</xdr:col>
      <xdr:colOff>257175</xdr:colOff>
      <xdr:row>13</xdr:row>
      <xdr:rowOff>180975</xdr:rowOff>
    </xdr:from>
    <xdr:to>
      <xdr:col>7</xdr:col>
      <xdr:colOff>466725</xdr:colOff>
      <xdr:row>25</xdr:row>
      <xdr:rowOff>142580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57175" y="2781300"/>
          <a:ext cx="5543550" cy="2361905"/>
        </a:xfrm>
        <a:prstGeom prst="rect">
          <a:avLst/>
        </a:prstGeom>
      </xdr:spPr>
    </xdr:pic>
    <xdr:clientData/>
  </xdr:twoCellAnchor>
  <xdr:twoCellAnchor editAs="oneCell">
    <xdr:from>
      <xdr:col>0</xdr:col>
      <xdr:colOff>190500</xdr:colOff>
      <xdr:row>27</xdr:row>
      <xdr:rowOff>57150</xdr:rowOff>
    </xdr:from>
    <xdr:to>
      <xdr:col>7</xdr:col>
      <xdr:colOff>466024</xdr:colOff>
      <xdr:row>65</xdr:row>
      <xdr:rowOff>113343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90500" y="5457825"/>
          <a:ext cx="5609524" cy="7657143"/>
        </a:xfrm>
        <a:prstGeom prst="rect">
          <a:avLst/>
        </a:prstGeom>
      </xdr:spPr>
    </xdr:pic>
    <xdr:clientData/>
  </xdr:twoCellAnchor>
  <xdr:twoCellAnchor editAs="oneCell">
    <xdr:from>
      <xdr:col>0</xdr:col>
      <xdr:colOff>209550</xdr:colOff>
      <xdr:row>67</xdr:row>
      <xdr:rowOff>85725</xdr:rowOff>
    </xdr:from>
    <xdr:to>
      <xdr:col>7</xdr:col>
      <xdr:colOff>418407</xdr:colOff>
      <xdr:row>101</xdr:row>
      <xdr:rowOff>75326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09550" y="13487400"/>
          <a:ext cx="5542857" cy="6990476"/>
        </a:xfrm>
        <a:prstGeom prst="rect">
          <a:avLst/>
        </a:prstGeom>
      </xdr:spPr>
    </xdr:pic>
    <xdr:clientData/>
  </xdr:twoCellAnchor>
  <xdr:twoCellAnchor editAs="oneCell">
    <xdr:from>
      <xdr:col>0</xdr:col>
      <xdr:colOff>76200</xdr:colOff>
      <xdr:row>105</xdr:row>
      <xdr:rowOff>57150</xdr:rowOff>
    </xdr:from>
    <xdr:to>
      <xdr:col>11</xdr:col>
      <xdr:colOff>602124</xdr:colOff>
      <xdr:row>122</xdr:row>
      <xdr:rowOff>47201</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76200" y="21059775"/>
          <a:ext cx="9009524" cy="3390476"/>
        </a:xfrm>
        <a:prstGeom prst="rect">
          <a:avLst/>
        </a:prstGeom>
      </xdr:spPr>
    </xdr:pic>
    <xdr:clientData/>
  </xdr:twoCellAnchor>
  <xdr:twoCellAnchor editAs="oneCell">
    <xdr:from>
      <xdr:col>0</xdr:col>
      <xdr:colOff>114300</xdr:colOff>
      <xdr:row>140</xdr:row>
      <xdr:rowOff>95250</xdr:rowOff>
    </xdr:from>
    <xdr:to>
      <xdr:col>10</xdr:col>
      <xdr:colOff>446681</xdr:colOff>
      <xdr:row>158</xdr:row>
      <xdr:rowOff>75752</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14300" y="28098750"/>
          <a:ext cx="7952381" cy="3580952"/>
        </a:xfrm>
        <a:prstGeom prst="rect">
          <a:avLst/>
        </a:prstGeom>
      </xdr:spPr>
    </xdr:pic>
    <xdr:clientData/>
  </xdr:twoCellAnchor>
  <xdr:twoCellAnchor editAs="oneCell">
    <xdr:from>
      <xdr:col>0</xdr:col>
      <xdr:colOff>85725</xdr:colOff>
      <xdr:row>124</xdr:row>
      <xdr:rowOff>19050</xdr:rowOff>
    </xdr:from>
    <xdr:to>
      <xdr:col>10</xdr:col>
      <xdr:colOff>456201</xdr:colOff>
      <xdr:row>140</xdr:row>
      <xdr:rowOff>47221</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85725" y="24822150"/>
          <a:ext cx="7990476" cy="3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151</xdr:row>
      <xdr:rowOff>0</xdr:rowOff>
    </xdr:from>
    <xdr:to>
      <xdr:col>7</xdr:col>
      <xdr:colOff>670848</xdr:colOff>
      <xdr:row>158</xdr:row>
      <xdr:rowOff>177613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28708350"/>
          <a:ext cx="7857143" cy="1495238"/>
        </a:xfrm>
        <a:prstGeom prst="rect">
          <a:avLst/>
        </a:prstGeom>
      </xdr:spPr>
    </xdr:pic>
    <xdr:clientData/>
  </xdr:twoCellAnchor>
  <xdr:twoCellAnchor>
    <xdr:from>
      <xdr:col>9</xdr:col>
      <xdr:colOff>809625</xdr:colOff>
      <xdr:row>13</xdr:row>
      <xdr:rowOff>95250</xdr:rowOff>
    </xdr:from>
    <xdr:to>
      <xdr:col>10</xdr:col>
      <xdr:colOff>581025</xdr:colOff>
      <xdr:row>13</xdr:row>
      <xdr:rowOff>95250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10182225" y="2581275"/>
          <a:ext cx="8667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847725</xdr:colOff>
      <xdr:row>27</xdr:row>
      <xdr:rowOff>95250</xdr:rowOff>
    </xdr:from>
    <xdr:to>
      <xdr:col>10</xdr:col>
      <xdr:colOff>619125</xdr:colOff>
      <xdr:row>27</xdr:row>
      <xdr:rowOff>95250</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10220325" y="5257800"/>
          <a:ext cx="8667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571500</xdr:colOff>
      <xdr:row>13</xdr:row>
      <xdr:rowOff>85725</xdr:rowOff>
    </xdr:from>
    <xdr:to>
      <xdr:col>10</xdr:col>
      <xdr:colOff>571500</xdr:colOff>
      <xdr:row>18</xdr:row>
      <xdr:rowOff>133350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11039475" y="2571750"/>
          <a:ext cx="0" cy="10001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600075</xdr:colOff>
      <xdr:row>22</xdr:row>
      <xdr:rowOff>142875</xdr:rowOff>
    </xdr:from>
    <xdr:to>
      <xdr:col>10</xdr:col>
      <xdr:colOff>600075</xdr:colOff>
      <xdr:row>27</xdr:row>
      <xdr:rowOff>104775</xdr:rowOff>
    </xdr:to>
    <xdr:cxnSp macro="">
      <xdr:nvCxnSpPr>
        <xdr:cNvPr id="12" name="Straight Arrow Connector 11">
          <a:extLst>
            <a:ext uri="{FF2B5EF4-FFF2-40B4-BE49-F238E27FC236}">
              <a16:creationId xmlns:a16="http://schemas.microsoft.com/office/drawing/2014/main" id="{00000000-0008-0000-0600-00000C000000}"/>
            </a:ext>
          </a:extLst>
        </xdr:cNvPr>
        <xdr:cNvCxnSpPr/>
      </xdr:nvCxnSpPr>
      <xdr:spPr>
        <a:xfrm flipV="1">
          <a:off x="11068050" y="4343400"/>
          <a:ext cx="0" cy="923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1083469</xdr:colOff>
      <xdr:row>0</xdr:row>
      <xdr:rowOff>71437</xdr:rowOff>
    </xdr:from>
    <xdr:to>
      <xdr:col>6</xdr:col>
      <xdr:colOff>11906</xdr:colOff>
      <xdr:row>3</xdr:row>
      <xdr:rowOff>381000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191375" y="71437"/>
          <a:ext cx="631031" cy="988219"/>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US" sz="1000" i="0">
              <a:solidFill>
                <a:srgbClr val="0000FF"/>
              </a:solidFill>
              <a:sym typeface="Symbol" panose="05050102010706020507" pitchFamily="18" charset="2"/>
            </a:rPr>
            <a:t>Enter "Y" if project qualifies for ITC</a:t>
          </a:r>
        </a:p>
        <a:p>
          <a:pPr algn="ctr"/>
          <a:r>
            <a:rPr lang="en-US" sz="1000" i="0">
              <a:solidFill>
                <a:srgbClr val="0000FF"/>
              </a:solidFill>
              <a:sym typeface="Symbol" panose="05050102010706020507" pitchFamily="18" charset="2"/>
            </a:rPr>
            <a:t></a:t>
          </a:r>
        </a:p>
      </xdr:txBody>
    </xdr:sp>
    <xdr:clientData/>
  </xdr:twoCellAnchor>
  <xdr:twoCellAnchor>
    <xdr:from>
      <xdr:col>0</xdr:col>
      <xdr:colOff>1369219</xdr:colOff>
      <xdr:row>18</xdr:row>
      <xdr:rowOff>35718</xdr:rowOff>
    </xdr:from>
    <xdr:to>
      <xdr:col>5</xdr:col>
      <xdr:colOff>585788</xdr:colOff>
      <xdr:row>19</xdr:row>
      <xdr:rowOff>4762</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369219" y="4155281"/>
          <a:ext cx="6419850" cy="1714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0">
              <a:solidFill>
                <a:srgbClr val="0000FF"/>
              </a:solidFill>
              <a:sym typeface="Symbol" panose="05050102010706020507" pitchFamily="18" charset="2"/>
            </a:rPr>
            <a:t>  Check with Plant Accounting to determine</a:t>
          </a:r>
          <a:r>
            <a:rPr lang="en-US" sz="1000" i="0" baseline="0">
              <a:solidFill>
                <a:srgbClr val="0000FF"/>
              </a:solidFill>
              <a:sym typeface="Symbol" panose="05050102010706020507" pitchFamily="18" charset="2"/>
            </a:rPr>
            <a:t> if project is to earn AFUDC and amount by year.</a:t>
          </a:r>
          <a:endParaRPr lang="en-US" sz="1000" i="0">
            <a:solidFill>
              <a:srgbClr val="0000FF"/>
            </a:solidFill>
            <a:sym typeface="Symbol" panose="05050102010706020507" pitchFamily="18" charset="2"/>
          </a:endParaRPr>
        </a:p>
      </xdr:txBody>
    </xdr:sp>
    <xdr:clientData/>
  </xdr:twoCellAnchor>
  <xdr:twoCellAnchor>
    <xdr:from>
      <xdr:col>4</xdr:col>
      <xdr:colOff>214312</xdr:colOff>
      <xdr:row>0</xdr:row>
      <xdr:rowOff>71437</xdr:rowOff>
    </xdr:from>
    <xdr:to>
      <xdr:col>4</xdr:col>
      <xdr:colOff>940594</xdr:colOff>
      <xdr:row>3</xdr:row>
      <xdr:rowOff>381000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6322218" y="71437"/>
          <a:ext cx="726282" cy="988219"/>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US" sz="1000" i="0">
              <a:solidFill>
                <a:srgbClr val="0000FF"/>
              </a:solidFill>
              <a:sym typeface="Symbol" panose="05050102010706020507" pitchFamily="18" charset="2"/>
            </a:rPr>
            <a:t>Check with Tax Dept. for proper tax life</a:t>
          </a:r>
        </a:p>
        <a:p>
          <a:pPr algn="ctr"/>
          <a:r>
            <a:rPr lang="en-US" sz="1000" i="0">
              <a:solidFill>
                <a:srgbClr val="0000FF"/>
              </a:solidFill>
              <a:sym typeface="Symbol" panose="05050102010706020507" pitchFamily="18" charset="2"/>
            </a:rPr>
            <a:t></a:t>
          </a:r>
        </a:p>
      </xdr:txBody>
    </xdr:sp>
    <xdr:clientData/>
  </xdr:twoCellAnchor>
  <xdr:twoCellAnchor>
    <xdr:from>
      <xdr:col>3</xdr:col>
      <xdr:colOff>226218</xdr:colOff>
      <xdr:row>0</xdr:row>
      <xdr:rowOff>59531</xdr:rowOff>
    </xdr:from>
    <xdr:to>
      <xdr:col>3</xdr:col>
      <xdr:colOff>964405</xdr:colOff>
      <xdr:row>3</xdr:row>
      <xdr:rowOff>369094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5238749" y="59531"/>
          <a:ext cx="738187" cy="988219"/>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US" sz="1000" i="0">
              <a:solidFill>
                <a:srgbClr val="0000FF"/>
              </a:solidFill>
              <a:sym typeface="Symbol" panose="05050102010706020507" pitchFamily="18" charset="2"/>
            </a:rPr>
            <a:t>Check with Plant</a:t>
          </a:r>
          <a:r>
            <a:rPr lang="en-US" sz="1000" i="0" baseline="0">
              <a:solidFill>
                <a:srgbClr val="0000FF"/>
              </a:solidFill>
              <a:sym typeface="Symbol" panose="05050102010706020507" pitchFamily="18" charset="2"/>
            </a:rPr>
            <a:t> Acct.</a:t>
          </a:r>
          <a:r>
            <a:rPr lang="en-US" sz="1000" i="0">
              <a:solidFill>
                <a:srgbClr val="0000FF"/>
              </a:solidFill>
              <a:sym typeface="Symbol" panose="05050102010706020507" pitchFamily="18" charset="2"/>
            </a:rPr>
            <a:t>. for proper tax life</a:t>
          </a:r>
        </a:p>
        <a:p>
          <a:pPr algn="ctr"/>
          <a:r>
            <a:rPr lang="en-US" sz="1000" i="0">
              <a:solidFill>
                <a:srgbClr val="0000FF"/>
              </a:solidFill>
              <a:sym typeface="Symbol" panose="05050102010706020507" pitchFamily="18" charset="2"/>
            </a:rPr>
            <a:t></a:t>
          </a:r>
        </a:p>
      </xdr:txBody>
    </xdr:sp>
    <xdr:clientData/>
  </xdr:twoCellAnchor>
  <xdr:twoCellAnchor>
    <xdr:from>
      <xdr:col>2</xdr:col>
      <xdr:colOff>52916</xdr:colOff>
      <xdr:row>0</xdr:row>
      <xdr:rowOff>21166</xdr:rowOff>
    </xdr:from>
    <xdr:to>
      <xdr:col>2</xdr:col>
      <xdr:colOff>957791</xdr:colOff>
      <xdr:row>0</xdr:row>
      <xdr:rowOff>169333</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3746499" y="21166"/>
          <a:ext cx="904875" cy="148167"/>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53340</xdr:colOff>
          <xdr:row>1</xdr:row>
          <xdr:rowOff>15240</xdr:rowOff>
        </xdr:from>
        <xdr:to>
          <xdr:col>1</xdr:col>
          <xdr:colOff>990600</xdr:colOff>
          <xdr:row>2</xdr:row>
          <xdr:rowOff>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100" b="0" i="0" u="none" strike="noStrike" baseline="0">
                  <a:solidFill>
                    <a:srgbClr val="FF0000"/>
                  </a:solidFill>
                  <a:latin typeface="Arial"/>
                  <a:cs typeface="Arial"/>
                </a:rPr>
                <a:t>Debt &amp; Equity</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2733674</xdr:colOff>
      <xdr:row>12</xdr:row>
      <xdr:rowOff>154780</xdr:rowOff>
    </xdr:from>
    <xdr:to>
      <xdr:col>11</xdr:col>
      <xdr:colOff>666748</xdr:colOff>
      <xdr:row>13</xdr:row>
      <xdr:rowOff>164305</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2733674" y="2840830"/>
          <a:ext cx="11620499" cy="20955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0">
              <a:solidFill>
                <a:srgbClr val="0000FF"/>
              </a:solidFill>
              <a:sym typeface="Symbol" panose="05050102010706020507" pitchFamily="18" charset="2"/>
            </a:rPr>
            <a:t>  Enter O&amp;M by year.  If it is the same for each year, enter  O&amp;M in first</a:t>
          </a:r>
          <a:r>
            <a:rPr lang="en-US" sz="1000" i="0" baseline="0">
              <a:solidFill>
                <a:srgbClr val="0000FF"/>
              </a:solidFill>
              <a:sym typeface="Symbol" panose="05050102010706020507" pitchFamily="18" charset="2"/>
            </a:rPr>
            <a:t> year occurred and enter that same year in column C.  If it is to grow off a prior year, enter % in column B and year that growth will begin</a:t>
          </a:r>
          <a:endParaRPr lang="en-US" sz="1000" i="0">
            <a:solidFill>
              <a:srgbClr val="0000FF"/>
            </a:solidFill>
            <a:sym typeface="Symbol" panose="05050102010706020507" pitchFamily="18" charset="2"/>
          </a:endParaRPr>
        </a:p>
      </xdr:txBody>
    </xdr:sp>
    <xdr:clientData/>
  </xdr:twoCellAnchor>
  <xdr:twoCellAnchor>
    <xdr:from>
      <xdr:col>3</xdr:col>
      <xdr:colOff>105834</xdr:colOff>
      <xdr:row>0</xdr:row>
      <xdr:rowOff>52917</xdr:rowOff>
    </xdr:from>
    <xdr:to>
      <xdr:col>3</xdr:col>
      <xdr:colOff>1010709</xdr:colOff>
      <xdr:row>0</xdr:row>
      <xdr:rowOff>205317</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037667" y="52917"/>
          <a:ext cx="904875" cy="1524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twoCellAnchor editAs="oneCell">
    <xdr:from>
      <xdr:col>0</xdr:col>
      <xdr:colOff>19050</xdr:colOff>
      <xdr:row>37</xdr:row>
      <xdr:rowOff>0</xdr:rowOff>
    </xdr:from>
    <xdr:to>
      <xdr:col>7</xdr:col>
      <xdr:colOff>675675</xdr:colOff>
      <xdr:row>60</xdr:row>
      <xdr:rowOff>184150</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575550"/>
          <a:ext cx="9171975" cy="471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69850</xdr:rowOff>
    </xdr:from>
    <xdr:to>
      <xdr:col>5</xdr:col>
      <xdr:colOff>1029290</xdr:colOff>
      <xdr:row>96</xdr:row>
      <xdr:rowOff>68612</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stretch>
          <a:fillRect/>
        </a:stretch>
      </xdr:blipFill>
      <xdr:spPr>
        <a:xfrm>
          <a:off x="0" y="12960350"/>
          <a:ext cx="7436440" cy="6297962"/>
        </a:xfrm>
        <a:prstGeom prst="rect">
          <a:avLst/>
        </a:prstGeom>
      </xdr:spPr>
    </xdr:pic>
    <xdr:clientData/>
  </xdr:twoCellAnchor>
  <xdr:twoCellAnchor editAs="oneCell">
    <xdr:from>
      <xdr:col>6</xdr:col>
      <xdr:colOff>298450</xdr:colOff>
      <xdr:row>65</xdr:row>
      <xdr:rowOff>120650</xdr:rowOff>
    </xdr:from>
    <xdr:to>
      <xdr:col>12</xdr:col>
      <xdr:colOff>348222</xdr:colOff>
      <xdr:row>82</xdr:row>
      <xdr:rowOff>11976</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stretch>
          <a:fillRect/>
        </a:stretch>
      </xdr:blipFill>
      <xdr:spPr>
        <a:xfrm>
          <a:off x="7759700" y="13208000"/>
          <a:ext cx="6374372" cy="3237776"/>
        </a:xfrm>
        <a:prstGeom prst="rect">
          <a:avLst/>
        </a:prstGeom>
      </xdr:spPr>
    </xdr:pic>
    <xdr:clientData/>
  </xdr:twoCellAnchor>
  <xdr:twoCellAnchor editAs="oneCell">
    <xdr:from>
      <xdr:col>8</xdr:col>
      <xdr:colOff>584850</xdr:colOff>
      <xdr:row>36</xdr:row>
      <xdr:rowOff>190500</xdr:rowOff>
    </xdr:from>
    <xdr:to>
      <xdr:col>13</xdr:col>
      <xdr:colOff>874462</xdr:colOff>
      <xdr:row>58</xdr:row>
      <xdr:rowOff>87502</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4"/>
        <a:stretch>
          <a:fillRect/>
        </a:stretch>
      </xdr:blipFill>
      <xdr:spPr>
        <a:xfrm>
          <a:off x="10154300" y="7569200"/>
          <a:ext cx="5560112" cy="4227702"/>
        </a:xfrm>
        <a:prstGeom prst="rect">
          <a:avLst/>
        </a:prstGeom>
      </xdr:spPr>
    </xdr:pic>
    <xdr:clientData/>
  </xdr:twoCellAnchor>
  <xdr:twoCellAnchor editAs="oneCell">
    <xdr:from>
      <xdr:col>14</xdr:col>
      <xdr:colOff>133350</xdr:colOff>
      <xdr:row>39</xdr:row>
      <xdr:rowOff>76251</xdr:rowOff>
    </xdr:from>
    <xdr:to>
      <xdr:col>17</xdr:col>
      <xdr:colOff>1041400</xdr:colOff>
      <xdr:row>54</xdr:row>
      <xdr:rowOff>83384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5"/>
        <a:stretch>
          <a:fillRect/>
        </a:stretch>
      </xdr:blipFill>
      <xdr:spPr>
        <a:xfrm>
          <a:off x="16027400" y="8045501"/>
          <a:ext cx="4070350" cy="29598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209550</xdr:colOff>
      <xdr:row>20</xdr:row>
      <xdr:rowOff>142876</xdr:rowOff>
    </xdr:from>
    <xdr:to>
      <xdr:col>4</xdr:col>
      <xdr:colOff>314325</xdr:colOff>
      <xdr:row>39</xdr:row>
      <xdr:rowOff>107052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209550" y="3981451"/>
          <a:ext cx="4829175" cy="3583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76200</xdr:colOff>
      <xdr:row>0</xdr:row>
      <xdr:rowOff>38100</xdr:rowOff>
    </xdr:from>
    <xdr:to>
      <xdr:col>7</xdr:col>
      <xdr:colOff>981075</xdr:colOff>
      <xdr:row>0</xdr:row>
      <xdr:rowOff>190500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8334375" y="38100"/>
          <a:ext cx="904875" cy="152400"/>
        </a:xfrm>
        <a:prstGeom prst="rect">
          <a:avLst/>
        </a:prstGeom>
        <a:solidFill>
          <a:schemeClr val="accent1">
            <a:lumMod val="20000"/>
            <a:lumOff val="80000"/>
          </a:schemeClr>
        </a:solidFill>
        <a:ln w="9525" cmpd="sng">
          <a:solidFill>
            <a:srgbClr val="0000FF"/>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en-US" sz="1000" i="1">
              <a:solidFill>
                <a:srgbClr val="0000FF"/>
              </a:solidFill>
              <a:sym typeface="Symbol" panose="05050102010706020507" pitchFamily="18" charset="2"/>
            </a:rPr>
            <a:t>  Check</a:t>
          </a:r>
        </a:p>
        <a:p>
          <a:pPr algn="l"/>
          <a:endParaRPr lang="en-US" sz="1000" i="1">
            <a:solidFill>
              <a:srgbClr val="0000FF"/>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ecasts/TEFIS/2018/Strat%20Plan/TEFIS%20-%202018%20Strat%20Pla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ting"/>
      <sheetName val="LinkedSheets"/>
      <sheetName val="Change Log"/>
      <sheetName val="Model Map"/>
      <sheetName val="Drivers"/>
      <sheetName val="ScenarioMgr"/>
      <sheetName val="Financial Reports ---&gt;"/>
      <sheetName val="FERC"/>
      <sheetName val="EE"/>
      <sheetName val="GAAP"/>
      <sheetName val="BOT"/>
      <sheetName val="Customer Bill"/>
      <sheetName val="Surv Report"/>
      <sheetName val="SR Comparison"/>
      <sheetName val="CAPEX Summary"/>
      <sheetName val="O&amp;M Summary"/>
      <sheetName val="Memos"/>
      <sheetName val="Data Sources ---&gt;"/>
      <sheetName val="EED"/>
      <sheetName val="IS Accts"/>
      <sheetName val="BS Accts"/>
      <sheetName val="Electric Revs"/>
      <sheetName val="PAR"/>
      <sheetName val="Revenues ---&gt;"/>
      <sheetName val="TotRevs"/>
      <sheetName val="Other Revs"/>
      <sheetName val="Fuel Cost"/>
      <sheetName val="BTL-Other"/>
      <sheetName val="Plant ---&gt;"/>
      <sheetName val="Plant.Input"/>
      <sheetName val="Plant.Calc"/>
      <sheetName val="SOP"/>
      <sheetName val="CWIP"/>
      <sheetName val="Capex"/>
      <sheetName val="Capex AFUDC"/>
      <sheetName val="O&amp;M ---&gt;"/>
      <sheetName val="O&amp;M"/>
      <sheetName val="Taxes ---&gt;"/>
      <sheetName val="Taxes Other"/>
      <sheetName val="Tax DL"/>
      <sheetName val="NOL-Credit Utilization"/>
      <sheetName val="Capex - Tax"/>
      <sheetName val="Financing ---&gt;"/>
      <sheetName val="Debt"/>
      <sheetName val="Financing"/>
      <sheetName val="Regulatory ---&gt;"/>
      <sheetName val="ECRC ROI"/>
      <sheetName val="Fuel ROI"/>
      <sheetName val="Working Capital"/>
      <sheetName val="Credit Metrics ---&gt;"/>
      <sheetName val="Financial Ratios - S&amp;P"/>
      <sheetName val="Financial Ratios - Moodys"/>
      <sheetName val="Check tabs ---&gt;"/>
      <sheetName val="Checks"/>
      <sheetName val="VersionCheck"/>
      <sheetName val="TEFIS - 2018 Stra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pageSetUpPr fitToPage="1"/>
  </sheetPr>
  <dimension ref="A1:B65537"/>
  <sheetViews>
    <sheetView showGridLines="0" workbookViewId="0">
      <selection activeCell="B6" sqref="B6"/>
    </sheetView>
  </sheetViews>
  <sheetFormatPr defaultColWidth="0" defaultRowHeight="14.4" zeroHeight="1"/>
  <cols>
    <col min="1" max="1" width="4.90625" style="2" customWidth="1"/>
    <col min="2" max="2" width="103.453125" style="2" customWidth="1"/>
    <col min="3" max="16384" width="0" style="2" hidden="1"/>
  </cols>
  <sheetData>
    <row r="1" spans="1:2">
      <c r="A1" s="198" t="s">
        <v>0</v>
      </c>
    </row>
    <row r="2" spans="1:2" ht="15" thickBot="1">
      <c r="A2" s="199" t="s">
        <v>1</v>
      </c>
      <c r="B2" s="195"/>
    </row>
    <row r="3" spans="1:2">
      <c r="A3" s="50" t="s">
        <v>2</v>
      </c>
      <c r="B3" s="200"/>
    </row>
    <row r="4" spans="1:2" ht="28.8">
      <c r="B4" s="200" t="s">
        <v>3</v>
      </c>
    </row>
    <row r="5" spans="1:2">
      <c r="B5" s="2" t="s">
        <v>4</v>
      </c>
    </row>
    <row r="6" spans="1:2">
      <c r="B6" s="2" t="s">
        <v>5</v>
      </c>
    </row>
    <row r="7" spans="1:2" ht="28.8">
      <c r="B7" s="200" t="s">
        <v>6</v>
      </c>
    </row>
    <row r="8" spans="1:2" ht="43.2">
      <c r="B8" s="200" t="s">
        <v>7</v>
      </c>
    </row>
    <row r="9" spans="1:2" ht="43.2">
      <c r="B9" s="200" t="s">
        <v>8</v>
      </c>
    </row>
    <row r="10" spans="1:2" ht="28.8">
      <c r="B10" s="200" t="s">
        <v>9</v>
      </c>
    </row>
    <row r="11" spans="1:2" ht="28.8">
      <c r="B11" s="200" t="s">
        <v>10</v>
      </c>
    </row>
    <row r="12" spans="1:2">
      <c r="B12" s="2" t="s">
        <v>11</v>
      </c>
    </row>
    <row r="13" spans="1:2">
      <c r="A13" s="50" t="s">
        <v>12</v>
      </c>
    </row>
    <row r="14" spans="1:2" ht="28.8">
      <c r="B14" s="245" t="s">
        <v>13</v>
      </c>
    </row>
    <row r="15" spans="1:2">
      <c r="B15" s="245" t="s">
        <v>14</v>
      </c>
    </row>
    <row r="16" spans="1:2" ht="28.8">
      <c r="B16" s="245" t="s">
        <v>15</v>
      </c>
    </row>
    <row r="17" spans="1:2">
      <c r="B17" s="247" t="s">
        <v>16</v>
      </c>
    </row>
    <row r="18" spans="1:2" ht="28.8">
      <c r="B18" s="247" t="s">
        <v>17</v>
      </c>
    </row>
    <row r="19" spans="1:2">
      <c r="A19" s="50" t="s">
        <v>18</v>
      </c>
      <c r="B19" s="200"/>
    </row>
    <row r="20" spans="1:2" ht="57.6">
      <c r="B20" s="246" t="s">
        <v>19</v>
      </c>
    </row>
    <row r="21" spans="1:2">
      <c r="B21" s="246" t="s">
        <v>20</v>
      </c>
    </row>
    <row r="22" spans="1:2">
      <c r="B22" s="246" t="s">
        <v>21</v>
      </c>
    </row>
    <row r="23" spans="1:2">
      <c r="B23" s="246" t="s">
        <v>22</v>
      </c>
    </row>
    <row r="24" spans="1:2">
      <c r="B24" s="246" t="s">
        <v>23</v>
      </c>
    </row>
    <row r="25" spans="1:2">
      <c r="B25" s="245" t="s">
        <v>24</v>
      </c>
    </row>
    <row r="26" spans="1:2">
      <c r="B26" s="245" t="s">
        <v>25</v>
      </c>
    </row>
    <row r="27" spans="1:2">
      <c r="B27" s="245" t="s">
        <v>26</v>
      </c>
    </row>
    <row r="28" spans="1:2" ht="43.2">
      <c r="B28" s="246" t="s">
        <v>27</v>
      </c>
    </row>
    <row r="29" spans="1:2" ht="100.8">
      <c r="B29" s="246" t="s">
        <v>28</v>
      </c>
    </row>
    <row r="30" spans="1:2">
      <c r="B30" s="443" t="s">
        <v>29</v>
      </c>
    </row>
    <row r="31" spans="1:2" ht="43.2">
      <c r="B31" s="245" t="s">
        <v>30</v>
      </c>
    </row>
    <row r="32" spans="1:2" ht="43.2">
      <c r="B32" s="549" t="s">
        <v>31</v>
      </c>
    </row>
    <row r="33" spans="1:2">
      <c r="B33" s="245" t="s">
        <v>32</v>
      </c>
    </row>
    <row r="34" spans="1:2" ht="172.8">
      <c r="B34" s="246" t="s">
        <v>33</v>
      </c>
    </row>
    <row r="35" spans="1:2" ht="86.4">
      <c r="B35" s="246" t="s">
        <v>34</v>
      </c>
    </row>
    <row r="36" spans="1:2" ht="72">
      <c r="B36" s="246" t="s">
        <v>35</v>
      </c>
    </row>
    <row r="37" spans="1:2">
      <c r="A37" s="50" t="s">
        <v>36</v>
      </c>
    </row>
    <row r="38" spans="1:2" ht="158.4">
      <c r="B38" s="246" t="s">
        <v>37</v>
      </c>
    </row>
    <row r="39" spans="1:2">
      <c r="A39" s="50" t="s">
        <v>38</v>
      </c>
    </row>
    <row r="40" spans="1:2">
      <c r="B40" s="444" t="s">
        <v>39</v>
      </c>
    </row>
    <row r="41" spans="1:2">
      <c r="B41" s="444" t="s">
        <v>40</v>
      </c>
    </row>
    <row r="42" spans="1:2">
      <c r="B42" s="445" t="s">
        <v>41</v>
      </c>
    </row>
    <row r="43" spans="1:2"/>
    <row r="44" spans="1:2"/>
    <row r="45" spans="1:2"/>
    <row r="46" spans="1:2"/>
    <row r="47" spans="1:2"/>
    <row r="48" spans="1: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sheetData>
  <pageMargins left="0.7" right="0.5" top="0.5" bottom="0.5" header="0.3" footer="0.3"/>
  <pageSetup scale="72"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sheetPr>
  <dimension ref="A1:AM112"/>
  <sheetViews>
    <sheetView showGridLines="0" zoomScale="110" zoomScaleNormal="110" workbookViewId="0">
      <pane xSplit="6" ySplit="5" topLeftCell="G6" activePane="bottomRight" state="frozen"/>
      <selection pane="topRight" activeCell="B6" sqref="B6"/>
      <selection pane="bottomLeft" activeCell="B6" sqref="B6"/>
      <selection pane="bottomRight" activeCell="AL13" sqref="AL13"/>
    </sheetView>
  </sheetViews>
  <sheetFormatPr defaultColWidth="8.90625" defaultRowHeight="15.6"/>
  <cols>
    <col min="1" max="1" width="30.54296875" style="192" bestFit="1" customWidth="1"/>
    <col min="2" max="2" width="12.453125" style="192" bestFit="1" customWidth="1"/>
    <col min="3" max="5" width="12.81640625" style="192" customWidth="1"/>
    <col min="6" max="6" width="7.08984375" style="192" customWidth="1"/>
    <col min="7" max="37" width="12.81640625" style="192" customWidth="1"/>
    <col min="38" max="38" width="10.90625" style="192" bestFit="1" customWidth="1"/>
    <col min="39" max="39" width="11.453125" style="192" bestFit="1" customWidth="1"/>
    <col min="40" max="16384" width="8.90625" style="192"/>
  </cols>
  <sheetData>
    <row r="1" spans="1:39" ht="14.25" customHeight="1">
      <c r="A1" s="321" t="str">
        <f>+'Input Data'!C9</f>
        <v>Project Tampa - Midtown (Updated Costs Sept 2022)</v>
      </c>
      <c r="B1" s="566" t="str">
        <f>IF(Financials!D175=0,"All checks OK","Press D&amp;E Macro")</f>
        <v>All checks OK</v>
      </c>
      <c r="G1" s="315" t="s">
        <v>379</v>
      </c>
      <c r="H1" s="315"/>
      <c r="I1" s="654">
        <v>1</v>
      </c>
      <c r="J1" s="315" t="s">
        <v>380</v>
      </c>
    </row>
    <row r="2" spans="1:39" ht="18">
      <c r="A2" s="321" t="s">
        <v>381</v>
      </c>
      <c r="H2" s="192" t="s">
        <v>382</v>
      </c>
      <c r="I2" s="655">
        <v>0</v>
      </c>
      <c r="J2" s="315" t="s">
        <v>383</v>
      </c>
    </row>
    <row r="3" spans="1:39">
      <c r="G3" s="309">
        <v>1</v>
      </c>
      <c r="H3" s="309">
        <f>+G3+1</f>
        <v>2</v>
      </c>
      <c r="I3" s="309">
        <f t="shared" ref="I3:Z3" si="0">+H3+1</f>
        <v>3</v>
      </c>
      <c r="J3" s="309">
        <f t="shared" si="0"/>
        <v>4</v>
      </c>
      <c r="K3" s="309">
        <f t="shared" si="0"/>
        <v>5</v>
      </c>
      <c r="L3" s="309">
        <f t="shared" si="0"/>
        <v>6</v>
      </c>
      <c r="M3" s="309">
        <f t="shared" si="0"/>
        <v>7</v>
      </c>
      <c r="N3" s="309">
        <f t="shared" si="0"/>
        <v>8</v>
      </c>
      <c r="O3" s="309">
        <f t="shared" si="0"/>
        <v>9</v>
      </c>
      <c r="P3" s="309">
        <f t="shared" si="0"/>
        <v>10</v>
      </c>
      <c r="Q3" s="309">
        <f t="shared" si="0"/>
        <v>11</v>
      </c>
      <c r="R3" s="309">
        <f t="shared" si="0"/>
        <v>12</v>
      </c>
      <c r="S3" s="309">
        <f t="shared" si="0"/>
        <v>13</v>
      </c>
      <c r="T3" s="309">
        <f t="shared" si="0"/>
        <v>14</v>
      </c>
      <c r="U3" s="309">
        <f t="shared" si="0"/>
        <v>15</v>
      </c>
      <c r="V3" s="309">
        <f t="shared" si="0"/>
        <v>16</v>
      </c>
      <c r="W3" s="309">
        <f t="shared" si="0"/>
        <v>17</v>
      </c>
      <c r="X3" s="309">
        <f t="shared" si="0"/>
        <v>18</v>
      </c>
      <c r="Y3" s="309">
        <f t="shared" si="0"/>
        <v>19</v>
      </c>
      <c r="Z3" s="309">
        <f t="shared" si="0"/>
        <v>20</v>
      </c>
      <c r="AA3" s="309">
        <f t="shared" ref="AA3:AJ3" si="1">+Z3+1</f>
        <v>21</v>
      </c>
      <c r="AB3" s="309">
        <f t="shared" si="1"/>
        <v>22</v>
      </c>
      <c r="AC3" s="309">
        <f t="shared" si="1"/>
        <v>23</v>
      </c>
      <c r="AD3" s="309">
        <f t="shared" si="1"/>
        <v>24</v>
      </c>
      <c r="AE3" s="309">
        <f t="shared" si="1"/>
        <v>25</v>
      </c>
      <c r="AF3" s="309">
        <f t="shared" si="1"/>
        <v>26</v>
      </c>
      <c r="AG3" s="309">
        <f t="shared" si="1"/>
        <v>27</v>
      </c>
      <c r="AH3" s="309">
        <f t="shared" si="1"/>
        <v>28</v>
      </c>
      <c r="AI3" s="309">
        <f t="shared" si="1"/>
        <v>29</v>
      </c>
      <c r="AJ3" s="309">
        <f t="shared" si="1"/>
        <v>30</v>
      </c>
      <c r="AK3" s="309"/>
    </row>
    <row r="4" spans="1:39" ht="46.8">
      <c r="A4" s="312" t="s">
        <v>354</v>
      </c>
      <c r="B4" s="314" t="s">
        <v>355</v>
      </c>
      <c r="C4" s="314" t="s">
        <v>356</v>
      </c>
      <c r="D4" s="314" t="s">
        <v>384</v>
      </c>
      <c r="E4" s="314" t="s">
        <v>385</v>
      </c>
      <c r="F4" s="314" t="s">
        <v>386</v>
      </c>
      <c r="G4" s="310">
        <f>+'Input Data'!C15</f>
        <v>2022</v>
      </c>
      <c r="H4" s="310">
        <f>+G4+1</f>
        <v>2023</v>
      </c>
      <c r="I4" s="310">
        <f t="shared" ref="I4:Z4" si="2">+H4+1</f>
        <v>2024</v>
      </c>
      <c r="J4" s="310">
        <f t="shared" si="2"/>
        <v>2025</v>
      </c>
      <c r="K4" s="310">
        <f t="shared" si="2"/>
        <v>2026</v>
      </c>
      <c r="L4" s="310">
        <f t="shared" si="2"/>
        <v>2027</v>
      </c>
      <c r="M4" s="310">
        <f t="shared" si="2"/>
        <v>2028</v>
      </c>
      <c r="N4" s="310">
        <f t="shared" si="2"/>
        <v>2029</v>
      </c>
      <c r="O4" s="310">
        <f t="shared" si="2"/>
        <v>2030</v>
      </c>
      <c r="P4" s="310">
        <f t="shared" si="2"/>
        <v>2031</v>
      </c>
      <c r="Q4" s="310">
        <f t="shared" si="2"/>
        <v>2032</v>
      </c>
      <c r="R4" s="310">
        <f t="shared" si="2"/>
        <v>2033</v>
      </c>
      <c r="S4" s="310">
        <f t="shared" si="2"/>
        <v>2034</v>
      </c>
      <c r="T4" s="310">
        <f t="shared" si="2"/>
        <v>2035</v>
      </c>
      <c r="U4" s="310">
        <f t="shared" si="2"/>
        <v>2036</v>
      </c>
      <c r="V4" s="310">
        <f t="shared" si="2"/>
        <v>2037</v>
      </c>
      <c r="W4" s="310">
        <f t="shared" si="2"/>
        <v>2038</v>
      </c>
      <c r="X4" s="310">
        <f t="shared" si="2"/>
        <v>2039</v>
      </c>
      <c r="Y4" s="310">
        <f t="shared" si="2"/>
        <v>2040</v>
      </c>
      <c r="Z4" s="310">
        <f t="shared" si="2"/>
        <v>2041</v>
      </c>
      <c r="AA4" s="310">
        <f t="shared" ref="AA4:AJ4" si="3">+Z4+1</f>
        <v>2042</v>
      </c>
      <c r="AB4" s="310">
        <f t="shared" si="3"/>
        <v>2043</v>
      </c>
      <c r="AC4" s="310">
        <f t="shared" si="3"/>
        <v>2044</v>
      </c>
      <c r="AD4" s="310">
        <f t="shared" si="3"/>
        <v>2045</v>
      </c>
      <c r="AE4" s="310">
        <f t="shared" si="3"/>
        <v>2046</v>
      </c>
      <c r="AF4" s="310">
        <f t="shared" si="3"/>
        <v>2047</v>
      </c>
      <c r="AG4" s="310">
        <f t="shared" si="3"/>
        <v>2048</v>
      </c>
      <c r="AH4" s="310">
        <f t="shared" si="3"/>
        <v>2049</v>
      </c>
      <c r="AI4" s="310">
        <f t="shared" si="3"/>
        <v>2050</v>
      </c>
      <c r="AJ4" s="310">
        <f t="shared" si="3"/>
        <v>2051</v>
      </c>
      <c r="AK4" s="310" t="s">
        <v>191</v>
      </c>
    </row>
    <row r="5" spans="1:39">
      <c r="A5" s="177" t="s">
        <v>357</v>
      </c>
      <c r="B5" s="322"/>
      <c r="C5" s="322"/>
      <c r="D5" s="322"/>
      <c r="E5" s="322"/>
      <c r="F5" s="322"/>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row>
    <row r="6" spans="1:39">
      <c r="A6" s="346" t="s">
        <v>358</v>
      </c>
      <c r="B6" s="347">
        <v>2024</v>
      </c>
      <c r="C6" s="347"/>
      <c r="D6" s="348"/>
      <c r="E6" s="348"/>
      <c r="F6" s="352"/>
      <c r="G6" s="598">
        <f>+'Capital Costs'!D12*(1+$I$2)</f>
        <v>11956243</v>
      </c>
      <c r="H6" s="598">
        <f>+'Capital Costs'!E12*(1+$I$2)</f>
        <v>0</v>
      </c>
      <c r="I6" s="598">
        <f>+'Capital Costs'!F12*(1+$I$2)</f>
        <v>0</v>
      </c>
      <c r="J6" s="598">
        <f>+'Capital Costs'!G12*(1+$I$2)</f>
        <v>0</v>
      </c>
      <c r="K6" s="493"/>
      <c r="L6" s="493"/>
      <c r="M6" s="493"/>
      <c r="N6" s="493"/>
      <c r="O6" s="493"/>
      <c r="P6" s="493"/>
      <c r="Q6" s="493"/>
      <c r="R6" s="351"/>
      <c r="S6" s="351"/>
      <c r="T6" s="351"/>
      <c r="U6" s="351"/>
      <c r="V6" s="351"/>
      <c r="W6" s="351"/>
      <c r="X6" s="351"/>
      <c r="Y6" s="351"/>
      <c r="Z6" s="351"/>
      <c r="AA6" s="351"/>
      <c r="AB6" s="351"/>
      <c r="AC6" s="351"/>
      <c r="AD6" s="351"/>
      <c r="AE6" s="351"/>
      <c r="AF6" s="351"/>
      <c r="AG6" s="351"/>
      <c r="AH6" s="351"/>
      <c r="AI6" s="351"/>
      <c r="AJ6" s="351"/>
      <c r="AK6" s="315">
        <f>SUM(G6:AJ6)</f>
        <v>11956243</v>
      </c>
    </row>
    <row r="7" spans="1:39">
      <c r="A7" s="346" t="s">
        <v>387</v>
      </c>
      <c r="B7" s="347">
        <v>2024</v>
      </c>
      <c r="C7" s="347"/>
      <c r="D7" s="348">
        <f>43*0+60</f>
        <v>60</v>
      </c>
      <c r="E7" s="348">
        <v>39</v>
      </c>
      <c r="F7" s="352"/>
      <c r="G7" s="598">
        <f>+'Capital Costs'!D17*(1+$I$2)</f>
        <v>14836677</v>
      </c>
      <c r="H7" s="598">
        <f>+'Capital Costs'!E17*(1+$I$2)</f>
        <v>52247328.296666667</v>
      </c>
      <c r="I7" s="598">
        <f>+'Capital Costs'!F17*(1+$I$2)</f>
        <v>33687312.416666664</v>
      </c>
      <c r="J7" s="598">
        <f>+'Capital Costs'!G17*(1+$I$2)</f>
        <v>0</v>
      </c>
      <c r="K7" s="493"/>
      <c r="L7" s="493"/>
      <c r="M7" s="493"/>
      <c r="N7" s="493"/>
      <c r="O7" s="493"/>
      <c r="P7" s="493"/>
      <c r="Q7" s="493"/>
      <c r="R7" s="351"/>
      <c r="S7" s="351"/>
      <c r="T7" s="351"/>
      <c r="U7" s="351"/>
      <c r="V7" s="351"/>
      <c r="W7" s="351"/>
      <c r="X7" s="351"/>
      <c r="Y7" s="351"/>
      <c r="Z7" s="351"/>
      <c r="AA7" s="351"/>
      <c r="AB7" s="351"/>
      <c r="AC7" s="351"/>
      <c r="AD7" s="351"/>
      <c r="AE7" s="351"/>
      <c r="AF7" s="351"/>
      <c r="AG7" s="351"/>
      <c r="AH7" s="351"/>
      <c r="AI7" s="351"/>
      <c r="AJ7" s="351"/>
      <c r="AK7" s="315">
        <f t="shared" ref="AK7:AK15" si="4">SUM(G7:AJ7)</f>
        <v>100771317.71333334</v>
      </c>
      <c r="AL7" s="315"/>
      <c r="AM7" s="313"/>
    </row>
    <row r="8" spans="1:39">
      <c r="A8" s="346" t="s">
        <v>388</v>
      </c>
      <c r="B8" s="347">
        <v>2025</v>
      </c>
      <c r="C8" s="347">
        <v>6</v>
      </c>
      <c r="D8" s="348">
        <v>7</v>
      </c>
      <c r="E8" s="348">
        <v>7</v>
      </c>
      <c r="F8" s="352"/>
      <c r="G8" s="598">
        <f>+'Capital Costs'!D19*(1+$I$2)</f>
        <v>0</v>
      </c>
      <c r="H8" s="598">
        <f>+'Capital Costs'!E19*(1+$I$2)</f>
        <v>0</v>
      </c>
      <c r="I8" s="598">
        <f>+'Capital Costs'!F19*(1+$I$2)</f>
        <v>15007796.25</v>
      </c>
      <c r="J8" s="598">
        <f>+'Capital Costs'!G19*(1+$I$2)</f>
        <v>17416151.75</v>
      </c>
      <c r="K8" s="493"/>
      <c r="L8" s="493"/>
      <c r="M8" s="493"/>
      <c r="N8" s="493"/>
      <c r="O8" s="493"/>
      <c r="P8" s="493"/>
      <c r="Q8" s="493"/>
      <c r="R8" s="351"/>
      <c r="S8" s="351"/>
      <c r="T8" s="351"/>
      <c r="U8" s="351"/>
      <c r="V8" s="351"/>
      <c r="W8" s="351"/>
      <c r="X8" s="351"/>
      <c r="Y8" s="351"/>
      <c r="Z8" s="351"/>
      <c r="AA8" s="351"/>
      <c r="AB8" s="351"/>
      <c r="AC8" s="351"/>
      <c r="AD8" s="351"/>
      <c r="AE8" s="351"/>
      <c r="AF8" s="351"/>
      <c r="AG8" s="351"/>
      <c r="AH8" s="351"/>
      <c r="AI8" s="351"/>
      <c r="AJ8" s="351"/>
      <c r="AK8" s="315">
        <f t="shared" si="4"/>
        <v>32423948</v>
      </c>
      <c r="AL8" s="315"/>
      <c r="AM8" s="313"/>
    </row>
    <row r="9" spans="1:39">
      <c r="A9" s="346" t="s">
        <v>314</v>
      </c>
      <c r="B9" s="347">
        <v>2025</v>
      </c>
      <c r="C9" s="347">
        <v>6</v>
      </c>
      <c r="D9" s="348">
        <f t="shared" ref="D9:D12" si="5">43*0+60</f>
        <v>60</v>
      </c>
      <c r="E9" s="348">
        <v>39</v>
      </c>
      <c r="F9" s="352"/>
      <c r="G9" s="598">
        <f>+'Capital Costs'!D22*(1+$I$2)</f>
        <v>0</v>
      </c>
      <c r="H9" s="598">
        <f>+'Capital Costs'!E22*(1+$I$2)</f>
        <v>0</v>
      </c>
      <c r="I9" s="598">
        <f>+'Capital Costs'!F22*(1+$I$2)</f>
        <v>960000</v>
      </c>
      <c r="J9" s="598">
        <f>+'Capital Costs'!G22*(1+$I$2)</f>
        <v>524388</v>
      </c>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15">
        <f t="shared" si="4"/>
        <v>1484388</v>
      </c>
      <c r="AL9" s="315"/>
      <c r="AM9" s="313"/>
    </row>
    <row r="10" spans="1:39">
      <c r="A10" s="346" t="s">
        <v>333</v>
      </c>
      <c r="B10" s="347">
        <v>2025</v>
      </c>
      <c r="C10" s="347">
        <v>6</v>
      </c>
      <c r="D10" s="348">
        <f t="shared" si="5"/>
        <v>60</v>
      </c>
      <c r="E10" s="348">
        <v>39</v>
      </c>
      <c r="F10" s="352"/>
      <c r="G10" s="598">
        <f>+'Capital Costs'!D27*(1+$I$2)</f>
        <v>579001.52937609062</v>
      </c>
      <c r="H10" s="598">
        <f>+'Capital Costs'!E27*(1+$I$2)</f>
        <v>1399707.2992935854</v>
      </c>
      <c r="I10" s="598">
        <f>+'Capital Costs'!F27*(1+$I$2)</f>
        <v>2174286.0849136435</v>
      </c>
      <c r="J10" s="598">
        <f>+'Capital Costs'!G27*(1+$I$2)</f>
        <v>863044.38028718892</v>
      </c>
      <c r="K10" s="351"/>
      <c r="L10" s="493"/>
      <c r="M10" s="493"/>
      <c r="N10" s="493"/>
      <c r="O10" s="493"/>
      <c r="P10" s="493"/>
      <c r="Q10" s="493"/>
      <c r="R10" s="351"/>
      <c r="S10" s="351"/>
      <c r="T10" s="351"/>
      <c r="U10" s="351"/>
      <c r="V10" s="351"/>
      <c r="W10" s="351"/>
      <c r="X10" s="351"/>
      <c r="Y10" s="351"/>
      <c r="Z10" s="351"/>
      <c r="AA10" s="351"/>
      <c r="AB10" s="351"/>
      <c r="AC10" s="351"/>
      <c r="AD10" s="351"/>
      <c r="AE10" s="351"/>
      <c r="AF10" s="351"/>
      <c r="AG10" s="351"/>
      <c r="AH10" s="351"/>
      <c r="AI10" s="351"/>
      <c r="AJ10" s="351"/>
      <c r="AK10" s="315">
        <f t="shared" si="4"/>
        <v>5016039.2938705087</v>
      </c>
    </row>
    <row r="11" spans="1:39">
      <c r="A11" s="346" t="s">
        <v>362</v>
      </c>
      <c r="B11" s="347">
        <v>2024</v>
      </c>
      <c r="C11" s="347"/>
      <c r="D11" s="348">
        <f t="shared" si="5"/>
        <v>60</v>
      </c>
      <c r="E11" s="348">
        <v>39</v>
      </c>
      <c r="F11" s="352"/>
      <c r="G11" s="598">
        <f>+'Capital Costs'!D28*(1+$I$2)</f>
        <v>25400</v>
      </c>
      <c r="H11" s="598">
        <f>+'Capital Costs'!E28*(1+$I$2)</f>
        <v>14697203.666666668</v>
      </c>
      <c r="I11" s="598">
        <f>+'Capital Costs'!F28*(1+$I$2)</f>
        <v>6273792.333333333</v>
      </c>
      <c r="J11" s="598">
        <f>+'Capital Costs'!G28*(1+$I$2)</f>
        <v>0</v>
      </c>
      <c r="K11" s="493"/>
      <c r="L11" s="493"/>
      <c r="M11" s="493"/>
      <c r="N11" s="493"/>
      <c r="O11" s="493"/>
      <c r="P11" s="493"/>
      <c r="Q11" s="493"/>
      <c r="R11" s="351"/>
      <c r="S11" s="351"/>
      <c r="T11" s="351"/>
      <c r="U11" s="351"/>
      <c r="V11" s="351"/>
      <c r="W11" s="351"/>
      <c r="X11" s="351"/>
      <c r="Y11" s="351"/>
      <c r="Z11" s="351"/>
      <c r="AA11" s="351"/>
      <c r="AB11" s="351"/>
      <c r="AC11" s="351"/>
      <c r="AD11" s="351"/>
      <c r="AE11" s="351"/>
      <c r="AF11" s="351"/>
      <c r="AG11" s="351"/>
      <c r="AH11" s="351"/>
      <c r="AI11" s="351"/>
      <c r="AJ11" s="351"/>
      <c r="AK11" s="315">
        <f t="shared" si="4"/>
        <v>20996396</v>
      </c>
    </row>
    <row r="12" spans="1:39">
      <c r="A12" s="346" t="s">
        <v>329</v>
      </c>
      <c r="B12" s="347">
        <v>2025</v>
      </c>
      <c r="C12" s="347">
        <v>6</v>
      </c>
      <c r="D12" s="348">
        <f t="shared" si="5"/>
        <v>60</v>
      </c>
      <c r="E12" s="348">
        <v>39</v>
      </c>
      <c r="F12" s="352"/>
      <c r="G12" s="598">
        <f>+'Capital Costs'!D21*(1+$I$2)</f>
        <v>2037334.25</v>
      </c>
      <c r="H12" s="598">
        <f>+'Capital Costs'!E21*(1+$I$2)</f>
        <v>2812572</v>
      </c>
      <c r="I12" s="598">
        <f>+'Capital Costs'!F21*(1+$I$2)</f>
        <v>2781684</v>
      </c>
      <c r="J12" s="598">
        <f>+'Capital Costs'!G21*(1+$I$2)</f>
        <v>1171708</v>
      </c>
      <c r="K12" s="493"/>
      <c r="L12" s="493"/>
      <c r="M12" s="493"/>
      <c r="N12" s="493"/>
      <c r="O12" s="493"/>
      <c r="P12" s="493"/>
      <c r="Q12" s="493"/>
      <c r="R12" s="351"/>
      <c r="S12" s="351"/>
      <c r="T12" s="351"/>
      <c r="U12" s="351"/>
      <c r="V12" s="351"/>
      <c r="W12" s="351"/>
      <c r="X12" s="351"/>
      <c r="Y12" s="351"/>
      <c r="Z12" s="351"/>
      <c r="AA12" s="351"/>
      <c r="AB12" s="351"/>
      <c r="AC12" s="351"/>
      <c r="AD12" s="351"/>
      <c r="AE12" s="351"/>
      <c r="AF12" s="351"/>
      <c r="AG12" s="351"/>
      <c r="AH12" s="351"/>
      <c r="AI12" s="351"/>
      <c r="AJ12" s="351"/>
      <c r="AK12" s="315">
        <f t="shared" si="4"/>
        <v>8803298.25</v>
      </c>
    </row>
    <row r="13" spans="1:39">
      <c r="A13" s="346" t="s">
        <v>328</v>
      </c>
      <c r="B13" s="347">
        <v>2025</v>
      </c>
      <c r="C13" s="347">
        <v>6</v>
      </c>
      <c r="D13" s="348">
        <v>60</v>
      </c>
      <c r="E13" s="348">
        <v>39</v>
      </c>
      <c r="F13" s="352"/>
      <c r="G13" s="598">
        <f>+'Capital Costs'!D20*(1+$I$2)</f>
        <v>0</v>
      </c>
      <c r="H13" s="598">
        <f>+'Capital Costs'!E20*(1+$I$2)</f>
        <v>0</v>
      </c>
      <c r="I13" s="598">
        <f>+'Capital Costs'!F20*(1+$I$2)</f>
        <v>49649141.742796153</v>
      </c>
      <c r="J13" s="598">
        <f>+'Capital Costs'!G20*(1+$I$2)</f>
        <v>23899228</v>
      </c>
      <c r="K13" s="493"/>
      <c r="L13" s="493"/>
      <c r="M13" s="493"/>
      <c r="N13" s="493"/>
      <c r="O13" s="493"/>
      <c r="P13" s="493"/>
      <c r="Q13" s="493"/>
      <c r="R13" s="351"/>
      <c r="S13" s="351"/>
      <c r="T13" s="351"/>
      <c r="U13" s="351"/>
      <c r="V13" s="351"/>
      <c r="W13" s="351"/>
      <c r="X13" s="351"/>
      <c r="Y13" s="351"/>
      <c r="Z13" s="351"/>
      <c r="AA13" s="351"/>
      <c r="AB13" s="351"/>
      <c r="AC13" s="351"/>
      <c r="AD13" s="351"/>
      <c r="AE13" s="351"/>
      <c r="AF13" s="351"/>
      <c r="AG13" s="351"/>
      <c r="AH13" s="351"/>
      <c r="AI13" s="351"/>
      <c r="AJ13" s="351"/>
      <c r="AK13" s="315">
        <f t="shared" si="4"/>
        <v>73548369.742796153</v>
      </c>
    </row>
    <row r="14" spans="1:39">
      <c r="A14" s="346" t="s">
        <v>389</v>
      </c>
      <c r="B14" s="347"/>
      <c r="C14" s="347">
        <v>6</v>
      </c>
      <c r="D14" s="348">
        <v>60</v>
      </c>
      <c r="E14" s="348">
        <v>39</v>
      </c>
      <c r="F14" s="352"/>
      <c r="G14" s="598">
        <f>SUMIF('Assumption Support'!$I$77:$I$102,G4,'Assumption Support'!$K$77:$K$102)*$I$1</f>
        <v>0</v>
      </c>
      <c r="H14" s="598">
        <f>SUMIF('Assumption Support'!$I$77:$I$102,H4,'Assumption Support'!$K$77:$K$102)*$I$1</f>
        <v>0</v>
      </c>
      <c r="I14" s="598">
        <f>SUMIF('Assumption Support'!$I$77:$I$102,I4,'Assumption Support'!$K$77:$K$102)*$I$1</f>
        <v>0</v>
      </c>
      <c r="J14" s="598">
        <f>SUMIF('Assumption Support'!$I$77:$I$102,J4,'Assumption Support'!$K$77:$K$102)*$I$1</f>
        <v>0</v>
      </c>
      <c r="K14" s="598">
        <f>SUMIF('Assumption Support'!$I$77:$I$102,K4,'Assumption Support'!$K$77:$K$102)*$I$1</f>
        <v>0</v>
      </c>
      <c r="L14" s="598">
        <f>SUMIF('Assumption Support'!$I$77:$I$102,L4,'Assumption Support'!$K$77:$K$102)*$I$1</f>
        <v>0</v>
      </c>
      <c r="M14" s="598">
        <f>SUMIF('Assumption Support'!$I$77:$I$102,M4,'Assumption Support'!$K$77:$K$102)*$I$1</f>
        <v>0</v>
      </c>
      <c r="N14" s="598">
        <f>SUMIF('Assumption Support'!$I$77:$I$102,N4,'Assumption Support'!$K$77:$K$102)*$I$1</f>
        <v>0</v>
      </c>
      <c r="O14" s="598">
        <f>SUMIF('Assumption Support'!$I$77:$I$102,O4,'Assumption Support'!$K$77:$K$102)*$I$1</f>
        <v>0</v>
      </c>
      <c r="P14" s="598">
        <f>SUMIF('Assumption Support'!$I$77:$I$102,P4,'Assumption Support'!$K$77:$K$102)*$I$1</f>
        <v>26500</v>
      </c>
      <c r="Q14" s="598">
        <f>SUMIF('Assumption Support'!$I$77:$I$102,Q4,'Assumption Support'!$K$77:$K$102)*$I$1</f>
        <v>27295</v>
      </c>
      <c r="R14" s="598">
        <f>SUMIF('Assumption Support'!$I$77:$I$102,R4,'Assumption Support'!$K$77:$K$102)*$I$1</f>
        <v>28364.72309090909</v>
      </c>
      <c r="S14" s="598">
        <f>SUMIF('Assumption Support'!$I$77:$I$102,S4,'Assumption Support'!$K$77:$K$102)*$I$1</f>
        <v>29215.671818181818</v>
      </c>
      <c r="T14" s="598">
        <f>SUMIF('Assumption Support'!$I$77:$I$102,T4,'Assumption Support'!$K$77:$K$102)*$I$1</f>
        <v>30092.137636363637</v>
      </c>
      <c r="U14" s="598">
        <f>SUMIF('Assumption Support'!$I$77:$I$102,U4,'Assumption Support'!$K$77:$K$102)*$I$1</f>
        <v>30994.90109090909</v>
      </c>
      <c r="V14" s="598">
        <f>SUMIF('Assumption Support'!$I$77:$I$102,V4,'Assumption Support'!$K$77:$K$102)*$I$1</f>
        <v>66841.190909090918</v>
      </c>
      <c r="W14" s="598">
        <f>SUMIF('Assumption Support'!$I$77:$I$102,W4,'Assumption Support'!$K$77:$K$102)*$I$1</f>
        <v>68846.431454545454</v>
      </c>
      <c r="X14" s="598">
        <f>SUMIF('Assumption Support'!$I$77:$I$102,X4,'Assumption Support'!$K$77:$K$102)*$I$1</f>
        <v>70911.822181818177</v>
      </c>
      <c r="Y14" s="598">
        <f>SUMIF('Assumption Support'!$I$77:$I$102,Y4,'Assumption Support'!$K$77:$K$102)*$I$1</f>
        <v>73039.174727272723</v>
      </c>
      <c r="Z14" s="598">
        <f>SUMIF('Assumption Support'!$I$77:$I$102,Z4,'Assumption Support'!$K$77:$K$102)*$I$1</f>
        <v>75230.348909090899</v>
      </c>
      <c r="AA14" s="598">
        <f>SUMIF('Assumption Support'!$I$77:$I$102,AA4,'Assumption Support'!$K$77:$K$102)*$I$1</f>
        <v>77487.262363636371</v>
      </c>
      <c r="AB14" s="598">
        <f>SUMIF('Assumption Support'!$I$77:$I$102,AB4,'Assumption Support'!$K$77:$K$102)*$I$1</f>
        <v>79811.880909090905</v>
      </c>
      <c r="AC14" s="598">
        <f>SUMIF('Assumption Support'!$I$77:$I$102,AC4,'Assumption Support'!$K$77:$K$102)*$I$1</f>
        <v>82206.23781818182</v>
      </c>
      <c r="AD14" s="598">
        <f>SUMIF('Assumption Support'!$I$77:$I$102,AD4,'Assumption Support'!$K$77:$K$102)*$I$1</f>
        <v>84672.424181818176</v>
      </c>
      <c r="AE14" s="598">
        <f>SUMIF('Assumption Support'!$I$77:$I$102,AE4,'Assumption Support'!$K$77:$K$102)*$I$1</f>
        <v>87212.588909090904</v>
      </c>
      <c r="AF14" s="598">
        <f>SUMIF('Assumption Support'!$I$77:$I$102,AF4,'Assumption Support'!$K$77:$K$102)*$I$1</f>
        <v>89828.967636363639</v>
      </c>
      <c r="AG14" s="598">
        <f>SUMIF('Assumption Support'!$I$77:$I$102,AG4,'Assumption Support'!$K$77:$K$102)*$I$1</f>
        <v>92523.844181818175</v>
      </c>
      <c r="AH14" s="598">
        <f>SUMIF('Assumption Support'!$I$77:$I$102,AH4,'Assumption Support'!$K$77:$K$102)*$I$1</f>
        <v>95299.560181818175</v>
      </c>
      <c r="AI14" s="598">
        <f>SUMIF('Assumption Support'!$I$77:$I$102,AI4,'Assumption Support'!$K$77:$K$102)*$I$1</f>
        <v>98158.543999999994</v>
      </c>
      <c r="AJ14" s="598">
        <f>SUMIF('Assumption Support'!$I$77:$I$102,AJ4,'Assumption Support'!$K$77:$K$102)*$I$1</f>
        <v>101103.3010909091</v>
      </c>
      <c r="AK14" s="315">
        <f t="shared" si="4"/>
        <v>1415636.013090909</v>
      </c>
      <c r="AL14" s="315"/>
    </row>
    <row r="15" spans="1:39">
      <c r="A15" s="346"/>
      <c r="B15" s="347"/>
      <c r="C15" s="347"/>
      <c r="D15" s="348"/>
      <c r="E15" s="348"/>
      <c r="F15" s="353"/>
      <c r="G15" s="351"/>
      <c r="H15" s="349"/>
      <c r="I15" s="349"/>
      <c r="J15" s="349"/>
      <c r="K15" s="349"/>
      <c r="L15" s="349"/>
      <c r="M15" s="349"/>
      <c r="N15" s="349"/>
      <c r="O15" s="349"/>
      <c r="P15" s="652"/>
      <c r="Q15" s="652"/>
      <c r="R15" s="652"/>
      <c r="S15" s="652"/>
      <c r="T15" s="652"/>
      <c r="U15" s="652"/>
      <c r="V15" s="652"/>
      <c r="W15" s="652"/>
      <c r="X15" s="652"/>
      <c r="Y15" s="652"/>
      <c r="Z15" s="652"/>
      <c r="AA15" s="652"/>
      <c r="AB15" s="652"/>
      <c r="AC15" s="652"/>
      <c r="AD15" s="652"/>
      <c r="AE15" s="652"/>
      <c r="AF15" s="652"/>
      <c r="AG15" s="652"/>
      <c r="AH15" s="652"/>
      <c r="AI15" s="652"/>
      <c r="AJ15" s="652"/>
      <c r="AK15" s="315">
        <f t="shared" si="4"/>
        <v>0</v>
      </c>
    </row>
    <row r="16" spans="1:39" ht="16.2" thickBot="1">
      <c r="A16" s="318" t="s">
        <v>191</v>
      </c>
      <c r="B16" s="319"/>
      <c r="C16" s="319"/>
      <c r="D16" s="320">
        <f>IFERROR(IF(D$6=0,0,$AK$6/SUMIF($D$6:$D$15,"&gt;0",$AK$6:$AK$15)*D$6)+IF(D$7=0,0,$AK$7/SUMIF($D$6:$D$15,"&gt;0",$AK$6:$AK$15)*D$7)+IF(D$8=0,0,$AK$8/SUMIF($D$6:$D$15,"&gt;0",$AK$6:$AK$15)*D$8)+IF(D$9=0,0,$AK$9/SUMIF($D$6:$D$15,"&gt;0",$AK$6:$AK$15)*D$9)+IF(D$10=0,0,$AK$10/SUMIF($D$6:$D$15,"&gt;0",$AK$6:$AK$15)*D$10)+IF(D$11=0,0,$AK$11/SUMIF($D$6:$D$15,"&gt;0",$AK$6:$AK$15)*D$11)+IF(D$12=0,0,$AK$12/SUMIF($D$6:$D$15,"&gt;0",$AK$6:$AK$15)*D$12)+IF(D$13=0,0,$AK$13/SUMIF($D$6:$D$15,"&gt;0",$AK$6:$AK$15)*D$13)+IF(D14=0,0,$AK$14/SUMIF($D$6:$D$15,"&gt;0",$AK$6:$AK$15)*D$14)+IF(D$15=0,0,$AK$15/SUMIF($D$6:$D$15,"&gt;0",$AK$6:$AK$15)*D$15),0)</f>
        <v>52.97032843443256</v>
      </c>
      <c r="E16" s="320">
        <f>IFERROR(IF(E$6=0,0,$AK$6/SUMIF($D$6:$D$15,"&gt;0",$AK$6:$AK$15)*E$6)+IF(E$7=0,0,$AK$7/SUMIF($D$6:$D$15,"&gt;0",$AK$6:$AK$15)*E$7)+IF(E$8=0,0,$AK$8/SUMIF($D$6:$D$15,"&gt;0",$AK$6:$AK$15)*E$8)+IF(E$9=0,0,$AK$9/SUMIF($D$6:$D$15,"&gt;0",$AK$6:$AK$15)*E$9)+IF(E$10=0,0,$AK$10/SUMIF($D$6:$D$15,"&gt;0",$AK$6:$AK$15)*E$10)+IF(E$11=0,0,$AK$11/SUMIF($D$6:$D$15,"&gt;0",$AK$6:$AK$15)*E$11)+IF(E$12=0,0,$AK$12/SUMIF($D$6:$D$15,"&gt;0",$AK$6:$AK$15)*E$12)+IF(E$13=0,0,$AK$13/SUMIF($D$6:$D$15,"&gt;0",$AK$6:$AK$15)*E$13)+IF(E14=0,0,$AK$14/SUMIF($D$6:$D$15,"&gt;0",$AK$6:$AK$15)*E$14)+IF(E$15=0,0,$AK$15/SUMIF($D$6:$D$15,"&gt;0",$AK$6:$AK$15)*E$15),0)</f>
        <v>34.755669998147958</v>
      </c>
      <c r="F16" s="320"/>
      <c r="G16" s="317">
        <f>SUM(G6:G15)</f>
        <v>29434655.77937609</v>
      </c>
      <c r="H16" s="317">
        <f>SUM(H6:H15)</f>
        <v>71156811.262626916</v>
      </c>
      <c r="I16" s="317">
        <f t="shared" ref="I16:AK16" si="6">SUM(I6:I15)</f>
        <v>110534012.82770979</v>
      </c>
      <c r="J16" s="317">
        <f t="shared" si="6"/>
        <v>43874520.130287185</v>
      </c>
      <c r="K16" s="317">
        <f t="shared" si="6"/>
        <v>0</v>
      </c>
      <c r="L16" s="317">
        <f t="shared" si="6"/>
        <v>0</v>
      </c>
      <c r="M16" s="317">
        <f t="shared" si="6"/>
        <v>0</v>
      </c>
      <c r="N16" s="317">
        <f t="shared" si="6"/>
        <v>0</v>
      </c>
      <c r="O16" s="317">
        <f t="shared" si="6"/>
        <v>0</v>
      </c>
      <c r="P16" s="317">
        <f t="shared" si="6"/>
        <v>26500</v>
      </c>
      <c r="Q16" s="317">
        <f t="shared" si="6"/>
        <v>27295</v>
      </c>
      <c r="R16" s="317">
        <f t="shared" si="6"/>
        <v>28364.72309090909</v>
      </c>
      <c r="S16" s="317">
        <f t="shared" si="6"/>
        <v>29215.671818181818</v>
      </c>
      <c r="T16" s="317">
        <f t="shared" si="6"/>
        <v>30092.137636363637</v>
      </c>
      <c r="U16" s="317">
        <f t="shared" si="6"/>
        <v>30994.90109090909</v>
      </c>
      <c r="V16" s="317">
        <f t="shared" si="6"/>
        <v>66841.190909090918</v>
      </c>
      <c r="W16" s="317">
        <f t="shared" si="6"/>
        <v>68846.431454545454</v>
      </c>
      <c r="X16" s="317">
        <f t="shared" si="6"/>
        <v>70911.822181818177</v>
      </c>
      <c r="Y16" s="317">
        <f t="shared" si="6"/>
        <v>73039.174727272723</v>
      </c>
      <c r="Z16" s="317">
        <f t="shared" si="6"/>
        <v>75230.348909090899</v>
      </c>
      <c r="AA16" s="317">
        <f t="shared" si="6"/>
        <v>77487.262363636371</v>
      </c>
      <c r="AB16" s="317">
        <f t="shared" si="6"/>
        <v>79811.880909090905</v>
      </c>
      <c r="AC16" s="317">
        <f t="shared" si="6"/>
        <v>82206.23781818182</v>
      </c>
      <c r="AD16" s="317">
        <f t="shared" si="6"/>
        <v>84672.424181818176</v>
      </c>
      <c r="AE16" s="317">
        <f t="shared" si="6"/>
        <v>87212.588909090904</v>
      </c>
      <c r="AF16" s="317">
        <f t="shared" ref="AF16:AJ16" si="7">SUM(AF6:AF15)</f>
        <v>89828.967636363639</v>
      </c>
      <c r="AG16" s="317">
        <f t="shared" si="7"/>
        <v>92523.844181818175</v>
      </c>
      <c r="AH16" s="317">
        <f t="shared" si="7"/>
        <v>95299.560181818175</v>
      </c>
      <c r="AI16" s="317">
        <f t="shared" si="7"/>
        <v>98158.543999999994</v>
      </c>
      <c r="AJ16" s="317">
        <f t="shared" si="7"/>
        <v>101103.3010909091</v>
      </c>
      <c r="AK16" s="317">
        <f t="shared" si="6"/>
        <v>256415636.01309091</v>
      </c>
      <c r="AL16" s="315"/>
    </row>
    <row r="17" spans="1:39" ht="16.2" thickBot="1">
      <c r="B17" s="311"/>
      <c r="C17" s="311"/>
      <c r="D17" s="316"/>
      <c r="E17" s="316"/>
      <c r="F17" s="316"/>
      <c r="G17" s="491">
        <f>+G16-'Monthly Capex AFUDC Calcs'!G29</f>
        <v>0</v>
      </c>
      <c r="H17" s="491">
        <f>+H16-'Monthly Capex AFUDC Calcs'!H29</f>
        <v>0</v>
      </c>
      <c r="I17" s="491">
        <f>+I16-'Monthly Capex AFUDC Calcs'!I29</f>
        <v>0</v>
      </c>
      <c r="J17" s="491">
        <f>+J16-'Monthly Capex AFUDC Calcs'!J29</f>
        <v>0</v>
      </c>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9" ht="16.2" thickBot="1">
      <c r="A18" s="685" t="s">
        <v>390</v>
      </c>
      <c r="B18" s="578">
        <v>1</v>
      </c>
      <c r="C18" s="311"/>
      <c r="D18" s="316"/>
      <c r="E18" s="316"/>
      <c r="F18" s="316"/>
      <c r="G18" s="491"/>
      <c r="R18" s="325"/>
      <c r="S18" s="325"/>
      <c r="T18" s="325"/>
      <c r="U18" s="325"/>
      <c r="V18" s="325"/>
      <c r="W18" s="325"/>
      <c r="X18" s="325"/>
      <c r="Y18" s="325"/>
      <c r="Z18" s="325"/>
      <c r="AA18" s="325"/>
      <c r="AB18" s="325"/>
      <c r="AC18" s="325"/>
      <c r="AD18" s="325"/>
      <c r="AE18" s="325"/>
      <c r="AF18" s="325"/>
      <c r="AG18" s="325"/>
      <c r="AH18" s="325"/>
      <c r="AI18" s="325"/>
      <c r="AJ18" s="325"/>
    </row>
    <row r="19" spans="1:39">
      <c r="A19" s="177" t="s">
        <v>391</v>
      </c>
      <c r="B19" s="311"/>
      <c r="C19" s="311"/>
      <c r="D19" s="316"/>
      <c r="E19" s="316"/>
      <c r="F19" s="316"/>
      <c r="G19" s="457"/>
      <c r="H19" s="457"/>
      <c r="I19" s="457"/>
      <c r="J19" s="457"/>
      <c r="K19" s="457"/>
    </row>
    <row r="20" spans="1:39">
      <c r="A20" s="192" t="str">
        <f t="shared" ref="A20:B24" si="8">+A6</f>
        <v>Land Assumption</v>
      </c>
      <c r="B20" s="311">
        <f t="shared" si="8"/>
        <v>2024</v>
      </c>
      <c r="C20" s="354">
        <f t="shared" ref="C20:F20" si="9">+C6</f>
        <v>0</v>
      </c>
      <c r="D20" s="354">
        <f t="shared" si="9"/>
        <v>0</v>
      </c>
      <c r="E20" s="354">
        <f t="shared" si="9"/>
        <v>0</v>
      </c>
      <c r="F20" s="360">
        <f t="shared" si="9"/>
        <v>0</v>
      </c>
      <c r="G20" s="619">
        <f t="shared" ref="G20:AI20" si="10">G60*$B$18*(1+$I$2)+G73*(1-$B$18)</f>
        <v>89618.124216582306</v>
      </c>
      <c r="H20" s="619">
        <f t="shared" si="10"/>
        <v>732785.91150367598</v>
      </c>
      <c r="I20" s="619">
        <f t="shared" si="10"/>
        <v>744089.47189670859</v>
      </c>
      <c r="J20" s="619">
        <f t="shared" si="10"/>
        <v>0</v>
      </c>
      <c r="K20" s="619">
        <f t="shared" si="10"/>
        <v>0</v>
      </c>
      <c r="L20" s="619">
        <f t="shared" si="10"/>
        <v>0</v>
      </c>
      <c r="M20" s="619">
        <f t="shared" si="10"/>
        <v>0</v>
      </c>
      <c r="N20" s="619">
        <f t="shared" si="10"/>
        <v>0</v>
      </c>
      <c r="O20" s="619">
        <f t="shared" si="10"/>
        <v>0</v>
      </c>
      <c r="P20" s="619">
        <f t="shared" si="10"/>
        <v>0</v>
      </c>
      <c r="Q20" s="619">
        <f t="shared" si="10"/>
        <v>0</v>
      </c>
      <c r="R20" s="619">
        <f t="shared" si="10"/>
        <v>0</v>
      </c>
      <c r="S20" s="619">
        <f t="shared" si="10"/>
        <v>0</v>
      </c>
      <c r="T20" s="619">
        <f t="shared" si="10"/>
        <v>0</v>
      </c>
      <c r="U20" s="619">
        <f t="shared" si="10"/>
        <v>0</v>
      </c>
      <c r="V20" s="619">
        <f t="shared" si="10"/>
        <v>0</v>
      </c>
      <c r="W20" s="619">
        <f t="shared" si="10"/>
        <v>0</v>
      </c>
      <c r="X20" s="619">
        <f t="shared" si="10"/>
        <v>0</v>
      </c>
      <c r="Y20" s="619">
        <f t="shared" si="10"/>
        <v>0</v>
      </c>
      <c r="Z20" s="619">
        <f t="shared" si="10"/>
        <v>0</v>
      </c>
      <c r="AA20" s="619">
        <f t="shared" si="10"/>
        <v>0</v>
      </c>
      <c r="AB20" s="619">
        <f t="shared" si="10"/>
        <v>0</v>
      </c>
      <c r="AC20" s="619">
        <f t="shared" si="10"/>
        <v>0</v>
      </c>
      <c r="AD20" s="619">
        <f t="shared" si="10"/>
        <v>0</v>
      </c>
      <c r="AE20" s="619">
        <f t="shared" si="10"/>
        <v>0</v>
      </c>
      <c r="AF20" s="619">
        <f t="shared" si="10"/>
        <v>0</v>
      </c>
      <c r="AG20" s="619">
        <f t="shared" si="10"/>
        <v>0</v>
      </c>
      <c r="AH20" s="619">
        <f t="shared" si="10"/>
        <v>0</v>
      </c>
      <c r="AI20" s="619">
        <f t="shared" si="10"/>
        <v>0</v>
      </c>
      <c r="AJ20" s="548">
        <f t="shared" ref="AJ20:AJ28" si="11">AJ60+AJ73</f>
        <v>0</v>
      </c>
      <c r="AK20" s="315">
        <f>SUM(G20:AJ20)</f>
        <v>1566493.507616967</v>
      </c>
    </row>
    <row r="21" spans="1:39">
      <c r="A21" s="192" t="str">
        <f t="shared" si="8"/>
        <v>Midtown Building</v>
      </c>
      <c r="B21" s="311">
        <f t="shared" si="8"/>
        <v>2024</v>
      </c>
      <c r="C21" s="354">
        <f t="shared" ref="C21:F21" si="12">+C7</f>
        <v>0</v>
      </c>
      <c r="D21" s="354">
        <f t="shared" si="12"/>
        <v>60</v>
      </c>
      <c r="E21" s="354">
        <f t="shared" si="12"/>
        <v>39</v>
      </c>
      <c r="F21" s="360">
        <f t="shared" si="12"/>
        <v>0</v>
      </c>
      <c r="G21" s="619">
        <f t="shared" ref="G21:AI21" si="13">G61*$B$18*(1+$I$2)+G74*(1-$B$18)</f>
        <v>128434.13252226458</v>
      </c>
      <c r="H21" s="619">
        <f t="shared" si="13"/>
        <v>2517159.3470112104</v>
      </c>
      <c r="I21" s="619">
        <f t="shared" si="13"/>
        <v>4993516.6459324462</v>
      </c>
      <c r="J21" s="619">
        <f t="shared" si="13"/>
        <v>0</v>
      </c>
      <c r="K21" s="619">
        <f t="shared" si="13"/>
        <v>0</v>
      </c>
      <c r="L21" s="619">
        <f t="shared" si="13"/>
        <v>0</v>
      </c>
      <c r="M21" s="619">
        <f t="shared" si="13"/>
        <v>0</v>
      </c>
      <c r="N21" s="619">
        <f t="shared" si="13"/>
        <v>0</v>
      </c>
      <c r="O21" s="619">
        <f t="shared" si="13"/>
        <v>0</v>
      </c>
      <c r="P21" s="619">
        <f t="shared" si="13"/>
        <v>0</v>
      </c>
      <c r="Q21" s="619">
        <f t="shared" si="13"/>
        <v>0</v>
      </c>
      <c r="R21" s="619">
        <f t="shared" si="13"/>
        <v>0</v>
      </c>
      <c r="S21" s="619">
        <f t="shared" si="13"/>
        <v>0</v>
      </c>
      <c r="T21" s="619">
        <f t="shared" si="13"/>
        <v>0</v>
      </c>
      <c r="U21" s="619">
        <f t="shared" si="13"/>
        <v>0</v>
      </c>
      <c r="V21" s="619">
        <f t="shared" si="13"/>
        <v>0</v>
      </c>
      <c r="W21" s="619">
        <f t="shared" si="13"/>
        <v>0</v>
      </c>
      <c r="X21" s="619">
        <f t="shared" si="13"/>
        <v>0</v>
      </c>
      <c r="Y21" s="619">
        <f t="shared" si="13"/>
        <v>0</v>
      </c>
      <c r="Z21" s="619">
        <f t="shared" si="13"/>
        <v>0</v>
      </c>
      <c r="AA21" s="619">
        <f t="shared" si="13"/>
        <v>0</v>
      </c>
      <c r="AB21" s="619">
        <f t="shared" si="13"/>
        <v>0</v>
      </c>
      <c r="AC21" s="619">
        <f t="shared" si="13"/>
        <v>0</v>
      </c>
      <c r="AD21" s="619">
        <f t="shared" si="13"/>
        <v>0</v>
      </c>
      <c r="AE21" s="619">
        <f t="shared" si="13"/>
        <v>0</v>
      </c>
      <c r="AF21" s="619">
        <f t="shared" si="13"/>
        <v>0</v>
      </c>
      <c r="AG21" s="619">
        <f t="shared" si="13"/>
        <v>0</v>
      </c>
      <c r="AH21" s="619">
        <f t="shared" si="13"/>
        <v>0</v>
      </c>
      <c r="AI21" s="619">
        <f t="shared" si="13"/>
        <v>0</v>
      </c>
      <c r="AJ21" s="548">
        <f t="shared" si="11"/>
        <v>0</v>
      </c>
      <c r="AK21" s="315">
        <f t="shared" ref="AK21:AK29" si="14">SUM(G21:AJ21)</f>
        <v>7639110.1254659211</v>
      </c>
    </row>
    <row r="22" spans="1:39">
      <c r="A22" s="192" t="str">
        <f t="shared" si="8"/>
        <v>Furniture, Fixtures &amp; Equipment - Building</v>
      </c>
      <c r="B22" s="311">
        <f t="shared" si="8"/>
        <v>2025</v>
      </c>
      <c r="C22" s="354">
        <f t="shared" ref="C22:F22" si="15">+C8</f>
        <v>6</v>
      </c>
      <c r="D22" s="354">
        <f t="shared" si="15"/>
        <v>7</v>
      </c>
      <c r="E22" s="354">
        <f t="shared" si="15"/>
        <v>7</v>
      </c>
      <c r="F22" s="360">
        <f t="shared" si="15"/>
        <v>0</v>
      </c>
      <c r="G22" s="619">
        <f t="shared" ref="G22:AI22" si="16">G62*$B$18*(1+$I$2)+G75*(1-$B$18)</f>
        <v>0</v>
      </c>
      <c r="H22" s="619">
        <f t="shared" si="16"/>
        <v>0</v>
      </c>
      <c r="I22" s="619">
        <f t="shared" si="16"/>
        <v>313841.99710885715</v>
      </c>
      <c r="J22" s="619">
        <f t="shared" si="16"/>
        <v>669936.22956026893</v>
      </c>
      <c r="K22" s="619">
        <f t="shared" si="16"/>
        <v>0</v>
      </c>
      <c r="L22" s="619">
        <f t="shared" si="16"/>
        <v>0</v>
      </c>
      <c r="M22" s="619">
        <f t="shared" si="16"/>
        <v>0</v>
      </c>
      <c r="N22" s="619">
        <f t="shared" si="16"/>
        <v>0</v>
      </c>
      <c r="O22" s="619">
        <f t="shared" si="16"/>
        <v>0</v>
      </c>
      <c r="P22" s="619">
        <f t="shared" si="16"/>
        <v>0</v>
      </c>
      <c r="Q22" s="619">
        <f t="shared" si="16"/>
        <v>0</v>
      </c>
      <c r="R22" s="619">
        <f t="shared" si="16"/>
        <v>0</v>
      </c>
      <c r="S22" s="619">
        <f t="shared" si="16"/>
        <v>0</v>
      </c>
      <c r="T22" s="619">
        <f t="shared" si="16"/>
        <v>0</v>
      </c>
      <c r="U22" s="619">
        <f t="shared" si="16"/>
        <v>0</v>
      </c>
      <c r="V22" s="619">
        <f t="shared" si="16"/>
        <v>0</v>
      </c>
      <c r="W22" s="619">
        <f t="shared" si="16"/>
        <v>0</v>
      </c>
      <c r="X22" s="619">
        <f t="shared" si="16"/>
        <v>0</v>
      </c>
      <c r="Y22" s="619">
        <f t="shared" si="16"/>
        <v>0</v>
      </c>
      <c r="Z22" s="619">
        <f t="shared" si="16"/>
        <v>0</v>
      </c>
      <c r="AA22" s="619">
        <f t="shared" si="16"/>
        <v>0</v>
      </c>
      <c r="AB22" s="619">
        <f t="shared" si="16"/>
        <v>0</v>
      </c>
      <c r="AC22" s="619">
        <f t="shared" si="16"/>
        <v>0</v>
      </c>
      <c r="AD22" s="619">
        <f t="shared" si="16"/>
        <v>0</v>
      </c>
      <c r="AE22" s="619">
        <f t="shared" si="16"/>
        <v>0</v>
      </c>
      <c r="AF22" s="619">
        <f t="shared" si="16"/>
        <v>0</v>
      </c>
      <c r="AG22" s="619">
        <f t="shared" si="16"/>
        <v>0</v>
      </c>
      <c r="AH22" s="619">
        <f t="shared" si="16"/>
        <v>0</v>
      </c>
      <c r="AI22" s="619">
        <f t="shared" si="16"/>
        <v>0</v>
      </c>
      <c r="AJ22" s="548">
        <f t="shared" si="11"/>
        <v>0</v>
      </c>
      <c r="AK22" s="315">
        <f t="shared" si="14"/>
        <v>983778.22666912607</v>
      </c>
    </row>
    <row r="23" spans="1:39">
      <c r="A23" s="192" t="str">
        <f t="shared" si="8"/>
        <v>LEED Design Costs</v>
      </c>
      <c r="B23" s="311">
        <f t="shared" si="8"/>
        <v>2025</v>
      </c>
      <c r="C23" s="354">
        <f t="shared" ref="C23:F23" si="17">+C9</f>
        <v>6</v>
      </c>
      <c r="D23" s="354">
        <f t="shared" si="17"/>
        <v>60</v>
      </c>
      <c r="E23" s="354">
        <f t="shared" si="17"/>
        <v>39</v>
      </c>
      <c r="F23" s="360">
        <f t="shared" si="17"/>
        <v>0</v>
      </c>
      <c r="G23" s="619">
        <f t="shared" ref="G23:AI23" si="18">G63*$B$18*(1+$I$2)+G76*(1-$B$18)</f>
        <v>0</v>
      </c>
      <c r="H23" s="619">
        <f t="shared" si="18"/>
        <v>0</v>
      </c>
      <c r="I23" s="619">
        <f t="shared" si="18"/>
        <v>28914.45740252718</v>
      </c>
      <c r="J23" s="619">
        <f t="shared" si="18"/>
        <v>36793.055039358631</v>
      </c>
      <c r="K23" s="619">
        <f t="shared" si="18"/>
        <v>0</v>
      </c>
      <c r="L23" s="619">
        <f t="shared" si="18"/>
        <v>0</v>
      </c>
      <c r="M23" s="619">
        <f t="shared" si="18"/>
        <v>0</v>
      </c>
      <c r="N23" s="619">
        <f t="shared" si="18"/>
        <v>0</v>
      </c>
      <c r="O23" s="619">
        <f t="shared" si="18"/>
        <v>0</v>
      </c>
      <c r="P23" s="619">
        <f t="shared" si="18"/>
        <v>0</v>
      </c>
      <c r="Q23" s="619">
        <f t="shared" si="18"/>
        <v>0</v>
      </c>
      <c r="R23" s="619">
        <f t="shared" si="18"/>
        <v>0</v>
      </c>
      <c r="S23" s="619">
        <f t="shared" si="18"/>
        <v>0</v>
      </c>
      <c r="T23" s="619">
        <f t="shared" si="18"/>
        <v>0</v>
      </c>
      <c r="U23" s="619">
        <f t="shared" si="18"/>
        <v>0</v>
      </c>
      <c r="V23" s="619">
        <f t="shared" si="18"/>
        <v>0</v>
      </c>
      <c r="W23" s="619">
        <f t="shared" si="18"/>
        <v>0</v>
      </c>
      <c r="X23" s="619">
        <f t="shared" si="18"/>
        <v>0</v>
      </c>
      <c r="Y23" s="619">
        <f t="shared" si="18"/>
        <v>0</v>
      </c>
      <c r="Z23" s="619">
        <f t="shared" si="18"/>
        <v>0</v>
      </c>
      <c r="AA23" s="619">
        <f t="shared" si="18"/>
        <v>0</v>
      </c>
      <c r="AB23" s="619">
        <f t="shared" si="18"/>
        <v>0</v>
      </c>
      <c r="AC23" s="619">
        <f t="shared" si="18"/>
        <v>0</v>
      </c>
      <c r="AD23" s="619">
        <f t="shared" si="18"/>
        <v>0</v>
      </c>
      <c r="AE23" s="619">
        <f t="shared" si="18"/>
        <v>0</v>
      </c>
      <c r="AF23" s="619">
        <f t="shared" si="18"/>
        <v>0</v>
      </c>
      <c r="AG23" s="619">
        <f t="shared" si="18"/>
        <v>0</v>
      </c>
      <c r="AH23" s="619">
        <f t="shared" si="18"/>
        <v>0</v>
      </c>
      <c r="AI23" s="619">
        <f t="shared" si="18"/>
        <v>0</v>
      </c>
      <c r="AJ23" s="548">
        <f t="shared" si="11"/>
        <v>0</v>
      </c>
      <c r="AK23" s="315">
        <f t="shared" si="14"/>
        <v>65707.512441885803</v>
      </c>
    </row>
    <row r="24" spans="1:39">
      <c r="A24" s="192" t="str">
        <f t="shared" si="8"/>
        <v>Capital Plug</v>
      </c>
      <c r="B24" s="311">
        <f t="shared" si="8"/>
        <v>2025</v>
      </c>
      <c r="C24" s="354">
        <f t="shared" ref="C24:F24" si="19">+C10</f>
        <v>6</v>
      </c>
      <c r="D24" s="354">
        <f t="shared" si="19"/>
        <v>60</v>
      </c>
      <c r="E24" s="354">
        <f t="shared" si="19"/>
        <v>39</v>
      </c>
      <c r="F24" s="360">
        <f t="shared" si="19"/>
        <v>0</v>
      </c>
      <c r="G24" s="619">
        <f t="shared" ref="G24:AI24" si="20">G64*$B$18*(1+$I$2)+G77*(1-$B$18)</f>
        <v>5737.5275901441191</v>
      </c>
      <c r="H24" s="619">
        <f t="shared" si="20"/>
        <v>77729.534204809985</v>
      </c>
      <c r="I24" s="619">
        <f t="shared" si="20"/>
        <v>190936.16807171039</v>
      </c>
      <c r="J24" s="619">
        <f t="shared" si="20"/>
        <v>145547.71231898307</v>
      </c>
      <c r="K24" s="619">
        <f t="shared" si="20"/>
        <v>0</v>
      </c>
      <c r="L24" s="619">
        <f t="shared" si="20"/>
        <v>0</v>
      </c>
      <c r="M24" s="619">
        <f t="shared" si="20"/>
        <v>0</v>
      </c>
      <c r="N24" s="619">
        <f t="shared" si="20"/>
        <v>0</v>
      </c>
      <c r="O24" s="619">
        <f t="shared" si="20"/>
        <v>0</v>
      </c>
      <c r="P24" s="619">
        <f t="shared" si="20"/>
        <v>0</v>
      </c>
      <c r="Q24" s="619">
        <f t="shared" si="20"/>
        <v>0</v>
      </c>
      <c r="R24" s="619">
        <f t="shared" si="20"/>
        <v>0</v>
      </c>
      <c r="S24" s="619">
        <f t="shared" si="20"/>
        <v>0</v>
      </c>
      <c r="T24" s="619">
        <f t="shared" si="20"/>
        <v>0</v>
      </c>
      <c r="U24" s="619">
        <f t="shared" si="20"/>
        <v>0</v>
      </c>
      <c r="V24" s="619">
        <f t="shared" si="20"/>
        <v>0</v>
      </c>
      <c r="W24" s="619">
        <f t="shared" si="20"/>
        <v>0</v>
      </c>
      <c r="X24" s="619">
        <f t="shared" si="20"/>
        <v>0</v>
      </c>
      <c r="Y24" s="619">
        <f t="shared" si="20"/>
        <v>0</v>
      </c>
      <c r="Z24" s="619">
        <f t="shared" si="20"/>
        <v>0</v>
      </c>
      <c r="AA24" s="619">
        <f t="shared" si="20"/>
        <v>0</v>
      </c>
      <c r="AB24" s="619">
        <f t="shared" si="20"/>
        <v>0</v>
      </c>
      <c r="AC24" s="619">
        <f t="shared" si="20"/>
        <v>0</v>
      </c>
      <c r="AD24" s="619">
        <f t="shared" si="20"/>
        <v>0</v>
      </c>
      <c r="AE24" s="619">
        <f t="shared" si="20"/>
        <v>0</v>
      </c>
      <c r="AF24" s="619">
        <f t="shared" si="20"/>
        <v>0</v>
      </c>
      <c r="AG24" s="619">
        <f t="shared" si="20"/>
        <v>0</v>
      </c>
      <c r="AH24" s="619">
        <f t="shared" si="20"/>
        <v>0</v>
      </c>
      <c r="AI24" s="619">
        <f t="shared" si="20"/>
        <v>0</v>
      </c>
      <c r="AJ24" s="548">
        <f t="shared" si="11"/>
        <v>0</v>
      </c>
      <c r="AK24" s="315">
        <f t="shared" si="14"/>
        <v>419950.94218564755</v>
      </c>
    </row>
    <row r="25" spans="1:39">
      <c r="A25" s="192" t="str">
        <f t="shared" ref="A25:B27" si="21">+A11</f>
        <v>Parking Garage (1,000 Spaces)</v>
      </c>
      <c r="B25" s="311">
        <f t="shared" si="21"/>
        <v>2024</v>
      </c>
      <c r="C25" s="354">
        <f t="shared" ref="C25:F25" si="22">+C11</f>
        <v>0</v>
      </c>
      <c r="D25" s="354">
        <f t="shared" si="22"/>
        <v>60</v>
      </c>
      <c r="E25" s="354">
        <f t="shared" si="22"/>
        <v>39</v>
      </c>
      <c r="F25" s="360">
        <f t="shared" si="22"/>
        <v>0</v>
      </c>
      <c r="G25" s="619">
        <f t="shared" ref="G25:AI25" si="23">G65*$B$18*(1+$I$2)+G78*(1-$B$18)</f>
        <v>377.93366184554583</v>
      </c>
      <c r="H25" s="619">
        <f t="shared" si="23"/>
        <v>444236.54533706489</v>
      </c>
      <c r="I25" s="619">
        <f t="shared" si="23"/>
        <v>1056914.1051283695</v>
      </c>
      <c r="J25" s="619">
        <f t="shared" si="23"/>
        <v>0</v>
      </c>
      <c r="K25" s="619">
        <f t="shared" si="23"/>
        <v>0</v>
      </c>
      <c r="L25" s="619">
        <f t="shared" si="23"/>
        <v>0</v>
      </c>
      <c r="M25" s="619">
        <f t="shared" si="23"/>
        <v>0</v>
      </c>
      <c r="N25" s="619">
        <f t="shared" si="23"/>
        <v>0</v>
      </c>
      <c r="O25" s="619">
        <f t="shared" si="23"/>
        <v>0</v>
      </c>
      <c r="P25" s="619">
        <f t="shared" si="23"/>
        <v>0</v>
      </c>
      <c r="Q25" s="619">
        <f t="shared" si="23"/>
        <v>0</v>
      </c>
      <c r="R25" s="619">
        <f t="shared" si="23"/>
        <v>0</v>
      </c>
      <c r="S25" s="619">
        <f t="shared" si="23"/>
        <v>0</v>
      </c>
      <c r="T25" s="619">
        <f t="shared" si="23"/>
        <v>0</v>
      </c>
      <c r="U25" s="619">
        <f t="shared" si="23"/>
        <v>0</v>
      </c>
      <c r="V25" s="619">
        <f t="shared" si="23"/>
        <v>0</v>
      </c>
      <c r="W25" s="619">
        <f t="shared" si="23"/>
        <v>0</v>
      </c>
      <c r="X25" s="619">
        <f t="shared" si="23"/>
        <v>0</v>
      </c>
      <c r="Y25" s="619">
        <f t="shared" si="23"/>
        <v>0</v>
      </c>
      <c r="Z25" s="619">
        <f t="shared" si="23"/>
        <v>0</v>
      </c>
      <c r="AA25" s="619">
        <f t="shared" si="23"/>
        <v>0</v>
      </c>
      <c r="AB25" s="619">
        <f t="shared" si="23"/>
        <v>0</v>
      </c>
      <c r="AC25" s="619">
        <f t="shared" si="23"/>
        <v>0</v>
      </c>
      <c r="AD25" s="619">
        <f t="shared" si="23"/>
        <v>0</v>
      </c>
      <c r="AE25" s="619">
        <f t="shared" si="23"/>
        <v>0</v>
      </c>
      <c r="AF25" s="619">
        <f t="shared" si="23"/>
        <v>0</v>
      </c>
      <c r="AG25" s="619">
        <f t="shared" si="23"/>
        <v>0</v>
      </c>
      <c r="AH25" s="619">
        <f t="shared" si="23"/>
        <v>0</v>
      </c>
      <c r="AI25" s="619">
        <f t="shared" si="23"/>
        <v>0</v>
      </c>
      <c r="AJ25" s="548">
        <f t="shared" si="11"/>
        <v>0</v>
      </c>
      <c r="AK25" s="315">
        <f t="shared" si="14"/>
        <v>1501528.5841272799</v>
      </c>
    </row>
    <row r="26" spans="1:39">
      <c r="A26" s="192" t="str">
        <f t="shared" si="21"/>
        <v>Interior Costs - Soft Costs</v>
      </c>
      <c r="B26" s="311">
        <f t="shared" si="21"/>
        <v>2025</v>
      </c>
      <c r="C26" s="354">
        <f t="shared" ref="C26:F26" si="24">+C12</f>
        <v>6</v>
      </c>
      <c r="D26" s="354">
        <f t="shared" si="24"/>
        <v>60</v>
      </c>
      <c r="E26" s="354">
        <f t="shared" si="24"/>
        <v>39</v>
      </c>
      <c r="F26" s="360">
        <f t="shared" si="24"/>
        <v>0</v>
      </c>
      <c r="G26" s="619">
        <f t="shared" ref="G26:AI26" si="25">G66*$B$18*(1+$I$2)+G79*(1-$B$18)</f>
        <v>27933.726536177659</v>
      </c>
      <c r="H26" s="619">
        <f t="shared" si="25"/>
        <v>210899.10938802108</v>
      </c>
      <c r="I26" s="619">
        <f t="shared" si="25"/>
        <v>391202.22598254384</v>
      </c>
      <c r="J26" s="619">
        <f t="shared" si="25"/>
        <v>268245.57021232782</v>
      </c>
      <c r="K26" s="619">
        <f t="shared" si="25"/>
        <v>0</v>
      </c>
      <c r="L26" s="619">
        <f t="shared" si="25"/>
        <v>0</v>
      </c>
      <c r="M26" s="619">
        <f t="shared" si="25"/>
        <v>0</v>
      </c>
      <c r="N26" s="619">
        <f t="shared" si="25"/>
        <v>0</v>
      </c>
      <c r="O26" s="619">
        <f t="shared" si="25"/>
        <v>0</v>
      </c>
      <c r="P26" s="619">
        <f t="shared" si="25"/>
        <v>0</v>
      </c>
      <c r="Q26" s="619">
        <f t="shared" si="25"/>
        <v>0</v>
      </c>
      <c r="R26" s="619">
        <f t="shared" si="25"/>
        <v>0</v>
      </c>
      <c r="S26" s="619">
        <f t="shared" si="25"/>
        <v>0</v>
      </c>
      <c r="T26" s="619">
        <f t="shared" si="25"/>
        <v>0</v>
      </c>
      <c r="U26" s="619">
        <f t="shared" si="25"/>
        <v>0</v>
      </c>
      <c r="V26" s="619">
        <f t="shared" si="25"/>
        <v>0</v>
      </c>
      <c r="W26" s="619">
        <f t="shared" si="25"/>
        <v>0</v>
      </c>
      <c r="X26" s="619">
        <f t="shared" si="25"/>
        <v>0</v>
      </c>
      <c r="Y26" s="619">
        <f t="shared" si="25"/>
        <v>0</v>
      </c>
      <c r="Z26" s="619">
        <f t="shared" si="25"/>
        <v>0</v>
      </c>
      <c r="AA26" s="619">
        <f t="shared" si="25"/>
        <v>0</v>
      </c>
      <c r="AB26" s="619">
        <f t="shared" si="25"/>
        <v>0</v>
      </c>
      <c r="AC26" s="619">
        <f t="shared" si="25"/>
        <v>0</v>
      </c>
      <c r="AD26" s="619">
        <f t="shared" si="25"/>
        <v>0</v>
      </c>
      <c r="AE26" s="619">
        <f t="shared" si="25"/>
        <v>0</v>
      </c>
      <c r="AF26" s="619">
        <f t="shared" si="25"/>
        <v>0</v>
      </c>
      <c r="AG26" s="619">
        <f t="shared" si="25"/>
        <v>0</v>
      </c>
      <c r="AH26" s="619">
        <f t="shared" si="25"/>
        <v>0</v>
      </c>
      <c r="AI26" s="619">
        <f t="shared" si="25"/>
        <v>0</v>
      </c>
      <c r="AJ26" s="548">
        <f t="shared" si="11"/>
        <v>0</v>
      </c>
      <c r="AK26" s="315">
        <f t="shared" si="14"/>
        <v>898280.63211907051</v>
      </c>
    </row>
    <row r="27" spans="1:39">
      <c r="A27" s="192" t="str">
        <f t="shared" si="21"/>
        <v>Interior Costs - Construction</v>
      </c>
      <c r="B27" s="311">
        <f t="shared" si="21"/>
        <v>2025</v>
      </c>
      <c r="C27" s="354">
        <f t="shared" ref="C27:F27" si="26">+C13</f>
        <v>6</v>
      </c>
      <c r="D27" s="354">
        <f t="shared" si="26"/>
        <v>60</v>
      </c>
      <c r="E27" s="354">
        <f t="shared" si="26"/>
        <v>39</v>
      </c>
      <c r="F27" s="360">
        <f t="shared" si="26"/>
        <v>0</v>
      </c>
      <c r="G27" s="619">
        <f t="shared" ref="G27:AI27" si="27">G67*$B$18*(1+$I$2)+G80*(1-$B$18)</f>
        <v>0</v>
      </c>
      <c r="H27" s="619">
        <f t="shared" si="27"/>
        <v>0</v>
      </c>
      <c r="I27" s="619">
        <f t="shared" si="27"/>
        <v>958046.106884868</v>
      </c>
      <c r="J27" s="619">
        <f t="shared" si="27"/>
        <v>1994543.4092986993</v>
      </c>
      <c r="K27" s="619">
        <f t="shared" si="27"/>
        <v>0</v>
      </c>
      <c r="L27" s="619">
        <f t="shared" si="27"/>
        <v>0</v>
      </c>
      <c r="M27" s="619">
        <f t="shared" si="27"/>
        <v>0</v>
      </c>
      <c r="N27" s="619">
        <f t="shared" si="27"/>
        <v>0</v>
      </c>
      <c r="O27" s="619">
        <f t="shared" si="27"/>
        <v>0</v>
      </c>
      <c r="P27" s="619">
        <f t="shared" si="27"/>
        <v>0</v>
      </c>
      <c r="Q27" s="619">
        <f t="shared" si="27"/>
        <v>0</v>
      </c>
      <c r="R27" s="619">
        <f t="shared" si="27"/>
        <v>0</v>
      </c>
      <c r="S27" s="619">
        <f t="shared" si="27"/>
        <v>0</v>
      </c>
      <c r="T27" s="619">
        <f t="shared" si="27"/>
        <v>0</v>
      </c>
      <c r="U27" s="619">
        <f t="shared" si="27"/>
        <v>0</v>
      </c>
      <c r="V27" s="619">
        <f t="shared" si="27"/>
        <v>0</v>
      </c>
      <c r="W27" s="619">
        <f t="shared" si="27"/>
        <v>0</v>
      </c>
      <c r="X27" s="619">
        <f t="shared" si="27"/>
        <v>0</v>
      </c>
      <c r="Y27" s="619">
        <f t="shared" si="27"/>
        <v>0</v>
      </c>
      <c r="Z27" s="619">
        <f t="shared" si="27"/>
        <v>0</v>
      </c>
      <c r="AA27" s="619">
        <f t="shared" si="27"/>
        <v>0</v>
      </c>
      <c r="AB27" s="619">
        <f t="shared" si="27"/>
        <v>0</v>
      </c>
      <c r="AC27" s="619">
        <f t="shared" si="27"/>
        <v>0</v>
      </c>
      <c r="AD27" s="619">
        <f t="shared" si="27"/>
        <v>0</v>
      </c>
      <c r="AE27" s="619">
        <f t="shared" si="27"/>
        <v>0</v>
      </c>
      <c r="AF27" s="619">
        <f t="shared" si="27"/>
        <v>0</v>
      </c>
      <c r="AG27" s="619">
        <f t="shared" si="27"/>
        <v>0</v>
      </c>
      <c r="AH27" s="619">
        <f t="shared" si="27"/>
        <v>0</v>
      </c>
      <c r="AI27" s="619">
        <f t="shared" si="27"/>
        <v>0</v>
      </c>
      <c r="AJ27" s="548">
        <f t="shared" si="11"/>
        <v>0</v>
      </c>
      <c r="AK27" s="315">
        <f t="shared" si="14"/>
        <v>2952589.5161835672</v>
      </c>
    </row>
    <row r="28" spans="1:39">
      <c r="A28" s="192" t="str">
        <f t="shared" ref="A28" si="28">+A14</f>
        <v>Maintenance Capital</v>
      </c>
      <c r="B28" s="311">
        <f t="shared" ref="B28:F28" si="29">+B14</f>
        <v>0</v>
      </c>
      <c r="C28" s="354">
        <f t="shared" si="29"/>
        <v>6</v>
      </c>
      <c r="D28" s="354">
        <f t="shared" si="29"/>
        <v>60</v>
      </c>
      <c r="E28" s="354">
        <f t="shared" si="29"/>
        <v>39</v>
      </c>
      <c r="F28" s="360">
        <f t="shared" si="29"/>
        <v>0</v>
      </c>
      <c r="G28" s="619">
        <f t="shared" ref="G28:AI28" si="30">G68*$B$18*(1+$I$2)+G81*(1-$B$18)</f>
        <v>0</v>
      </c>
      <c r="H28" s="619">
        <f t="shared" si="30"/>
        <v>0</v>
      </c>
      <c r="I28" s="619">
        <f t="shared" si="30"/>
        <v>0</v>
      </c>
      <c r="J28" s="619">
        <f t="shared" si="30"/>
        <v>0</v>
      </c>
      <c r="K28" s="619">
        <f t="shared" si="30"/>
        <v>0</v>
      </c>
      <c r="L28" s="619">
        <f t="shared" si="30"/>
        <v>0</v>
      </c>
      <c r="M28" s="619">
        <f t="shared" si="30"/>
        <v>0</v>
      </c>
      <c r="N28" s="619">
        <f t="shared" si="30"/>
        <v>0</v>
      </c>
      <c r="O28" s="619">
        <f t="shared" si="30"/>
        <v>0</v>
      </c>
      <c r="P28" s="619">
        <f t="shared" si="30"/>
        <v>0</v>
      </c>
      <c r="Q28" s="619">
        <f t="shared" si="30"/>
        <v>0</v>
      </c>
      <c r="R28" s="619">
        <f t="shared" si="30"/>
        <v>0</v>
      </c>
      <c r="S28" s="619">
        <f t="shared" si="30"/>
        <v>0</v>
      </c>
      <c r="T28" s="619">
        <f t="shared" si="30"/>
        <v>0</v>
      </c>
      <c r="U28" s="619">
        <f t="shared" si="30"/>
        <v>0</v>
      </c>
      <c r="V28" s="619">
        <f t="shared" si="30"/>
        <v>0</v>
      </c>
      <c r="W28" s="619">
        <f t="shared" si="30"/>
        <v>0</v>
      </c>
      <c r="X28" s="619">
        <f t="shared" si="30"/>
        <v>0</v>
      </c>
      <c r="Y28" s="619">
        <f t="shared" si="30"/>
        <v>0</v>
      </c>
      <c r="Z28" s="619">
        <f t="shared" si="30"/>
        <v>0</v>
      </c>
      <c r="AA28" s="619">
        <f t="shared" si="30"/>
        <v>0</v>
      </c>
      <c r="AB28" s="619">
        <f t="shared" si="30"/>
        <v>0</v>
      </c>
      <c r="AC28" s="619">
        <f t="shared" si="30"/>
        <v>0</v>
      </c>
      <c r="AD28" s="619">
        <f t="shared" si="30"/>
        <v>0</v>
      </c>
      <c r="AE28" s="619">
        <f t="shared" si="30"/>
        <v>0</v>
      </c>
      <c r="AF28" s="619">
        <f t="shared" si="30"/>
        <v>0</v>
      </c>
      <c r="AG28" s="619">
        <f t="shared" si="30"/>
        <v>0</v>
      </c>
      <c r="AH28" s="619">
        <f t="shared" si="30"/>
        <v>0</v>
      </c>
      <c r="AI28" s="619">
        <f t="shared" si="30"/>
        <v>0</v>
      </c>
      <c r="AJ28" s="548">
        <f t="shared" si="11"/>
        <v>0</v>
      </c>
      <c r="AK28" s="315">
        <f t="shared" si="14"/>
        <v>0</v>
      </c>
    </row>
    <row r="29" spans="1:39">
      <c r="A29" s="192">
        <f t="shared" ref="A29" si="31">+A15</f>
        <v>0</v>
      </c>
      <c r="B29" s="311">
        <f t="shared" ref="B29:F29" si="32">+B15</f>
        <v>0</v>
      </c>
      <c r="C29" s="354">
        <f t="shared" si="32"/>
        <v>0</v>
      </c>
      <c r="D29" s="354">
        <f t="shared" si="32"/>
        <v>0</v>
      </c>
      <c r="E29" s="354">
        <f t="shared" si="32"/>
        <v>0</v>
      </c>
      <c r="F29" s="360">
        <f t="shared" si="32"/>
        <v>0</v>
      </c>
      <c r="G29" s="619">
        <f t="shared" ref="G29:AI29" si="33">G69*$B$18*(1+$I$2)+G82*(1-$B$18)</f>
        <v>0</v>
      </c>
      <c r="H29" s="619">
        <f t="shared" si="33"/>
        <v>0</v>
      </c>
      <c r="I29" s="619">
        <f t="shared" si="33"/>
        <v>0</v>
      </c>
      <c r="J29" s="619">
        <f t="shared" si="33"/>
        <v>0</v>
      </c>
      <c r="K29" s="619">
        <f t="shared" si="33"/>
        <v>0</v>
      </c>
      <c r="L29" s="619">
        <f t="shared" si="33"/>
        <v>0</v>
      </c>
      <c r="M29" s="619">
        <f t="shared" si="33"/>
        <v>0</v>
      </c>
      <c r="N29" s="619">
        <f t="shared" si="33"/>
        <v>0</v>
      </c>
      <c r="O29" s="619">
        <f t="shared" si="33"/>
        <v>0</v>
      </c>
      <c r="P29" s="619">
        <f t="shared" si="33"/>
        <v>0</v>
      </c>
      <c r="Q29" s="619">
        <f t="shared" si="33"/>
        <v>0</v>
      </c>
      <c r="R29" s="619">
        <f t="shared" si="33"/>
        <v>0</v>
      </c>
      <c r="S29" s="619">
        <f t="shared" si="33"/>
        <v>0</v>
      </c>
      <c r="T29" s="619">
        <f t="shared" si="33"/>
        <v>0</v>
      </c>
      <c r="U29" s="619">
        <f t="shared" si="33"/>
        <v>0</v>
      </c>
      <c r="V29" s="619">
        <f t="shared" si="33"/>
        <v>0</v>
      </c>
      <c r="W29" s="619">
        <f t="shared" si="33"/>
        <v>0</v>
      </c>
      <c r="X29" s="619">
        <f t="shared" si="33"/>
        <v>0</v>
      </c>
      <c r="Y29" s="619">
        <f t="shared" si="33"/>
        <v>0</v>
      </c>
      <c r="Z29" s="619">
        <f t="shared" si="33"/>
        <v>0</v>
      </c>
      <c r="AA29" s="619">
        <f t="shared" si="33"/>
        <v>0</v>
      </c>
      <c r="AB29" s="619">
        <f t="shared" si="33"/>
        <v>0</v>
      </c>
      <c r="AC29" s="619">
        <f t="shared" si="33"/>
        <v>0</v>
      </c>
      <c r="AD29" s="619">
        <f t="shared" si="33"/>
        <v>0</v>
      </c>
      <c r="AE29" s="619">
        <f t="shared" si="33"/>
        <v>0</v>
      </c>
      <c r="AF29" s="619">
        <f t="shared" si="33"/>
        <v>0</v>
      </c>
      <c r="AG29" s="619">
        <f t="shared" si="33"/>
        <v>0</v>
      </c>
      <c r="AH29" s="619">
        <f t="shared" si="33"/>
        <v>0</v>
      </c>
      <c r="AI29" s="619">
        <f t="shared" si="33"/>
        <v>0</v>
      </c>
      <c r="AJ29" s="548">
        <f t="shared" ref="AJ29" si="34">AJ69+AJ82</f>
        <v>0</v>
      </c>
      <c r="AK29" s="315">
        <f t="shared" si="14"/>
        <v>0</v>
      </c>
    </row>
    <row r="30" spans="1:39" ht="16.2" thickBot="1">
      <c r="A30" s="318" t="s">
        <v>191</v>
      </c>
      <c r="B30" s="319"/>
      <c r="C30" s="319"/>
      <c r="D30" s="320"/>
      <c r="E30" s="320"/>
      <c r="F30" s="320"/>
      <c r="G30" s="317">
        <f t="shared" ref="G30:AJ30" si="35">SUM(G20:G29)</f>
        <v>252101.44452701419</v>
      </c>
      <c r="H30" s="317">
        <f t="shared" si="35"/>
        <v>3982810.4474447821</v>
      </c>
      <c r="I30" s="317">
        <f t="shared" si="35"/>
        <v>8677461.1784080323</v>
      </c>
      <c r="J30" s="317">
        <f t="shared" si="35"/>
        <v>3115065.9764296375</v>
      </c>
      <c r="K30" s="317">
        <f t="shared" si="35"/>
        <v>0</v>
      </c>
      <c r="L30" s="317">
        <f t="shared" si="35"/>
        <v>0</v>
      </c>
      <c r="M30" s="317">
        <f t="shared" si="35"/>
        <v>0</v>
      </c>
      <c r="N30" s="317">
        <f t="shared" si="35"/>
        <v>0</v>
      </c>
      <c r="O30" s="317">
        <f t="shared" si="35"/>
        <v>0</v>
      </c>
      <c r="P30" s="317">
        <f t="shared" si="35"/>
        <v>0</v>
      </c>
      <c r="Q30" s="317">
        <f t="shared" si="35"/>
        <v>0</v>
      </c>
      <c r="R30" s="317">
        <f t="shared" si="35"/>
        <v>0</v>
      </c>
      <c r="S30" s="317">
        <f t="shared" si="35"/>
        <v>0</v>
      </c>
      <c r="T30" s="317">
        <f t="shared" si="35"/>
        <v>0</v>
      </c>
      <c r="U30" s="317">
        <f t="shared" si="35"/>
        <v>0</v>
      </c>
      <c r="V30" s="317">
        <f t="shared" si="35"/>
        <v>0</v>
      </c>
      <c r="W30" s="317">
        <f t="shared" si="35"/>
        <v>0</v>
      </c>
      <c r="X30" s="317">
        <f t="shared" si="35"/>
        <v>0</v>
      </c>
      <c r="Y30" s="317">
        <f t="shared" si="35"/>
        <v>0</v>
      </c>
      <c r="Z30" s="317">
        <f t="shared" si="35"/>
        <v>0</v>
      </c>
      <c r="AA30" s="317">
        <f t="shared" si="35"/>
        <v>0</v>
      </c>
      <c r="AB30" s="317">
        <f t="shared" si="35"/>
        <v>0</v>
      </c>
      <c r="AC30" s="317">
        <f t="shared" si="35"/>
        <v>0</v>
      </c>
      <c r="AD30" s="317">
        <f t="shared" si="35"/>
        <v>0</v>
      </c>
      <c r="AE30" s="317">
        <f t="shared" si="35"/>
        <v>0</v>
      </c>
      <c r="AF30" s="317">
        <f t="shared" si="35"/>
        <v>0</v>
      </c>
      <c r="AG30" s="317">
        <f t="shared" si="35"/>
        <v>0</v>
      </c>
      <c r="AH30" s="317">
        <f t="shared" si="35"/>
        <v>0</v>
      </c>
      <c r="AI30" s="317">
        <f t="shared" si="35"/>
        <v>0</v>
      </c>
      <c r="AJ30" s="317">
        <f t="shared" si="35"/>
        <v>0</v>
      </c>
      <c r="AK30" s="317">
        <f t="shared" ref="AK30" si="36">SUM(AK20:AK29)</f>
        <v>16027439.046809465</v>
      </c>
      <c r="AL30" s="315"/>
      <c r="AM30" s="315"/>
    </row>
    <row r="31" spans="1:39">
      <c r="B31" s="311"/>
      <c r="C31" s="311"/>
      <c r="D31" s="311"/>
      <c r="E31" s="311"/>
      <c r="F31" s="311"/>
    </row>
    <row r="32" spans="1:39">
      <c r="A32" s="177" t="s">
        <v>392</v>
      </c>
      <c r="B32" s="311"/>
      <c r="C32" s="311"/>
      <c r="D32" s="311"/>
      <c r="E32" s="311"/>
      <c r="F32" s="311"/>
    </row>
    <row r="33" spans="1:37">
      <c r="A33" s="192" t="str">
        <f>+A6</f>
        <v>Land Assumption</v>
      </c>
      <c r="B33" s="311">
        <f>+B6</f>
        <v>2024</v>
      </c>
      <c r="C33" s="311"/>
      <c r="D33" s="311"/>
      <c r="E33" s="311"/>
      <c r="F33" s="311"/>
      <c r="G33" s="315">
        <f>(G6+G20)*IF($B33&lt;=G$4,0,1)</f>
        <v>12045861.124216583</v>
      </c>
      <c r="H33" s="315">
        <f>(G33+H6+H20)*IF($B33&lt;=H$4,0,1)</f>
        <v>12778647.035720259</v>
      </c>
      <c r="I33" s="315">
        <f t="shared" ref="I33:AJ42" si="37">(H33+I6+I20)*IF($B33&lt;=I$4,0,1)</f>
        <v>0</v>
      </c>
      <c r="J33" s="315">
        <f t="shared" si="37"/>
        <v>0</v>
      </c>
      <c r="K33" s="315">
        <f t="shared" si="37"/>
        <v>0</v>
      </c>
      <c r="L33" s="315">
        <f t="shared" si="37"/>
        <v>0</v>
      </c>
      <c r="M33" s="315">
        <f t="shared" si="37"/>
        <v>0</v>
      </c>
      <c r="N33" s="315">
        <f t="shared" si="37"/>
        <v>0</v>
      </c>
      <c r="O33" s="315">
        <f t="shared" si="37"/>
        <v>0</v>
      </c>
      <c r="P33" s="315">
        <f t="shared" si="37"/>
        <v>0</v>
      </c>
      <c r="Q33" s="315">
        <f t="shared" si="37"/>
        <v>0</v>
      </c>
      <c r="R33" s="315">
        <f t="shared" si="37"/>
        <v>0</v>
      </c>
      <c r="S33" s="315">
        <f t="shared" si="37"/>
        <v>0</v>
      </c>
      <c r="T33" s="315">
        <f t="shared" si="37"/>
        <v>0</v>
      </c>
      <c r="U33" s="315">
        <f t="shared" si="37"/>
        <v>0</v>
      </c>
      <c r="V33" s="315">
        <f t="shared" si="37"/>
        <v>0</v>
      </c>
      <c r="W33" s="315">
        <f t="shared" si="37"/>
        <v>0</v>
      </c>
      <c r="X33" s="315">
        <f t="shared" si="37"/>
        <v>0</v>
      </c>
      <c r="Y33" s="315">
        <f t="shared" si="37"/>
        <v>0</v>
      </c>
      <c r="Z33" s="315">
        <f t="shared" si="37"/>
        <v>0</v>
      </c>
      <c r="AA33" s="315">
        <f t="shared" si="37"/>
        <v>0</v>
      </c>
      <c r="AB33" s="315">
        <f t="shared" si="37"/>
        <v>0</v>
      </c>
      <c r="AC33" s="315">
        <f t="shared" si="37"/>
        <v>0</v>
      </c>
      <c r="AD33" s="315">
        <f t="shared" si="37"/>
        <v>0</v>
      </c>
      <c r="AE33" s="315">
        <f t="shared" si="37"/>
        <v>0</v>
      </c>
      <c r="AF33" s="315">
        <f t="shared" si="37"/>
        <v>0</v>
      </c>
      <c r="AG33" s="315">
        <f t="shared" si="37"/>
        <v>0</v>
      </c>
      <c r="AH33" s="315">
        <f t="shared" si="37"/>
        <v>0</v>
      </c>
      <c r="AI33" s="315">
        <f t="shared" si="37"/>
        <v>0</v>
      </c>
      <c r="AJ33" s="315">
        <f t="shared" si="37"/>
        <v>0</v>
      </c>
    </row>
    <row r="34" spans="1:37">
      <c r="A34" s="192" t="str">
        <f t="shared" ref="A34:B42" si="38">+A7</f>
        <v>Midtown Building</v>
      </c>
      <c r="B34" s="311">
        <f t="shared" si="38"/>
        <v>2024</v>
      </c>
      <c r="C34" s="311"/>
      <c r="D34" s="311"/>
      <c r="E34" s="311"/>
      <c r="F34" s="311"/>
      <c r="G34" s="315">
        <f t="shared" ref="G34:G42" si="39">(G7+G21)*IF($B34&lt;=G$4,0,1)</f>
        <v>14965111.132522264</v>
      </c>
      <c r="H34" s="315">
        <f t="shared" ref="H34:W42" si="40">(G34+H7+H21)*IF($B34&lt;=H$4,0,1)</f>
        <v>69729598.776200145</v>
      </c>
      <c r="I34" s="315">
        <f t="shared" si="40"/>
        <v>0</v>
      </c>
      <c r="J34" s="315">
        <f t="shared" si="40"/>
        <v>0</v>
      </c>
      <c r="K34" s="315">
        <f t="shared" si="40"/>
        <v>0</v>
      </c>
      <c r="L34" s="315">
        <f t="shared" si="40"/>
        <v>0</v>
      </c>
      <c r="M34" s="315">
        <f t="shared" si="40"/>
        <v>0</v>
      </c>
      <c r="N34" s="315">
        <f t="shared" si="40"/>
        <v>0</v>
      </c>
      <c r="O34" s="315">
        <f t="shared" si="40"/>
        <v>0</v>
      </c>
      <c r="P34" s="315">
        <f t="shared" si="40"/>
        <v>0</v>
      </c>
      <c r="Q34" s="315">
        <f t="shared" si="40"/>
        <v>0</v>
      </c>
      <c r="R34" s="315">
        <f t="shared" si="40"/>
        <v>0</v>
      </c>
      <c r="S34" s="315">
        <f t="shared" si="40"/>
        <v>0</v>
      </c>
      <c r="T34" s="315">
        <f t="shared" si="40"/>
        <v>0</v>
      </c>
      <c r="U34" s="315">
        <f t="shared" si="40"/>
        <v>0</v>
      </c>
      <c r="V34" s="315">
        <f t="shared" si="40"/>
        <v>0</v>
      </c>
      <c r="W34" s="315">
        <f t="shared" si="40"/>
        <v>0</v>
      </c>
      <c r="X34" s="315">
        <f t="shared" si="37"/>
        <v>0</v>
      </c>
      <c r="Y34" s="315">
        <f t="shared" si="37"/>
        <v>0</v>
      </c>
      <c r="Z34" s="315">
        <f t="shared" si="37"/>
        <v>0</v>
      </c>
      <c r="AA34" s="315">
        <f t="shared" si="37"/>
        <v>0</v>
      </c>
      <c r="AB34" s="315">
        <f t="shared" si="37"/>
        <v>0</v>
      </c>
      <c r="AC34" s="315">
        <f t="shared" si="37"/>
        <v>0</v>
      </c>
      <c r="AD34" s="315">
        <f t="shared" si="37"/>
        <v>0</v>
      </c>
      <c r="AE34" s="315">
        <f t="shared" si="37"/>
        <v>0</v>
      </c>
      <c r="AF34" s="315">
        <f t="shared" si="37"/>
        <v>0</v>
      </c>
      <c r="AG34" s="315">
        <f t="shared" si="37"/>
        <v>0</v>
      </c>
      <c r="AH34" s="315">
        <f t="shared" si="37"/>
        <v>0</v>
      </c>
      <c r="AI34" s="315">
        <f t="shared" si="37"/>
        <v>0</v>
      </c>
      <c r="AJ34" s="315">
        <f t="shared" si="37"/>
        <v>0</v>
      </c>
    </row>
    <row r="35" spans="1:37">
      <c r="A35" s="192" t="str">
        <f t="shared" si="38"/>
        <v>Furniture, Fixtures &amp; Equipment - Building</v>
      </c>
      <c r="B35" s="311">
        <f t="shared" si="38"/>
        <v>2025</v>
      </c>
      <c r="C35" s="311"/>
      <c r="D35" s="311"/>
      <c r="E35" s="311"/>
      <c r="F35" s="311"/>
      <c r="G35" s="315">
        <f t="shared" si="39"/>
        <v>0</v>
      </c>
      <c r="H35" s="315">
        <f t="shared" si="40"/>
        <v>0</v>
      </c>
      <c r="I35" s="315">
        <f t="shared" si="37"/>
        <v>15321638.247108858</v>
      </c>
      <c r="J35" s="315">
        <f t="shared" si="37"/>
        <v>0</v>
      </c>
      <c r="K35" s="315">
        <f t="shared" si="37"/>
        <v>0</v>
      </c>
      <c r="L35" s="315">
        <f t="shared" si="37"/>
        <v>0</v>
      </c>
      <c r="M35" s="315">
        <f t="shared" si="37"/>
        <v>0</v>
      </c>
      <c r="N35" s="315">
        <f t="shared" si="37"/>
        <v>0</v>
      </c>
      <c r="O35" s="315">
        <f t="shared" si="37"/>
        <v>0</v>
      </c>
      <c r="P35" s="315">
        <f t="shared" si="37"/>
        <v>0</v>
      </c>
      <c r="Q35" s="315">
        <f t="shared" si="37"/>
        <v>0</v>
      </c>
      <c r="R35" s="315">
        <f t="shared" si="37"/>
        <v>0</v>
      </c>
      <c r="S35" s="315">
        <f t="shared" si="37"/>
        <v>0</v>
      </c>
      <c r="T35" s="315">
        <f t="shared" si="37"/>
        <v>0</v>
      </c>
      <c r="U35" s="315">
        <f t="shared" si="37"/>
        <v>0</v>
      </c>
      <c r="V35" s="315">
        <f t="shared" si="37"/>
        <v>0</v>
      </c>
      <c r="W35" s="315">
        <f t="shared" si="37"/>
        <v>0</v>
      </c>
      <c r="X35" s="315">
        <f t="shared" si="37"/>
        <v>0</v>
      </c>
      <c r="Y35" s="315">
        <f t="shared" si="37"/>
        <v>0</v>
      </c>
      <c r="Z35" s="315">
        <f t="shared" si="37"/>
        <v>0</v>
      </c>
      <c r="AA35" s="315">
        <f t="shared" si="37"/>
        <v>0</v>
      </c>
      <c r="AB35" s="315">
        <f t="shared" si="37"/>
        <v>0</v>
      </c>
      <c r="AC35" s="315">
        <f t="shared" si="37"/>
        <v>0</v>
      </c>
      <c r="AD35" s="315">
        <f t="shared" si="37"/>
        <v>0</v>
      </c>
      <c r="AE35" s="315">
        <f t="shared" si="37"/>
        <v>0</v>
      </c>
      <c r="AF35" s="315">
        <f t="shared" si="37"/>
        <v>0</v>
      </c>
      <c r="AG35" s="315">
        <f t="shared" si="37"/>
        <v>0</v>
      </c>
      <c r="AH35" s="315">
        <f t="shared" si="37"/>
        <v>0</v>
      </c>
      <c r="AI35" s="315">
        <f t="shared" si="37"/>
        <v>0</v>
      </c>
      <c r="AJ35" s="315">
        <f t="shared" si="37"/>
        <v>0</v>
      </c>
    </row>
    <row r="36" spans="1:37">
      <c r="A36" s="192" t="str">
        <f t="shared" si="38"/>
        <v>LEED Design Costs</v>
      </c>
      <c r="B36" s="311">
        <f t="shared" si="38"/>
        <v>2025</v>
      </c>
      <c r="G36" s="315">
        <f t="shared" si="39"/>
        <v>0</v>
      </c>
      <c r="H36" s="315">
        <f t="shared" si="40"/>
        <v>0</v>
      </c>
      <c r="I36" s="315">
        <f t="shared" si="37"/>
        <v>988914.45740252722</v>
      </c>
      <c r="J36" s="315">
        <f t="shared" si="37"/>
        <v>0</v>
      </c>
      <c r="K36" s="315">
        <f t="shared" si="37"/>
        <v>0</v>
      </c>
      <c r="L36" s="315">
        <f t="shared" si="37"/>
        <v>0</v>
      </c>
      <c r="M36" s="315">
        <f t="shared" si="37"/>
        <v>0</v>
      </c>
      <c r="N36" s="315">
        <f t="shared" si="37"/>
        <v>0</v>
      </c>
      <c r="O36" s="315">
        <f t="shared" si="37"/>
        <v>0</v>
      </c>
      <c r="P36" s="315">
        <f t="shared" si="37"/>
        <v>0</v>
      </c>
      <c r="Q36" s="315">
        <f t="shared" si="37"/>
        <v>0</v>
      </c>
      <c r="R36" s="315">
        <f t="shared" si="37"/>
        <v>0</v>
      </c>
      <c r="S36" s="315">
        <f t="shared" si="37"/>
        <v>0</v>
      </c>
      <c r="T36" s="315">
        <f t="shared" si="37"/>
        <v>0</v>
      </c>
      <c r="U36" s="315">
        <f t="shared" si="37"/>
        <v>0</v>
      </c>
      <c r="V36" s="315">
        <f t="shared" si="37"/>
        <v>0</v>
      </c>
      <c r="W36" s="315">
        <f t="shared" si="37"/>
        <v>0</v>
      </c>
      <c r="X36" s="315">
        <f t="shared" si="37"/>
        <v>0</v>
      </c>
      <c r="Y36" s="315">
        <f t="shared" si="37"/>
        <v>0</v>
      </c>
      <c r="Z36" s="315">
        <f t="shared" si="37"/>
        <v>0</v>
      </c>
      <c r="AA36" s="315">
        <f t="shared" si="37"/>
        <v>0</v>
      </c>
      <c r="AB36" s="315">
        <f t="shared" si="37"/>
        <v>0</v>
      </c>
      <c r="AC36" s="315">
        <f t="shared" si="37"/>
        <v>0</v>
      </c>
      <c r="AD36" s="315">
        <f t="shared" si="37"/>
        <v>0</v>
      </c>
      <c r="AE36" s="315">
        <f t="shared" si="37"/>
        <v>0</v>
      </c>
      <c r="AF36" s="315">
        <f t="shared" si="37"/>
        <v>0</v>
      </c>
      <c r="AG36" s="315">
        <f t="shared" si="37"/>
        <v>0</v>
      </c>
      <c r="AH36" s="315">
        <f t="shared" si="37"/>
        <v>0</v>
      </c>
      <c r="AI36" s="315">
        <f t="shared" si="37"/>
        <v>0</v>
      </c>
      <c r="AJ36" s="315">
        <f t="shared" si="37"/>
        <v>0</v>
      </c>
    </row>
    <row r="37" spans="1:37">
      <c r="A37" s="192" t="str">
        <f t="shared" si="38"/>
        <v>Capital Plug</v>
      </c>
      <c r="B37" s="311">
        <f t="shared" si="38"/>
        <v>2025</v>
      </c>
      <c r="G37" s="315">
        <f t="shared" si="39"/>
        <v>584739.0569662347</v>
      </c>
      <c r="H37" s="315">
        <f t="shared" si="40"/>
        <v>2062175.89046463</v>
      </c>
      <c r="I37" s="315">
        <f t="shared" si="37"/>
        <v>4427398.1434499836</v>
      </c>
      <c r="J37" s="315">
        <f t="shared" si="37"/>
        <v>0</v>
      </c>
      <c r="K37" s="315">
        <f t="shared" si="37"/>
        <v>0</v>
      </c>
      <c r="L37" s="315">
        <f t="shared" si="37"/>
        <v>0</v>
      </c>
      <c r="M37" s="315">
        <f t="shared" si="37"/>
        <v>0</v>
      </c>
      <c r="N37" s="315">
        <f t="shared" si="37"/>
        <v>0</v>
      </c>
      <c r="O37" s="315">
        <f t="shared" si="37"/>
        <v>0</v>
      </c>
      <c r="P37" s="315">
        <f t="shared" si="37"/>
        <v>0</v>
      </c>
      <c r="Q37" s="315">
        <f t="shared" si="37"/>
        <v>0</v>
      </c>
      <c r="R37" s="315">
        <f t="shared" si="37"/>
        <v>0</v>
      </c>
      <c r="S37" s="315">
        <f t="shared" si="37"/>
        <v>0</v>
      </c>
      <c r="T37" s="315">
        <f t="shared" si="37"/>
        <v>0</v>
      </c>
      <c r="U37" s="315">
        <f t="shared" si="37"/>
        <v>0</v>
      </c>
      <c r="V37" s="315">
        <f t="shared" si="37"/>
        <v>0</v>
      </c>
      <c r="W37" s="315">
        <f t="shared" si="37"/>
        <v>0</v>
      </c>
      <c r="X37" s="315">
        <f t="shared" si="37"/>
        <v>0</v>
      </c>
      <c r="Y37" s="315">
        <f t="shared" si="37"/>
        <v>0</v>
      </c>
      <c r="Z37" s="315">
        <f t="shared" si="37"/>
        <v>0</v>
      </c>
      <c r="AA37" s="315">
        <f t="shared" si="37"/>
        <v>0</v>
      </c>
      <c r="AB37" s="315">
        <f t="shared" si="37"/>
        <v>0</v>
      </c>
      <c r="AC37" s="315">
        <f t="shared" si="37"/>
        <v>0</v>
      </c>
      <c r="AD37" s="315">
        <f t="shared" si="37"/>
        <v>0</v>
      </c>
      <c r="AE37" s="315">
        <f t="shared" si="37"/>
        <v>0</v>
      </c>
      <c r="AF37" s="315">
        <f t="shared" si="37"/>
        <v>0</v>
      </c>
      <c r="AG37" s="315">
        <f t="shared" si="37"/>
        <v>0</v>
      </c>
      <c r="AH37" s="315">
        <f t="shared" si="37"/>
        <v>0</v>
      </c>
      <c r="AI37" s="315">
        <f t="shared" si="37"/>
        <v>0</v>
      </c>
      <c r="AJ37" s="315">
        <f t="shared" si="37"/>
        <v>0</v>
      </c>
    </row>
    <row r="38" spans="1:37">
      <c r="A38" s="192" t="str">
        <f t="shared" si="38"/>
        <v>Parking Garage (1,000 Spaces)</v>
      </c>
      <c r="B38" s="311">
        <f t="shared" si="38"/>
        <v>2024</v>
      </c>
      <c r="G38" s="315">
        <f t="shared" si="39"/>
        <v>25777.933661845545</v>
      </c>
      <c r="H38" s="315">
        <f t="shared" si="40"/>
        <v>15167218.145665579</v>
      </c>
      <c r="I38" s="315">
        <f t="shared" si="37"/>
        <v>0</v>
      </c>
      <c r="J38" s="315">
        <f t="shared" si="37"/>
        <v>0</v>
      </c>
      <c r="K38" s="315">
        <f t="shared" si="37"/>
        <v>0</v>
      </c>
      <c r="L38" s="315">
        <f t="shared" si="37"/>
        <v>0</v>
      </c>
      <c r="M38" s="315">
        <f t="shared" si="37"/>
        <v>0</v>
      </c>
      <c r="N38" s="315">
        <f t="shared" si="37"/>
        <v>0</v>
      </c>
      <c r="O38" s="315">
        <f t="shared" si="37"/>
        <v>0</v>
      </c>
      <c r="P38" s="315">
        <f t="shared" si="37"/>
        <v>0</v>
      </c>
      <c r="Q38" s="315">
        <f t="shared" si="37"/>
        <v>0</v>
      </c>
      <c r="R38" s="315">
        <f t="shared" si="37"/>
        <v>0</v>
      </c>
      <c r="S38" s="315">
        <f t="shared" si="37"/>
        <v>0</v>
      </c>
      <c r="T38" s="315">
        <f t="shared" si="37"/>
        <v>0</v>
      </c>
      <c r="U38" s="315">
        <f t="shared" si="37"/>
        <v>0</v>
      </c>
      <c r="V38" s="315">
        <f t="shared" si="37"/>
        <v>0</v>
      </c>
      <c r="W38" s="315">
        <f t="shared" si="37"/>
        <v>0</v>
      </c>
      <c r="X38" s="315">
        <f t="shared" si="37"/>
        <v>0</v>
      </c>
      <c r="Y38" s="315">
        <f t="shared" si="37"/>
        <v>0</v>
      </c>
      <c r="Z38" s="315">
        <f t="shared" si="37"/>
        <v>0</v>
      </c>
      <c r="AA38" s="315">
        <f t="shared" si="37"/>
        <v>0</v>
      </c>
      <c r="AB38" s="315">
        <f t="shared" si="37"/>
        <v>0</v>
      </c>
      <c r="AC38" s="315">
        <f t="shared" si="37"/>
        <v>0</v>
      </c>
      <c r="AD38" s="315">
        <f t="shared" si="37"/>
        <v>0</v>
      </c>
      <c r="AE38" s="315">
        <f t="shared" si="37"/>
        <v>0</v>
      </c>
      <c r="AF38" s="315">
        <f t="shared" si="37"/>
        <v>0</v>
      </c>
      <c r="AG38" s="315">
        <f t="shared" si="37"/>
        <v>0</v>
      </c>
      <c r="AH38" s="315">
        <f t="shared" si="37"/>
        <v>0</v>
      </c>
      <c r="AI38" s="315">
        <f t="shared" si="37"/>
        <v>0</v>
      </c>
      <c r="AJ38" s="315">
        <f t="shared" si="37"/>
        <v>0</v>
      </c>
    </row>
    <row r="39" spans="1:37">
      <c r="A39" s="192" t="str">
        <f t="shared" si="38"/>
        <v>Interior Costs - Soft Costs</v>
      </c>
      <c r="B39" s="311">
        <f t="shared" si="38"/>
        <v>2025</v>
      </c>
      <c r="G39" s="315">
        <f t="shared" si="39"/>
        <v>2065267.9765361776</v>
      </c>
      <c r="H39" s="315">
        <f t="shared" si="40"/>
        <v>5088739.0859241979</v>
      </c>
      <c r="I39" s="315">
        <f t="shared" si="37"/>
        <v>8261625.3119067419</v>
      </c>
      <c r="J39" s="315">
        <f t="shared" si="37"/>
        <v>0</v>
      </c>
      <c r="K39" s="315">
        <f t="shared" si="37"/>
        <v>0</v>
      </c>
      <c r="L39" s="315">
        <f t="shared" si="37"/>
        <v>0</v>
      </c>
      <c r="M39" s="315">
        <f t="shared" si="37"/>
        <v>0</v>
      </c>
      <c r="N39" s="315">
        <f t="shared" si="37"/>
        <v>0</v>
      </c>
      <c r="O39" s="315">
        <f t="shared" si="37"/>
        <v>0</v>
      </c>
      <c r="P39" s="315">
        <f t="shared" si="37"/>
        <v>0</v>
      </c>
      <c r="Q39" s="315">
        <f t="shared" si="37"/>
        <v>0</v>
      </c>
      <c r="R39" s="315">
        <f t="shared" si="37"/>
        <v>0</v>
      </c>
      <c r="S39" s="315">
        <f t="shared" si="37"/>
        <v>0</v>
      </c>
      <c r="T39" s="315">
        <f t="shared" si="37"/>
        <v>0</v>
      </c>
      <c r="U39" s="315">
        <f t="shared" si="37"/>
        <v>0</v>
      </c>
      <c r="V39" s="315">
        <f t="shared" si="37"/>
        <v>0</v>
      </c>
      <c r="W39" s="315">
        <f t="shared" si="37"/>
        <v>0</v>
      </c>
      <c r="X39" s="315">
        <f t="shared" si="37"/>
        <v>0</v>
      </c>
      <c r="Y39" s="315">
        <f t="shared" si="37"/>
        <v>0</v>
      </c>
      <c r="Z39" s="315">
        <f t="shared" si="37"/>
        <v>0</v>
      </c>
      <c r="AA39" s="315">
        <f t="shared" si="37"/>
        <v>0</v>
      </c>
      <c r="AB39" s="315">
        <f t="shared" si="37"/>
        <v>0</v>
      </c>
      <c r="AC39" s="315">
        <f t="shared" si="37"/>
        <v>0</v>
      </c>
      <c r="AD39" s="315">
        <f t="shared" si="37"/>
        <v>0</v>
      </c>
      <c r="AE39" s="315">
        <f t="shared" si="37"/>
        <v>0</v>
      </c>
      <c r="AF39" s="315">
        <f t="shared" si="37"/>
        <v>0</v>
      </c>
      <c r="AG39" s="315">
        <f t="shared" si="37"/>
        <v>0</v>
      </c>
      <c r="AH39" s="315">
        <f t="shared" si="37"/>
        <v>0</v>
      </c>
      <c r="AI39" s="315">
        <f t="shared" si="37"/>
        <v>0</v>
      </c>
      <c r="AJ39" s="315">
        <f t="shared" si="37"/>
        <v>0</v>
      </c>
    </row>
    <row r="40" spans="1:37">
      <c r="A40" s="192" t="str">
        <f t="shared" si="38"/>
        <v>Interior Costs - Construction</v>
      </c>
      <c r="B40" s="311">
        <f t="shared" si="38"/>
        <v>2025</v>
      </c>
      <c r="G40" s="315">
        <f t="shared" si="39"/>
        <v>0</v>
      </c>
      <c r="H40" s="315">
        <f t="shared" si="40"/>
        <v>0</v>
      </c>
      <c r="I40" s="315">
        <f t="shared" si="37"/>
        <v>50607187.84968102</v>
      </c>
      <c r="J40" s="315">
        <f t="shared" si="37"/>
        <v>0</v>
      </c>
      <c r="K40" s="315">
        <f t="shared" si="37"/>
        <v>0</v>
      </c>
      <c r="L40" s="315">
        <f t="shared" si="37"/>
        <v>0</v>
      </c>
      <c r="M40" s="315">
        <f t="shared" si="37"/>
        <v>0</v>
      </c>
      <c r="N40" s="315">
        <f t="shared" si="37"/>
        <v>0</v>
      </c>
      <c r="O40" s="315">
        <f t="shared" si="37"/>
        <v>0</v>
      </c>
      <c r="P40" s="315">
        <f t="shared" si="37"/>
        <v>0</v>
      </c>
      <c r="Q40" s="315">
        <f t="shared" si="37"/>
        <v>0</v>
      </c>
      <c r="R40" s="315">
        <f t="shared" si="37"/>
        <v>0</v>
      </c>
      <c r="S40" s="315">
        <f t="shared" si="37"/>
        <v>0</v>
      </c>
      <c r="T40" s="315">
        <f t="shared" si="37"/>
        <v>0</v>
      </c>
      <c r="U40" s="315">
        <f t="shared" si="37"/>
        <v>0</v>
      </c>
      <c r="V40" s="315">
        <f t="shared" si="37"/>
        <v>0</v>
      </c>
      <c r="W40" s="315">
        <f t="shared" si="37"/>
        <v>0</v>
      </c>
      <c r="X40" s="315">
        <f t="shared" si="37"/>
        <v>0</v>
      </c>
      <c r="Y40" s="315">
        <f t="shared" si="37"/>
        <v>0</v>
      </c>
      <c r="Z40" s="315">
        <f t="shared" si="37"/>
        <v>0</v>
      </c>
      <c r="AA40" s="315">
        <f t="shared" si="37"/>
        <v>0</v>
      </c>
      <c r="AB40" s="315">
        <f t="shared" si="37"/>
        <v>0</v>
      </c>
      <c r="AC40" s="315">
        <f t="shared" si="37"/>
        <v>0</v>
      </c>
      <c r="AD40" s="315">
        <f t="shared" si="37"/>
        <v>0</v>
      </c>
      <c r="AE40" s="315">
        <f t="shared" si="37"/>
        <v>0</v>
      </c>
      <c r="AF40" s="315">
        <f t="shared" si="37"/>
        <v>0</v>
      </c>
      <c r="AG40" s="315">
        <f t="shared" si="37"/>
        <v>0</v>
      </c>
      <c r="AH40" s="315">
        <f t="shared" si="37"/>
        <v>0</v>
      </c>
      <c r="AI40" s="315">
        <f t="shared" si="37"/>
        <v>0</v>
      </c>
      <c r="AJ40" s="315">
        <f t="shared" si="37"/>
        <v>0</v>
      </c>
    </row>
    <row r="41" spans="1:37">
      <c r="A41" s="192" t="str">
        <f t="shared" si="38"/>
        <v>Maintenance Capital</v>
      </c>
      <c r="B41" s="311">
        <f t="shared" si="38"/>
        <v>0</v>
      </c>
      <c r="G41" s="315">
        <f t="shared" si="39"/>
        <v>0</v>
      </c>
      <c r="H41" s="315">
        <f t="shared" si="40"/>
        <v>0</v>
      </c>
      <c r="I41" s="315">
        <f t="shared" si="37"/>
        <v>0</v>
      </c>
      <c r="J41" s="315">
        <f t="shared" si="37"/>
        <v>0</v>
      </c>
      <c r="K41" s="315">
        <f t="shared" si="37"/>
        <v>0</v>
      </c>
      <c r="L41" s="315">
        <f t="shared" si="37"/>
        <v>0</v>
      </c>
      <c r="M41" s="315">
        <f t="shared" si="37"/>
        <v>0</v>
      </c>
      <c r="N41" s="315">
        <f t="shared" si="37"/>
        <v>0</v>
      </c>
      <c r="O41" s="315">
        <f t="shared" si="37"/>
        <v>0</v>
      </c>
      <c r="P41" s="315">
        <f t="shared" si="37"/>
        <v>0</v>
      </c>
      <c r="Q41" s="315">
        <f t="shared" si="37"/>
        <v>0</v>
      </c>
      <c r="R41" s="315">
        <f t="shared" si="37"/>
        <v>0</v>
      </c>
      <c r="S41" s="315">
        <f t="shared" si="37"/>
        <v>0</v>
      </c>
      <c r="T41" s="315">
        <f t="shared" si="37"/>
        <v>0</v>
      </c>
      <c r="U41" s="315">
        <f t="shared" si="37"/>
        <v>0</v>
      </c>
      <c r="V41" s="315">
        <f t="shared" si="37"/>
        <v>0</v>
      </c>
      <c r="W41" s="315">
        <f t="shared" si="37"/>
        <v>0</v>
      </c>
      <c r="X41" s="315">
        <f t="shared" si="37"/>
        <v>0</v>
      </c>
      <c r="Y41" s="315">
        <f t="shared" si="37"/>
        <v>0</v>
      </c>
      <c r="Z41" s="315">
        <f t="shared" si="37"/>
        <v>0</v>
      </c>
      <c r="AA41" s="315">
        <f t="shared" si="37"/>
        <v>0</v>
      </c>
      <c r="AB41" s="315">
        <f t="shared" si="37"/>
        <v>0</v>
      </c>
      <c r="AC41" s="315">
        <f t="shared" si="37"/>
        <v>0</v>
      </c>
      <c r="AD41" s="315">
        <f t="shared" si="37"/>
        <v>0</v>
      </c>
      <c r="AE41" s="315">
        <f t="shared" si="37"/>
        <v>0</v>
      </c>
      <c r="AF41" s="315">
        <f t="shared" si="37"/>
        <v>0</v>
      </c>
      <c r="AG41" s="315">
        <f t="shared" si="37"/>
        <v>0</v>
      </c>
      <c r="AH41" s="315">
        <f t="shared" si="37"/>
        <v>0</v>
      </c>
      <c r="AI41" s="315">
        <f t="shared" si="37"/>
        <v>0</v>
      </c>
      <c r="AJ41" s="315">
        <f t="shared" si="37"/>
        <v>0</v>
      </c>
    </row>
    <row r="42" spans="1:37">
      <c r="A42" s="192">
        <f t="shared" si="38"/>
        <v>0</v>
      </c>
      <c r="B42" s="311">
        <f t="shared" si="38"/>
        <v>0</v>
      </c>
      <c r="G42" s="315">
        <f t="shared" si="39"/>
        <v>0</v>
      </c>
      <c r="H42" s="315">
        <f t="shared" si="40"/>
        <v>0</v>
      </c>
      <c r="I42" s="315">
        <f t="shared" si="37"/>
        <v>0</v>
      </c>
      <c r="J42" s="315">
        <f t="shared" si="37"/>
        <v>0</v>
      </c>
      <c r="K42" s="315">
        <f t="shared" si="37"/>
        <v>0</v>
      </c>
      <c r="L42" s="315">
        <f t="shared" si="37"/>
        <v>0</v>
      </c>
      <c r="M42" s="315">
        <f t="shared" si="37"/>
        <v>0</v>
      </c>
      <c r="N42" s="315">
        <f t="shared" si="37"/>
        <v>0</v>
      </c>
      <c r="O42" s="315">
        <f t="shared" si="37"/>
        <v>0</v>
      </c>
      <c r="P42" s="315">
        <f t="shared" si="37"/>
        <v>0</v>
      </c>
      <c r="Q42" s="315">
        <f t="shared" si="37"/>
        <v>0</v>
      </c>
      <c r="R42" s="315">
        <f t="shared" si="37"/>
        <v>0</v>
      </c>
      <c r="S42" s="315">
        <f t="shared" si="37"/>
        <v>0</v>
      </c>
      <c r="T42" s="315">
        <f t="shared" si="37"/>
        <v>0</v>
      </c>
      <c r="U42" s="315">
        <f t="shared" si="37"/>
        <v>0</v>
      </c>
      <c r="V42" s="315">
        <f t="shared" si="37"/>
        <v>0</v>
      </c>
      <c r="W42" s="315">
        <f t="shared" si="37"/>
        <v>0</v>
      </c>
      <c r="X42" s="315">
        <f t="shared" si="37"/>
        <v>0</v>
      </c>
      <c r="Y42" s="315">
        <f t="shared" si="37"/>
        <v>0</v>
      </c>
      <c r="Z42" s="315">
        <f t="shared" si="37"/>
        <v>0</v>
      </c>
      <c r="AA42" s="315">
        <f t="shared" ref="AA42:AJ42" si="41">(Z42+AA15+AA29)*IF($B42&lt;=AA$4,0,1)</f>
        <v>0</v>
      </c>
      <c r="AB42" s="315">
        <f t="shared" si="41"/>
        <v>0</v>
      </c>
      <c r="AC42" s="315">
        <f t="shared" si="41"/>
        <v>0</v>
      </c>
      <c r="AD42" s="315">
        <f t="shared" si="41"/>
        <v>0</v>
      </c>
      <c r="AE42" s="315">
        <f t="shared" si="41"/>
        <v>0</v>
      </c>
      <c r="AF42" s="315">
        <f t="shared" si="41"/>
        <v>0</v>
      </c>
      <c r="AG42" s="315">
        <f t="shared" si="41"/>
        <v>0</v>
      </c>
      <c r="AH42" s="315">
        <f t="shared" si="41"/>
        <v>0</v>
      </c>
      <c r="AI42" s="315">
        <f t="shared" si="41"/>
        <v>0</v>
      </c>
      <c r="AJ42" s="315">
        <f t="shared" si="41"/>
        <v>0</v>
      </c>
    </row>
    <row r="43" spans="1:37" ht="16.2" thickBot="1">
      <c r="A43" s="318" t="s">
        <v>191</v>
      </c>
      <c r="B43" s="319"/>
      <c r="C43" s="319"/>
      <c r="D43" s="320"/>
      <c r="E43" s="320"/>
      <c r="F43" s="320"/>
      <c r="G43" s="317">
        <f>SUM(G33:G42)</f>
        <v>29686757.223903105</v>
      </c>
      <c r="H43" s="317">
        <f>SUM(H33:H42)</f>
        <v>104826378.93397482</v>
      </c>
      <c r="I43" s="317">
        <f t="shared" ref="I43:AK43" si="42">SUM(I33:I42)</f>
        <v>79606764.009549141</v>
      </c>
      <c r="J43" s="317">
        <f t="shared" si="42"/>
        <v>0</v>
      </c>
      <c r="K43" s="317">
        <f t="shared" si="42"/>
        <v>0</v>
      </c>
      <c r="L43" s="317">
        <f t="shared" si="42"/>
        <v>0</v>
      </c>
      <c r="M43" s="317">
        <f t="shared" si="42"/>
        <v>0</v>
      </c>
      <c r="N43" s="317">
        <f t="shared" si="42"/>
        <v>0</v>
      </c>
      <c r="O43" s="317">
        <f t="shared" si="42"/>
        <v>0</v>
      </c>
      <c r="P43" s="317">
        <f t="shared" si="42"/>
        <v>0</v>
      </c>
      <c r="Q43" s="317">
        <f t="shared" si="42"/>
        <v>0</v>
      </c>
      <c r="R43" s="317">
        <f t="shared" si="42"/>
        <v>0</v>
      </c>
      <c r="S43" s="317">
        <f t="shared" si="42"/>
        <v>0</v>
      </c>
      <c r="T43" s="317">
        <f t="shared" si="42"/>
        <v>0</v>
      </c>
      <c r="U43" s="317">
        <f t="shared" si="42"/>
        <v>0</v>
      </c>
      <c r="V43" s="317">
        <f t="shared" si="42"/>
        <v>0</v>
      </c>
      <c r="W43" s="317">
        <f t="shared" si="42"/>
        <v>0</v>
      </c>
      <c r="X43" s="317">
        <f t="shared" si="42"/>
        <v>0</v>
      </c>
      <c r="Y43" s="317">
        <f t="shared" si="42"/>
        <v>0</v>
      </c>
      <c r="Z43" s="317">
        <f t="shared" si="42"/>
        <v>0</v>
      </c>
      <c r="AA43" s="317">
        <f t="shared" si="42"/>
        <v>0</v>
      </c>
      <c r="AB43" s="317">
        <f t="shared" si="42"/>
        <v>0</v>
      </c>
      <c r="AC43" s="317">
        <f t="shared" si="42"/>
        <v>0</v>
      </c>
      <c r="AD43" s="317">
        <f t="shared" si="42"/>
        <v>0</v>
      </c>
      <c r="AE43" s="317">
        <f t="shared" si="42"/>
        <v>0</v>
      </c>
      <c r="AF43" s="317">
        <f t="shared" si="42"/>
        <v>0</v>
      </c>
      <c r="AG43" s="317">
        <f t="shared" si="42"/>
        <v>0</v>
      </c>
      <c r="AH43" s="317">
        <f t="shared" si="42"/>
        <v>0</v>
      </c>
      <c r="AI43" s="317">
        <f t="shared" si="42"/>
        <v>0</v>
      </c>
      <c r="AJ43" s="317">
        <f t="shared" si="42"/>
        <v>0</v>
      </c>
      <c r="AK43" s="317">
        <f t="shared" si="42"/>
        <v>0</v>
      </c>
    </row>
    <row r="44" spans="1:37">
      <c r="B44" s="311"/>
      <c r="C44" s="311"/>
      <c r="D44" s="501"/>
      <c r="E44" s="501"/>
      <c r="F44" s="501"/>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row>
    <row r="45" spans="1:37">
      <c r="A45" s="177" t="s">
        <v>393</v>
      </c>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row>
    <row r="46" spans="1:37">
      <c r="A46" s="192" t="str">
        <f>+A33</f>
        <v>Land Assumption</v>
      </c>
      <c r="G46" s="313">
        <f>G33*IF(G20&gt;0,0,1)</f>
        <v>0</v>
      </c>
      <c r="H46" s="313">
        <f t="shared" ref="H46:AJ55" si="43">H33*IF(H20&gt;0,0,1)</f>
        <v>0</v>
      </c>
      <c r="I46" s="313">
        <f t="shared" si="43"/>
        <v>0</v>
      </c>
      <c r="J46" s="313">
        <f t="shared" si="43"/>
        <v>0</v>
      </c>
      <c r="K46" s="313">
        <f t="shared" si="43"/>
        <v>0</v>
      </c>
      <c r="L46" s="313">
        <f t="shared" si="43"/>
        <v>0</v>
      </c>
      <c r="M46" s="313">
        <f t="shared" si="43"/>
        <v>0</v>
      </c>
      <c r="N46" s="313">
        <f t="shared" si="43"/>
        <v>0</v>
      </c>
      <c r="O46" s="313">
        <f t="shared" si="43"/>
        <v>0</v>
      </c>
      <c r="P46" s="313">
        <f t="shared" si="43"/>
        <v>0</v>
      </c>
      <c r="Q46" s="313">
        <f t="shared" si="43"/>
        <v>0</v>
      </c>
      <c r="R46" s="313">
        <f t="shared" si="43"/>
        <v>0</v>
      </c>
      <c r="S46" s="313">
        <f t="shared" si="43"/>
        <v>0</v>
      </c>
      <c r="T46" s="313">
        <f t="shared" si="43"/>
        <v>0</v>
      </c>
      <c r="U46" s="313">
        <f t="shared" si="43"/>
        <v>0</v>
      </c>
      <c r="V46" s="313">
        <f t="shared" si="43"/>
        <v>0</v>
      </c>
      <c r="W46" s="313">
        <f t="shared" si="43"/>
        <v>0</v>
      </c>
      <c r="X46" s="313">
        <f t="shared" si="43"/>
        <v>0</v>
      </c>
      <c r="Y46" s="313">
        <f t="shared" si="43"/>
        <v>0</v>
      </c>
      <c r="Z46" s="313">
        <f t="shared" si="43"/>
        <v>0</v>
      </c>
      <c r="AA46" s="313">
        <f t="shared" si="43"/>
        <v>0</v>
      </c>
      <c r="AB46" s="313">
        <f t="shared" si="43"/>
        <v>0</v>
      </c>
      <c r="AC46" s="313">
        <f t="shared" si="43"/>
        <v>0</v>
      </c>
      <c r="AD46" s="313">
        <f t="shared" si="43"/>
        <v>0</v>
      </c>
      <c r="AE46" s="313">
        <f t="shared" si="43"/>
        <v>0</v>
      </c>
      <c r="AF46" s="313">
        <f t="shared" si="43"/>
        <v>0</v>
      </c>
      <c r="AG46" s="313">
        <f t="shared" si="43"/>
        <v>0</v>
      </c>
      <c r="AH46" s="313">
        <f t="shared" si="43"/>
        <v>0</v>
      </c>
      <c r="AI46" s="313">
        <f t="shared" si="43"/>
        <v>0</v>
      </c>
      <c r="AJ46" s="313">
        <f t="shared" si="43"/>
        <v>0</v>
      </c>
      <c r="AK46" s="315"/>
    </row>
    <row r="47" spans="1:37">
      <c r="A47" s="192" t="str">
        <f t="shared" ref="A47:A55" si="44">+A34</f>
        <v>Midtown Building</v>
      </c>
      <c r="G47" s="313">
        <f t="shared" ref="G47:V55" si="45">G34*IF(G21&gt;0,0,1)</f>
        <v>0</v>
      </c>
      <c r="H47" s="313">
        <f t="shared" si="45"/>
        <v>0</v>
      </c>
      <c r="I47" s="313">
        <f t="shared" si="45"/>
        <v>0</v>
      </c>
      <c r="J47" s="313">
        <f t="shared" si="45"/>
        <v>0</v>
      </c>
      <c r="K47" s="313">
        <f t="shared" si="45"/>
        <v>0</v>
      </c>
      <c r="L47" s="313">
        <f t="shared" si="45"/>
        <v>0</v>
      </c>
      <c r="M47" s="313">
        <f t="shared" si="45"/>
        <v>0</v>
      </c>
      <c r="N47" s="313">
        <f t="shared" si="45"/>
        <v>0</v>
      </c>
      <c r="O47" s="313">
        <f t="shared" si="45"/>
        <v>0</v>
      </c>
      <c r="P47" s="313">
        <f t="shared" si="45"/>
        <v>0</v>
      </c>
      <c r="Q47" s="313">
        <f t="shared" si="45"/>
        <v>0</v>
      </c>
      <c r="R47" s="313">
        <f t="shared" si="45"/>
        <v>0</v>
      </c>
      <c r="S47" s="313">
        <f t="shared" si="45"/>
        <v>0</v>
      </c>
      <c r="T47" s="313">
        <f t="shared" si="45"/>
        <v>0</v>
      </c>
      <c r="U47" s="313">
        <f t="shared" si="45"/>
        <v>0</v>
      </c>
      <c r="V47" s="313">
        <f t="shared" si="45"/>
        <v>0</v>
      </c>
      <c r="W47" s="313">
        <f t="shared" si="43"/>
        <v>0</v>
      </c>
      <c r="X47" s="313">
        <f t="shared" si="43"/>
        <v>0</v>
      </c>
      <c r="Y47" s="313">
        <f t="shared" si="43"/>
        <v>0</v>
      </c>
      <c r="Z47" s="313">
        <f t="shared" si="43"/>
        <v>0</v>
      </c>
      <c r="AA47" s="313">
        <f t="shared" si="43"/>
        <v>0</v>
      </c>
      <c r="AB47" s="313">
        <f t="shared" si="43"/>
        <v>0</v>
      </c>
      <c r="AC47" s="313">
        <f t="shared" si="43"/>
        <v>0</v>
      </c>
      <c r="AD47" s="313">
        <f t="shared" si="43"/>
        <v>0</v>
      </c>
      <c r="AE47" s="313">
        <f t="shared" si="43"/>
        <v>0</v>
      </c>
      <c r="AF47" s="313">
        <f t="shared" si="43"/>
        <v>0</v>
      </c>
      <c r="AG47" s="313">
        <f t="shared" si="43"/>
        <v>0</v>
      </c>
      <c r="AH47" s="313">
        <f t="shared" si="43"/>
        <v>0</v>
      </c>
      <c r="AI47" s="313">
        <f t="shared" si="43"/>
        <v>0</v>
      </c>
      <c r="AJ47" s="313">
        <f t="shared" si="43"/>
        <v>0</v>
      </c>
    </row>
    <row r="48" spans="1:37">
      <c r="A48" s="192" t="str">
        <f t="shared" si="44"/>
        <v>Furniture, Fixtures &amp; Equipment - Building</v>
      </c>
      <c r="G48" s="313">
        <f t="shared" si="45"/>
        <v>0</v>
      </c>
      <c r="H48" s="313">
        <f t="shared" si="43"/>
        <v>0</v>
      </c>
      <c r="I48" s="313">
        <f t="shared" si="43"/>
        <v>0</v>
      </c>
      <c r="J48" s="313">
        <f t="shared" si="43"/>
        <v>0</v>
      </c>
      <c r="K48" s="313">
        <f t="shared" si="43"/>
        <v>0</v>
      </c>
      <c r="L48" s="313">
        <f t="shared" si="43"/>
        <v>0</v>
      </c>
      <c r="M48" s="313">
        <f t="shared" si="43"/>
        <v>0</v>
      </c>
      <c r="N48" s="313">
        <f t="shared" si="43"/>
        <v>0</v>
      </c>
      <c r="O48" s="313">
        <f t="shared" si="43"/>
        <v>0</v>
      </c>
      <c r="P48" s="313">
        <f t="shared" si="43"/>
        <v>0</v>
      </c>
      <c r="Q48" s="313">
        <f t="shared" si="43"/>
        <v>0</v>
      </c>
      <c r="R48" s="313">
        <f t="shared" si="43"/>
        <v>0</v>
      </c>
      <c r="S48" s="313">
        <f t="shared" si="43"/>
        <v>0</v>
      </c>
      <c r="T48" s="313">
        <f t="shared" si="43"/>
        <v>0</v>
      </c>
      <c r="U48" s="313">
        <f t="shared" si="43"/>
        <v>0</v>
      </c>
      <c r="V48" s="313">
        <f t="shared" si="43"/>
        <v>0</v>
      </c>
      <c r="W48" s="313">
        <f t="shared" si="43"/>
        <v>0</v>
      </c>
      <c r="X48" s="313">
        <f t="shared" si="43"/>
        <v>0</v>
      </c>
      <c r="Y48" s="313">
        <f t="shared" si="43"/>
        <v>0</v>
      </c>
      <c r="Z48" s="313">
        <f t="shared" si="43"/>
        <v>0</v>
      </c>
      <c r="AA48" s="313">
        <f t="shared" si="43"/>
        <v>0</v>
      </c>
      <c r="AB48" s="313">
        <f t="shared" si="43"/>
        <v>0</v>
      </c>
      <c r="AC48" s="313">
        <f t="shared" si="43"/>
        <v>0</v>
      </c>
      <c r="AD48" s="313">
        <f t="shared" si="43"/>
        <v>0</v>
      </c>
      <c r="AE48" s="313">
        <f t="shared" si="43"/>
        <v>0</v>
      </c>
      <c r="AF48" s="313">
        <f t="shared" si="43"/>
        <v>0</v>
      </c>
      <c r="AG48" s="313">
        <f t="shared" si="43"/>
        <v>0</v>
      </c>
      <c r="AH48" s="313">
        <f t="shared" si="43"/>
        <v>0</v>
      </c>
      <c r="AI48" s="313">
        <f t="shared" si="43"/>
        <v>0</v>
      </c>
      <c r="AJ48" s="313">
        <f t="shared" si="43"/>
        <v>0</v>
      </c>
    </row>
    <row r="49" spans="1:37">
      <c r="A49" s="192" t="str">
        <f t="shared" si="44"/>
        <v>LEED Design Costs</v>
      </c>
      <c r="G49" s="313">
        <f t="shared" si="45"/>
        <v>0</v>
      </c>
      <c r="H49" s="313">
        <f t="shared" si="43"/>
        <v>0</v>
      </c>
      <c r="I49" s="313">
        <f t="shared" si="43"/>
        <v>0</v>
      </c>
      <c r="J49" s="313">
        <f t="shared" si="43"/>
        <v>0</v>
      </c>
      <c r="K49" s="313">
        <f t="shared" si="43"/>
        <v>0</v>
      </c>
      <c r="L49" s="313">
        <f t="shared" si="43"/>
        <v>0</v>
      </c>
      <c r="M49" s="313">
        <f t="shared" si="43"/>
        <v>0</v>
      </c>
      <c r="N49" s="313">
        <f t="shared" si="43"/>
        <v>0</v>
      </c>
      <c r="O49" s="313">
        <f t="shared" si="43"/>
        <v>0</v>
      </c>
      <c r="P49" s="313">
        <f t="shared" si="43"/>
        <v>0</v>
      </c>
      <c r="Q49" s="313">
        <f t="shared" si="43"/>
        <v>0</v>
      </c>
      <c r="R49" s="313">
        <f t="shared" si="43"/>
        <v>0</v>
      </c>
      <c r="S49" s="313">
        <f t="shared" si="43"/>
        <v>0</v>
      </c>
      <c r="T49" s="313">
        <f t="shared" si="43"/>
        <v>0</v>
      </c>
      <c r="U49" s="313">
        <f t="shared" si="43"/>
        <v>0</v>
      </c>
      <c r="V49" s="313">
        <f t="shared" si="43"/>
        <v>0</v>
      </c>
      <c r="W49" s="313">
        <f t="shared" si="43"/>
        <v>0</v>
      </c>
      <c r="X49" s="313">
        <f t="shared" si="43"/>
        <v>0</v>
      </c>
      <c r="Y49" s="313">
        <f t="shared" si="43"/>
        <v>0</v>
      </c>
      <c r="Z49" s="313">
        <f t="shared" si="43"/>
        <v>0</v>
      </c>
      <c r="AA49" s="313">
        <f t="shared" si="43"/>
        <v>0</v>
      </c>
      <c r="AB49" s="313">
        <f t="shared" si="43"/>
        <v>0</v>
      </c>
      <c r="AC49" s="313">
        <f t="shared" si="43"/>
        <v>0</v>
      </c>
      <c r="AD49" s="313">
        <f t="shared" si="43"/>
        <v>0</v>
      </c>
      <c r="AE49" s="313">
        <f t="shared" si="43"/>
        <v>0</v>
      </c>
      <c r="AF49" s="313">
        <f t="shared" si="43"/>
        <v>0</v>
      </c>
      <c r="AG49" s="313">
        <f t="shared" si="43"/>
        <v>0</v>
      </c>
      <c r="AH49" s="313">
        <f t="shared" si="43"/>
        <v>0</v>
      </c>
      <c r="AI49" s="313">
        <f t="shared" si="43"/>
        <v>0</v>
      </c>
      <c r="AJ49" s="313">
        <f t="shared" si="43"/>
        <v>0</v>
      </c>
    </row>
    <row r="50" spans="1:37">
      <c r="A50" s="192" t="str">
        <f t="shared" si="44"/>
        <v>Capital Plug</v>
      </c>
      <c r="G50" s="313">
        <f t="shared" si="45"/>
        <v>0</v>
      </c>
      <c r="H50" s="313">
        <f t="shared" si="43"/>
        <v>0</v>
      </c>
      <c r="I50" s="313">
        <f t="shared" si="43"/>
        <v>0</v>
      </c>
      <c r="J50" s="313">
        <f t="shared" si="43"/>
        <v>0</v>
      </c>
      <c r="K50" s="313">
        <f t="shared" si="43"/>
        <v>0</v>
      </c>
      <c r="L50" s="313">
        <f t="shared" si="43"/>
        <v>0</v>
      </c>
      <c r="M50" s="313">
        <f t="shared" si="43"/>
        <v>0</v>
      </c>
      <c r="N50" s="313">
        <f t="shared" si="43"/>
        <v>0</v>
      </c>
      <c r="O50" s="313">
        <f t="shared" si="43"/>
        <v>0</v>
      </c>
      <c r="P50" s="313">
        <f t="shared" si="43"/>
        <v>0</v>
      </c>
      <c r="Q50" s="313">
        <f t="shared" si="43"/>
        <v>0</v>
      </c>
      <c r="R50" s="313">
        <f t="shared" si="43"/>
        <v>0</v>
      </c>
      <c r="S50" s="313">
        <f t="shared" si="43"/>
        <v>0</v>
      </c>
      <c r="T50" s="313">
        <f t="shared" si="43"/>
        <v>0</v>
      </c>
      <c r="U50" s="313">
        <f t="shared" si="43"/>
        <v>0</v>
      </c>
      <c r="V50" s="313">
        <f t="shared" si="43"/>
        <v>0</v>
      </c>
      <c r="W50" s="313">
        <f t="shared" si="43"/>
        <v>0</v>
      </c>
      <c r="X50" s="313">
        <f t="shared" si="43"/>
        <v>0</v>
      </c>
      <c r="Y50" s="313">
        <f t="shared" si="43"/>
        <v>0</v>
      </c>
      <c r="Z50" s="313">
        <f t="shared" si="43"/>
        <v>0</v>
      </c>
      <c r="AA50" s="313">
        <f t="shared" si="43"/>
        <v>0</v>
      </c>
      <c r="AB50" s="313">
        <f t="shared" si="43"/>
        <v>0</v>
      </c>
      <c r="AC50" s="313">
        <f t="shared" si="43"/>
        <v>0</v>
      </c>
      <c r="AD50" s="313">
        <f t="shared" si="43"/>
        <v>0</v>
      </c>
      <c r="AE50" s="313">
        <f t="shared" si="43"/>
        <v>0</v>
      </c>
      <c r="AF50" s="313">
        <f t="shared" si="43"/>
        <v>0</v>
      </c>
      <c r="AG50" s="313">
        <f t="shared" si="43"/>
        <v>0</v>
      </c>
      <c r="AH50" s="313">
        <f t="shared" si="43"/>
        <v>0</v>
      </c>
      <c r="AI50" s="313">
        <f t="shared" si="43"/>
        <v>0</v>
      </c>
      <c r="AJ50" s="313">
        <f t="shared" si="43"/>
        <v>0</v>
      </c>
    </row>
    <row r="51" spans="1:37">
      <c r="A51" s="192" t="str">
        <f t="shared" si="44"/>
        <v>Parking Garage (1,000 Spaces)</v>
      </c>
      <c r="G51" s="313">
        <f t="shared" si="45"/>
        <v>0</v>
      </c>
      <c r="H51" s="313">
        <f t="shared" si="43"/>
        <v>0</v>
      </c>
      <c r="I51" s="313">
        <f t="shared" si="43"/>
        <v>0</v>
      </c>
      <c r="J51" s="313">
        <f t="shared" si="43"/>
        <v>0</v>
      </c>
      <c r="K51" s="313">
        <f t="shared" si="43"/>
        <v>0</v>
      </c>
      <c r="L51" s="313">
        <f t="shared" si="43"/>
        <v>0</v>
      </c>
      <c r="M51" s="313">
        <f t="shared" si="43"/>
        <v>0</v>
      </c>
      <c r="N51" s="313">
        <f t="shared" si="43"/>
        <v>0</v>
      </c>
      <c r="O51" s="313">
        <f t="shared" si="43"/>
        <v>0</v>
      </c>
      <c r="P51" s="313">
        <f t="shared" si="43"/>
        <v>0</v>
      </c>
      <c r="Q51" s="313">
        <f t="shared" si="43"/>
        <v>0</v>
      </c>
      <c r="R51" s="313">
        <f t="shared" si="43"/>
        <v>0</v>
      </c>
      <c r="S51" s="313">
        <f t="shared" si="43"/>
        <v>0</v>
      </c>
      <c r="T51" s="313">
        <f t="shared" si="43"/>
        <v>0</v>
      </c>
      <c r="U51" s="313">
        <f t="shared" si="43"/>
        <v>0</v>
      </c>
      <c r="V51" s="313">
        <f t="shared" si="43"/>
        <v>0</v>
      </c>
      <c r="W51" s="313">
        <f t="shared" si="43"/>
        <v>0</v>
      </c>
      <c r="X51" s="313">
        <f t="shared" si="43"/>
        <v>0</v>
      </c>
      <c r="Y51" s="313">
        <f t="shared" si="43"/>
        <v>0</v>
      </c>
      <c r="Z51" s="313">
        <f t="shared" si="43"/>
        <v>0</v>
      </c>
      <c r="AA51" s="313">
        <f t="shared" si="43"/>
        <v>0</v>
      </c>
      <c r="AB51" s="313">
        <f t="shared" si="43"/>
        <v>0</v>
      </c>
      <c r="AC51" s="313">
        <f t="shared" si="43"/>
        <v>0</v>
      </c>
      <c r="AD51" s="313">
        <f t="shared" si="43"/>
        <v>0</v>
      </c>
      <c r="AE51" s="313">
        <f t="shared" si="43"/>
        <v>0</v>
      </c>
      <c r="AF51" s="313">
        <f t="shared" si="43"/>
        <v>0</v>
      </c>
      <c r="AG51" s="313">
        <f t="shared" si="43"/>
        <v>0</v>
      </c>
      <c r="AH51" s="313">
        <f t="shared" si="43"/>
        <v>0</v>
      </c>
      <c r="AI51" s="313">
        <f t="shared" si="43"/>
        <v>0</v>
      </c>
      <c r="AJ51" s="313">
        <f t="shared" si="43"/>
        <v>0</v>
      </c>
    </row>
    <row r="52" spans="1:37">
      <c r="A52" s="192" t="str">
        <f t="shared" si="44"/>
        <v>Interior Costs - Soft Costs</v>
      </c>
      <c r="G52" s="313">
        <f t="shared" si="45"/>
        <v>0</v>
      </c>
      <c r="H52" s="313">
        <f t="shared" si="43"/>
        <v>0</v>
      </c>
      <c r="I52" s="313">
        <f t="shared" si="43"/>
        <v>0</v>
      </c>
      <c r="J52" s="313">
        <f t="shared" si="43"/>
        <v>0</v>
      </c>
      <c r="K52" s="313">
        <f t="shared" si="43"/>
        <v>0</v>
      </c>
      <c r="L52" s="313">
        <f t="shared" si="43"/>
        <v>0</v>
      </c>
      <c r="M52" s="313">
        <f t="shared" si="43"/>
        <v>0</v>
      </c>
      <c r="N52" s="313">
        <f t="shared" si="43"/>
        <v>0</v>
      </c>
      <c r="O52" s="313">
        <f t="shared" si="43"/>
        <v>0</v>
      </c>
      <c r="P52" s="313">
        <f t="shared" si="43"/>
        <v>0</v>
      </c>
      <c r="Q52" s="313">
        <f t="shared" si="43"/>
        <v>0</v>
      </c>
      <c r="R52" s="313">
        <f t="shared" si="43"/>
        <v>0</v>
      </c>
      <c r="S52" s="313">
        <f t="shared" si="43"/>
        <v>0</v>
      </c>
      <c r="T52" s="313">
        <f t="shared" si="43"/>
        <v>0</v>
      </c>
      <c r="U52" s="313">
        <f t="shared" si="43"/>
        <v>0</v>
      </c>
      <c r="V52" s="313">
        <f t="shared" si="43"/>
        <v>0</v>
      </c>
      <c r="W52" s="313">
        <f t="shared" si="43"/>
        <v>0</v>
      </c>
      <c r="X52" s="313">
        <f t="shared" si="43"/>
        <v>0</v>
      </c>
      <c r="Y52" s="313">
        <f t="shared" si="43"/>
        <v>0</v>
      </c>
      <c r="Z52" s="313">
        <f t="shared" si="43"/>
        <v>0</v>
      </c>
      <c r="AA52" s="313">
        <f t="shared" si="43"/>
        <v>0</v>
      </c>
      <c r="AB52" s="313">
        <f t="shared" si="43"/>
        <v>0</v>
      </c>
      <c r="AC52" s="313">
        <f t="shared" si="43"/>
        <v>0</v>
      </c>
      <c r="AD52" s="313">
        <f t="shared" si="43"/>
        <v>0</v>
      </c>
      <c r="AE52" s="313">
        <f t="shared" si="43"/>
        <v>0</v>
      </c>
      <c r="AF52" s="313">
        <f t="shared" si="43"/>
        <v>0</v>
      </c>
      <c r="AG52" s="313">
        <f t="shared" si="43"/>
        <v>0</v>
      </c>
      <c r="AH52" s="313">
        <f t="shared" si="43"/>
        <v>0</v>
      </c>
      <c r="AI52" s="313">
        <f t="shared" si="43"/>
        <v>0</v>
      </c>
      <c r="AJ52" s="313">
        <f t="shared" si="43"/>
        <v>0</v>
      </c>
    </row>
    <row r="53" spans="1:37">
      <c r="A53" s="192" t="str">
        <f t="shared" si="44"/>
        <v>Interior Costs - Construction</v>
      </c>
      <c r="G53" s="313">
        <f t="shared" si="45"/>
        <v>0</v>
      </c>
      <c r="H53" s="313">
        <f t="shared" si="43"/>
        <v>0</v>
      </c>
      <c r="I53" s="313">
        <f t="shared" si="43"/>
        <v>0</v>
      </c>
      <c r="J53" s="313">
        <f t="shared" si="43"/>
        <v>0</v>
      </c>
      <c r="K53" s="313">
        <f t="shared" si="43"/>
        <v>0</v>
      </c>
      <c r="L53" s="313">
        <f t="shared" si="43"/>
        <v>0</v>
      </c>
      <c r="M53" s="313">
        <f t="shared" si="43"/>
        <v>0</v>
      </c>
      <c r="N53" s="313">
        <f t="shared" si="43"/>
        <v>0</v>
      </c>
      <c r="O53" s="313">
        <f t="shared" si="43"/>
        <v>0</v>
      </c>
      <c r="P53" s="313">
        <f t="shared" si="43"/>
        <v>0</v>
      </c>
      <c r="Q53" s="313">
        <f t="shared" si="43"/>
        <v>0</v>
      </c>
      <c r="R53" s="313">
        <f t="shared" si="43"/>
        <v>0</v>
      </c>
      <c r="S53" s="313">
        <f t="shared" si="43"/>
        <v>0</v>
      </c>
      <c r="T53" s="313">
        <f t="shared" si="43"/>
        <v>0</v>
      </c>
      <c r="U53" s="313">
        <f t="shared" si="43"/>
        <v>0</v>
      </c>
      <c r="V53" s="313">
        <f t="shared" si="43"/>
        <v>0</v>
      </c>
      <c r="W53" s="313">
        <f t="shared" si="43"/>
        <v>0</v>
      </c>
      <c r="X53" s="313">
        <f t="shared" si="43"/>
        <v>0</v>
      </c>
      <c r="Y53" s="313">
        <f t="shared" si="43"/>
        <v>0</v>
      </c>
      <c r="Z53" s="313">
        <f t="shared" si="43"/>
        <v>0</v>
      </c>
      <c r="AA53" s="313">
        <f t="shared" si="43"/>
        <v>0</v>
      </c>
      <c r="AB53" s="313">
        <f t="shared" si="43"/>
        <v>0</v>
      </c>
      <c r="AC53" s="313">
        <f t="shared" si="43"/>
        <v>0</v>
      </c>
      <c r="AD53" s="313">
        <f t="shared" si="43"/>
        <v>0</v>
      </c>
      <c r="AE53" s="313">
        <f t="shared" si="43"/>
        <v>0</v>
      </c>
      <c r="AF53" s="313">
        <f t="shared" si="43"/>
        <v>0</v>
      </c>
      <c r="AG53" s="313">
        <f t="shared" si="43"/>
        <v>0</v>
      </c>
      <c r="AH53" s="313">
        <f t="shared" si="43"/>
        <v>0</v>
      </c>
      <c r="AI53" s="313">
        <f t="shared" si="43"/>
        <v>0</v>
      </c>
      <c r="AJ53" s="313">
        <f t="shared" si="43"/>
        <v>0</v>
      </c>
    </row>
    <row r="54" spans="1:37">
      <c r="A54" s="192" t="str">
        <f t="shared" si="44"/>
        <v>Maintenance Capital</v>
      </c>
      <c r="G54" s="313">
        <f t="shared" si="45"/>
        <v>0</v>
      </c>
      <c r="H54" s="313">
        <f t="shared" si="43"/>
        <v>0</v>
      </c>
      <c r="I54" s="313">
        <f t="shared" si="43"/>
        <v>0</v>
      </c>
      <c r="J54" s="313">
        <f t="shared" si="43"/>
        <v>0</v>
      </c>
      <c r="K54" s="313">
        <f t="shared" si="43"/>
        <v>0</v>
      </c>
      <c r="L54" s="313">
        <f t="shared" si="43"/>
        <v>0</v>
      </c>
      <c r="M54" s="313">
        <f t="shared" si="43"/>
        <v>0</v>
      </c>
      <c r="N54" s="313">
        <f t="shared" si="43"/>
        <v>0</v>
      </c>
      <c r="O54" s="313">
        <f t="shared" si="43"/>
        <v>0</v>
      </c>
      <c r="P54" s="313">
        <f t="shared" si="43"/>
        <v>0</v>
      </c>
      <c r="Q54" s="313">
        <f t="shared" si="43"/>
        <v>0</v>
      </c>
      <c r="R54" s="313">
        <f t="shared" si="43"/>
        <v>0</v>
      </c>
      <c r="S54" s="313">
        <f t="shared" si="43"/>
        <v>0</v>
      </c>
      <c r="T54" s="313">
        <f t="shared" si="43"/>
        <v>0</v>
      </c>
      <c r="U54" s="313">
        <f t="shared" si="43"/>
        <v>0</v>
      </c>
      <c r="V54" s="313">
        <f t="shared" si="43"/>
        <v>0</v>
      </c>
      <c r="W54" s="313">
        <f t="shared" si="43"/>
        <v>0</v>
      </c>
      <c r="X54" s="313">
        <f t="shared" si="43"/>
        <v>0</v>
      </c>
      <c r="Y54" s="313">
        <f t="shared" si="43"/>
        <v>0</v>
      </c>
      <c r="Z54" s="313">
        <f t="shared" si="43"/>
        <v>0</v>
      </c>
      <c r="AA54" s="313">
        <f t="shared" si="43"/>
        <v>0</v>
      </c>
      <c r="AB54" s="313">
        <f t="shared" si="43"/>
        <v>0</v>
      </c>
      <c r="AC54" s="313">
        <f t="shared" si="43"/>
        <v>0</v>
      </c>
      <c r="AD54" s="313">
        <f t="shared" si="43"/>
        <v>0</v>
      </c>
      <c r="AE54" s="313">
        <f t="shared" si="43"/>
        <v>0</v>
      </c>
      <c r="AF54" s="313">
        <f t="shared" si="43"/>
        <v>0</v>
      </c>
      <c r="AG54" s="313">
        <f t="shared" si="43"/>
        <v>0</v>
      </c>
      <c r="AH54" s="313">
        <f t="shared" si="43"/>
        <v>0</v>
      </c>
      <c r="AI54" s="313">
        <f t="shared" si="43"/>
        <v>0</v>
      </c>
      <c r="AJ54" s="313">
        <f t="shared" si="43"/>
        <v>0</v>
      </c>
    </row>
    <row r="55" spans="1:37">
      <c r="A55" s="192">
        <f t="shared" si="44"/>
        <v>0</v>
      </c>
      <c r="G55" s="313">
        <f t="shared" si="45"/>
        <v>0</v>
      </c>
      <c r="H55" s="313">
        <f t="shared" si="43"/>
        <v>0</v>
      </c>
      <c r="I55" s="313">
        <f t="shared" si="43"/>
        <v>0</v>
      </c>
      <c r="J55" s="313">
        <f t="shared" si="43"/>
        <v>0</v>
      </c>
      <c r="K55" s="313">
        <f t="shared" si="43"/>
        <v>0</v>
      </c>
      <c r="L55" s="313">
        <f t="shared" si="43"/>
        <v>0</v>
      </c>
      <c r="M55" s="313">
        <f t="shared" si="43"/>
        <v>0</v>
      </c>
      <c r="N55" s="313">
        <f t="shared" si="43"/>
        <v>0</v>
      </c>
      <c r="O55" s="313">
        <f t="shared" si="43"/>
        <v>0</v>
      </c>
      <c r="P55" s="313">
        <f t="shared" si="43"/>
        <v>0</v>
      </c>
      <c r="Q55" s="313">
        <f t="shared" ref="Q55:AJ55" si="46">Q42*IF(Q29&gt;0,0,1)</f>
        <v>0</v>
      </c>
      <c r="R55" s="313">
        <f t="shared" si="46"/>
        <v>0</v>
      </c>
      <c r="S55" s="313">
        <f t="shared" si="46"/>
        <v>0</v>
      </c>
      <c r="T55" s="313">
        <f t="shared" si="46"/>
        <v>0</v>
      </c>
      <c r="U55" s="313">
        <f t="shared" si="46"/>
        <v>0</v>
      </c>
      <c r="V55" s="313">
        <f t="shared" si="46"/>
        <v>0</v>
      </c>
      <c r="W55" s="313">
        <f t="shared" si="46"/>
        <v>0</v>
      </c>
      <c r="X55" s="313">
        <f t="shared" si="46"/>
        <v>0</v>
      </c>
      <c r="Y55" s="313">
        <f t="shared" si="46"/>
        <v>0</v>
      </c>
      <c r="Z55" s="313">
        <f t="shared" si="46"/>
        <v>0</v>
      </c>
      <c r="AA55" s="313">
        <f t="shared" si="46"/>
        <v>0</v>
      </c>
      <c r="AB55" s="313">
        <f t="shared" si="46"/>
        <v>0</v>
      </c>
      <c r="AC55" s="313">
        <f t="shared" si="46"/>
        <v>0</v>
      </c>
      <c r="AD55" s="313">
        <f t="shared" si="46"/>
        <v>0</v>
      </c>
      <c r="AE55" s="313">
        <f t="shared" si="46"/>
        <v>0</v>
      </c>
      <c r="AF55" s="313">
        <f t="shared" si="46"/>
        <v>0</v>
      </c>
      <c r="AG55" s="313">
        <f t="shared" si="46"/>
        <v>0</v>
      </c>
      <c r="AH55" s="313">
        <f t="shared" si="46"/>
        <v>0</v>
      </c>
      <c r="AI55" s="313">
        <f t="shared" si="46"/>
        <v>0</v>
      </c>
      <c r="AJ55" s="313">
        <f t="shared" si="46"/>
        <v>0</v>
      </c>
    </row>
    <row r="56" spans="1:37" ht="16.2" thickBot="1">
      <c r="A56" s="318" t="s">
        <v>191</v>
      </c>
      <c r="B56" s="319"/>
      <c r="C56" s="319"/>
      <c r="D56" s="320"/>
      <c r="E56" s="320"/>
      <c r="F56" s="320"/>
      <c r="G56" s="317">
        <f>SUM(G46:G55)</f>
        <v>0</v>
      </c>
      <c r="H56" s="317">
        <f>SUM(H46:H55)</f>
        <v>0</v>
      </c>
      <c r="I56" s="317">
        <f t="shared" ref="I56:AK56" si="47">SUM(I46:I55)</f>
        <v>0</v>
      </c>
      <c r="J56" s="317">
        <f t="shared" si="47"/>
        <v>0</v>
      </c>
      <c r="K56" s="317">
        <f t="shared" si="47"/>
        <v>0</v>
      </c>
      <c r="L56" s="317">
        <f t="shared" si="47"/>
        <v>0</v>
      </c>
      <c r="M56" s="317">
        <f t="shared" si="47"/>
        <v>0</v>
      </c>
      <c r="N56" s="317">
        <f t="shared" si="47"/>
        <v>0</v>
      </c>
      <c r="O56" s="317">
        <f t="shared" si="47"/>
        <v>0</v>
      </c>
      <c r="P56" s="317">
        <f t="shared" si="47"/>
        <v>0</v>
      </c>
      <c r="Q56" s="317">
        <f t="shared" si="47"/>
        <v>0</v>
      </c>
      <c r="R56" s="317">
        <f t="shared" si="47"/>
        <v>0</v>
      </c>
      <c r="S56" s="317">
        <f t="shared" si="47"/>
        <v>0</v>
      </c>
      <c r="T56" s="317">
        <f t="shared" si="47"/>
        <v>0</v>
      </c>
      <c r="U56" s="317">
        <f t="shared" si="47"/>
        <v>0</v>
      </c>
      <c r="V56" s="317">
        <f t="shared" si="47"/>
        <v>0</v>
      </c>
      <c r="W56" s="317">
        <f t="shared" si="47"/>
        <v>0</v>
      </c>
      <c r="X56" s="317">
        <f t="shared" si="47"/>
        <v>0</v>
      </c>
      <c r="Y56" s="317">
        <f t="shared" si="47"/>
        <v>0</v>
      </c>
      <c r="Z56" s="317">
        <f t="shared" si="47"/>
        <v>0</v>
      </c>
      <c r="AA56" s="317">
        <f t="shared" si="47"/>
        <v>0</v>
      </c>
      <c r="AB56" s="317">
        <f t="shared" si="47"/>
        <v>0</v>
      </c>
      <c r="AC56" s="317">
        <f t="shared" si="47"/>
        <v>0</v>
      </c>
      <c r="AD56" s="317">
        <f t="shared" si="47"/>
        <v>0</v>
      </c>
      <c r="AE56" s="317">
        <f t="shared" si="47"/>
        <v>0</v>
      </c>
      <c r="AF56" s="317">
        <f t="shared" si="47"/>
        <v>0</v>
      </c>
      <c r="AG56" s="317">
        <f t="shared" si="47"/>
        <v>0</v>
      </c>
      <c r="AH56" s="317">
        <f t="shared" si="47"/>
        <v>0</v>
      </c>
      <c r="AI56" s="317">
        <f t="shared" si="47"/>
        <v>0</v>
      </c>
      <c r="AJ56" s="317">
        <f t="shared" si="47"/>
        <v>0</v>
      </c>
      <c r="AK56" s="317">
        <f t="shared" si="47"/>
        <v>0</v>
      </c>
    </row>
    <row r="57" spans="1:37">
      <c r="A57" s="192" t="s">
        <v>394</v>
      </c>
      <c r="G57" s="315">
        <f>+G56-G43</f>
        <v>-29686757.223903105</v>
      </c>
      <c r="H57" s="315">
        <f t="shared" ref="H57:AJ57" si="48">+H56-H43</f>
        <v>-104826378.93397482</v>
      </c>
      <c r="I57" s="315">
        <f t="shared" si="48"/>
        <v>-79606764.009549141</v>
      </c>
      <c r="J57" s="315">
        <f t="shared" si="48"/>
        <v>0</v>
      </c>
      <c r="K57" s="315">
        <f t="shared" si="48"/>
        <v>0</v>
      </c>
      <c r="L57" s="315">
        <f t="shared" si="48"/>
        <v>0</v>
      </c>
      <c r="M57" s="315">
        <f t="shared" si="48"/>
        <v>0</v>
      </c>
      <c r="N57" s="315">
        <f t="shared" si="48"/>
        <v>0</v>
      </c>
      <c r="O57" s="315">
        <f t="shared" si="48"/>
        <v>0</v>
      </c>
      <c r="P57" s="315">
        <f t="shared" si="48"/>
        <v>0</v>
      </c>
      <c r="Q57" s="315">
        <f t="shared" si="48"/>
        <v>0</v>
      </c>
      <c r="R57" s="315">
        <f t="shared" si="48"/>
        <v>0</v>
      </c>
      <c r="S57" s="315">
        <f t="shared" si="48"/>
        <v>0</v>
      </c>
      <c r="T57" s="315">
        <f t="shared" si="48"/>
        <v>0</v>
      </c>
      <c r="U57" s="315">
        <f t="shared" si="48"/>
        <v>0</v>
      </c>
      <c r="V57" s="315">
        <f t="shared" si="48"/>
        <v>0</v>
      </c>
      <c r="W57" s="315">
        <f t="shared" si="48"/>
        <v>0</v>
      </c>
      <c r="X57" s="315">
        <f t="shared" si="48"/>
        <v>0</v>
      </c>
      <c r="Y57" s="315">
        <f t="shared" si="48"/>
        <v>0</v>
      </c>
      <c r="Z57" s="315">
        <f t="shared" si="48"/>
        <v>0</v>
      </c>
      <c r="AA57" s="315">
        <f t="shared" si="48"/>
        <v>0</v>
      </c>
      <c r="AB57" s="315">
        <f t="shared" si="48"/>
        <v>0</v>
      </c>
      <c r="AC57" s="315">
        <f t="shared" si="48"/>
        <v>0</v>
      </c>
      <c r="AD57" s="315">
        <f t="shared" si="48"/>
        <v>0</v>
      </c>
      <c r="AE57" s="315">
        <f t="shared" si="48"/>
        <v>0</v>
      </c>
      <c r="AF57" s="315">
        <f t="shared" si="48"/>
        <v>0</v>
      </c>
      <c r="AG57" s="315">
        <f t="shared" si="48"/>
        <v>0</v>
      </c>
      <c r="AH57" s="315">
        <f t="shared" si="48"/>
        <v>0</v>
      </c>
      <c r="AI57" s="315">
        <f t="shared" si="48"/>
        <v>0</v>
      </c>
      <c r="AJ57" s="315">
        <f t="shared" si="48"/>
        <v>0</v>
      </c>
    </row>
    <row r="59" spans="1:37">
      <c r="A59" s="546" t="s">
        <v>395</v>
      </c>
    </row>
    <row r="60" spans="1:37">
      <c r="A60" s="192" t="str">
        <f>A6</f>
        <v>Land Assumption</v>
      </c>
      <c r="B60" s="311">
        <f t="shared" ref="B60:F60" si="49">B6</f>
        <v>2024</v>
      </c>
      <c r="C60" s="354">
        <f t="shared" si="49"/>
        <v>0</v>
      </c>
      <c r="D60" s="354">
        <f t="shared" si="49"/>
        <v>0</v>
      </c>
      <c r="E60" s="354">
        <f t="shared" si="49"/>
        <v>0</v>
      </c>
      <c r="F60" s="360">
        <f t="shared" si="49"/>
        <v>0</v>
      </c>
      <c r="G60" s="351">
        <f>+'Monthly Capex AFUDC Calcs'!H$79</f>
        <v>89618.124216582306</v>
      </c>
      <c r="H60" s="351">
        <f>+'Monthly Capex AFUDC Calcs'!I$79</f>
        <v>732785.91150367598</v>
      </c>
      <c r="I60" s="351">
        <f>+'Monthly Capex AFUDC Calcs'!J$79</f>
        <v>744089.47189670859</v>
      </c>
      <c r="J60" s="351">
        <f>+'Monthly Capex AFUDC Calcs'!K$79</f>
        <v>0</v>
      </c>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15">
        <f>SUM(G60:AJ60)</f>
        <v>1566493.507616967</v>
      </c>
    </row>
    <row r="61" spans="1:37">
      <c r="A61" s="192" t="str">
        <f t="shared" ref="A61:F69" si="50">A7</f>
        <v>Midtown Building</v>
      </c>
      <c r="B61" s="311">
        <f t="shared" si="50"/>
        <v>2024</v>
      </c>
      <c r="C61" s="354">
        <f t="shared" si="50"/>
        <v>0</v>
      </c>
      <c r="D61" s="354">
        <f t="shared" si="50"/>
        <v>60</v>
      </c>
      <c r="E61" s="354">
        <f t="shared" si="50"/>
        <v>39</v>
      </c>
      <c r="F61" s="360">
        <f t="shared" si="50"/>
        <v>0</v>
      </c>
      <c r="G61" s="351">
        <f>+'Monthly Capex AFUDC Calcs'!H$80+'Monthly Capex AFUDC Calcs'!H$81+'Monthly Capex AFUDC Calcs'!H$86</f>
        <v>128434.13252226458</v>
      </c>
      <c r="H61" s="351">
        <f>+'Monthly Capex AFUDC Calcs'!I$80+'Monthly Capex AFUDC Calcs'!I$81+'Monthly Capex AFUDC Calcs'!I$86</f>
        <v>2517159.3470112104</v>
      </c>
      <c r="I61" s="351">
        <f>+'Monthly Capex AFUDC Calcs'!J$80+'Monthly Capex AFUDC Calcs'!J$81+'Monthly Capex AFUDC Calcs'!J$86</f>
        <v>4993516.6459324462</v>
      </c>
      <c r="J61" s="351">
        <f>+'Monthly Capex AFUDC Calcs'!K$80+'Monthly Capex AFUDC Calcs'!K$81+'Monthly Capex AFUDC Calcs'!K$86</f>
        <v>0</v>
      </c>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15">
        <f t="shared" ref="AK61:AK69" si="51">SUM(G61:AJ61)</f>
        <v>7639110.1254659211</v>
      </c>
    </row>
    <row r="62" spans="1:37">
      <c r="A62" s="192" t="str">
        <f t="shared" si="50"/>
        <v>Furniture, Fixtures &amp; Equipment - Building</v>
      </c>
      <c r="B62" s="311">
        <f t="shared" si="50"/>
        <v>2025</v>
      </c>
      <c r="C62" s="354">
        <f t="shared" si="50"/>
        <v>6</v>
      </c>
      <c r="D62" s="354">
        <f t="shared" si="50"/>
        <v>7</v>
      </c>
      <c r="E62" s="354">
        <f t="shared" si="50"/>
        <v>7</v>
      </c>
      <c r="F62" s="360">
        <f t="shared" si="50"/>
        <v>0</v>
      </c>
      <c r="G62" s="351">
        <f>+'Monthly Capex AFUDC Calcs'!H$82</f>
        <v>0</v>
      </c>
      <c r="H62" s="351">
        <f>+'Monthly Capex AFUDC Calcs'!I$82</f>
        <v>0</v>
      </c>
      <c r="I62" s="351">
        <f>+'Monthly Capex AFUDC Calcs'!J$82</f>
        <v>313841.99710885715</v>
      </c>
      <c r="J62" s="351">
        <f>+'Monthly Capex AFUDC Calcs'!K$82</f>
        <v>669936.22956026893</v>
      </c>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15">
        <f t="shared" si="51"/>
        <v>983778.22666912607</v>
      </c>
    </row>
    <row r="63" spans="1:37">
      <c r="A63" s="192" t="str">
        <f t="shared" si="50"/>
        <v>LEED Design Costs</v>
      </c>
      <c r="B63" s="311">
        <f t="shared" si="50"/>
        <v>2025</v>
      </c>
      <c r="C63" s="354">
        <f t="shared" si="50"/>
        <v>6</v>
      </c>
      <c r="D63" s="354">
        <f t="shared" si="50"/>
        <v>60</v>
      </c>
      <c r="E63" s="354">
        <f t="shared" si="50"/>
        <v>39</v>
      </c>
      <c r="F63" s="360">
        <f t="shared" si="50"/>
        <v>0</v>
      </c>
      <c r="G63" s="351">
        <f>+'Monthly Capex AFUDC Calcs'!H$83</f>
        <v>0</v>
      </c>
      <c r="H63" s="351">
        <f>+'Monthly Capex AFUDC Calcs'!I$83</f>
        <v>0</v>
      </c>
      <c r="I63" s="351">
        <f>+'Monthly Capex AFUDC Calcs'!J$83</f>
        <v>28914.45740252718</v>
      </c>
      <c r="J63" s="351">
        <f>+'Monthly Capex AFUDC Calcs'!K$83</f>
        <v>36793.055039358631</v>
      </c>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15">
        <f t="shared" si="51"/>
        <v>65707.512441885803</v>
      </c>
    </row>
    <row r="64" spans="1:37">
      <c r="A64" s="192" t="str">
        <f t="shared" si="50"/>
        <v>Capital Plug</v>
      </c>
      <c r="B64" s="311">
        <f t="shared" si="50"/>
        <v>2025</v>
      </c>
      <c r="C64" s="354">
        <f t="shared" si="50"/>
        <v>6</v>
      </c>
      <c r="D64" s="354">
        <f t="shared" si="50"/>
        <v>60</v>
      </c>
      <c r="E64" s="354">
        <f t="shared" si="50"/>
        <v>39</v>
      </c>
      <c r="F64" s="360">
        <f t="shared" si="50"/>
        <v>0</v>
      </c>
      <c r="G64" s="351">
        <f>+'Monthly Capex AFUDC Calcs'!H$84</f>
        <v>5737.5275901441191</v>
      </c>
      <c r="H64" s="351">
        <f>+'Monthly Capex AFUDC Calcs'!I$84</f>
        <v>77729.534204809985</v>
      </c>
      <c r="I64" s="351">
        <f>+'Monthly Capex AFUDC Calcs'!J$84</f>
        <v>190936.16807171039</v>
      </c>
      <c r="J64" s="351">
        <f>+'Monthly Capex AFUDC Calcs'!K$84</f>
        <v>145547.71231898307</v>
      </c>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15">
        <f t="shared" si="51"/>
        <v>419950.94218564755</v>
      </c>
    </row>
    <row r="65" spans="1:37">
      <c r="A65" s="192" t="str">
        <f t="shared" si="50"/>
        <v>Parking Garage (1,000 Spaces)</v>
      </c>
      <c r="B65" s="311">
        <f t="shared" si="50"/>
        <v>2024</v>
      </c>
      <c r="C65" s="354">
        <f t="shared" si="50"/>
        <v>0</v>
      </c>
      <c r="D65" s="354">
        <f t="shared" si="50"/>
        <v>60</v>
      </c>
      <c r="E65" s="354">
        <f t="shared" si="50"/>
        <v>39</v>
      </c>
      <c r="F65" s="360">
        <f t="shared" si="50"/>
        <v>0</v>
      </c>
      <c r="G65" s="351">
        <f>+'Monthly Capex AFUDC Calcs'!H$85</f>
        <v>377.93366184554583</v>
      </c>
      <c r="H65" s="351">
        <f>+'Monthly Capex AFUDC Calcs'!I$85</f>
        <v>444236.54533706489</v>
      </c>
      <c r="I65" s="351">
        <f>+'Monthly Capex AFUDC Calcs'!J$85</f>
        <v>1056914.1051283695</v>
      </c>
      <c r="J65" s="351">
        <f>+'Monthly Capex AFUDC Calcs'!K$85</f>
        <v>0</v>
      </c>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15">
        <f t="shared" si="51"/>
        <v>1501528.5841272799</v>
      </c>
    </row>
    <row r="66" spans="1:37">
      <c r="A66" s="192" t="str">
        <f t="shared" si="50"/>
        <v>Interior Costs - Soft Costs</v>
      </c>
      <c r="B66" s="311">
        <f t="shared" si="50"/>
        <v>2025</v>
      </c>
      <c r="C66" s="354">
        <f t="shared" si="50"/>
        <v>6</v>
      </c>
      <c r="D66" s="354">
        <f t="shared" si="50"/>
        <v>60</v>
      </c>
      <c r="E66" s="354">
        <f t="shared" si="50"/>
        <v>39</v>
      </c>
      <c r="F66" s="360">
        <f t="shared" si="50"/>
        <v>0</v>
      </c>
      <c r="G66" s="351">
        <f>+'Monthly Capex AFUDC Calcs'!H$88</f>
        <v>27933.726536177659</v>
      </c>
      <c r="H66" s="351">
        <f>+'Monthly Capex AFUDC Calcs'!I$88</f>
        <v>210899.10938802108</v>
      </c>
      <c r="I66" s="351">
        <f>+'Monthly Capex AFUDC Calcs'!J$88</f>
        <v>391202.22598254384</v>
      </c>
      <c r="J66" s="351">
        <f>+'Monthly Capex AFUDC Calcs'!K$88</f>
        <v>268245.57021232782</v>
      </c>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15">
        <f t="shared" si="51"/>
        <v>898280.63211907051</v>
      </c>
    </row>
    <row r="67" spans="1:37">
      <c r="A67" s="192" t="str">
        <f t="shared" si="50"/>
        <v>Interior Costs - Construction</v>
      </c>
      <c r="B67" s="311">
        <f t="shared" si="50"/>
        <v>2025</v>
      </c>
      <c r="C67" s="354">
        <f t="shared" si="50"/>
        <v>6</v>
      </c>
      <c r="D67" s="354">
        <f t="shared" si="50"/>
        <v>60</v>
      </c>
      <c r="E67" s="354">
        <f t="shared" si="50"/>
        <v>39</v>
      </c>
      <c r="F67" s="360">
        <f t="shared" si="50"/>
        <v>0</v>
      </c>
      <c r="G67" s="351">
        <f>+'Monthly Capex AFUDC Calcs'!H$87</f>
        <v>0</v>
      </c>
      <c r="H67" s="351">
        <f>+'Monthly Capex AFUDC Calcs'!I$87</f>
        <v>0</v>
      </c>
      <c r="I67" s="351">
        <f>+'Monthly Capex AFUDC Calcs'!J$87</f>
        <v>958046.106884868</v>
      </c>
      <c r="J67" s="351">
        <f>+'Monthly Capex AFUDC Calcs'!K$87</f>
        <v>1994543.4092986993</v>
      </c>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15">
        <f t="shared" si="51"/>
        <v>2952589.5161835672</v>
      </c>
    </row>
    <row r="68" spans="1:37">
      <c r="A68" s="192" t="str">
        <f t="shared" si="50"/>
        <v>Maintenance Capital</v>
      </c>
      <c r="B68" s="311">
        <f t="shared" si="50"/>
        <v>0</v>
      </c>
      <c r="C68" s="354">
        <f t="shared" si="50"/>
        <v>6</v>
      </c>
      <c r="D68" s="354">
        <f t="shared" si="50"/>
        <v>60</v>
      </c>
      <c r="E68" s="354">
        <f t="shared" si="50"/>
        <v>39</v>
      </c>
      <c r="F68" s="360">
        <f t="shared" si="50"/>
        <v>0</v>
      </c>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15">
        <f t="shared" si="51"/>
        <v>0</v>
      </c>
    </row>
    <row r="69" spans="1:37">
      <c r="A69" s="192">
        <f t="shared" si="50"/>
        <v>0</v>
      </c>
      <c r="B69" s="311">
        <f t="shared" si="50"/>
        <v>0</v>
      </c>
      <c r="C69" s="354">
        <f t="shared" si="50"/>
        <v>0</v>
      </c>
      <c r="D69" s="354">
        <f t="shared" si="50"/>
        <v>0</v>
      </c>
      <c r="E69" s="354">
        <f t="shared" si="50"/>
        <v>0</v>
      </c>
      <c r="F69" s="360">
        <f t="shared" si="50"/>
        <v>0</v>
      </c>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15">
        <f t="shared" si="51"/>
        <v>0</v>
      </c>
    </row>
    <row r="70" spans="1:37" ht="16.2" thickBot="1">
      <c r="A70" s="318" t="s">
        <v>191</v>
      </c>
      <c r="B70" s="319"/>
      <c r="C70" s="319"/>
      <c r="D70" s="320"/>
      <c r="E70" s="320"/>
      <c r="F70" s="320"/>
      <c r="G70" s="317">
        <f t="shared" ref="G70:AK70" si="52">SUM(G60:G69)</f>
        <v>252101.44452701419</v>
      </c>
      <c r="H70" s="317">
        <f t="shared" si="52"/>
        <v>3982810.4474447821</v>
      </c>
      <c r="I70" s="317">
        <f t="shared" si="52"/>
        <v>8677461.1784080323</v>
      </c>
      <c r="J70" s="317">
        <f t="shared" si="52"/>
        <v>3115065.9764296375</v>
      </c>
      <c r="K70" s="317">
        <f t="shared" si="52"/>
        <v>0</v>
      </c>
      <c r="L70" s="317">
        <f t="shared" si="52"/>
        <v>0</v>
      </c>
      <c r="M70" s="317">
        <f t="shared" si="52"/>
        <v>0</v>
      </c>
      <c r="N70" s="317">
        <f t="shared" si="52"/>
        <v>0</v>
      </c>
      <c r="O70" s="317">
        <f t="shared" si="52"/>
        <v>0</v>
      </c>
      <c r="P70" s="317">
        <f t="shared" si="52"/>
        <v>0</v>
      </c>
      <c r="Q70" s="317">
        <f t="shared" si="52"/>
        <v>0</v>
      </c>
      <c r="R70" s="317">
        <f t="shared" si="52"/>
        <v>0</v>
      </c>
      <c r="S70" s="317">
        <f t="shared" si="52"/>
        <v>0</v>
      </c>
      <c r="T70" s="317">
        <f t="shared" si="52"/>
        <v>0</v>
      </c>
      <c r="U70" s="317">
        <f t="shared" si="52"/>
        <v>0</v>
      </c>
      <c r="V70" s="317">
        <f t="shared" si="52"/>
        <v>0</v>
      </c>
      <c r="W70" s="317">
        <f t="shared" si="52"/>
        <v>0</v>
      </c>
      <c r="X70" s="317">
        <f t="shared" si="52"/>
        <v>0</v>
      </c>
      <c r="Y70" s="317">
        <f t="shared" si="52"/>
        <v>0</v>
      </c>
      <c r="Z70" s="317">
        <f t="shared" si="52"/>
        <v>0</v>
      </c>
      <c r="AA70" s="317">
        <f t="shared" si="52"/>
        <v>0</v>
      </c>
      <c r="AB70" s="317">
        <f t="shared" si="52"/>
        <v>0</v>
      </c>
      <c r="AC70" s="317">
        <f t="shared" si="52"/>
        <v>0</v>
      </c>
      <c r="AD70" s="317">
        <f t="shared" si="52"/>
        <v>0</v>
      </c>
      <c r="AE70" s="317">
        <f t="shared" si="52"/>
        <v>0</v>
      </c>
      <c r="AF70" s="317">
        <f t="shared" si="52"/>
        <v>0</v>
      </c>
      <c r="AG70" s="317">
        <f t="shared" si="52"/>
        <v>0</v>
      </c>
      <c r="AH70" s="317">
        <f t="shared" si="52"/>
        <v>0</v>
      </c>
      <c r="AI70" s="317">
        <f t="shared" si="52"/>
        <v>0</v>
      </c>
      <c r="AJ70" s="317">
        <f t="shared" si="52"/>
        <v>0</v>
      </c>
      <c r="AK70" s="317">
        <f t="shared" si="52"/>
        <v>16027439.046809465</v>
      </c>
    </row>
    <row r="72" spans="1:37">
      <c r="A72" s="546" t="s">
        <v>396</v>
      </c>
    </row>
    <row r="73" spans="1:37">
      <c r="A73" s="192" t="str">
        <f t="shared" ref="A73:A82" si="53">A6</f>
        <v>Land Assumption</v>
      </c>
      <c r="B73" s="311">
        <f t="shared" ref="B73:F82" si="54">B6</f>
        <v>2024</v>
      </c>
      <c r="C73" s="354">
        <f t="shared" si="54"/>
        <v>0</v>
      </c>
      <c r="D73" s="354">
        <f t="shared" si="54"/>
        <v>0</v>
      </c>
      <c r="E73" s="354">
        <f t="shared" si="54"/>
        <v>0</v>
      </c>
      <c r="F73" s="360">
        <f t="shared" si="54"/>
        <v>0</v>
      </c>
      <c r="G73" s="315">
        <f>(IF(G$4&lt;=$B73,((SUM($G6:G6))*(1-'Input Data'!$C$48))*(1-($C73/12)),0)*Financials!$C$74)*'Input Data'!$C$47</f>
        <v>799092.07063323713</v>
      </c>
      <c r="H73" s="315">
        <f>(IF(H$4&lt;=$B73,((SUM($G6:H6))*(1-'Input Data'!$C$48)),0)*Financials!$C$74)*'Input Data'!$C$47</f>
        <v>799092.07063323713</v>
      </c>
      <c r="I73" s="315">
        <f>(IF(I$4&lt;=$B73,((SUM($G6:I6))*(1-'Input Data'!$C$48)),0)*Financials!$C$74)*'Input Data'!$C$47</f>
        <v>799092.07063323713</v>
      </c>
      <c r="J73" s="315">
        <f>(IF(J$4&lt;=$B73,((SUM($G6:J6))*(1-'Input Data'!$C$48)),0)*Financials!$C$74)*'Input Data'!$C$47</f>
        <v>0</v>
      </c>
      <c r="K73" s="315">
        <f>(IF(K$4&lt;=$B73,((SUM($G6:K6))*(1-'Input Data'!$C$48)),0)*Financials!$C$74)*'Input Data'!$C$47</f>
        <v>0</v>
      </c>
      <c r="L73" s="315">
        <f>(IF(L$4&lt;=$B73,((SUM($G6:L6))*(1-'Input Data'!$C$48)),0)*Financials!$C$74)*'Input Data'!$C$47</f>
        <v>0</v>
      </c>
      <c r="M73" s="315">
        <f>(IF(M$4&lt;=$B73,((SUM($G6:M6))*(1-'Input Data'!$C$48)),0)*Financials!$C$74)*'Input Data'!$C$47</f>
        <v>0</v>
      </c>
      <c r="N73" s="315">
        <f>(IF(N$4&lt;=$B73,((SUM($G6:N6))*(1-'Input Data'!$C$48)),0)*Financials!$C$74)*'Input Data'!$C$47</f>
        <v>0</v>
      </c>
      <c r="O73" s="315">
        <f>(IF(O$4&lt;=$B73,((SUM($G6:O6))*(1-'Input Data'!$C$48)),0)*Financials!$C$74)*'Input Data'!$C$47</f>
        <v>0</v>
      </c>
      <c r="P73" s="315">
        <f>(IF(P$4&lt;=$B73,((SUM($G6:P6))*(1-'Input Data'!$C$48)),0)*Financials!$C$74)*'Input Data'!$C$47</f>
        <v>0</v>
      </c>
      <c r="Q73" s="315">
        <f>(IF(Q$4&lt;=$B73,((SUM($G6:Q6))*(1-'Input Data'!$C$48)),0)*Financials!$C$74)*'Input Data'!$C$47</f>
        <v>0</v>
      </c>
      <c r="R73" s="315">
        <f>(IF(R$4&lt;=$B73,((SUM($G6:R6))*(1-'Input Data'!$C$48)),0)*Financials!$C$74)*'Input Data'!$C$47</f>
        <v>0</v>
      </c>
      <c r="S73" s="315">
        <f>(IF(S$4&lt;=$B73,((SUM($G6:S6))*(1-'Input Data'!$C$48)),0)*Financials!$C$74)*'Input Data'!$C$47</f>
        <v>0</v>
      </c>
      <c r="T73" s="315">
        <f>(IF(T$4&lt;=$B73,((SUM($G6:T6))*(1-'Input Data'!$C$48)),0)*Financials!$C$74)*'Input Data'!$C$47</f>
        <v>0</v>
      </c>
      <c r="U73" s="315">
        <f>(IF(U$4&lt;=$B73,((SUM($G6:U6))*(1-'Input Data'!$C$48)),0)*Financials!$C$74)*'Input Data'!$C$47</f>
        <v>0</v>
      </c>
      <c r="V73" s="315">
        <f>(IF(V$4&lt;=$B73,((SUM($G6:V6))*(1-'Input Data'!$C$48)),0)*Financials!$C$74)*'Input Data'!$C$47</f>
        <v>0</v>
      </c>
      <c r="W73" s="315">
        <f>(IF(W$4&lt;=$B73,((SUM($G6:W6))*(1-'Input Data'!$C$48)),0)*Financials!$C$74)*'Input Data'!$C$47</f>
        <v>0</v>
      </c>
      <c r="X73" s="315">
        <f>(IF(X$4&lt;=$B73,((SUM($G6:X6))*(1-'Input Data'!$C$48)),0)*Financials!$C$74)*'Input Data'!$C$47</f>
        <v>0</v>
      </c>
      <c r="Y73" s="315">
        <f>(IF(Y$4&lt;=$B73,((SUM($G6:Y6))*(1-'Input Data'!$C$48)),0)*Financials!$C$74)*'Input Data'!$C$47</f>
        <v>0</v>
      </c>
      <c r="Z73" s="315">
        <f>(IF(Z$4&lt;=$B73,((SUM($G6:Z6))*(1-'Input Data'!$C$48)),0)*Financials!$C$74)*'Input Data'!$C$47</f>
        <v>0</v>
      </c>
      <c r="AA73" s="315">
        <f>(IF(AA$4&lt;=$B73,((SUM($G6:AA6))*(1-'Input Data'!$C$48)),0)*Financials!$C$74)*'Input Data'!$C$47</f>
        <v>0</v>
      </c>
      <c r="AB73" s="315">
        <f>(IF(AB$4&lt;=$B73,((SUM($G6:AB6))*(1-'Input Data'!$C$48)),0)*Financials!$C$74)*'Input Data'!$C$47</f>
        <v>0</v>
      </c>
      <c r="AC73" s="315">
        <f>(IF(AC$4&lt;=$B73,((SUM($G6:AC6))*(1-'Input Data'!$C$48)),0)*Financials!$C$74)*'Input Data'!$C$47</f>
        <v>0</v>
      </c>
      <c r="AD73" s="315">
        <f>(IF(AD$4&lt;=$B73,((SUM($G6:AD6))*(1-'Input Data'!$C$48)),0)*Financials!$C$74)*'Input Data'!$C$47</f>
        <v>0</v>
      </c>
      <c r="AE73" s="315">
        <f>(IF(AE$4&lt;=$B73,((SUM($G6:AE6))*(1-'Input Data'!$C$48)),0)*Financials!$C$74)*'Input Data'!$C$47</f>
        <v>0</v>
      </c>
      <c r="AF73" s="315">
        <f>(IF(AF$4&lt;=$B73,((SUM($G6:AF6))*(1-'Input Data'!$C$48)),0)*Financials!$C$74)*'Input Data'!$C$47</f>
        <v>0</v>
      </c>
      <c r="AG73" s="315">
        <f>(IF(AG$4&lt;=$B73,((SUM($G6:AG6))*(1-'Input Data'!$C$48)),0)*Financials!$C$74)*'Input Data'!$C$47</f>
        <v>0</v>
      </c>
      <c r="AH73" s="315">
        <f>(IF(AH$4&lt;=$B73,((SUM($G6:AH6))*(1-'Input Data'!$C$48)),0)*Financials!$C$74)*'Input Data'!$C$47</f>
        <v>0</v>
      </c>
      <c r="AI73" s="315">
        <f>(IF(AI$4&lt;=$B73,((SUM($G6:AI6))*(1-'Input Data'!$C$48)),0)*Financials!$C$74)*'Input Data'!$C$47</f>
        <v>0</v>
      </c>
      <c r="AJ73" s="315">
        <f>(IF(AJ$4&lt;=$B73,((SUM($G6:AJ6))*(1-'Input Data'!$C$48)),0)*Financials!$C$74)*'Input Data'!$C$47</f>
        <v>0</v>
      </c>
      <c r="AK73" s="315">
        <f>SUM(G73:AJ73)</f>
        <v>2397276.2118997113</v>
      </c>
    </row>
    <row r="74" spans="1:37">
      <c r="A74" s="192" t="str">
        <f t="shared" si="53"/>
        <v>Midtown Building</v>
      </c>
      <c r="B74" s="311">
        <f t="shared" si="54"/>
        <v>2024</v>
      </c>
      <c r="C74" s="354">
        <f t="shared" si="54"/>
        <v>0</v>
      </c>
      <c r="D74" s="354">
        <f t="shared" si="54"/>
        <v>60</v>
      </c>
      <c r="E74" s="354">
        <f t="shared" si="54"/>
        <v>39</v>
      </c>
      <c r="F74" s="360">
        <f t="shared" si="54"/>
        <v>0</v>
      </c>
      <c r="G74" s="315">
        <f>(IF(G$4&lt;=$B74,((SUM($G7:G7))*(1-'Input Data'!$C$48))*(1-($C74/12)),0)*Financials!$C$74)*'Input Data'!$C$47</f>
        <v>991605.050620544</v>
      </c>
      <c r="H74" s="315">
        <f>(IF(H$4&lt;=$B74,((SUM($G7:H7))*(1-'Input Data'!$C$48)),0)*Financials!$C$74)*'Input Data'!$C$47</f>
        <v>4483540.2474577017</v>
      </c>
      <c r="I74" s="315">
        <f>(IF(I$4&lt;=$B74,((SUM($G7:I7))*(1-'Input Data'!$C$48)),0)*Financials!$C$74)*'Input Data'!$C$47</f>
        <v>6735022.1078634271</v>
      </c>
      <c r="J74" s="315">
        <f>(IF(J$4&lt;=$B74,((SUM($G7:J7))*(1-'Input Data'!$C$48)),0)*Financials!$C$74)*'Input Data'!$C$47</f>
        <v>0</v>
      </c>
      <c r="K74" s="315">
        <f>(IF(K$4&lt;=$B74,((SUM($G7:K7))*(1-'Input Data'!$C$48)),0)*Financials!$C$74)*'Input Data'!$C$47</f>
        <v>0</v>
      </c>
      <c r="L74" s="315">
        <f>(IF(L$4&lt;=$B74,((SUM($G7:L7))*(1-'Input Data'!$C$48)),0)*Financials!$C$74)*'Input Data'!$C$47</f>
        <v>0</v>
      </c>
      <c r="M74" s="315">
        <f>(IF(M$4&lt;=$B74,((SUM($G7:M7))*(1-'Input Data'!$C$48)),0)*Financials!$C$74)*'Input Data'!$C$47</f>
        <v>0</v>
      </c>
      <c r="N74" s="315">
        <f>(IF(N$4&lt;=$B74,((SUM($G7:N7))*(1-'Input Data'!$C$48)),0)*Financials!$C$74)*'Input Data'!$C$47</f>
        <v>0</v>
      </c>
      <c r="O74" s="315">
        <f>(IF(O$4&lt;=$B74,((SUM($G7:O7))*(1-'Input Data'!$C$48)),0)*Financials!$C$74)*'Input Data'!$C$47</f>
        <v>0</v>
      </c>
      <c r="P74" s="315">
        <f>(IF(P$4&lt;=$B74,((SUM($G7:P7))*(1-'Input Data'!$C$48)),0)*Financials!$C$74)*'Input Data'!$C$47</f>
        <v>0</v>
      </c>
      <c r="Q74" s="315">
        <f>(IF(Q$4&lt;=$B74,((SUM($G7:Q7))*(1-'Input Data'!$C$48)),0)*Financials!$C$74)*'Input Data'!$C$47</f>
        <v>0</v>
      </c>
      <c r="R74" s="315">
        <f>(IF(R$4&lt;=$B74,((SUM($G7:R7))*(1-'Input Data'!$C$48)),0)*Financials!$C$74)*'Input Data'!$C$47</f>
        <v>0</v>
      </c>
      <c r="S74" s="315">
        <f>(IF(S$4&lt;=$B74,((SUM($G7:S7))*(1-'Input Data'!$C$48)),0)*Financials!$C$74)*'Input Data'!$C$47</f>
        <v>0</v>
      </c>
      <c r="T74" s="315">
        <f>(IF(T$4&lt;=$B74,((SUM($G7:T7))*(1-'Input Data'!$C$48)),0)*Financials!$C$74)*'Input Data'!$C$47</f>
        <v>0</v>
      </c>
      <c r="U74" s="315">
        <f>(IF(U$4&lt;=$B74,((SUM($G7:U7))*(1-'Input Data'!$C$48)),0)*Financials!$C$74)*'Input Data'!$C$47</f>
        <v>0</v>
      </c>
      <c r="V74" s="315">
        <f>(IF(V$4&lt;=$B74,((SUM($G7:V7))*(1-'Input Data'!$C$48)),0)*Financials!$C$74)*'Input Data'!$C$47</f>
        <v>0</v>
      </c>
      <c r="W74" s="315">
        <f>(IF(W$4&lt;=$B74,((SUM($G7:W7))*(1-'Input Data'!$C$48)),0)*Financials!$C$74)*'Input Data'!$C$47</f>
        <v>0</v>
      </c>
      <c r="X74" s="315">
        <f>(IF(X$4&lt;=$B74,((SUM($G7:X7))*(1-'Input Data'!$C$48)),0)*Financials!$C$74)*'Input Data'!$C$47</f>
        <v>0</v>
      </c>
      <c r="Y74" s="315">
        <f>(IF(Y$4&lt;=$B74,((SUM($G7:Y7))*(1-'Input Data'!$C$48)),0)*Financials!$C$74)*'Input Data'!$C$47</f>
        <v>0</v>
      </c>
      <c r="Z74" s="315">
        <f>(IF(Z$4&lt;=$B74,((SUM($G7:Z7))*(1-'Input Data'!$C$48)),0)*Financials!$C$74)*'Input Data'!$C$47</f>
        <v>0</v>
      </c>
      <c r="AA74" s="315">
        <f>(IF(AA$4&lt;=$B74,((SUM($G7:AA7))*(1-'Input Data'!$C$48)),0)*Financials!$C$74)*'Input Data'!$C$47</f>
        <v>0</v>
      </c>
      <c r="AB74" s="315">
        <f>(IF(AB$4&lt;=$B74,((SUM($G7:AB7))*(1-'Input Data'!$C$48)),0)*Financials!$C$74)*'Input Data'!$C$47</f>
        <v>0</v>
      </c>
      <c r="AC74" s="315">
        <f>(IF(AC$4&lt;=$B74,((SUM($G7:AC7))*(1-'Input Data'!$C$48)),0)*Financials!$C$74)*'Input Data'!$C$47</f>
        <v>0</v>
      </c>
      <c r="AD74" s="315">
        <f>(IF(AD$4&lt;=$B74,((SUM($G7:AD7))*(1-'Input Data'!$C$48)),0)*Financials!$C$74)*'Input Data'!$C$47</f>
        <v>0</v>
      </c>
      <c r="AE74" s="315">
        <f>(IF(AE$4&lt;=$B74,((SUM($G7:AE7))*(1-'Input Data'!$C$48)),0)*Financials!$C$74)*'Input Data'!$C$47</f>
        <v>0</v>
      </c>
      <c r="AF74" s="315">
        <f>(IF(AF$4&lt;=$B74,((SUM($G7:AF7))*(1-'Input Data'!$C$48)),0)*Financials!$C$74)*'Input Data'!$C$47</f>
        <v>0</v>
      </c>
      <c r="AG74" s="315">
        <f>(IF(AG$4&lt;=$B74,((SUM($G7:AG7))*(1-'Input Data'!$C$48)),0)*Financials!$C$74)*'Input Data'!$C$47</f>
        <v>0</v>
      </c>
      <c r="AH74" s="315">
        <f>(IF(AH$4&lt;=$B74,((SUM($G7:AH7))*(1-'Input Data'!$C$48)),0)*Financials!$C$74)*'Input Data'!$C$47</f>
        <v>0</v>
      </c>
      <c r="AI74" s="315">
        <f>(IF(AI$4&lt;=$B74,((SUM($G7:AI7))*(1-'Input Data'!$C$48)),0)*Financials!$C$74)*'Input Data'!$C$47</f>
        <v>0</v>
      </c>
      <c r="AJ74" s="315">
        <f>(IF(AJ$4&lt;=$B74,((SUM($G7:AJ7))*(1-'Input Data'!$C$48)),0)*Financials!$C$74)*'Input Data'!$C$47</f>
        <v>0</v>
      </c>
      <c r="AK74" s="315">
        <f t="shared" ref="AK74:AK82" si="55">SUM(G74:AJ74)</f>
        <v>12210167.405941673</v>
      </c>
    </row>
    <row r="75" spans="1:37">
      <c r="A75" s="192" t="str">
        <f t="shared" si="53"/>
        <v>Furniture, Fixtures &amp; Equipment - Building</v>
      </c>
      <c r="B75" s="311">
        <f t="shared" si="54"/>
        <v>2025</v>
      </c>
      <c r="C75" s="354">
        <f t="shared" si="54"/>
        <v>6</v>
      </c>
      <c r="D75" s="354">
        <f t="shared" si="54"/>
        <v>7</v>
      </c>
      <c r="E75" s="354">
        <f t="shared" si="54"/>
        <v>7</v>
      </c>
      <c r="F75" s="360">
        <f t="shared" si="54"/>
        <v>0</v>
      </c>
      <c r="G75" s="315">
        <f>(IF(G$4&lt;=$B75,((SUM($G8:G8))*(1-'Input Data'!$C$48))*(1-($C75/12)),0)*Financials!$C$74)*'Input Data'!$C$47</f>
        <v>0</v>
      </c>
      <c r="H75" s="315">
        <f>(IF(H$4&lt;=$B75,((SUM($G8:H8))*(1-'Input Data'!$C$48)),0)*Financials!$C$74)*'Input Data'!$C$47</f>
        <v>0</v>
      </c>
      <c r="I75" s="315">
        <f>(IF(I$4&lt;=$B75,((SUM($G8:I8))*(1-'Input Data'!$C$48)),0)*Financials!$C$74)*'Input Data'!$C$47</f>
        <v>1003041.7565998142</v>
      </c>
      <c r="J75" s="315">
        <f>(IF(J$4&lt;=$B75,((SUM($G8:J8))*(1-'Input Data'!$C$48)),0)*Financials!$C$74)*'Input Data'!$C$47</f>
        <v>2167045.2620797693</v>
      </c>
      <c r="K75" s="315">
        <f>(IF(K$4&lt;=$B75,((SUM($G8:K8))*(1-'Input Data'!$C$48)),0)*Financials!$C$74)*'Input Data'!$C$47</f>
        <v>0</v>
      </c>
      <c r="L75" s="315">
        <f>(IF(L$4&lt;=$B75,((SUM($G8:L8))*(1-'Input Data'!$C$48)),0)*Financials!$C$74)*'Input Data'!$C$47</f>
        <v>0</v>
      </c>
      <c r="M75" s="315">
        <f>(IF(M$4&lt;=$B75,((SUM($G8:M8))*(1-'Input Data'!$C$48)),0)*Financials!$C$74)*'Input Data'!$C$47</f>
        <v>0</v>
      </c>
      <c r="N75" s="315">
        <f>(IF(N$4&lt;=$B75,((SUM($G8:N8))*(1-'Input Data'!$C$48)),0)*Financials!$C$74)*'Input Data'!$C$47</f>
        <v>0</v>
      </c>
      <c r="O75" s="315">
        <f>(IF(O$4&lt;=$B75,((SUM($G8:O8))*(1-'Input Data'!$C$48)),0)*Financials!$C$74)*'Input Data'!$C$47</f>
        <v>0</v>
      </c>
      <c r="P75" s="315">
        <f>(IF(P$4&lt;=$B75,((SUM($G8:P8))*(1-'Input Data'!$C$48)),0)*Financials!$C$74)*'Input Data'!$C$47</f>
        <v>0</v>
      </c>
      <c r="Q75" s="315">
        <f>(IF(Q$4&lt;=$B75,((SUM($G8:Q8))*(1-'Input Data'!$C$48)),0)*Financials!$C$74)*'Input Data'!$C$47</f>
        <v>0</v>
      </c>
      <c r="R75" s="315">
        <f>(IF(R$4&lt;=$B75,((SUM($G8:R8))*(1-'Input Data'!$C$48)),0)*Financials!$C$74)*'Input Data'!$C$47</f>
        <v>0</v>
      </c>
      <c r="S75" s="315">
        <f>(IF(S$4&lt;=$B75,((SUM($G8:S8))*(1-'Input Data'!$C$48)),0)*Financials!$C$74)*'Input Data'!$C$47</f>
        <v>0</v>
      </c>
      <c r="T75" s="315">
        <f>(IF(T$4&lt;=$B75,((SUM($G8:T8))*(1-'Input Data'!$C$48)),0)*Financials!$C$74)*'Input Data'!$C$47</f>
        <v>0</v>
      </c>
      <c r="U75" s="315">
        <f>(IF(U$4&lt;=$B75,((SUM($G8:U8))*(1-'Input Data'!$C$48)),0)*Financials!$C$74)*'Input Data'!$C$47</f>
        <v>0</v>
      </c>
      <c r="V75" s="315">
        <f>(IF(V$4&lt;=$B75,((SUM($G8:V8))*(1-'Input Data'!$C$48)),0)*Financials!$C$74)*'Input Data'!$C$47</f>
        <v>0</v>
      </c>
      <c r="W75" s="315">
        <f>(IF(W$4&lt;=$B75,((SUM($G8:W8))*(1-'Input Data'!$C$48)),0)*Financials!$C$74)*'Input Data'!$C$47</f>
        <v>0</v>
      </c>
      <c r="X75" s="315">
        <f>(IF(X$4&lt;=$B75,((SUM($G8:X8))*(1-'Input Data'!$C$48)),0)*Financials!$C$74)*'Input Data'!$C$47</f>
        <v>0</v>
      </c>
      <c r="Y75" s="315">
        <f>(IF(Y$4&lt;=$B75,((SUM($G8:Y8))*(1-'Input Data'!$C$48)),0)*Financials!$C$74)*'Input Data'!$C$47</f>
        <v>0</v>
      </c>
      <c r="Z75" s="315">
        <f>(IF(Z$4&lt;=$B75,((SUM($G8:Z8))*(1-'Input Data'!$C$48)),0)*Financials!$C$74)*'Input Data'!$C$47</f>
        <v>0</v>
      </c>
      <c r="AA75" s="315">
        <f>(IF(AA$4&lt;=$B75,((SUM($G8:AA8))*(1-'Input Data'!$C$48)),0)*Financials!$C$74)*'Input Data'!$C$47</f>
        <v>0</v>
      </c>
      <c r="AB75" s="315">
        <f>(IF(AB$4&lt;=$B75,((SUM($G8:AB8))*(1-'Input Data'!$C$48)),0)*Financials!$C$74)*'Input Data'!$C$47</f>
        <v>0</v>
      </c>
      <c r="AC75" s="315">
        <f>(IF(AC$4&lt;=$B75,((SUM($G8:AC8))*(1-'Input Data'!$C$48)),0)*Financials!$C$74)*'Input Data'!$C$47</f>
        <v>0</v>
      </c>
      <c r="AD75" s="315">
        <f>(IF(AD$4&lt;=$B75,((SUM($G8:AD8))*(1-'Input Data'!$C$48)),0)*Financials!$C$74)*'Input Data'!$C$47</f>
        <v>0</v>
      </c>
      <c r="AE75" s="315">
        <f>(IF(AE$4&lt;=$B75,((SUM($G8:AE8))*(1-'Input Data'!$C$48)),0)*Financials!$C$74)*'Input Data'!$C$47</f>
        <v>0</v>
      </c>
      <c r="AF75" s="315">
        <f>(IF(AF$4&lt;=$B75,((SUM($G8:AF8))*(1-'Input Data'!$C$48)),0)*Financials!$C$74)*'Input Data'!$C$47</f>
        <v>0</v>
      </c>
      <c r="AG75" s="315">
        <f>(IF(AG$4&lt;=$B75,((SUM($G8:AG8))*(1-'Input Data'!$C$48)),0)*Financials!$C$74)*'Input Data'!$C$47</f>
        <v>0</v>
      </c>
      <c r="AH75" s="315">
        <f>(IF(AH$4&lt;=$B75,((SUM($G8:AH8))*(1-'Input Data'!$C$48)),0)*Financials!$C$74)*'Input Data'!$C$47</f>
        <v>0</v>
      </c>
      <c r="AI75" s="315">
        <f>(IF(AI$4&lt;=$B75,((SUM($G8:AI8))*(1-'Input Data'!$C$48)),0)*Financials!$C$74)*'Input Data'!$C$47</f>
        <v>0</v>
      </c>
      <c r="AJ75" s="315">
        <f>(IF(AJ$4&lt;=$B75,((SUM($G8:AJ8))*(1-'Input Data'!$C$48)),0)*Financials!$C$74)*'Input Data'!$C$47</f>
        <v>0</v>
      </c>
      <c r="AK75" s="315">
        <f t="shared" si="55"/>
        <v>3170087.0186795834</v>
      </c>
    </row>
    <row r="76" spans="1:37">
      <c r="A76" s="192" t="str">
        <f t="shared" si="53"/>
        <v>LEED Design Costs</v>
      </c>
      <c r="B76" s="311">
        <f t="shared" si="54"/>
        <v>2025</v>
      </c>
      <c r="C76" s="354">
        <f t="shared" si="54"/>
        <v>6</v>
      </c>
      <c r="D76" s="354">
        <f t="shared" si="54"/>
        <v>60</v>
      </c>
      <c r="E76" s="354">
        <f t="shared" si="54"/>
        <v>39</v>
      </c>
      <c r="F76" s="360">
        <f t="shared" si="54"/>
        <v>0</v>
      </c>
      <c r="G76" s="315">
        <f>(IF(G$4&lt;=$B76,((SUM($G9:G9))*(1-'Input Data'!$C$48))*(1-($C76/12)),0)*Financials!$C$74)*'Input Data'!$C$47</f>
        <v>0</v>
      </c>
      <c r="H76" s="315">
        <f>(IF(H$4&lt;=$B76,((SUM($G9:H9))*(1-'Input Data'!$C$48)),0)*Financials!$C$74)*'Input Data'!$C$47</f>
        <v>0</v>
      </c>
      <c r="I76" s="315">
        <f>(IF(I$4&lt;=$B76,((SUM($G9:I9))*(1-'Input Data'!$C$48)),0)*Financials!$C$74)*'Input Data'!$C$47</f>
        <v>64161.324573940801</v>
      </c>
      <c r="J76" s="315">
        <f>(IF(J$4&lt;=$B76,((SUM($G9:J9))*(1-'Input Data'!$C$48)),0)*Financials!$C$74)*'Input Data'!$C$47</f>
        <v>99208.646105898792</v>
      </c>
      <c r="K76" s="315">
        <f>(IF(K$4&lt;=$B76,((SUM($G9:K9))*(1-'Input Data'!$C$48)),0)*Financials!$C$74)*'Input Data'!$C$47</f>
        <v>0</v>
      </c>
      <c r="L76" s="315">
        <f>(IF(L$4&lt;=$B76,((SUM($G9:L9))*(1-'Input Data'!$C$48)),0)*Financials!$C$74)*'Input Data'!$C$47</f>
        <v>0</v>
      </c>
      <c r="M76" s="315">
        <f>(IF(M$4&lt;=$B76,((SUM($G9:M9))*(1-'Input Data'!$C$48)),0)*Financials!$C$74)*'Input Data'!$C$47</f>
        <v>0</v>
      </c>
      <c r="N76" s="315">
        <f>(IF(N$4&lt;=$B76,((SUM($G9:N9))*(1-'Input Data'!$C$48)),0)*Financials!$C$74)*'Input Data'!$C$47</f>
        <v>0</v>
      </c>
      <c r="O76" s="315">
        <f>(IF(O$4&lt;=$B76,((SUM($G9:O9))*(1-'Input Data'!$C$48)),0)*Financials!$C$74)*'Input Data'!$C$47</f>
        <v>0</v>
      </c>
      <c r="P76" s="315">
        <f>(IF(P$4&lt;=$B76,((SUM($G9:P9))*(1-'Input Data'!$C$48)),0)*Financials!$C$74)*'Input Data'!$C$47</f>
        <v>0</v>
      </c>
      <c r="Q76" s="315">
        <f>(IF(Q$4&lt;=$B76,((SUM($G9:Q9))*(1-'Input Data'!$C$48)),0)*Financials!$C$74)*'Input Data'!$C$47</f>
        <v>0</v>
      </c>
      <c r="R76" s="315">
        <f>(IF(R$4&lt;=$B76,((SUM($G9:R9))*(1-'Input Data'!$C$48)),0)*Financials!$C$74)*'Input Data'!$C$47</f>
        <v>0</v>
      </c>
      <c r="S76" s="315">
        <f>(IF(S$4&lt;=$B76,((SUM($G9:S9))*(1-'Input Data'!$C$48)),0)*Financials!$C$74)*'Input Data'!$C$47</f>
        <v>0</v>
      </c>
      <c r="T76" s="315">
        <f>(IF(T$4&lt;=$B76,((SUM($G9:T9))*(1-'Input Data'!$C$48)),0)*Financials!$C$74)*'Input Data'!$C$47</f>
        <v>0</v>
      </c>
      <c r="U76" s="315">
        <f>(IF(U$4&lt;=$B76,((SUM($G9:U9))*(1-'Input Data'!$C$48)),0)*Financials!$C$74)*'Input Data'!$C$47</f>
        <v>0</v>
      </c>
      <c r="V76" s="315">
        <f>(IF(V$4&lt;=$B76,((SUM($G9:V9))*(1-'Input Data'!$C$48)),0)*Financials!$C$74)*'Input Data'!$C$47</f>
        <v>0</v>
      </c>
      <c r="W76" s="315">
        <f>(IF(W$4&lt;=$B76,((SUM($G9:W9))*(1-'Input Data'!$C$48)),0)*Financials!$C$74)*'Input Data'!$C$47</f>
        <v>0</v>
      </c>
      <c r="X76" s="315">
        <f>(IF(X$4&lt;=$B76,((SUM($G9:X9))*(1-'Input Data'!$C$48)),0)*Financials!$C$74)*'Input Data'!$C$47</f>
        <v>0</v>
      </c>
      <c r="Y76" s="315">
        <f>(IF(Y$4&lt;=$B76,((SUM($G9:Y9))*(1-'Input Data'!$C$48)),0)*Financials!$C$74)*'Input Data'!$C$47</f>
        <v>0</v>
      </c>
      <c r="Z76" s="315">
        <f>(IF(Z$4&lt;=$B76,((SUM($G9:Z9))*(1-'Input Data'!$C$48)),0)*Financials!$C$74)*'Input Data'!$C$47</f>
        <v>0</v>
      </c>
      <c r="AA76" s="315">
        <f>(IF(AA$4&lt;=$B76,((SUM($G9:AA9))*(1-'Input Data'!$C$48)),0)*Financials!$C$74)*'Input Data'!$C$47</f>
        <v>0</v>
      </c>
      <c r="AB76" s="315">
        <f>(IF(AB$4&lt;=$B76,((SUM($G9:AB9))*(1-'Input Data'!$C$48)),0)*Financials!$C$74)*'Input Data'!$C$47</f>
        <v>0</v>
      </c>
      <c r="AC76" s="315">
        <f>(IF(AC$4&lt;=$B76,((SUM($G9:AC9))*(1-'Input Data'!$C$48)),0)*Financials!$C$74)*'Input Data'!$C$47</f>
        <v>0</v>
      </c>
      <c r="AD76" s="315">
        <f>(IF(AD$4&lt;=$B76,((SUM($G9:AD9))*(1-'Input Data'!$C$48)),0)*Financials!$C$74)*'Input Data'!$C$47</f>
        <v>0</v>
      </c>
      <c r="AE76" s="315">
        <f>(IF(AE$4&lt;=$B76,((SUM($G9:AE9))*(1-'Input Data'!$C$48)),0)*Financials!$C$74)*'Input Data'!$C$47</f>
        <v>0</v>
      </c>
      <c r="AF76" s="315">
        <f>(IF(AF$4&lt;=$B76,((SUM($G9:AF9))*(1-'Input Data'!$C$48)),0)*Financials!$C$74)*'Input Data'!$C$47</f>
        <v>0</v>
      </c>
      <c r="AG76" s="315">
        <f>(IF(AG$4&lt;=$B76,((SUM($G9:AG9))*(1-'Input Data'!$C$48)),0)*Financials!$C$74)*'Input Data'!$C$47</f>
        <v>0</v>
      </c>
      <c r="AH76" s="315">
        <f>(IF(AH$4&lt;=$B76,((SUM($G9:AH9))*(1-'Input Data'!$C$48)),0)*Financials!$C$74)*'Input Data'!$C$47</f>
        <v>0</v>
      </c>
      <c r="AI76" s="315">
        <f>(IF(AI$4&lt;=$B76,((SUM($G9:AI9))*(1-'Input Data'!$C$48)),0)*Financials!$C$74)*'Input Data'!$C$47</f>
        <v>0</v>
      </c>
      <c r="AJ76" s="315">
        <f>(IF(AJ$4&lt;=$B76,((SUM($G9:AJ9))*(1-'Input Data'!$C$48)),0)*Financials!$C$74)*'Input Data'!$C$47</f>
        <v>0</v>
      </c>
      <c r="AK76" s="315">
        <f t="shared" si="55"/>
        <v>163369.97067983961</v>
      </c>
    </row>
    <row r="77" spans="1:37">
      <c r="A77" s="192" t="str">
        <f t="shared" si="53"/>
        <v>Capital Plug</v>
      </c>
      <c r="B77" s="311">
        <f t="shared" si="54"/>
        <v>2025</v>
      </c>
      <c r="C77" s="354">
        <f t="shared" si="54"/>
        <v>6</v>
      </c>
      <c r="D77" s="354">
        <f t="shared" si="54"/>
        <v>60</v>
      </c>
      <c r="E77" s="354">
        <f t="shared" si="54"/>
        <v>39</v>
      </c>
      <c r="F77" s="360">
        <f t="shared" si="54"/>
        <v>0</v>
      </c>
      <c r="G77" s="315">
        <f>(IF(G$4&lt;=$B77,((SUM($G10:G10))*(1-'Input Data'!$C$48))*(1-($C77/12)),0)*Financials!$C$74)*'Input Data'!$C$47</f>
        <v>19348.70054953514</v>
      </c>
      <c r="H77" s="315">
        <f>(IF(H$4&lt;=$B77,((SUM($G10:H10))*(1-'Input Data'!$C$48)),0)*Financials!$C$74)*'Input Data'!$C$47</f>
        <v>132246.43686833052</v>
      </c>
      <c r="I77" s="315">
        <f>(IF(I$4&lt;=$B77,((SUM($G10:I10))*(1-'Input Data'!$C$48)),0)*Financials!$C$74)*'Input Data'!$C$47</f>
        <v>277564.22354619228</v>
      </c>
      <c r="J77" s="315">
        <f>(IF(J$4&lt;=$B77,((SUM($G10:J10))*(1-'Input Data'!$C$48)),0)*Financials!$C$74)*'Input Data'!$C$47</f>
        <v>335245.54709340265</v>
      </c>
      <c r="K77" s="315">
        <f>(IF(K$4&lt;=$B77,((SUM($G10:K10))*(1-'Input Data'!$C$48)),0)*Financials!$C$74)*'Input Data'!$C$47</f>
        <v>0</v>
      </c>
      <c r="L77" s="315">
        <f>(IF(L$4&lt;=$B77,((SUM($G10:L10))*(1-'Input Data'!$C$48)),0)*Financials!$C$74)*'Input Data'!$C$47</f>
        <v>0</v>
      </c>
      <c r="M77" s="315">
        <f>(IF(M$4&lt;=$B77,((SUM($G10:M10))*(1-'Input Data'!$C$48)),0)*Financials!$C$74)*'Input Data'!$C$47</f>
        <v>0</v>
      </c>
      <c r="N77" s="315">
        <f>(IF(N$4&lt;=$B77,((SUM($G10:N10))*(1-'Input Data'!$C$48)),0)*Financials!$C$74)*'Input Data'!$C$47</f>
        <v>0</v>
      </c>
      <c r="O77" s="315">
        <f>(IF(O$4&lt;=$B77,((SUM($G10:O10))*(1-'Input Data'!$C$48)),0)*Financials!$C$74)*'Input Data'!$C$47</f>
        <v>0</v>
      </c>
      <c r="P77" s="315">
        <f>(IF(P$4&lt;=$B77,((SUM($G10:P10))*(1-'Input Data'!$C$48)),0)*Financials!$C$74)*'Input Data'!$C$47</f>
        <v>0</v>
      </c>
      <c r="Q77" s="315">
        <f>(IF(Q$4&lt;=$B77,((SUM($G10:Q10))*(1-'Input Data'!$C$48)),0)*Financials!$C$74)*'Input Data'!$C$47</f>
        <v>0</v>
      </c>
      <c r="R77" s="315">
        <f>(IF(R$4&lt;=$B77,((SUM($G10:R10))*(1-'Input Data'!$C$48)),0)*Financials!$C$74)*'Input Data'!$C$47</f>
        <v>0</v>
      </c>
      <c r="S77" s="315">
        <f>(IF(S$4&lt;=$B77,((SUM($G10:S10))*(1-'Input Data'!$C$48)),0)*Financials!$C$74)*'Input Data'!$C$47</f>
        <v>0</v>
      </c>
      <c r="T77" s="315">
        <f>(IF(T$4&lt;=$B77,((SUM($G10:T10))*(1-'Input Data'!$C$48)),0)*Financials!$C$74)*'Input Data'!$C$47</f>
        <v>0</v>
      </c>
      <c r="U77" s="315">
        <f>(IF(U$4&lt;=$B77,((SUM($G10:U10))*(1-'Input Data'!$C$48)),0)*Financials!$C$74)*'Input Data'!$C$47</f>
        <v>0</v>
      </c>
      <c r="V77" s="315">
        <f>(IF(V$4&lt;=$B77,((SUM($G10:V10))*(1-'Input Data'!$C$48)),0)*Financials!$C$74)*'Input Data'!$C$47</f>
        <v>0</v>
      </c>
      <c r="W77" s="315">
        <f>(IF(W$4&lt;=$B77,((SUM($G10:W10))*(1-'Input Data'!$C$48)),0)*Financials!$C$74)*'Input Data'!$C$47</f>
        <v>0</v>
      </c>
      <c r="X77" s="315">
        <f>(IF(X$4&lt;=$B77,((SUM($G10:X10))*(1-'Input Data'!$C$48)),0)*Financials!$C$74)*'Input Data'!$C$47</f>
        <v>0</v>
      </c>
      <c r="Y77" s="315">
        <f>(IF(Y$4&lt;=$B77,((SUM($G10:Y10))*(1-'Input Data'!$C$48)),0)*Financials!$C$74)*'Input Data'!$C$47</f>
        <v>0</v>
      </c>
      <c r="Z77" s="315">
        <f>(IF(Z$4&lt;=$B77,((SUM($G10:Z10))*(1-'Input Data'!$C$48)),0)*Financials!$C$74)*'Input Data'!$C$47</f>
        <v>0</v>
      </c>
      <c r="AA77" s="315">
        <f>(IF(AA$4&lt;=$B77,((SUM($G10:AA10))*(1-'Input Data'!$C$48)),0)*Financials!$C$74)*'Input Data'!$C$47</f>
        <v>0</v>
      </c>
      <c r="AB77" s="315">
        <f>(IF(AB$4&lt;=$B77,((SUM($G10:AB10))*(1-'Input Data'!$C$48)),0)*Financials!$C$74)*'Input Data'!$C$47</f>
        <v>0</v>
      </c>
      <c r="AC77" s="315">
        <f>(IF(AC$4&lt;=$B77,((SUM($G10:AC10))*(1-'Input Data'!$C$48)),0)*Financials!$C$74)*'Input Data'!$C$47</f>
        <v>0</v>
      </c>
      <c r="AD77" s="315">
        <f>(IF(AD$4&lt;=$B77,((SUM($G10:AD10))*(1-'Input Data'!$C$48)),0)*Financials!$C$74)*'Input Data'!$C$47</f>
        <v>0</v>
      </c>
      <c r="AE77" s="315">
        <f>(IF(AE$4&lt;=$B77,((SUM($G10:AE10))*(1-'Input Data'!$C$48)),0)*Financials!$C$74)*'Input Data'!$C$47</f>
        <v>0</v>
      </c>
      <c r="AF77" s="315">
        <f>(IF(AF$4&lt;=$B77,((SUM($G10:AF10))*(1-'Input Data'!$C$48)),0)*Financials!$C$74)*'Input Data'!$C$47</f>
        <v>0</v>
      </c>
      <c r="AG77" s="315">
        <f>(IF(AG$4&lt;=$B77,((SUM($G10:AG10))*(1-'Input Data'!$C$48)),0)*Financials!$C$74)*'Input Data'!$C$47</f>
        <v>0</v>
      </c>
      <c r="AH77" s="315">
        <f>(IF(AH$4&lt;=$B77,((SUM($G10:AH10))*(1-'Input Data'!$C$48)),0)*Financials!$C$74)*'Input Data'!$C$47</f>
        <v>0</v>
      </c>
      <c r="AI77" s="315">
        <f>(IF(AI$4&lt;=$B77,((SUM($G10:AI10))*(1-'Input Data'!$C$48)),0)*Financials!$C$74)*'Input Data'!$C$47</f>
        <v>0</v>
      </c>
      <c r="AJ77" s="315">
        <f>(IF(AJ$4&lt;=$B77,((SUM($G10:AJ10))*(1-'Input Data'!$C$48)),0)*Financials!$C$74)*'Input Data'!$C$47</f>
        <v>0</v>
      </c>
      <c r="AK77" s="315">
        <f t="shared" si="55"/>
        <v>764404.90805746056</v>
      </c>
    </row>
    <row r="78" spans="1:37">
      <c r="A78" s="192" t="str">
        <f t="shared" si="53"/>
        <v>Parking Garage (1,000 Spaces)</v>
      </c>
      <c r="B78" s="311">
        <f t="shared" si="54"/>
        <v>2024</v>
      </c>
      <c r="C78" s="354">
        <f t="shared" si="54"/>
        <v>0</v>
      </c>
      <c r="D78" s="354">
        <f t="shared" si="54"/>
        <v>60</v>
      </c>
      <c r="E78" s="354">
        <f t="shared" si="54"/>
        <v>39</v>
      </c>
      <c r="F78" s="360">
        <f t="shared" si="54"/>
        <v>0</v>
      </c>
      <c r="G78" s="315">
        <f>(IF(G$4&lt;=$B78,((SUM($G11:G11))*(1-'Input Data'!$C$48))*(1-($C78/12)),0)*Financials!$C$74)*'Input Data'!$C$47</f>
        <v>1697.601712685517</v>
      </c>
      <c r="H78" s="315">
        <f>(IF(H$4&lt;=$B78,((SUM($G11:H11))*(1-'Input Data'!$C$48)),0)*Financials!$C$74)*'Input Data'!$C$47</f>
        <v>983980.99211509491</v>
      </c>
      <c r="I78" s="315">
        <f>(IF(I$4&lt;=$B78,((SUM($G11:I11))*(1-'Input Data'!$C$48)),0)*Financials!$C$74)*'Input Data'!$C$47</f>
        <v>1403288.1027489505</v>
      </c>
      <c r="J78" s="315">
        <f>(IF(J$4&lt;=$B78,((SUM($G11:J11))*(1-'Input Data'!$C$48)),0)*Financials!$C$74)*'Input Data'!$C$47</f>
        <v>0</v>
      </c>
      <c r="K78" s="315">
        <f>(IF(K$4&lt;=$B78,((SUM($G11:K11))*(1-'Input Data'!$C$48)),0)*Financials!$C$74)*'Input Data'!$C$47</f>
        <v>0</v>
      </c>
      <c r="L78" s="315">
        <f>(IF(L$4&lt;=$B78,((SUM($G11:L11))*(1-'Input Data'!$C$48)),0)*Financials!$C$74)*'Input Data'!$C$47</f>
        <v>0</v>
      </c>
      <c r="M78" s="315">
        <f>(IF(M$4&lt;=$B78,((SUM($G11:M11))*(1-'Input Data'!$C$48)),0)*Financials!$C$74)*'Input Data'!$C$47</f>
        <v>0</v>
      </c>
      <c r="N78" s="315">
        <f>(IF(N$4&lt;=$B78,((SUM($G11:N11))*(1-'Input Data'!$C$48)),0)*Financials!$C$74)*'Input Data'!$C$47</f>
        <v>0</v>
      </c>
      <c r="O78" s="315">
        <f>(IF(O$4&lt;=$B78,((SUM($G11:O11))*(1-'Input Data'!$C$48)),0)*Financials!$C$74)*'Input Data'!$C$47</f>
        <v>0</v>
      </c>
      <c r="P78" s="315">
        <f>(IF(P$4&lt;=$B78,((SUM($G11:P11))*(1-'Input Data'!$C$48)),0)*Financials!$C$74)*'Input Data'!$C$47</f>
        <v>0</v>
      </c>
      <c r="Q78" s="315">
        <f>(IF(Q$4&lt;=$B78,((SUM($G11:Q11))*(1-'Input Data'!$C$48)),0)*Financials!$C$74)*'Input Data'!$C$47</f>
        <v>0</v>
      </c>
      <c r="R78" s="315">
        <f>(IF(R$4&lt;=$B78,((SUM($G11:R11))*(1-'Input Data'!$C$48)),0)*Financials!$C$74)*'Input Data'!$C$47</f>
        <v>0</v>
      </c>
      <c r="S78" s="315">
        <f>(IF(S$4&lt;=$B78,((SUM($G11:S11))*(1-'Input Data'!$C$48)),0)*Financials!$C$74)*'Input Data'!$C$47</f>
        <v>0</v>
      </c>
      <c r="T78" s="315">
        <f>(IF(T$4&lt;=$B78,((SUM($G11:T11))*(1-'Input Data'!$C$48)),0)*Financials!$C$74)*'Input Data'!$C$47</f>
        <v>0</v>
      </c>
      <c r="U78" s="315">
        <f>(IF(U$4&lt;=$B78,((SUM($G11:U11))*(1-'Input Data'!$C$48)),0)*Financials!$C$74)*'Input Data'!$C$47</f>
        <v>0</v>
      </c>
      <c r="V78" s="315">
        <f>(IF(V$4&lt;=$B78,((SUM($G11:V11))*(1-'Input Data'!$C$48)),0)*Financials!$C$74)*'Input Data'!$C$47</f>
        <v>0</v>
      </c>
      <c r="W78" s="315">
        <f>(IF(W$4&lt;=$B78,((SUM($G11:W11))*(1-'Input Data'!$C$48)),0)*Financials!$C$74)*'Input Data'!$C$47</f>
        <v>0</v>
      </c>
      <c r="X78" s="315">
        <f>(IF(X$4&lt;=$B78,((SUM($G11:X11))*(1-'Input Data'!$C$48)),0)*Financials!$C$74)*'Input Data'!$C$47</f>
        <v>0</v>
      </c>
      <c r="Y78" s="315">
        <f>(IF(Y$4&lt;=$B78,((SUM($G11:Y11))*(1-'Input Data'!$C$48)),0)*Financials!$C$74)*'Input Data'!$C$47</f>
        <v>0</v>
      </c>
      <c r="Z78" s="315">
        <f>(IF(Z$4&lt;=$B78,((SUM($G11:Z11))*(1-'Input Data'!$C$48)),0)*Financials!$C$74)*'Input Data'!$C$47</f>
        <v>0</v>
      </c>
      <c r="AA78" s="315">
        <f>(IF(AA$4&lt;=$B78,((SUM($G11:AA11))*(1-'Input Data'!$C$48)),0)*Financials!$C$74)*'Input Data'!$C$47</f>
        <v>0</v>
      </c>
      <c r="AB78" s="315">
        <f>(IF(AB$4&lt;=$B78,((SUM($G11:AB11))*(1-'Input Data'!$C$48)),0)*Financials!$C$74)*'Input Data'!$C$47</f>
        <v>0</v>
      </c>
      <c r="AC78" s="315">
        <f>(IF(AC$4&lt;=$B78,((SUM($G11:AC11))*(1-'Input Data'!$C$48)),0)*Financials!$C$74)*'Input Data'!$C$47</f>
        <v>0</v>
      </c>
      <c r="AD78" s="315">
        <f>(IF(AD$4&lt;=$B78,((SUM($G11:AD11))*(1-'Input Data'!$C$48)),0)*Financials!$C$74)*'Input Data'!$C$47</f>
        <v>0</v>
      </c>
      <c r="AE78" s="315">
        <f>(IF(AE$4&lt;=$B78,((SUM($G11:AE11))*(1-'Input Data'!$C$48)),0)*Financials!$C$74)*'Input Data'!$C$47</f>
        <v>0</v>
      </c>
      <c r="AF78" s="315">
        <f>(IF(AF$4&lt;=$B78,((SUM($G11:AF11))*(1-'Input Data'!$C$48)),0)*Financials!$C$74)*'Input Data'!$C$47</f>
        <v>0</v>
      </c>
      <c r="AG78" s="315">
        <f>(IF(AG$4&lt;=$B78,((SUM($G11:AG11))*(1-'Input Data'!$C$48)),0)*Financials!$C$74)*'Input Data'!$C$47</f>
        <v>0</v>
      </c>
      <c r="AH78" s="315">
        <f>(IF(AH$4&lt;=$B78,((SUM($G11:AH11))*(1-'Input Data'!$C$48)),0)*Financials!$C$74)*'Input Data'!$C$47</f>
        <v>0</v>
      </c>
      <c r="AI78" s="315">
        <f>(IF(AI$4&lt;=$B78,((SUM($G11:AI11))*(1-'Input Data'!$C$48)),0)*Financials!$C$74)*'Input Data'!$C$47</f>
        <v>0</v>
      </c>
      <c r="AJ78" s="315">
        <f>(IF(AJ$4&lt;=$B78,((SUM($G11:AJ11))*(1-'Input Data'!$C$48)),0)*Financials!$C$74)*'Input Data'!$C$47</f>
        <v>0</v>
      </c>
      <c r="AK78" s="315">
        <f t="shared" si="55"/>
        <v>2388966.6965767308</v>
      </c>
    </row>
    <row r="79" spans="1:37">
      <c r="A79" s="192" t="str">
        <f t="shared" si="53"/>
        <v>Interior Costs - Soft Costs</v>
      </c>
      <c r="B79" s="311">
        <f t="shared" si="54"/>
        <v>2025</v>
      </c>
      <c r="C79" s="354">
        <f t="shared" si="54"/>
        <v>6</v>
      </c>
      <c r="D79" s="354">
        <f t="shared" si="54"/>
        <v>60</v>
      </c>
      <c r="E79" s="354">
        <f t="shared" si="54"/>
        <v>39</v>
      </c>
      <c r="F79" s="360">
        <f t="shared" si="54"/>
        <v>0</v>
      </c>
      <c r="G79" s="315">
        <f>(IF(G$4&lt;=$B79,((SUM($G12:G12))*(1-'Input Data'!$C$48))*(1-($C79/12)),0)*Financials!$C$74)*'Input Data'!$C$47</f>
        <v>68082.325041591801</v>
      </c>
      <c r="H79" s="315">
        <f>(IF(H$4&lt;=$B79,((SUM($G12:H12))*(1-'Input Data'!$C$48)),0)*Financials!$C$74)*'Input Data'!$C$47</f>
        <v>324142.09277024388</v>
      </c>
      <c r="I79" s="315">
        <f>(IF(I$4&lt;=$B79,((SUM($G12:I12))*(1-'Input Data'!$C$48)),0)*Financials!$C$74)*'Input Data'!$C$47</f>
        <v>510055.1448391375</v>
      </c>
      <c r="J79" s="315">
        <f>(IF(J$4&lt;=$B79,((SUM($G12:J12))*(1-'Input Data'!$C$48)),0)*Financials!$C$74)*'Input Data'!$C$47</f>
        <v>588365.91285359906</v>
      </c>
      <c r="K79" s="315">
        <f>(IF(K$4&lt;=$B79,((SUM($G12:K12))*(1-'Input Data'!$C$48)),0)*Financials!$C$74)*'Input Data'!$C$47</f>
        <v>0</v>
      </c>
      <c r="L79" s="315">
        <f>(IF(L$4&lt;=$B79,((SUM($G12:L12))*(1-'Input Data'!$C$48)),0)*Financials!$C$74)*'Input Data'!$C$47</f>
        <v>0</v>
      </c>
      <c r="M79" s="315">
        <f>(IF(M$4&lt;=$B79,((SUM($G12:M12))*(1-'Input Data'!$C$48)),0)*Financials!$C$74)*'Input Data'!$C$47</f>
        <v>0</v>
      </c>
      <c r="N79" s="315">
        <f>(IF(N$4&lt;=$B79,((SUM($G12:N12))*(1-'Input Data'!$C$48)),0)*Financials!$C$74)*'Input Data'!$C$47</f>
        <v>0</v>
      </c>
      <c r="O79" s="315">
        <f>(IF(O$4&lt;=$B79,((SUM($G12:O12))*(1-'Input Data'!$C$48)),0)*Financials!$C$74)*'Input Data'!$C$47</f>
        <v>0</v>
      </c>
      <c r="P79" s="315">
        <f>(IF(P$4&lt;=$B79,((SUM($G12:P12))*(1-'Input Data'!$C$48)),0)*Financials!$C$74)*'Input Data'!$C$47</f>
        <v>0</v>
      </c>
      <c r="Q79" s="315">
        <f>(IF(Q$4&lt;=$B79,((SUM($G12:Q12))*(1-'Input Data'!$C$48)),0)*Financials!$C$74)*'Input Data'!$C$47</f>
        <v>0</v>
      </c>
      <c r="R79" s="315">
        <f>(IF(R$4&lt;=$B79,((SUM($G12:R12))*(1-'Input Data'!$C$48)),0)*Financials!$C$74)*'Input Data'!$C$47</f>
        <v>0</v>
      </c>
      <c r="S79" s="315">
        <f>(IF(S$4&lt;=$B79,((SUM($G12:S12))*(1-'Input Data'!$C$48)),0)*Financials!$C$74)*'Input Data'!$C$47</f>
        <v>0</v>
      </c>
      <c r="T79" s="315">
        <f>(IF(T$4&lt;=$B79,((SUM($G12:T12))*(1-'Input Data'!$C$48)),0)*Financials!$C$74)*'Input Data'!$C$47</f>
        <v>0</v>
      </c>
      <c r="U79" s="315">
        <f>(IF(U$4&lt;=$B79,((SUM($G12:U12))*(1-'Input Data'!$C$48)),0)*Financials!$C$74)*'Input Data'!$C$47</f>
        <v>0</v>
      </c>
      <c r="V79" s="315">
        <f>(IF(V$4&lt;=$B79,((SUM($G12:V12))*(1-'Input Data'!$C$48)),0)*Financials!$C$74)*'Input Data'!$C$47</f>
        <v>0</v>
      </c>
      <c r="W79" s="315">
        <f>(IF(W$4&lt;=$B79,((SUM($G12:W12))*(1-'Input Data'!$C$48)),0)*Financials!$C$74)*'Input Data'!$C$47</f>
        <v>0</v>
      </c>
      <c r="X79" s="315">
        <f>(IF(X$4&lt;=$B79,((SUM($G12:X12))*(1-'Input Data'!$C$48)),0)*Financials!$C$74)*'Input Data'!$C$47</f>
        <v>0</v>
      </c>
      <c r="Y79" s="315">
        <f>(IF(Y$4&lt;=$B79,((SUM($G12:Y12))*(1-'Input Data'!$C$48)),0)*Financials!$C$74)*'Input Data'!$C$47</f>
        <v>0</v>
      </c>
      <c r="Z79" s="315">
        <f>(IF(Z$4&lt;=$B79,((SUM($G12:Z12))*(1-'Input Data'!$C$48)),0)*Financials!$C$74)*'Input Data'!$C$47</f>
        <v>0</v>
      </c>
      <c r="AA79" s="315">
        <f>(IF(AA$4&lt;=$B79,((SUM($G12:AA12))*(1-'Input Data'!$C$48)),0)*Financials!$C$74)*'Input Data'!$C$47</f>
        <v>0</v>
      </c>
      <c r="AB79" s="315">
        <f>(IF(AB$4&lt;=$B79,((SUM($G12:AB12))*(1-'Input Data'!$C$48)),0)*Financials!$C$74)*'Input Data'!$C$47</f>
        <v>0</v>
      </c>
      <c r="AC79" s="315">
        <f>(IF(AC$4&lt;=$B79,((SUM($G12:AC12))*(1-'Input Data'!$C$48)),0)*Financials!$C$74)*'Input Data'!$C$47</f>
        <v>0</v>
      </c>
      <c r="AD79" s="315">
        <f>(IF(AD$4&lt;=$B79,((SUM($G12:AD12))*(1-'Input Data'!$C$48)),0)*Financials!$C$74)*'Input Data'!$C$47</f>
        <v>0</v>
      </c>
      <c r="AE79" s="315">
        <f>(IF(AE$4&lt;=$B79,((SUM($G12:AE12))*(1-'Input Data'!$C$48)),0)*Financials!$C$74)*'Input Data'!$C$47</f>
        <v>0</v>
      </c>
      <c r="AF79" s="315">
        <f>(IF(AF$4&lt;=$B79,((SUM($G12:AF12))*(1-'Input Data'!$C$48)),0)*Financials!$C$74)*'Input Data'!$C$47</f>
        <v>0</v>
      </c>
      <c r="AG79" s="315">
        <f>(IF(AG$4&lt;=$B79,((SUM($G12:AG12))*(1-'Input Data'!$C$48)),0)*Financials!$C$74)*'Input Data'!$C$47</f>
        <v>0</v>
      </c>
      <c r="AH79" s="315">
        <f>(IF(AH$4&lt;=$B79,((SUM($G12:AH12))*(1-'Input Data'!$C$48)),0)*Financials!$C$74)*'Input Data'!$C$47</f>
        <v>0</v>
      </c>
      <c r="AI79" s="315">
        <f>(IF(AI$4&lt;=$B79,((SUM($G12:AI12))*(1-'Input Data'!$C$48)),0)*Financials!$C$74)*'Input Data'!$C$47</f>
        <v>0</v>
      </c>
      <c r="AJ79" s="315">
        <f>(IF(AJ$4&lt;=$B79,((SUM($G12:AJ12))*(1-'Input Data'!$C$48)),0)*Financials!$C$74)*'Input Data'!$C$47</f>
        <v>0</v>
      </c>
      <c r="AK79" s="315">
        <f t="shared" si="55"/>
        <v>1490645.4755045723</v>
      </c>
    </row>
    <row r="80" spans="1:37">
      <c r="A80" s="192" t="str">
        <f t="shared" si="53"/>
        <v>Interior Costs - Construction</v>
      </c>
      <c r="B80" s="311">
        <f t="shared" si="54"/>
        <v>2025</v>
      </c>
      <c r="C80" s="354">
        <f t="shared" si="54"/>
        <v>6</v>
      </c>
      <c r="D80" s="354">
        <f t="shared" si="54"/>
        <v>60</v>
      </c>
      <c r="E80" s="354">
        <f t="shared" si="54"/>
        <v>39</v>
      </c>
      <c r="F80" s="360">
        <f t="shared" si="54"/>
        <v>0</v>
      </c>
      <c r="G80" s="315">
        <f>(IF(G$4&lt;=$B80,((SUM($G13:G13))*(1-'Input Data'!$C$48))*(1-($C80/12)),0)*Financials!$C$74)*'Input Data'!$C$47</f>
        <v>0</v>
      </c>
      <c r="H80" s="315">
        <f>(IF(H$4&lt;=$B80,((SUM($G13:H13))*(1-'Input Data'!$C$48)),0)*Financials!$C$74)*'Input Data'!$C$47</f>
        <v>0</v>
      </c>
      <c r="I80" s="315">
        <f>(IF(I$4&lt;=$B80,((SUM($G13:I13))*(1-'Input Data'!$C$48)),0)*Financials!$C$74)*'Input Data'!$C$47</f>
        <v>3318286.1439345172</v>
      </c>
      <c r="J80" s="315">
        <f>(IF(J$4&lt;=$B80,((SUM($G13:J13))*(1-'Input Data'!$C$48)),0)*Financials!$C$74)*'Input Data'!$C$47</f>
        <v>4915584.190574741</v>
      </c>
      <c r="K80" s="315">
        <f>(IF(K$4&lt;=$B80,((SUM($G13:K13))*(1-'Input Data'!$C$48)),0)*Financials!$C$74)*'Input Data'!$C$47</f>
        <v>0</v>
      </c>
      <c r="L80" s="315">
        <f>(IF(L$4&lt;=$B80,((SUM($G13:L13))*(1-'Input Data'!$C$48)),0)*Financials!$C$74)*'Input Data'!$C$47</f>
        <v>0</v>
      </c>
      <c r="M80" s="315">
        <f>(IF(M$4&lt;=$B80,((SUM($G13:M13))*(1-'Input Data'!$C$48)),0)*Financials!$C$74)*'Input Data'!$C$47</f>
        <v>0</v>
      </c>
      <c r="N80" s="315">
        <f>(IF(N$4&lt;=$B80,((SUM($G13:N13))*(1-'Input Data'!$C$48)),0)*Financials!$C$74)*'Input Data'!$C$47</f>
        <v>0</v>
      </c>
      <c r="O80" s="315">
        <f>(IF(O$4&lt;=$B80,((SUM($G13:O13))*(1-'Input Data'!$C$48)),0)*Financials!$C$74)*'Input Data'!$C$47</f>
        <v>0</v>
      </c>
      <c r="P80" s="315">
        <f>(IF(P$4&lt;=$B80,((SUM($G13:P13))*(1-'Input Data'!$C$48)),0)*Financials!$C$74)*'Input Data'!$C$47</f>
        <v>0</v>
      </c>
      <c r="Q80" s="315">
        <f>(IF(Q$4&lt;=$B80,((SUM($G13:Q13))*(1-'Input Data'!$C$48)),0)*Financials!$C$74)*'Input Data'!$C$47</f>
        <v>0</v>
      </c>
      <c r="R80" s="315">
        <f>(IF(R$4&lt;=$B80,((SUM($G13:R13))*(1-'Input Data'!$C$48)),0)*Financials!$C$74)*'Input Data'!$C$47</f>
        <v>0</v>
      </c>
      <c r="S80" s="315">
        <f>(IF(S$4&lt;=$B80,((SUM($G13:S13))*(1-'Input Data'!$C$48)),0)*Financials!$C$74)*'Input Data'!$C$47</f>
        <v>0</v>
      </c>
      <c r="T80" s="315">
        <f>(IF(T$4&lt;=$B80,((SUM($G13:T13))*(1-'Input Data'!$C$48)),0)*Financials!$C$74)*'Input Data'!$C$47</f>
        <v>0</v>
      </c>
      <c r="U80" s="315">
        <f>(IF(U$4&lt;=$B80,((SUM($G13:U13))*(1-'Input Data'!$C$48)),0)*Financials!$C$74)*'Input Data'!$C$47</f>
        <v>0</v>
      </c>
      <c r="V80" s="315">
        <f>(IF(V$4&lt;=$B80,((SUM($G13:V13))*(1-'Input Data'!$C$48)),0)*Financials!$C$74)*'Input Data'!$C$47</f>
        <v>0</v>
      </c>
      <c r="W80" s="315">
        <f>(IF(W$4&lt;=$B80,((SUM($G13:W13))*(1-'Input Data'!$C$48)),0)*Financials!$C$74)*'Input Data'!$C$47</f>
        <v>0</v>
      </c>
      <c r="X80" s="315">
        <f>(IF(X$4&lt;=$B80,((SUM($G13:X13))*(1-'Input Data'!$C$48)),0)*Financials!$C$74)*'Input Data'!$C$47</f>
        <v>0</v>
      </c>
      <c r="Y80" s="315">
        <f>(IF(Y$4&lt;=$B80,((SUM($G13:Y13))*(1-'Input Data'!$C$48)),0)*Financials!$C$74)*'Input Data'!$C$47</f>
        <v>0</v>
      </c>
      <c r="Z80" s="315">
        <f>(IF(Z$4&lt;=$B80,((SUM($G13:Z13))*(1-'Input Data'!$C$48)),0)*Financials!$C$74)*'Input Data'!$C$47</f>
        <v>0</v>
      </c>
      <c r="AA80" s="315">
        <f>(IF(AA$4&lt;=$B80,((SUM($G13:AA13))*(1-'Input Data'!$C$48)),0)*Financials!$C$74)*'Input Data'!$C$47</f>
        <v>0</v>
      </c>
      <c r="AB80" s="315">
        <f>(IF(AB$4&lt;=$B80,((SUM($G13:AB13))*(1-'Input Data'!$C$48)),0)*Financials!$C$74)*'Input Data'!$C$47</f>
        <v>0</v>
      </c>
      <c r="AC80" s="315">
        <f>(IF(AC$4&lt;=$B80,((SUM($G13:AC13))*(1-'Input Data'!$C$48)),0)*Financials!$C$74)*'Input Data'!$C$47</f>
        <v>0</v>
      </c>
      <c r="AD80" s="315">
        <f>(IF(AD$4&lt;=$B80,((SUM($G13:AD13))*(1-'Input Data'!$C$48)),0)*Financials!$C$74)*'Input Data'!$C$47</f>
        <v>0</v>
      </c>
      <c r="AE80" s="315">
        <f>(IF(AE$4&lt;=$B80,((SUM($G13:AE13))*(1-'Input Data'!$C$48)),0)*Financials!$C$74)*'Input Data'!$C$47</f>
        <v>0</v>
      </c>
      <c r="AF80" s="315">
        <f>(IF(AF$4&lt;=$B80,((SUM($G13:AF13))*(1-'Input Data'!$C$48)),0)*Financials!$C$74)*'Input Data'!$C$47</f>
        <v>0</v>
      </c>
      <c r="AG80" s="315">
        <f>(IF(AG$4&lt;=$B80,((SUM($G13:AG13))*(1-'Input Data'!$C$48)),0)*Financials!$C$74)*'Input Data'!$C$47</f>
        <v>0</v>
      </c>
      <c r="AH80" s="315">
        <f>(IF(AH$4&lt;=$B80,((SUM($G13:AH13))*(1-'Input Data'!$C$48)),0)*Financials!$C$74)*'Input Data'!$C$47</f>
        <v>0</v>
      </c>
      <c r="AI80" s="315">
        <f>(IF(AI$4&lt;=$B80,((SUM($G13:AI13))*(1-'Input Data'!$C$48)),0)*Financials!$C$74)*'Input Data'!$C$47</f>
        <v>0</v>
      </c>
      <c r="AJ80" s="315">
        <f>(IF(AJ$4&lt;=$B80,((SUM($G13:AJ13))*(1-'Input Data'!$C$48)),0)*Financials!$C$74)*'Input Data'!$C$47</f>
        <v>0</v>
      </c>
      <c r="AK80" s="315">
        <f t="shared" si="55"/>
        <v>8233870.3345092582</v>
      </c>
    </row>
    <row r="81" spans="1:37">
      <c r="A81" s="192" t="str">
        <f t="shared" si="53"/>
        <v>Maintenance Capital</v>
      </c>
      <c r="B81" s="311">
        <f t="shared" si="54"/>
        <v>0</v>
      </c>
      <c r="C81" s="354">
        <f t="shared" si="54"/>
        <v>6</v>
      </c>
      <c r="D81" s="354">
        <f t="shared" si="54"/>
        <v>60</v>
      </c>
      <c r="E81" s="354">
        <f t="shared" si="54"/>
        <v>39</v>
      </c>
      <c r="F81" s="360">
        <f t="shared" si="54"/>
        <v>0</v>
      </c>
      <c r="G81" s="315">
        <f>(IF(G$4&lt;=$B81,((SUM($G14:G14))*(1-'Input Data'!$C$48))*(1-($C81/12)),0)*Financials!$C$74)*'Input Data'!$C$47</f>
        <v>0</v>
      </c>
      <c r="H81" s="315">
        <f>(IF(H$4&lt;=$B81,((SUM($G14:H14))*(1-'Input Data'!$C$48)),0)*Financials!$C$74)*'Input Data'!$C$47</f>
        <v>0</v>
      </c>
      <c r="I81" s="315">
        <f>(IF(I$4&lt;=$B81,((SUM($G14:I14))*(1-'Input Data'!$C$48)),0)*Financials!$C$74)*'Input Data'!$C$47</f>
        <v>0</v>
      </c>
      <c r="J81" s="315">
        <f>(IF(J$4&lt;=$B81,((SUM($G14:J14))*(1-'Input Data'!$C$48)),0)*Financials!$C$74)*'Input Data'!$C$47</f>
        <v>0</v>
      </c>
      <c r="K81" s="315">
        <f>(IF(K$4&lt;=$B81,((SUM($G14:K14))*(1-'Input Data'!$C$48)),0)*Financials!$C$74)*'Input Data'!$C$47</f>
        <v>0</v>
      </c>
      <c r="L81" s="315">
        <f>(IF(L$4&lt;=$B81,((SUM($G14:L14))*(1-'Input Data'!$C$48)),0)*Financials!$C$74)*'Input Data'!$C$47</f>
        <v>0</v>
      </c>
      <c r="M81" s="315">
        <f>(IF(M$4&lt;=$B81,((SUM($G14:M14))*(1-'Input Data'!$C$48)),0)*Financials!$C$74)*'Input Data'!$C$47</f>
        <v>0</v>
      </c>
      <c r="N81" s="315">
        <f>(IF(N$4&lt;=$B81,((SUM($G14:N14))*(1-'Input Data'!$C$48)),0)*Financials!$C$74)*'Input Data'!$C$47</f>
        <v>0</v>
      </c>
      <c r="O81" s="315">
        <f>(IF(O$4&lt;=$B81,((SUM($G14:O14))*(1-'Input Data'!$C$48)),0)*Financials!$C$74)*'Input Data'!$C$47</f>
        <v>0</v>
      </c>
      <c r="P81" s="315">
        <f>(IF(P$4&lt;=$B81,((SUM($G14:P14))*(1-'Input Data'!$C$48)),0)*Financials!$C$74)*'Input Data'!$C$47</f>
        <v>0</v>
      </c>
      <c r="Q81" s="315">
        <f>(IF(Q$4&lt;=$B81,((SUM($G14:Q14))*(1-'Input Data'!$C$48)),0)*Financials!$C$74)*'Input Data'!$C$47</f>
        <v>0</v>
      </c>
      <c r="R81" s="315">
        <f>(IF(R$4&lt;=$B81,((SUM($G14:R14))*(1-'Input Data'!$C$48)),0)*Financials!$C$74)*'Input Data'!$C$47</f>
        <v>0</v>
      </c>
      <c r="S81" s="315">
        <f>(IF(S$4&lt;=$B81,((SUM($G14:S14))*(1-'Input Data'!$C$48)),0)*Financials!$C$74)*'Input Data'!$C$47</f>
        <v>0</v>
      </c>
      <c r="T81" s="315">
        <f>(IF(T$4&lt;=$B81,((SUM($G14:T14))*(1-'Input Data'!$C$48)),0)*Financials!$C$74)*'Input Data'!$C$47</f>
        <v>0</v>
      </c>
      <c r="U81" s="315">
        <f>(IF(U$4&lt;=$B81,((SUM($G14:U14))*(1-'Input Data'!$C$48)),0)*Financials!$C$74)*'Input Data'!$C$47</f>
        <v>0</v>
      </c>
      <c r="V81" s="315">
        <f>(IF(V$4&lt;=$B81,((SUM($G14:V14))*(1-'Input Data'!$C$48)),0)*Financials!$C$74)*'Input Data'!$C$47</f>
        <v>0</v>
      </c>
      <c r="W81" s="315">
        <f>(IF(W$4&lt;=$B81,((SUM($G14:W14))*(1-'Input Data'!$C$48)),0)*Financials!$C$74)*'Input Data'!$C$47</f>
        <v>0</v>
      </c>
      <c r="X81" s="315">
        <f>(IF(X$4&lt;=$B81,((SUM($G14:X14))*(1-'Input Data'!$C$48)),0)*Financials!$C$74)*'Input Data'!$C$47</f>
        <v>0</v>
      </c>
      <c r="Y81" s="315">
        <f>(IF(Y$4&lt;=$B81,((SUM($G14:Y14))*(1-'Input Data'!$C$48)),0)*Financials!$C$74)*'Input Data'!$C$47</f>
        <v>0</v>
      </c>
      <c r="Z81" s="315">
        <f>(IF(Z$4&lt;=$B81,((SUM($G14:Z14))*(1-'Input Data'!$C$48)),0)*Financials!$C$74)*'Input Data'!$C$47</f>
        <v>0</v>
      </c>
      <c r="AA81" s="315">
        <f>(IF(AA$4&lt;=$B81,((SUM($G14:AA14))*(1-'Input Data'!$C$48)),0)*Financials!$C$74)*'Input Data'!$C$47</f>
        <v>0</v>
      </c>
      <c r="AB81" s="315">
        <f>(IF(AB$4&lt;=$B81,((SUM($G14:AB14))*(1-'Input Data'!$C$48)),0)*Financials!$C$74)*'Input Data'!$C$47</f>
        <v>0</v>
      </c>
      <c r="AC81" s="315">
        <f>(IF(AC$4&lt;=$B81,((SUM($G14:AC14))*(1-'Input Data'!$C$48)),0)*Financials!$C$74)*'Input Data'!$C$47</f>
        <v>0</v>
      </c>
      <c r="AD81" s="315">
        <f>(IF(AD$4&lt;=$B81,((SUM($G14:AD14))*(1-'Input Data'!$C$48)),0)*Financials!$C$74)*'Input Data'!$C$47</f>
        <v>0</v>
      </c>
      <c r="AE81" s="315">
        <f>(IF(AE$4&lt;=$B81,((SUM($G14:AE14))*(1-'Input Data'!$C$48)),0)*Financials!$C$74)*'Input Data'!$C$47</f>
        <v>0</v>
      </c>
      <c r="AF81" s="315">
        <f>(IF(AF$4&lt;=$B81,((SUM($G14:AF14))*(1-'Input Data'!$C$48)),0)*Financials!$C$74)*'Input Data'!$C$47</f>
        <v>0</v>
      </c>
      <c r="AG81" s="315">
        <f>(IF(AG$4&lt;=$B81,((SUM($G14:AG14))*(1-'Input Data'!$C$48)),0)*Financials!$C$74)*'Input Data'!$C$47</f>
        <v>0</v>
      </c>
      <c r="AH81" s="315">
        <f>(IF(AH$4&lt;=$B81,((SUM($G14:AH14))*(1-'Input Data'!$C$48)),0)*Financials!$C$74)*'Input Data'!$C$47</f>
        <v>0</v>
      </c>
      <c r="AI81" s="315">
        <f>(IF(AI$4&lt;=$B81,((SUM($G14:AI14))*(1-'Input Data'!$C$48)),0)*Financials!$C$74)*'Input Data'!$C$47</f>
        <v>0</v>
      </c>
      <c r="AJ81" s="315">
        <f>(IF(AJ$4&lt;=$B81,((SUM($G14:AJ14))*(1-'Input Data'!$C$48)),0)*Financials!$C$74)*'Input Data'!$C$47</f>
        <v>0</v>
      </c>
      <c r="AK81" s="315">
        <f t="shared" si="55"/>
        <v>0</v>
      </c>
    </row>
    <row r="82" spans="1:37">
      <c r="A82" s="192">
        <f t="shared" si="53"/>
        <v>0</v>
      </c>
      <c r="B82" s="311">
        <f t="shared" si="54"/>
        <v>0</v>
      </c>
      <c r="C82" s="354">
        <f t="shared" si="54"/>
        <v>0</v>
      </c>
      <c r="D82" s="354">
        <f t="shared" si="54"/>
        <v>0</v>
      </c>
      <c r="E82" s="354">
        <f t="shared" si="54"/>
        <v>0</v>
      </c>
      <c r="F82" s="360">
        <f t="shared" si="54"/>
        <v>0</v>
      </c>
      <c r="G82" s="315">
        <f>(IF(G$4&lt;=$B82,((SUM($G15:G15))*(1-'Input Data'!$C$48))*(1-($C82/12)),0)*Financials!$C$74)*'Input Data'!$C$47</f>
        <v>0</v>
      </c>
      <c r="H82" s="315">
        <f>(IF(H$4&lt;=$B82,((SUM($G15:H15))*(1-'Input Data'!$C$48)),0)*Financials!$C$74)*'Input Data'!$C$47</f>
        <v>0</v>
      </c>
      <c r="I82" s="315">
        <f>(IF(I$4&lt;=$B82,((SUM($G15:I15))*(1-'Input Data'!$C$48)),0)*Financials!$C$74)*'Input Data'!$C$47</f>
        <v>0</v>
      </c>
      <c r="J82" s="315">
        <f>(IF(J$4&lt;=$B82,((SUM($G15:J15))*(1-'Input Data'!$C$48)),0)*Financials!$C$74)*'Input Data'!$C$47</f>
        <v>0</v>
      </c>
      <c r="K82" s="315">
        <f>(IF(K$4&lt;=$B82,((SUM($G15:K15))*(1-'Input Data'!$C$48)),0)*Financials!$C$74)*'Input Data'!$C$47</f>
        <v>0</v>
      </c>
      <c r="L82" s="315">
        <f>(IF(L$4&lt;=$B82,((SUM($G15:L15))*(1-'Input Data'!$C$48)),0)*Financials!$C$74)*'Input Data'!$C$47</f>
        <v>0</v>
      </c>
      <c r="M82" s="315">
        <f>(IF(M$4&lt;=$B82,((SUM($G15:M15))*(1-'Input Data'!$C$48)),0)*Financials!$C$74)*'Input Data'!$C$47</f>
        <v>0</v>
      </c>
      <c r="N82" s="315">
        <f>(IF(N$4&lt;=$B82,((SUM($G15:N15))*(1-'Input Data'!$C$48)),0)*Financials!$C$74)*'Input Data'!$C$47</f>
        <v>0</v>
      </c>
      <c r="O82" s="315">
        <f>(IF(O$4&lt;=$B82,((SUM($G15:O15))*(1-'Input Data'!$C$48)),0)*Financials!$C$74)*'Input Data'!$C$47</f>
        <v>0</v>
      </c>
      <c r="P82" s="315">
        <f>(IF(P$4&lt;=$B82,((SUM($G15:P15))*(1-'Input Data'!$C$48)),0)*Financials!$C$74)*'Input Data'!$C$47</f>
        <v>0</v>
      </c>
      <c r="Q82" s="315">
        <f>(IF(Q$4&lt;=$B82,((SUM($G15:Q15))*(1-'Input Data'!$C$48)),0)*Financials!$C$74)*'Input Data'!$C$47</f>
        <v>0</v>
      </c>
      <c r="R82" s="315">
        <f>(IF(R$4&lt;=$B82,((SUM($G15:R15))*(1-'Input Data'!$C$48)),0)*Financials!$C$74)*'Input Data'!$C$47</f>
        <v>0</v>
      </c>
      <c r="S82" s="315">
        <f>(IF(S$4&lt;=$B82,((SUM($G15:S15))*(1-'Input Data'!$C$48)),0)*Financials!$C$74)*'Input Data'!$C$47</f>
        <v>0</v>
      </c>
      <c r="T82" s="315">
        <f>(IF(T$4&lt;=$B82,((SUM($G15:T15))*(1-'Input Data'!$C$48)),0)*Financials!$C$74)*'Input Data'!$C$47</f>
        <v>0</v>
      </c>
      <c r="U82" s="315">
        <f>(IF(U$4&lt;=$B82,((SUM($G15:U15))*(1-'Input Data'!$C$48)),0)*Financials!$C$74)*'Input Data'!$C$47</f>
        <v>0</v>
      </c>
      <c r="V82" s="315">
        <f>(IF(V$4&lt;=$B82,((SUM($G15:V15))*(1-'Input Data'!$C$48)),0)*Financials!$C$74)*'Input Data'!$C$47</f>
        <v>0</v>
      </c>
      <c r="W82" s="315">
        <f>(IF(W$4&lt;=$B82,((SUM($G15:W15))*(1-'Input Data'!$C$48)),0)*Financials!$C$74)*'Input Data'!$C$47</f>
        <v>0</v>
      </c>
      <c r="X82" s="315">
        <f>(IF(X$4&lt;=$B82,((SUM($G15:X15))*(1-'Input Data'!$C$48)),0)*Financials!$C$74)*'Input Data'!$C$47</f>
        <v>0</v>
      </c>
      <c r="Y82" s="315">
        <f>(IF(Y$4&lt;=$B82,((SUM($G15:Y15))*(1-'Input Data'!$C$48)),0)*Financials!$C$74)*'Input Data'!$C$47</f>
        <v>0</v>
      </c>
      <c r="Z82" s="315">
        <f>(IF(Z$4&lt;=$B82,((SUM($G15:Z15))*(1-'Input Data'!$C$48)),0)*Financials!$C$74)*'Input Data'!$C$47</f>
        <v>0</v>
      </c>
      <c r="AA82" s="315">
        <f>(IF(AA$4&lt;=$B82,((SUM($G15:AA15))*(1-'Input Data'!$C$48)),0)*Financials!$C$74)*'Input Data'!$C$47</f>
        <v>0</v>
      </c>
      <c r="AB82" s="315">
        <f>(IF(AB$4&lt;=$B82,((SUM($G15:AB15))*(1-'Input Data'!$C$48)),0)*Financials!$C$74)*'Input Data'!$C$47</f>
        <v>0</v>
      </c>
      <c r="AC82" s="315">
        <f>(IF(AC$4&lt;=$B82,((SUM($G15:AC15))*(1-'Input Data'!$C$48)),0)*Financials!$C$74)*'Input Data'!$C$47</f>
        <v>0</v>
      </c>
      <c r="AD82" s="315">
        <f>(IF(AD$4&lt;=$B82,((SUM($G15:AD15))*(1-'Input Data'!$C$48)),0)*Financials!$C$74)*'Input Data'!$C$47</f>
        <v>0</v>
      </c>
      <c r="AE82" s="315">
        <f>(IF(AE$4&lt;=$B82,((SUM($G15:AE15))*(1-'Input Data'!$C$48)),0)*Financials!$C$74)*'Input Data'!$C$47</f>
        <v>0</v>
      </c>
      <c r="AF82" s="315">
        <f>(IF(AF$4&lt;=$B82,((SUM($G15:AF15))*(1-'Input Data'!$C$48)),0)*Financials!$C$74)*'Input Data'!$C$47</f>
        <v>0</v>
      </c>
      <c r="AG82" s="315">
        <f>(IF(AG$4&lt;=$B82,((SUM($G15:AG15))*(1-'Input Data'!$C$48)),0)*Financials!$C$74)*'Input Data'!$C$47</f>
        <v>0</v>
      </c>
      <c r="AH82" s="315">
        <f>(IF(AH$4&lt;=$B82,((SUM($G15:AH15))*(1-'Input Data'!$C$48)),0)*Financials!$C$74)*'Input Data'!$C$47</f>
        <v>0</v>
      </c>
      <c r="AI82" s="315">
        <f>(IF(AI$4&lt;=$B82,((SUM($G15:AI15))*(1-'Input Data'!$C$48)),0)*Financials!$C$74)*'Input Data'!$C$47</f>
        <v>0</v>
      </c>
      <c r="AJ82" s="315">
        <f>(IF(AJ$4&lt;=$B82,((SUM($G15:AJ15))*(1-'Input Data'!$C$48)),0)*Financials!$C$74)*'Input Data'!$C$47</f>
        <v>0</v>
      </c>
      <c r="AK82" s="315">
        <f t="shared" si="55"/>
        <v>0</v>
      </c>
    </row>
    <row r="83" spans="1:37" ht="16.2" thickBot="1">
      <c r="A83" s="318" t="s">
        <v>191</v>
      </c>
      <c r="B83" s="319"/>
      <c r="C83" s="319"/>
      <c r="D83" s="320"/>
      <c r="E83" s="320"/>
      <c r="F83" s="320"/>
      <c r="G83" s="317">
        <f>SUM(G73:G82)</f>
        <v>1879825.7485575937</v>
      </c>
      <c r="H83" s="317">
        <f>SUM(H73:H82)</f>
        <v>6723001.8398446087</v>
      </c>
      <c r="I83" s="317">
        <f t="shared" ref="I83:AK83" si="56">SUM(I73:I82)</f>
        <v>14110510.874739219</v>
      </c>
      <c r="J83" s="317">
        <f t="shared" si="56"/>
        <v>8105449.5587074105</v>
      </c>
      <c r="K83" s="317">
        <f t="shared" si="56"/>
        <v>0</v>
      </c>
      <c r="L83" s="317">
        <f t="shared" si="56"/>
        <v>0</v>
      </c>
      <c r="M83" s="317">
        <f t="shared" si="56"/>
        <v>0</v>
      </c>
      <c r="N83" s="317">
        <f t="shared" si="56"/>
        <v>0</v>
      </c>
      <c r="O83" s="317">
        <f t="shared" si="56"/>
        <v>0</v>
      </c>
      <c r="P83" s="317">
        <f t="shared" si="56"/>
        <v>0</v>
      </c>
      <c r="Q83" s="317">
        <f t="shared" si="56"/>
        <v>0</v>
      </c>
      <c r="R83" s="317">
        <f t="shared" si="56"/>
        <v>0</v>
      </c>
      <c r="S83" s="317">
        <f t="shared" si="56"/>
        <v>0</v>
      </c>
      <c r="T83" s="317">
        <f t="shared" si="56"/>
        <v>0</v>
      </c>
      <c r="U83" s="317">
        <f t="shared" si="56"/>
        <v>0</v>
      </c>
      <c r="V83" s="317">
        <f t="shared" si="56"/>
        <v>0</v>
      </c>
      <c r="W83" s="317">
        <f t="shared" si="56"/>
        <v>0</v>
      </c>
      <c r="X83" s="317">
        <f t="shared" si="56"/>
        <v>0</v>
      </c>
      <c r="Y83" s="317">
        <f t="shared" si="56"/>
        <v>0</v>
      </c>
      <c r="Z83" s="317">
        <f t="shared" si="56"/>
        <v>0</v>
      </c>
      <c r="AA83" s="317">
        <f t="shared" si="56"/>
        <v>0</v>
      </c>
      <c r="AB83" s="317">
        <f t="shared" si="56"/>
        <v>0</v>
      </c>
      <c r="AC83" s="317">
        <f t="shared" si="56"/>
        <v>0</v>
      </c>
      <c r="AD83" s="317">
        <f t="shared" si="56"/>
        <v>0</v>
      </c>
      <c r="AE83" s="317">
        <f t="shared" si="56"/>
        <v>0</v>
      </c>
      <c r="AF83" s="317">
        <f t="shared" si="56"/>
        <v>0</v>
      </c>
      <c r="AG83" s="317">
        <f t="shared" si="56"/>
        <v>0</v>
      </c>
      <c r="AH83" s="317">
        <f t="shared" si="56"/>
        <v>0</v>
      </c>
      <c r="AI83" s="317">
        <f t="shared" si="56"/>
        <v>0</v>
      </c>
      <c r="AJ83" s="317">
        <f t="shared" si="56"/>
        <v>0</v>
      </c>
      <c r="AK83" s="317">
        <f t="shared" si="56"/>
        <v>30818788.021848828</v>
      </c>
    </row>
    <row r="86" spans="1:37">
      <c r="G86" s="491"/>
      <c r="H86" s="491"/>
      <c r="I86" s="491"/>
    </row>
    <row r="87" spans="1:37">
      <c r="G87" s="491"/>
      <c r="H87" s="491"/>
      <c r="I87" s="491"/>
    </row>
    <row r="88" spans="1:37">
      <c r="G88" s="596"/>
      <c r="H88" s="491"/>
      <c r="I88" s="491"/>
    </row>
    <row r="89" spans="1:37">
      <c r="G89" s="491"/>
      <c r="H89" s="491"/>
      <c r="I89" s="491"/>
    </row>
    <row r="90" spans="1:37">
      <c r="G90" s="491"/>
      <c r="H90" s="491"/>
      <c r="I90" s="491"/>
    </row>
    <row r="91" spans="1:37">
      <c r="A91" s="587"/>
      <c r="G91" s="491"/>
      <c r="H91" s="491"/>
      <c r="I91" s="491"/>
    </row>
    <row r="92" spans="1:37">
      <c r="A92" s="593"/>
      <c r="G92" s="596"/>
      <c r="H92" s="596"/>
      <c r="I92" s="313"/>
      <c r="J92" s="313"/>
      <c r="K92" s="313"/>
      <c r="L92" s="313"/>
    </row>
    <row r="93" spans="1:37">
      <c r="A93" s="593"/>
      <c r="G93" s="596"/>
      <c r="H93" s="596"/>
      <c r="I93" s="313"/>
      <c r="J93" s="313"/>
      <c r="K93" s="313"/>
      <c r="L93" s="313"/>
    </row>
    <row r="94" spans="1:37">
      <c r="A94" s="593"/>
      <c r="G94" s="596"/>
      <c r="H94" s="596"/>
      <c r="I94" s="313"/>
      <c r="J94" s="313"/>
      <c r="K94" s="313"/>
      <c r="L94" s="313"/>
    </row>
    <row r="95" spans="1:37">
      <c r="A95" s="593"/>
      <c r="G95" s="596"/>
      <c r="H95" s="596"/>
      <c r="I95" s="313"/>
      <c r="J95" s="313"/>
      <c r="K95" s="313"/>
      <c r="L95" s="313"/>
    </row>
    <row r="96" spans="1:37">
      <c r="G96" s="313"/>
      <c r="H96" s="313"/>
      <c r="I96" s="313"/>
      <c r="J96" s="313"/>
      <c r="K96" s="313"/>
      <c r="L96" s="313"/>
    </row>
    <row r="97" spans="7:12">
      <c r="G97" s="313"/>
      <c r="H97" s="313"/>
      <c r="I97" s="313"/>
      <c r="J97" s="313"/>
      <c r="K97" s="313"/>
      <c r="L97" s="313"/>
    </row>
    <row r="98" spans="7:12">
      <c r="G98" s="313"/>
      <c r="H98" s="313"/>
      <c r="I98" s="313"/>
      <c r="J98" s="313"/>
      <c r="K98" s="313"/>
      <c r="L98" s="313"/>
    </row>
    <row r="99" spans="7:12">
      <c r="G99" s="313"/>
      <c r="H99" s="313"/>
      <c r="I99" s="313"/>
      <c r="J99" s="313"/>
      <c r="K99" s="313"/>
      <c r="L99" s="313"/>
    </row>
    <row r="100" spans="7:12">
      <c r="G100" s="313"/>
      <c r="H100" s="313"/>
      <c r="I100" s="313"/>
      <c r="J100" s="313"/>
      <c r="K100" s="313"/>
      <c r="L100" s="313"/>
    </row>
    <row r="101" spans="7:12">
      <c r="G101" s="313"/>
      <c r="H101" s="313"/>
      <c r="I101" s="313"/>
      <c r="J101" s="313"/>
      <c r="K101" s="313"/>
      <c r="L101" s="313"/>
    </row>
    <row r="102" spans="7:12">
      <c r="G102" s="313"/>
      <c r="H102" s="313"/>
      <c r="I102" s="313"/>
      <c r="J102" s="313"/>
      <c r="K102" s="313"/>
      <c r="L102" s="313"/>
    </row>
    <row r="103" spans="7:12">
      <c r="G103" s="313"/>
      <c r="H103" s="313"/>
      <c r="I103" s="313"/>
      <c r="J103" s="313"/>
      <c r="K103" s="313"/>
      <c r="L103" s="313"/>
    </row>
    <row r="104" spans="7:12">
      <c r="G104" s="313"/>
      <c r="H104" s="313"/>
      <c r="I104" s="313"/>
      <c r="J104" s="313"/>
      <c r="K104" s="313"/>
      <c r="L104" s="313"/>
    </row>
    <row r="105" spans="7:12">
      <c r="G105" s="313"/>
      <c r="H105" s="313"/>
      <c r="I105" s="313"/>
      <c r="J105" s="313"/>
      <c r="K105" s="313"/>
      <c r="L105" s="313"/>
    </row>
    <row r="106" spans="7:12">
      <c r="G106" s="313"/>
      <c r="H106" s="313"/>
      <c r="I106" s="313"/>
      <c r="J106" s="313"/>
      <c r="K106" s="313"/>
      <c r="L106" s="313"/>
    </row>
    <row r="107" spans="7:12">
      <c r="G107" s="313"/>
      <c r="H107" s="313"/>
      <c r="I107" s="313"/>
      <c r="J107" s="313"/>
      <c r="K107" s="313"/>
      <c r="L107" s="313"/>
    </row>
    <row r="108" spans="7:12">
      <c r="G108" s="313"/>
      <c r="H108" s="313"/>
      <c r="I108" s="313"/>
      <c r="J108" s="313"/>
      <c r="K108" s="313"/>
      <c r="L108" s="313"/>
    </row>
    <row r="109" spans="7:12">
      <c r="G109" s="313"/>
      <c r="H109" s="313"/>
      <c r="I109" s="313"/>
      <c r="J109" s="313"/>
      <c r="K109" s="313"/>
      <c r="L109" s="313"/>
    </row>
    <row r="110" spans="7:12">
      <c r="G110" s="313"/>
      <c r="H110" s="313"/>
      <c r="I110" s="313"/>
      <c r="J110" s="313"/>
      <c r="K110" s="313"/>
      <c r="L110" s="313"/>
    </row>
    <row r="111" spans="7:12">
      <c r="G111" s="313"/>
      <c r="H111" s="313"/>
      <c r="I111" s="313"/>
      <c r="J111" s="313"/>
      <c r="K111" s="313"/>
      <c r="L111" s="313"/>
    </row>
    <row r="112" spans="7:12">
      <c r="G112" s="313"/>
      <c r="H112" s="313"/>
      <c r="I112" s="313"/>
      <c r="J112" s="313"/>
      <c r="K112" s="313"/>
      <c r="L112" s="313"/>
    </row>
  </sheetData>
  <phoneticPr fontId="2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Button 1">
              <controlPr defaultSize="0" print="0" autoFill="0" autoPict="0" macro="[0]!SolveDebt">
                <anchor moveWithCells="1">
                  <from>
                    <xdr:col>1</xdr:col>
                    <xdr:colOff>53340</xdr:colOff>
                    <xdr:row>1</xdr:row>
                    <xdr:rowOff>15240</xdr:rowOff>
                  </from>
                  <to>
                    <xdr:col>1</xdr:col>
                    <xdr:colOff>990600</xdr:colOff>
                    <xdr:row>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00000000-000E-0000-0500-000002000000}">
            <xm:f>Financials!$D$175=0</xm:f>
            <x14:dxf>
              <font>
                <color theme="1"/>
              </font>
              <fill>
                <patternFill patternType="solid">
                  <bgColor rgb="FF92D050"/>
                </patternFill>
              </fill>
            </x14:dxf>
          </x14:cfRule>
          <xm:sqref>B1</xm:sqref>
        </x14:conditionalFormatting>
        <x14:conditionalFormatting xmlns:xm="http://schemas.microsoft.com/office/excel/2006/main">
          <x14:cfRule type="expression" priority="1" id="{01BD0434-8B2B-4554-82B7-A6087A33FA37}">
            <xm:f>Financials!$D$175&gt;0</xm:f>
            <x14:dxf>
              <fill>
                <patternFill>
                  <bgColor rgb="FFFF0000"/>
                </patternFill>
              </fill>
            </x14:dxf>
          </x14:cfRule>
          <xm:sqref>B1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
  <sheetViews>
    <sheetView workbookViewId="0">
      <selection activeCell="B6" sqref="B6"/>
    </sheetView>
  </sheetViews>
  <sheetFormatPr defaultRowHeight="15"/>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G370"/>
  <sheetViews>
    <sheetView showGridLines="0" zoomScale="80" zoomScaleNormal="80" workbookViewId="0">
      <pane xSplit="2" ySplit="2" topLeftCell="C200" activePane="bottomRight" state="frozen"/>
      <selection pane="topRight" activeCell="B6" sqref="B6"/>
      <selection pane="bottomLeft" activeCell="B6" sqref="B6"/>
      <selection pane="bottomRight" activeCell="AF259" activeCellId="5" sqref="AF43 AF115 AF151 AF187 AF223 AF259"/>
    </sheetView>
  </sheetViews>
  <sheetFormatPr defaultColWidth="8.90625" defaultRowHeight="14.4"/>
  <cols>
    <col min="1" max="1" width="34.54296875" style="2" bestFit="1" customWidth="1"/>
    <col min="2" max="32" width="12.90625" style="4" customWidth="1"/>
    <col min="33" max="33" width="11" style="4" bestFit="1" customWidth="1"/>
    <col min="34" max="16384" width="8.90625" style="2"/>
  </cols>
  <sheetData>
    <row r="1" spans="1:33" ht="15.6">
      <c r="A1" s="183" t="s">
        <v>397</v>
      </c>
      <c r="C1" s="182">
        <v>1</v>
      </c>
      <c r="D1" s="182">
        <f>+C1+1</f>
        <v>2</v>
      </c>
      <c r="E1" s="182">
        <f t="shared" ref="E1:AA2" si="0">+D1+1</f>
        <v>3</v>
      </c>
      <c r="F1" s="182">
        <f t="shared" si="0"/>
        <v>4</v>
      </c>
      <c r="G1" s="182">
        <f t="shared" si="0"/>
        <v>5</v>
      </c>
      <c r="H1" s="182">
        <f t="shared" si="0"/>
        <v>6</v>
      </c>
      <c r="I1" s="182">
        <f t="shared" si="0"/>
        <v>7</v>
      </c>
      <c r="J1" s="182">
        <f t="shared" si="0"/>
        <v>8</v>
      </c>
      <c r="K1" s="182">
        <f t="shared" si="0"/>
        <v>9</v>
      </c>
      <c r="L1" s="182">
        <f t="shared" si="0"/>
        <v>10</v>
      </c>
      <c r="M1" s="182">
        <f t="shared" si="0"/>
        <v>11</v>
      </c>
      <c r="N1" s="182">
        <f t="shared" si="0"/>
        <v>12</v>
      </c>
      <c r="O1" s="182">
        <f t="shared" si="0"/>
        <v>13</v>
      </c>
      <c r="P1" s="182">
        <f t="shared" si="0"/>
        <v>14</v>
      </c>
      <c r="Q1" s="182">
        <f t="shared" si="0"/>
        <v>15</v>
      </c>
      <c r="R1" s="182">
        <f t="shared" si="0"/>
        <v>16</v>
      </c>
      <c r="S1" s="182">
        <f t="shared" si="0"/>
        <v>17</v>
      </c>
      <c r="T1" s="182">
        <f t="shared" si="0"/>
        <v>18</v>
      </c>
      <c r="U1" s="182">
        <f t="shared" si="0"/>
        <v>19</v>
      </c>
      <c r="V1" s="182">
        <f t="shared" si="0"/>
        <v>20</v>
      </c>
      <c r="W1" s="182">
        <f t="shared" si="0"/>
        <v>21</v>
      </c>
      <c r="X1" s="182">
        <f t="shared" si="0"/>
        <v>22</v>
      </c>
      <c r="Y1" s="182">
        <f t="shared" si="0"/>
        <v>23</v>
      </c>
      <c r="Z1" s="182">
        <f t="shared" si="0"/>
        <v>24</v>
      </c>
      <c r="AA1" s="182">
        <f t="shared" si="0"/>
        <v>25</v>
      </c>
      <c r="AB1" s="182">
        <f t="shared" ref="AB1:AB2" si="1">+AA1+1</f>
        <v>26</v>
      </c>
      <c r="AC1" s="182">
        <f t="shared" ref="AC1:AC2" si="2">+AB1+1</f>
        <v>27</v>
      </c>
      <c r="AD1" s="182">
        <f t="shared" ref="AD1:AD2" si="3">+AC1+1</f>
        <v>28</v>
      </c>
      <c r="AE1" s="182">
        <f t="shared" ref="AE1:AE2" si="4">+AD1+1</f>
        <v>29</v>
      </c>
      <c r="AF1" s="182">
        <f t="shared" ref="AF1:AF2" si="5">+AE1+1</f>
        <v>30</v>
      </c>
    </row>
    <row r="2" spans="1:33">
      <c r="B2" s="86" t="s">
        <v>398</v>
      </c>
      <c r="C2" s="181">
        <f>+Financials!C4</f>
        <v>2022</v>
      </c>
      <c r="D2" s="181">
        <f>+C2+1</f>
        <v>2023</v>
      </c>
      <c r="E2" s="181">
        <f t="shared" si="0"/>
        <v>2024</v>
      </c>
      <c r="F2" s="181">
        <f t="shared" si="0"/>
        <v>2025</v>
      </c>
      <c r="G2" s="181">
        <f t="shared" si="0"/>
        <v>2026</v>
      </c>
      <c r="H2" s="181">
        <f t="shared" si="0"/>
        <v>2027</v>
      </c>
      <c r="I2" s="181">
        <f t="shared" si="0"/>
        <v>2028</v>
      </c>
      <c r="J2" s="181">
        <f t="shared" si="0"/>
        <v>2029</v>
      </c>
      <c r="K2" s="181">
        <f t="shared" si="0"/>
        <v>2030</v>
      </c>
      <c r="L2" s="181">
        <f t="shared" si="0"/>
        <v>2031</v>
      </c>
      <c r="M2" s="181">
        <f t="shared" si="0"/>
        <v>2032</v>
      </c>
      <c r="N2" s="181">
        <f t="shared" si="0"/>
        <v>2033</v>
      </c>
      <c r="O2" s="181">
        <f t="shared" si="0"/>
        <v>2034</v>
      </c>
      <c r="P2" s="181">
        <f t="shared" si="0"/>
        <v>2035</v>
      </c>
      <c r="Q2" s="181">
        <f t="shared" si="0"/>
        <v>2036</v>
      </c>
      <c r="R2" s="181">
        <f t="shared" si="0"/>
        <v>2037</v>
      </c>
      <c r="S2" s="181">
        <f t="shared" si="0"/>
        <v>2038</v>
      </c>
      <c r="T2" s="181">
        <f t="shared" si="0"/>
        <v>2039</v>
      </c>
      <c r="U2" s="181">
        <f t="shared" si="0"/>
        <v>2040</v>
      </c>
      <c r="V2" s="181">
        <f t="shared" si="0"/>
        <v>2041</v>
      </c>
      <c r="W2" s="181">
        <f t="shared" si="0"/>
        <v>2042</v>
      </c>
      <c r="X2" s="181">
        <f t="shared" si="0"/>
        <v>2043</v>
      </c>
      <c r="Y2" s="181">
        <f t="shared" si="0"/>
        <v>2044</v>
      </c>
      <c r="Z2" s="181">
        <f t="shared" si="0"/>
        <v>2045</v>
      </c>
      <c r="AA2" s="181">
        <f t="shared" si="0"/>
        <v>2046</v>
      </c>
      <c r="AB2" s="181">
        <f t="shared" si="1"/>
        <v>2047</v>
      </c>
      <c r="AC2" s="181">
        <f t="shared" si="2"/>
        <v>2048</v>
      </c>
      <c r="AD2" s="181">
        <f t="shared" si="3"/>
        <v>2049</v>
      </c>
      <c r="AE2" s="181">
        <f t="shared" si="4"/>
        <v>2050</v>
      </c>
      <c r="AF2" s="181">
        <f t="shared" si="5"/>
        <v>2051</v>
      </c>
      <c r="AG2" s="181" t="s">
        <v>191</v>
      </c>
    </row>
    <row r="4" spans="1:33" ht="18">
      <c r="A4" s="16" t="s">
        <v>249</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3">
      <c r="A5" s="302" t="str">
        <f>+Capex!$A$6</f>
        <v>Land Assumption</v>
      </c>
      <c r="B5" s="324">
        <f>+Capex!$C$6/12</f>
        <v>0</v>
      </c>
    </row>
    <row r="6" spans="1:33">
      <c r="A6" s="6" t="s">
        <v>399</v>
      </c>
      <c r="C6" s="40">
        <f>IF(Capex!$B$6=0,Capex!G$6,IF(Capex!$B$6=Capex!G$4,Capex!$AK$6,0))+IF(Capex!$B$6=0,Capex!G$20,IF(Capex!$B$6=Capex!G$4,Capex!$AK$20,0))</f>
        <v>0</v>
      </c>
      <c r="D6" s="40">
        <f>IF(Capex!$B$6=0,Capex!H$6,IF(Capex!$B$6=Capex!H$4,Capex!$AK$6,0))+IF(Capex!$B$6=0,Capex!H$20,IF(Capex!$B$6=Capex!H$4,Capex!$AK$20,0))</f>
        <v>0</v>
      </c>
      <c r="E6" s="40">
        <f>IF(Capex!$B$6=0,Capex!I$6,IF(Capex!$B$6=Capex!I$4,Capex!$AK$6,0))+IF(Capex!$B$6=0,Capex!I$20,IF(Capex!$B$6=Capex!I$4,Capex!$AK$20,0))</f>
        <v>13522736.507616967</v>
      </c>
      <c r="F6" s="40">
        <f>IF(Capex!$B$6=0,Capex!J$6,IF(Capex!$B$6=Capex!J$4,Capex!$AK$6,0))+IF(Capex!$B$6=0,Capex!J$20,IF(Capex!$B$6=Capex!J$4,Capex!$AK$20,0))</f>
        <v>0</v>
      </c>
      <c r="G6" s="40">
        <f>IF(Capex!$B$6=0,Capex!K$6,IF(Capex!$B$6=Capex!K$4,Capex!$AK$6,0))+IF(Capex!$B$6=0,Capex!K$20,IF(Capex!$B$6=Capex!K$4,Capex!$AK$20,0))</f>
        <v>0</v>
      </c>
      <c r="H6" s="40">
        <f>IF(Capex!$B$6=0,Capex!L$6,IF(Capex!$B$6=Capex!L$4,Capex!$AK$6,0))+IF(Capex!$B$6=0,Capex!L$20,IF(Capex!$B$6=Capex!L$4,Capex!$AK$20,0))</f>
        <v>0</v>
      </c>
      <c r="I6" s="40">
        <f>IF(Capex!$B$6=0,Capex!M$6,IF(Capex!$B$6=Capex!M$4,Capex!$AK$6,0))+IF(Capex!$B$6=0,Capex!M$20,IF(Capex!$B$6=Capex!M$4,Capex!$AK$20,0))</f>
        <v>0</v>
      </c>
      <c r="J6" s="40">
        <f>IF(Capex!$B$6=0,Capex!N$6,IF(Capex!$B$6=Capex!N$4,Capex!$AK$6,0))+IF(Capex!$B$6=0,Capex!N$20,IF(Capex!$B$6=Capex!N$4,Capex!$AK$20,0))</f>
        <v>0</v>
      </c>
      <c r="K6" s="40">
        <f>IF(Capex!$B$6=0,Capex!O$6,IF(Capex!$B$6=Capex!O$4,Capex!$AK$6,0))+IF(Capex!$B$6=0,Capex!O$20,IF(Capex!$B$6=Capex!O$4,Capex!$AK$20,0))</f>
        <v>0</v>
      </c>
      <c r="L6" s="40">
        <f>IF(Capex!$B$6=0,Capex!P$6,IF(Capex!$B$6=Capex!P$4,Capex!$AK$6,0))+IF(Capex!$B$6=0,Capex!P$20,IF(Capex!$B$6=Capex!P$4,Capex!$AK$20,0))</f>
        <v>0</v>
      </c>
      <c r="M6" s="40">
        <f>IF(Capex!$B$6=0,Capex!Q$6,IF(Capex!$B$6=Capex!Q$4,Capex!$AK$6,0))+IF(Capex!$B$6=0,Capex!Q$20,IF(Capex!$B$6=Capex!Q$4,Capex!$AK$20,0))</f>
        <v>0</v>
      </c>
      <c r="N6" s="40">
        <f>IF(Capex!$B$6=0,Capex!R$6,IF(Capex!$B$6=Capex!R$4,Capex!$AK$6,0))+IF(Capex!$B$6=0,Capex!R$20,IF(Capex!$B$6=Capex!R$4,Capex!$AK$20,0))</f>
        <v>0</v>
      </c>
      <c r="O6" s="40">
        <f>IF(Capex!$B$6=0,Capex!S$6,IF(Capex!$B$6=Capex!S$4,Capex!$AK$6,0))+IF(Capex!$B$6=0,Capex!S$20,IF(Capex!$B$6=Capex!S$4,Capex!$AK$20,0))</f>
        <v>0</v>
      </c>
      <c r="P6" s="40">
        <f>IF(Capex!$B$6=0,Capex!T$6,IF(Capex!$B$6=Capex!T$4,Capex!$AK$6,0))+IF(Capex!$B$6=0,Capex!T$20,IF(Capex!$B$6=Capex!T$4,Capex!$AK$20,0))</f>
        <v>0</v>
      </c>
      <c r="Q6" s="40">
        <f>IF(Capex!$B$6=0,Capex!U$6,IF(Capex!$B$6=Capex!U$4,Capex!$AK$6,0))+IF(Capex!$B$6=0,Capex!U$20,IF(Capex!$B$6=Capex!U$4,Capex!$AK$20,0))</f>
        <v>0</v>
      </c>
      <c r="R6" s="40">
        <f>IF(Capex!$B$6=0,Capex!V$6,IF(Capex!$B$6=Capex!V$4,Capex!$AK$6,0))+IF(Capex!$B$6=0,Capex!V$20,IF(Capex!$B$6=Capex!V$4,Capex!$AK$20,0))</f>
        <v>0</v>
      </c>
      <c r="S6" s="40">
        <f>IF(Capex!$B$6=0,Capex!W$6,IF(Capex!$B$6=Capex!W$4,Capex!$AK$6,0))+IF(Capex!$B$6=0,Capex!W$20,IF(Capex!$B$6=Capex!W$4,Capex!$AK$20,0))</f>
        <v>0</v>
      </c>
      <c r="T6" s="40">
        <f>IF(Capex!$B$6=0,Capex!X$6,IF(Capex!$B$6=Capex!X$4,Capex!$AK$6,0))+IF(Capex!$B$6=0,Capex!X$20,IF(Capex!$B$6=Capex!X$4,Capex!$AK$20,0))</f>
        <v>0</v>
      </c>
      <c r="U6" s="40">
        <f>IF(Capex!$B$6=0,Capex!Y$6,IF(Capex!$B$6=Capex!Y$4,Capex!$AK$6,0))+IF(Capex!$B$6=0,Capex!Y$20,IF(Capex!$B$6=Capex!Y$4,Capex!$AK$20,0))</f>
        <v>0</v>
      </c>
      <c r="V6" s="40">
        <f>IF(Capex!$B$6=0,Capex!Z$6,IF(Capex!$B$6=Capex!Z$4,Capex!$AK$6,0))+IF(Capex!$B$6=0,Capex!Z$20,IF(Capex!$B$6=Capex!Z$4,Capex!$AK$20,0))</f>
        <v>0</v>
      </c>
      <c r="W6" s="40">
        <f>IF(Capex!$B$6=0,Capex!AA$6,IF(Capex!$B$6=Capex!AA$4,Capex!$AK$6,0))+IF(Capex!$B$6=0,Capex!AA$20,IF(Capex!$B$6=Capex!AA$4,Capex!$AK$20,0))</f>
        <v>0</v>
      </c>
      <c r="X6" s="40">
        <f>IF(Capex!$B$6=0,Capex!AB$6,IF(Capex!$B$6=Capex!AB$4,Capex!$AK$6,0))+IF(Capex!$B$6=0,Capex!AB$20,IF(Capex!$B$6=Capex!AB$4,Capex!$AK$20,0))</f>
        <v>0</v>
      </c>
      <c r="Y6" s="40">
        <f>IF(Capex!$B$6=0,Capex!AC$6,IF(Capex!$B$6=Capex!AC$4,Capex!$AK$6,0))+IF(Capex!$B$6=0,Capex!AC$20,IF(Capex!$B$6=Capex!AC$4,Capex!$AK$20,0))</f>
        <v>0</v>
      </c>
      <c r="Z6" s="40">
        <f>IF(Capex!$B$6=0,Capex!AD$6,IF(Capex!$B$6=Capex!AD$4,Capex!$AK$6,0))+IF(Capex!$B$6=0,Capex!AD$20,IF(Capex!$B$6=Capex!AD$4,Capex!$AK$20,0))</f>
        <v>0</v>
      </c>
      <c r="AA6" s="40">
        <f>IF(Capex!$B$6=0,Capex!AE$6,IF(Capex!$B$6=Capex!AE$4,Capex!$AK$6,0))+IF(Capex!$B$6=0,Capex!AE$20,IF(Capex!$B$6=Capex!AE$4,Capex!$AK$20,0))</f>
        <v>0</v>
      </c>
      <c r="AB6" s="40">
        <f>IF(Capex!$B$6=0,Capex!AF$6,IF(Capex!$B$6=Capex!AF$4,Capex!$AK$6,0))+IF(Capex!$B$6=0,Capex!AF$20,IF(Capex!$B$6=Capex!AF$4,Capex!$AK$20,0))</f>
        <v>0</v>
      </c>
      <c r="AC6" s="40">
        <f>IF(Capex!$B$6=0,Capex!AG$6,IF(Capex!$B$6=Capex!AG$4,Capex!$AK$6,0))+IF(Capex!$B$6=0,Capex!AG$20,IF(Capex!$B$6=Capex!AG$4,Capex!$AK$20,0))</f>
        <v>0</v>
      </c>
      <c r="AD6" s="40">
        <f>IF(Capex!$B$6=0,Capex!AH$6,IF(Capex!$B$6=Capex!AH$4,Capex!$AK$6,0))+IF(Capex!$B$6=0,Capex!AH$20,IF(Capex!$B$6=Capex!AH$4,Capex!$AK$20,0))</f>
        <v>0</v>
      </c>
      <c r="AE6" s="40">
        <f>IF(Capex!$B$6=0,Capex!AI$6,IF(Capex!$B$6=Capex!AI$4,Capex!$AK$6,0))+IF(Capex!$B$6=0,Capex!AI$20,IF(Capex!$B$6=Capex!AI$4,Capex!$AK$20,0))</f>
        <v>0</v>
      </c>
      <c r="AF6" s="40">
        <f>IF(Capex!$B$6=0,Capex!AJ$6,IF(Capex!$B$6=Capex!AJ$4,Capex!$AK$6,0))+IF(Capex!$B$6=0,Capex!AJ$20,IF(Capex!$B$6=Capex!AJ$4,Capex!$AK$20,0))</f>
        <v>0</v>
      </c>
    </row>
    <row r="7" spans="1:33">
      <c r="A7" s="6" t="s">
        <v>400</v>
      </c>
      <c r="B7" s="299"/>
      <c r="C7" s="49">
        <f>+C6</f>
        <v>0</v>
      </c>
      <c r="D7" s="49">
        <f>+D6+C7</f>
        <v>0</v>
      </c>
      <c r="E7" s="49">
        <f t="shared" ref="E7:AA7" si="6">+E6+D7</f>
        <v>13522736.507616967</v>
      </c>
      <c r="F7" s="49">
        <f t="shared" si="6"/>
        <v>13522736.507616967</v>
      </c>
      <c r="G7" s="49">
        <f t="shared" si="6"/>
        <v>13522736.507616967</v>
      </c>
      <c r="H7" s="49">
        <f t="shared" si="6"/>
        <v>13522736.507616967</v>
      </c>
      <c r="I7" s="49">
        <f t="shared" si="6"/>
        <v>13522736.507616967</v>
      </c>
      <c r="J7" s="49">
        <f t="shared" si="6"/>
        <v>13522736.507616967</v>
      </c>
      <c r="K7" s="49">
        <f t="shared" si="6"/>
        <v>13522736.507616967</v>
      </c>
      <c r="L7" s="49">
        <f t="shared" si="6"/>
        <v>13522736.507616967</v>
      </c>
      <c r="M7" s="49">
        <f t="shared" si="6"/>
        <v>13522736.507616967</v>
      </c>
      <c r="N7" s="49">
        <f t="shared" si="6"/>
        <v>13522736.507616967</v>
      </c>
      <c r="O7" s="49">
        <f t="shared" si="6"/>
        <v>13522736.507616967</v>
      </c>
      <c r="P7" s="49">
        <f t="shared" si="6"/>
        <v>13522736.507616967</v>
      </c>
      <c r="Q7" s="49">
        <f t="shared" si="6"/>
        <v>13522736.507616967</v>
      </c>
      <c r="R7" s="49">
        <f t="shared" si="6"/>
        <v>13522736.507616967</v>
      </c>
      <c r="S7" s="49">
        <f t="shared" si="6"/>
        <v>13522736.507616967</v>
      </c>
      <c r="T7" s="49">
        <f t="shared" si="6"/>
        <v>13522736.507616967</v>
      </c>
      <c r="U7" s="49">
        <f t="shared" si="6"/>
        <v>13522736.507616967</v>
      </c>
      <c r="V7" s="49">
        <f t="shared" si="6"/>
        <v>13522736.507616967</v>
      </c>
      <c r="W7" s="49">
        <f t="shared" si="6"/>
        <v>13522736.507616967</v>
      </c>
      <c r="X7" s="49">
        <f t="shared" si="6"/>
        <v>13522736.507616967</v>
      </c>
      <c r="Y7" s="49">
        <f t="shared" si="6"/>
        <v>13522736.507616967</v>
      </c>
      <c r="Z7" s="49">
        <f t="shared" si="6"/>
        <v>13522736.507616967</v>
      </c>
      <c r="AA7" s="49">
        <f t="shared" si="6"/>
        <v>13522736.507616967</v>
      </c>
      <c r="AB7" s="49">
        <f t="shared" ref="AB7" si="7">+AB6+AA7</f>
        <v>13522736.507616967</v>
      </c>
      <c r="AC7" s="49">
        <f t="shared" ref="AC7" si="8">+AC6+AB7</f>
        <v>13522736.507616967</v>
      </c>
      <c r="AD7" s="49">
        <f t="shared" ref="AD7" si="9">+AD6+AC7</f>
        <v>13522736.507616967</v>
      </c>
      <c r="AE7" s="49">
        <f t="shared" ref="AE7" si="10">+AE6+AD7</f>
        <v>13522736.507616967</v>
      </c>
      <c r="AF7" s="49">
        <f t="shared" ref="AF7" si="11">+AF6+AE7</f>
        <v>13522736.507616967</v>
      </c>
    </row>
    <row r="8" spans="1:33" ht="16.2">
      <c r="A8" s="6" t="s">
        <v>401</v>
      </c>
      <c r="B8" s="88">
        <f>+Capex!$D$6</f>
        <v>0</v>
      </c>
      <c r="AG8" s="462"/>
    </row>
    <row r="9" spans="1:33">
      <c r="A9" s="6">
        <f>+C2</f>
        <v>2022</v>
      </c>
      <c r="B9" s="4">
        <f t="shared" ref="B9:B38" si="12">SUMIF($C$2:$AF$2,A9,$C$6:$AF$6)</f>
        <v>0</v>
      </c>
      <c r="C9" s="4">
        <f>IF($B$8=0,0,IF(C$2&gt;=$A9,IF(C$2=$A9,($B9/$B$8)*$B$5,IF(C$2&lt;=$A9+$B$8-1,$B9/$B$8,$B9-SUM(B9:$C9))),0))</f>
        <v>0</v>
      </c>
      <c r="D9" s="4">
        <f>IF($B$8=0,0,IF(D$2&gt;=$A9,IF(D$2=$A9,($B9/$B$8)*$B$5,IF(D$2&lt;=$A9+$B$8-1,$B9/$B$8,$B9-SUM(C9:$C9))),0))</f>
        <v>0</v>
      </c>
      <c r="E9" s="4">
        <f>IF($B$8=0,0,IF(E$2&gt;=$A9,IF(E$2=$A9,($B9/$B$8)*$B$5,IF(E$2&lt;=$A9+$B$8-1,$B9/$B$8,$B9-SUM($C9:D9))),0))</f>
        <v>0</v>
      </c>
      <c r="F9" s="4">
        <f>IF($B$8=0,0,IF(F$2&gt;=$A9,IF(F$2=$A9,($B9/$B$8)*$B$5,IF(F$2&lt;=$A9+$B$8-1,$B9/$B$8,$B9-SUM($C9:E9))),0))</f>
        <v>0</v>
      </c>
      <c r="G9" s="4">
        <f>IF($B$8=0,0,IF(G$2&gt;=$A9,IF(G$2=$A9,($B9/$B$8)*$B$5,IF(G$2&lt;=$A9+$B$8-1,$B9/$B$8,$B9-SUM($C9:F9))),0))</f>
        <v>0</v>
      </c>
      <c r="H9" s="4">
        <f>IF($B$8=0,0,IF(H$2&gt;=$A9,IF(H$2=$A9,($B9/$B$8)*$B$5,IF(H$2&lt;=$A9+$B$8-1,$B9/$B$8,$B9-SUM($C9:G9))),0))</f>
        <v>0</v>
      </c>
      <c r="I9" s="4">
        <f>IF($B$8=0,0,IF(I$2&gt;=$A9,IF(I$2=$A9,($B9/$B$8)*$B$5,IF(I$2&lt;=$A9+$B$8-1,$B9/$B$8,$B9-SUM($C9:H9))),0))</f>
        <v>0</v>
      </c>
      <c r="J9" s="4">
        <f>IF($B$8=0,0,IF(J$2&gt;=$A9,IF(J$2=$A9,($B9/$B$8)*$B$5,IF(J$2&lt;=$A9+$B$8-1,$B9/$B$8,$B9-SUM($C9:I9))),0))</f>
        <v>0</v>
      </c>
      <c r="K9" s="4">
        <f>IF($B$8=0,0,IF(K$2&gt;=$A9,IF(K$2=$A9,($B9/$B$8)*$B$5,IF(K$2&lt;=$A9+$B$8-1,$B9/$B$8,$B9-SUM($C9:J9))),0))</f>
        <v>0</v>
      </c>
      <c r="L9" s="4">
        <f>IF($B$8=0,0,IF(L$2&gt;=$A9,IF(L$2=$A9,($B9/$B$8)*$B$5,IF(L$2&lt;=$A9+$B$8-1,$B9/$B$8,$B9-SUM($C9:K9))),0))</f>
        <v>0</v>
      </c>
      <c r="M9" s="4">
        <f>IF($B$8=0,0,IF(M$2&gt;=$A9,IF(M$2=$A9,($B9/$B$8)*$B$5,IF(M$2&lt;=$A9+$B$8-1,$B9/$B$8,$B9-SUM($C9:L9))),0))</f>
        <v>0</v>
      </c>
      <c r="N9" s="4">
        <f>IF($B$8=0,0,IF(N$2&gt;=$A9,IF(N$2=$A9,($B9/$B$8)*$B$5,IF(N$2&lt;=$A9+$B$8-1,$B9/$B$8,$B9-SUM($C9:M9))),0))</f>
        <v>0</v>
      </c>
      <c r="O9" s="4">
        <f>IF($B$8=0,0,IF(O$2&gt;=$A9,IF(O$2=$A9,($B9/$B$8)*$B$5,IF(O$2&lt;=$A9+$B$8-1,$B9/$B$8,$B9-SUM($C9:N9))),0))</f>
        <v>0</v>
      </c>
      <c r="P9" s="4">
        <f>IF($B$8=0,0,IF(P$2&gt;=$A9,IF(P$2=$A9,($B9/$B$8)*$B$5,IF(P$2&lt;=$A9+$B$8-1,$B9/$B$8,$B9-SUM($C9:O9))),0))</f>
        <v>0</v>
      </c>
      <c r="Q9" s="4">
        <f>IF($B$8=0,0,IF(Q$2&gt;=$A9,IF(Q$2=$A9,($B9/$B$8)*$B$5,IF(Q$2&lt;=$A9+$B$8-1,$B9/$B$8,$B9-SUM($C9:P9))),0))</f>
        <v>0</v>
      </c>
      <c r="R9" s="4">
        <f>IF($B$8=0,0,IF(R$2&gt;=$A9,IF(R$2=$A9,($B9/$B$8)*$B$5,IF(R$2&lt;=$A9+$B$8-1,$B9/$B$8,$B9-SUM($C9:Q9))),0))</f>
        <v>0</v>
      </c>
      <c r="S9" s="4">
        <f>IF($B$8=0,0,IF(S$2&gt;=$A9,IF(S$2=$A9,($B9/$B$8)*$B$5,IF(S$2&lt;=$A9+$B$8-1,$B9/$B$8,$B9-SUM($C9:R9))),0))</f>
        <v>0</v>
      </c>
      <c r="T9" s="4">
        <f>IF($B$8=0,0,IF(T$2&gt;=$A9,IF(T$2=$A9,($B9/$B$8)*$B$5,IF(T$2&lt;=$A9+$B$8-1,$B9/$B$8,$B9-SUM($C9:S9))),0))</f>
        <v>0</v>
      </c>
      <c r="U9" s="4">
        <f>IF($B$8=0,0,IF(U$2&gt;=$A9,IF(U$2=$A9,($B9/$B$8)*$B$5,IF(U$2&lt;=$A9+$B$8-1,$B9/$B$8,$B9-SUM($C9:T9))),0))</f>
        <v>0</v>
      </c>
      <c r="V9" s="4">
        <f>IF($B$8=0,0,IF(V$2&gt;=$A9,IF(V$2=$A9,($B9/$B$8)*$B$5,IF(V$2&lt;=$A9+$B$8-1,$B9/$B$8,$B9-SUM($C9:U9))),0))</f>
        <v>0</v>
      </c>
      <c r="W9" s="4">
        <f>IF($B$8=0,0,IF(W$2&gt;=$A9,IF(W$2=$A9,($B9/$B$8)*$B$5,IF(W$2&lt;=$A9+$B$8-1,$B9/$B$8,$B9-SUM($C9:V9))),0))</f>
        <v>0</v>
      </c>
      <c r="X9" s="4">
        <f>IF($B$8=0,0,IF(X$2&gt;=$A9,IF(X$2=$A9,($B9/$B$8)*$B$5,IF(X$2&lt;=$A9+$B$8-1,$B9/$B$8,$B9-SUM($C9:W9))),0))</f>
        <v>0</v>
      </c>
      <c r="Y9" s="4">
        <f>IF($B$8=0,0,IF(Y$2&gt;=$A9,IF(Y$2=$A9,($B9/$B$8)*$B$5,IF(Y$2&lt;=$A9+$B$8-1,$B9/$B$8,$B9-SUM($C9:X9))),0))</f>
        <v>0</v>
      </c>
      <c r="Z9" s="4">
        <f>IF($B$8=0,0,IF(Z$2&gt;=$A9,IF(Z$2=$A9,($B9/$B$8)*$B$5,IF(Z$2&lt;=$A9+$B$8-1,$B9/$B$8,$B9-SUM($C9:Y9))),0))</f>
        <v>0</v>
      </c>
      <c r="AA9" s="4">
        <f>IF($B$8=0,0,IF(AA$2&gt;=$A9,IF(AA$2=$A9,($B9/$B$8)*$B$5,IF(AA$2&lt;=$A9+$B$8-1,$B9/$B$8,$B9-SUM($C9:Z9))),0))</f>
        <v>0</v>
      </c>
      <c r="AB9" s="4">
        <f>IF($B$8=0,0,IF(AB$2&gt;=$A9,IF(AB$2=$A9,($B9/$B$8)*$B$5,IF(AB$2&lt;=$A9+$B$8-1,$B9/$B$8,$B9-SUM($C9:AA9))),0))</f>
        <v>0</v>
      </c>
      <c r="AC9" s="4">
        <f>IF($B$8=0,0,IF(AC$2&gt;=$A9,IF(AC$2=$A9,($B9/$B$8)*$B$5,IF(AC$2&lt;=$A9+$B$8-1,$B9/$B$8,$B9-SUM($C9:AB9))),0))</f>
        <v>0</v>
      </c>
      <c r="AD9" s="4">
        <f>IF($B$8=0,0,IF(AD$2&gt;=$A9,IF(AD$2=$A9,($B9/$B$8)*$B$5,IF(AD$2&lt;=$A9+$B$8-1,$B9/$B$8,$B9-SUM($C9:AC9))),0))</f>
        <v>0</v>
      </c>
      <c r="AE9" s="4">
        <f>IF($B$8=0,0,IF(AE$2&gt;=$A9,IF(AE$2=$A9,($B9/$B$8)*$B$5,IF(AE$2&lt;=$A9+$B$8-1,$B9/$B$8,$B9-SUM($C9:AD9))),0))</f>
        <v>0</v>
      </c>
      <c r="AF9" s="4">
        <f>IF($B$8=0,0,IF(AF$2&gt;=$A9,IF(AF$2=$A9,($B9/$B$8)*$B$5,IF(AF$2&lt;=$A9+$B$8-1,$B9/$B$8,$B9-SUM($C9:AE9))),0))</f>
        <v>0</v>
      </c>
      <c r="AG9" s="4">
        <f t="shared" ref="AG9:AG33" si="13">SUM(C9:AF9)</f>
        <v>0</v>
      </c>
    </row>
    <row r="10" spans="1:33">
      <c r="A10" s="6">
        <f>+A9+1</f>
        <v>2023</v>
      </c>
      <c r="B10" s="4">
        <f t="shared" si="12"/>
        <v>0</v>
      </c>
      <c r="C10" s="4">
        <f>IF($B$8=0,0,IF(C$2&gt;=$A10,IF(C$2=$A10,($B10/$B$8)*$B$5,IF(C$2&lt;=$A10+$B$8-1,$B10/$B$8,$B10-SUM(B10:$C10))),0))</f>
        <v>0</v>
      </c>
      <c r="D10" s="4">
        <f>IF($B$8=0,0,IF(D$2&gt;=$A10,IF(D$2=$A10,($B10/$B$8)*$B$5,IF(D$2&lt;=$A10+$B$8-1,$B10/$B$8,$B10-SUM(C10:$C10))),0))</f>
        <v>0</v>
      </c>
      <c r="E10" s="4">
        <f>IF($B$8=0,0,IF(E$2&gt;=$A10,IF(E$2=$A10,($B10/$B$8)*$B$5,IF(E$2&lt;=$A10+$B$8-1,$B10/$B$8,$B10-SUM($C10:D10))),0))</f>
        <v>0</v>
      </c>
      <c r="F10" s="4">
        <f>IF($B$8=0,0,IF(F$2&gt;=$A10,IF(F$2=$A10,($B10/$B$8)*$B$5,IF(F$2&lt;=$A10+$B$8-1,$B10/$B$8,$B10-SUM($C10:E10))),0))</f>
        <v>0</v>
      </c>
      <c r="G10" s="4">
        <f>IF($B$8=0,0,IF(G$2&gt;=$A10,IF(G$2=$A10,($B10/$B$8)*$B$5,IF(G$2&lt;=$A10+$B$8-1,$B10/$B$8,$B10-SUM($C10:F10))),0))</f>
        <v>0</v>
      </c>
      <c r="H10" s="4">
        <f>IF($B$8=0,0,IF(H$2&gt;=$A10,IF(H$2=$A10,($B10/$B$8)*$B$5,IF(H$2&lt;=$A10+$B$8-1,$B10/$B$8,$B10-SUM($C10:G10))),0))</f>
        <v>0</v>
      </c>
      <c r="I10" s="4">
        <f>IF($B$8=0,0,IF(I$2&gt;=$A10,IF(I$2=$A10,($B10/$B$8)*$B$5,IF(I$2&lt;=$A10+$B$8-1,$B10/$B$8,$B10-SUM($C10:H10))),0))</f>
        <v>0</v>
      </c>
      <c r="J10" s="4">
        <f>IF($B$8=0,0,IF(J$2&gt;=$A10,IF(J$2=$A10,($B10/$B$8)*$B$5,IF(J$2&lt;=$A10+$B$8-1,$B10/$B$8,$B10-SUM($C10:I10))),0))</f>
        <v>0</v>
      </c>
      <c r="K10" s="4">
        <f>IF($B$8=0,0,IF(K$2&gt;=$A10,IF(K$2=$A10,($B10/$B$8)*$B$5,IF(K$2&lt;=$A10+$B$8-1,$B10/$B$8,$B10-SUM($C10:J10))),0))</f>
        <v>0</v>
      </c>
      <c r="L10" s="4">
        <f>IF($B$8=0,0,IF(L$2&gt;=$A10,IF(L$2=$A10,($B10/$B$8)*$B$5,IF(L$2&lt;=$A10+$B$8-1,$B10/$B$8,$B10-SUM($C10:K10))),0))</f>
        <v>0</v>
      </c>
      <c r="M10" s="4">
        <f>IF($B$8=0,0,IF(M$2&gt;=$A10,IF(M$2=$A10,($B10/$B$8)*$B$5,IF(M$2&lt;=$A10+$B$8-1,$B10/$B$8,$B10-SUM($C10:L10))),0))</f>
        <v>0</v>
      </c>
      <c r="N10" s="4">
        <f>IF($B$8=0,0,IF(N$2&gt;=$A10,IF(N$2=$A10,($B10/$B$8)*$B$5,IF(N$2&lt;=$A10+$B$8-1,$B10/$B$8,$B10-SUM($C10:M10))),0))</f>
        <v>0</v>
      </c>
      <c r="O10" s="4">
        <f>IF($B$8=0,0,IF(O$2&gt;=$A10,IF(O$2=$A10,($B10/$B$8)*$B$5,IF(O$2&lt;=$A10+$B$8-1,$B10/$B$8,$B10-SUM($C10:N10))),0))</f>
        <v>0</v>
      </c>
      <c r="P10" s="4">
        <f>IF($B$8=0,0,IF(P$2&gt;=$A10,IF(P$2=$A10,($B10/$B$8)*$B$5,IF(P$2&lt;=$A10+$B$8-1,$B10/$B$8,$B10-SUM($C10:O10))),0))</f>
        <v>0</v>
      </c>
      <c r="Q10" s="4">
        <f>IF($B$8=0,0,IF(Q$2&gt;=$A10,IF(Q$2=$A10,($B10/$B$8)*$B$5,IF(Q$2&lt;=$A10+$B$8-1,$B10/$B$8,$B10-SUM($C10:P10))),0))</f>
        <v>0</v>
      </c>
      <c r="R10" s="4">
        <f>IF($B$8=0,0,IF(R$2&gt;=$A10,IF(R$2=$A10,($B10/$B$8)*$B$5,IF(R$2&lt;=$A10+$B$8-1,$B10/$B$8,$B10-SUM($C10:Q10))),0))</f>
        <v>0</v>
      </c>
      <c r="S10" s="4">
        <f>IF($B$8=0,0,IF(S$2&gt;=$A10,IF(S$2=$A10,($B10/$B$8)*$B$5,IF(S$2&lt;=$A10+$B$8-1,$B10/$B$8,$B10-SUM($C10:R10))),0))</f>
        <v>0</v>
      </c>
      <c r="T10" s="4">
        <f>IF($B$8=0,0,IF(T$2&gt;=$A10,IF(T$2=$A10,($B10/$B$8)*$B$5,IF(T$2&lt;=$A10+$B$8-1,$B10/$B$8,$B10-SUM($C10:S10))),0))</f>
        <v>0</v>
      </c>
      <c r="U10" s="4">
        <f>IF($B$8=0,0,IF(U$2&gt;=$A10,IF(U$2=$A10,($B10/$B$8)*$B$5,IF(U$2&lt;=$A10+$B$8-1,$B10/$B$8,$B10-SUM($C10:T10))),0))</f>
        <v>0</v>
      </c>
      <c r="V10" s="4">
        <f>IF($B$8=0,0,IF(V$2&gt;=$A10,IF(V$2=$A10,($B10/$B$8)*$B$5,IF(V$2&lt;=$A10+$B$8-1,$B10/$B$8,$B10-SUM($C10:U10))),0))</f>
        <v>0</v>
      </c>
      <c r="W10" s="4">
        <f>IF($B$8=0,0,IF(W$2&gt;=$A10,IF(W$2=$A10,($B10/$B$8)*$B$5,IF(W$2&lt;=$A10+$B$8-1,$B10/$B$8,$B10-SUM($C10:V10))),0))</f>
        <v>0</v>
      </c>
      <c r="X10" s="4">
        <f>IF($B$8=0,0,IF(X$2&gt;=$A10,IF(X$2=$A10,($B10/$B$8)*$B$5,IF(X$2&lt;=$A10+$B$8-1,$B10/$B$8,$B10-SUM($C10:W10))),0))</f>
        <v>0</v>
      </c>
      <c r="Y10" s="4">
        <f>IF($B$8=0,0,IF(Y$2&gt;=$A10,IF(Y$2=$A10,($B10/$B$8)*$B$5,IF(Y$2&lt;=$A10+$B$8-1,$B10/$B$8,$B10-SUM($C10:X10))),0))</f>
        <v>0</v>
      </c>
      <c r="Z10" s="4">
        <f>IF($B$8=0,0,IF(Z$2&gt;=$A10,IF(Z$2=$A10,($B10/$B$8)*$B$5,IF(Z$2&lt;=$A10+$B$8-1,$B10/$B$8,$B10-SUM($C10:Y10))),0))</f>
        <v>0</v>
      </c>
      <c r="AA10" s="4">
        <f>IF($B$8=0,0,IF(AA$2&gt;=$A10,IF(AA$2=$A10,($B10/$B$8)*$B$5,IF(AA$2&lt;=$A10+$B$8-1,$B10/$B$8,$B10-SUM($C10:Z10))),0))</f>
        <v>0</v>
      </c>
      <c r="AB10" s="4">
        <f>IF($B$8=0,0,IF(AB$2&gt;=$A10,IF(AB$2=$A10,($B10/$B$8)*$B$5,IF(AB$2&lt;=$A10+$B$8-1,$B10/$B$8,$B10-SUM($C10:AA10))),0))</f>
        <v>0</v>
      </c>
      <c r="AC10" s="4">
        <f>IF($B$8=0,0,IF(AC$2&gt;=$A10,IF(AC$2=$A10,($B10/$B$8)*$B$5,IF(AC$2&lt;=$A10+$B$8-1,$B10/$B$8,$B10-SUM($C10:AB10))),0))</f>
        <v>0</v>
      </c>
      <c r="AD10" s="4">
        <f>IF($B$8=0,0,IF(AD$2&gt;=$A10,IF(AD$2=$A10,($B10/$B$8)*$B$5,IF(AD$2&lt;=$A10+$B$8-1,$B10/$B$8,$B10-SUM($C10:AC10))),0))</f>
        <v>0</v>
      </c>
      <c r="AE10" s="4">
        <f>IF($B$8=0,0,IF(AE$2&gt;=$A10,IF(AE$2=$A10,($B10/$B$8)*$B$5,IF(AE$2&lt;=$A10+$B$8-1,$B10/$B$8,$B10-SUM($C10:AD10))),0))</f>
        <v>0</v>
      </c>
      <c r="AF10" s="4">
        <f>IF($B$8=0,0,IF(AF$2&gt;=$A10,IF(AF$2=$A10,($B10/$B$8)*$B$5,IF(AF$2&lt;=$A10+$B$8-1,$B10/$B$8,$B10-SUM($C10:AE10))),0))</f>
        <v>0</v>
      </c>
      <c r="AG10" s="4">
        <f t="shared" si="13"/>
        <v>0</v>
      </c>
    </row>
    <row r="11" spans="1:33">
      <c r="A11" s="6">
        <f t="shared" ref="A11:A38" si="14">+A10+1</f>
        <v>2024</v>
      </c>
      <c r="B11" s="4">
        <f t="shared" si="12"/>
        <v>13522736.507616967</v>
      </c>
      <c r="C11" s="4">
        <f>IF($B$8=0,0,IF(C$2&gt;=$A11,IF(C$2=$A11,($B11/$B$8)*$B$5,IF(C$2&lt;=$A11+$B$8-1,$B11/$B$8,$B11-SUM(B11:$C11))),0))</f>
        <v>0</v>
      </c>
      <c r="D11" s="4">
        <f>IF($B$8=0,0,IF(D$2&gt;=$A11,IF(D$2=$A11,($B11/$B$8)*$B$5,IF(D$2&lt;=$A11+$B$8-1,$B11/$B$8,$B11-SUM(C11:$C11))),0))</f>
        <v>0</v>
      </c>
      <c r="E11" s="4">
        <f>IF($B$8=0,0,IF(E$2&gt;=$A11,IF(E$2=$A11,($B11/$B$8)*$B$5,IF(E$2&lt;=$A11+$B$8-1,$B11/$B$8,$B11-SUM($C11:D11))),0))</f>
        <v>0</v>
      </c>
      <c r="F11" s="4">
        <f>IF($B$8=0,0,IF(F$2&gt;=$A11,IF(F$2=$A11,($B11/$B$8)*$B$5,IF(F$2&lt;=$A11+$B$8-1,$B11/$B$8,$B11-SUM($C11:E11))),0))</f>
        <v>0</v>
      </c>
      <c r="G11" s="4">
        <f>IF($B$8=0,0,IF(G$2&gt;=$A11,IF(G$2=$A11,($B11/$B$8)*$B$5,IF(G$2&lt;=$A11+$B$8-1,$B11/$B$8,$B11-SUM($C11:F11))),0))</f>
        <v>0</v>
      </c>
      <c r="H11" s="4">
        <f>IF($B$8=0,0,IF(H$2&gt;=$A11,IF(H$2=$A11,($B11/$B$8)*$B$5,IF(H$2&lt;=$A11+$B$8-1,$B11/$B$8,$B11-SUM($C11:G11))),0))</f>
        <v>0</v>
      </c>
      <c r="I11" s="4">
        <f>IF($B$8=0,0,IF(I$2&gt;=$A11,IF(I$2=$A11,($B11/$B$8)*$B$5,IF(I$2&lt;=$A11+$B$8-1,$B11/$B$8,$B11-SUM($C11:H11))),0))</f>
        <v>0</v>
      </c>
      <c r="J11" s="4">
        <f>IF($B$8=0,0,IF(J$2&gt;=$A11,IF(J$2=$A11,($B11/$B$8)*$B$5,IF(J$2&lt;=$A11+$B$8-1,$B11/$B$8,$B11-SUM($C11:I11))),0))</f>
        <v>0</v>
      </c>
      <c r="K11" s="4">
        <f>IF($B$8=0,0,IF(K$2&gt;=$A11,IF(K$2=$A11,($B11/$B$8)*$B$5,IF(K$2&lt;=$A11+$B$8-1,$B11/$B$8,$B11-SUM($C11:J11))),0))</f>
        <v>0</v>
      </c>
      <c r="L11" s="4">
        <f>IF($B$8=0,0,IF(L$2&gt;=$A11,IF(L$2=$A11,($B11/$B$8)*$B$5,IF(L$2&lt;=$A11+$B$8-1,$B11/$B$8,$B11-SUM($C11:K11))),0))</f>
        <v>0</v>
      </c>
      <c r="M11" s="4">
        <f>IF($B$8=0,0,IF(M$2&gt;=$A11,IF(M$2=$A11,($B11/$B$8)*$B$5,IF(M$2&lt;=$A11+$B$8-1,$B11/$B$8,$B11-SUM($C11:L11))),0))</f>
        <v>0</v>
      </c>
      <c r="N11" s="4">
        <f>IF($B$8=0,0,IF(N$2&gt;=$A11,IF(N$2=$A11,($B11/$B$8)*$B$5,IF(N$2&lt;=$A11+$B$8-1,$B11/$B$8,$B11-SUM($C11:M11))),0))</f>
        <v>0</v>
      </c>
      <c r="O11" s="4">
        <f>IF($B$8=0,0,IF(O$2&gt;=$A11,IF(O$2=$A11,($B11/$B$8)*$B$5,IF(O$2&lt;=$A11+$B$8-1,$B11/$B$8,$B11-SUM($C11:N11))),0))</f>
        <v>0</v>
      </c>
      <c r="P11" s="4">
        <f>IF($B$8=0,0,IF(P$2&gt;=$A11,IF(P$2=$A11,($B11/$B$8)*$B$5,IF(P$2&lt;=$A11+$B$8-1,$B11/$B$8,$B11-SUM($C11:O11))),0))</f>
        <v>0</v>
      </c>
      <c r="Q11" s="4">
        <f>IF($B$8=0,0,IF(Q$2&gt;=$A11,IF(Q$2=$A11,($B11/$B$8)*$B$5,IF(Q$2&lt;=$A11+$B$8-1,$B11/$B$8,$B11-SUM($C11:P11))),0))</f>
        <v>0</v>
      </c>
      <c r="R11" s="4">
        <f>IF($B$8=0,0,IF(R$2&gt;=$A11,IF(R$2=$A11,($B11/$B$8)*$B$5,IF(R$2&lt;=$A11+$B$8-1,$B11/$B$8,$B11-SUM($C11:Q11))),0))</f>
        <v>0</v>
      </c>
      <c r="S11" s="4">
        <f>IF($B$8=0,0,IF(S$2&gt;=$A11,IF(S$2=$A11,($B11/$B$8)*$B$5,IF(S$2&lt;=$A11+$B$8-1,$B11/$B$8,$B11-SUM($C11:R11))),0))</f>
        <v>0</v>
      </c>
      <c r="T11" s="4">
        <f>IF($B$8=0,0,IF(T$2&gt;=$A11,IF(T$2=$A11,($B11/$B$8)*$B$5,IF(T$2&lt;=$A11+$B$8-1,$B11/$B$8,$B11-SUM($C11:S11))),0))</f>
        <v>0</v>
      </c>
      <c r="U11" s="4">
        <f>IF($B$8=0,0,IF(U$2&gt;=$A11,IF(U$2=$A11,($B11/$B$8)*$B$5,IF(U$2&lt;=$A11+$B$8-1,$B11/$B$8,$B11-SUM($C11:T11))),0))</f>
        <v>0</v>
      </c>
      <c r="V11" s="4">
        <f>IF($B$8=0,0,IF(V$2&gt;=$A11,IF(V$2=$A11,($B11/$B$8)*$B$5,IF(V$2&lt;=$A11+$B$8-1,$B11/$B$8,$B11-SUM($C11:U11))),0))</f>
        <v>0</v>
      </c>
      <c r="W11" s="4">
        <f>IF($B$8=0,0,IF(W$2&gt;=$A11,IF(W$2=$A11,($B11/$B$8)*$B$5,IF(W$2&lt;=$A11+$B$8-1,$B11/$B$8,$B11-SUM($C11:V11))),0))</f>
        <v>0</v>
      </c>
      <c r="X11" s="4">
        <f>IF($B$8=0,0,IF(X$2&gt;=$A11,IF(X$2=$A11,($B11/$B$8)*$B$5,IF(X$2&lt;=$A11+$B$8-1,$B11/$B$8,$B11-SUM($C11:W11))),0))</f>
        <v>0</v>
      </c>
      <c r="Y11" s="4">
        <f>IF($B$8=0,0,IF(Y$2&gt;=$A11,IF(Y$2=$A11,($B11/$B$8)*$B$5,IF(Y$2&lt;=$A11+$B$8-1,$B11/$B$8,$B11-SUM($C11:X11))),0))</f>
        <v>0</v>
      </c>
      <c r="Z11" s="4">
        <f>IF($B$8=0,0,IF(Z$2&gt;=$A11,IF(Z$2=$A11,($B11/$B$8)*$B$5,IF(Z$2&lt;=$A11+$B$8-1,$B11/$B$8,$B11-SUM($C11:Y11))),0))</f>
        <v>0</v>
      </c>
      <c r="AA11" s="4">
        <f>IF($B$8=0,0,IF(AA$2&gt;=$A11,IF(AA$2=$A11,($B11/$B$8)*$B$5,IF(AA$2&lt;=$A11+$B$8-1,$B11/$B$8,$B11-SUM($C11:Z11))),0))</f>
        <v>0</v>
      </c>
      <c r="AB11" s="4">
        <f>IF($B$8=0,0,IF(AB$2&gt;=$A11,IF(AB$2=$A11,($B11/$B$8)*$B$5,IF(AB$2&lt;=$A11+$B$8-1,$B11/$B$8,$B11-SUM($C11:AA11))),0))</f>
        <v>0</v>
      </c>
      <c r="AC11" s="4">
        <f>IF($B$8=0,0,IF(AC$2&gt;=$A11,IF(AC$2=$A11,($B11/$B$8)*$B$5,IF(AC$2&lt;=$A11+$B$8-1,$B11/$B$8,$B11-SUM($C11:AB11))),0))</f>
        <v>0</v>
      </c>
      <c r="AD11" s="4">
        <f>IF($B$8=0,0,IF(AD$2&gt;=$A11,IF(AD$2=$A11,($B11/$B$8)*$B$5,IF(AD$2&lt;=$A11+$B$8-1,$B11/$B$8,$B11-SUM($C11:AC11))),0))</f>
        <v>0</v>
      </c>
      <c r="AE11" s="4">
        <f>IF($B$8=0,0,IF(AE$2&gt;=$A11,IF(AE$2=$A11,($B11/$B$8)*$B$5,IF(AE$2&lt;=$A11+$B$8-1,$B11/$B$8,$B11-SUM($C11:AD11))),0))</f>
        <v>0</v>
      </c>
      <c r="AF11" s="4">
        <f>IF($B$8=0,0,IF(AF$2&gt;=$A11,IF(AF$2=$A11,($B11/$B$8)*$B$5,IF(AF$2&lt;=$A11+$B$8-1,$B11/$B$8,$B11-SUM($C11:AE11))),0))</f>
        <v>0</v>
      </c>
      <c r="AG11" s="4">
        <f t="shared" si="13"/>
        <v>0</v>
      </c>
    </row>
    <row r="12" spans="1:33">
      <c r="A12" s="6">
        <f t="shared" si="14"/>
        <v>2025</v>
      </c>
      <c r="B12" s="4">
        <f t="shared" si="12"/>
        <v>0</v>
      </c>
      <c r="C12" s="4">
        <f>IF($B$8=0,0,IF(C$2&gt;=$A12,IF(C$2=$A12,($B12/$B$8)*$B$5,IF(C$2&lt;=$A12+$B$8-1,$B12/$B$8,$B12-SUM(B12:$C12))),0))</f>
        <v>0</v>
      </c>
      <c r="D12" s="4">
        <f>IF($B$8=0,0,IF(D$2&gt;=$A12,IF(D$2=$A12,($B12/$B$8)*$B$5,IF(D$2&lt;=$A12+$B$8-1,$B12/$B$8,$B12-SUM(C12:$C12))),0))</f>
        <v>0</v>
      </c>
      <c r="E12" s="4">
        <f>IF($B$8=0,0,IF(E$2&gt;=$A12,IF(E$2=$A12,($B12/$B$8)*$B$5,IF(E$2&lt;=$A12+$B$8-1,$B12/$B$8,$B12-SUM($C12:D12))),0))</f>
        <v>0</v>
      </c>
      <c r="F12" s="504">
        <f>IF($B$8=0,0,IF(F$2&gt;=$A12,IF(F$2=$A12,($B12/$B$8)*$B$5,IF(F$2&lt;=$A12+$B$8-1,$B12/$B$8,$B12-SUM($C12:E12))),0))</f>
        <v>0</v>
      </c>
      <c r="G12" s="4">
        <f>IF($B$8=0,0,IF(G$2&gt;=$A12,IF(G$2=$A12,($B12/$B$8)*$B$5,IF(G$2&lt;=$A12+$B$8-1,$B12/$B$8,$B12-SUM($C12:F12))),0))</f>
        <v>0</v>
      </c>
      <c r="H12" s="4">
        <f>IF($B$8=0,0,IF(H$2&gt;=$A12,IF(H$2=$A12,($B12/$B$8)*$B$5,IF(H$2&lt;=$A12+$B$8-1,$B12/$B$8,$B12-SUM($C12:G12))),0))</f>
        <v>0</v>
      </c>
      <c r="I12" s="4">
        <f>IF($B$8=0,0,IF(I$2&gt;=$A12,IF(I$2=$A12,($B12/$B$8)*$B$5,IF(I$2&lt;=$A12+$B$8-1,$B12/$B$8,$B12-SUM($C12:H12))),0))</f>
        <v>0</v>
      </c>
      <c r="J12" s="4">
        <f>IF($B$8=0,0,IF(J$2&gt;=$A12,IF(J$2=$A12,($B12/$B$8)*$B$5,IF(J$2&lt;=$A12+$B$8-1,$B12/$B$8,$B12-SUM($C12:I12))),0))</f>
        <v>0</v>
      </c>
      <c r="K12" s="4">
        <f>IF($B$8=0,0,IF(K$2&gt;=$A12,IF(K$2=$A12,($B12/$B$8)*$B$5,IF(K$2&lt;=$A12+$B$8-1,$B12/$B$8,$B12-SUM($C12:J12))),0))</f>
        <v>0</v>
      </c>
      <c r="L12" s="4">
        <f>IF($B$8=0,0,IF(L$2&gt;=$A12,IF(L$2=$A12,($B12/$B$8)*$B$5,IF(L$2&lt;=$A12+$B$8-1,$B12/$B$8,$B12-SUM($C12:K12))),0))</f>
        <v>0</v>
      </c>
      <c r="M12" s="4">
        <f>IF($B$8=0,0,IF(M$2&gt;=$A12,IF(M$2=$A12,($B12/$B$8)*$B$5,IF(M$2&lt;=$A12+$B$8-1,$B12/$B$8,$B12-SUM($C12:L12))),0))</f>
        <v>0</v>
      </c>
      <c r="N12" s="4">
        <f>IF($B$8=0,0,IF(N$2&gt;=$A12,IF(N$2=$A12,($B12/$B$8)*$B$5,IF(N$2&lt;=$A12+$B$8-1,$B12/$B$8,$B12-SUM($C12:M12))),0))</f>
        <v>0</v>
      </c>
      <c r="O12" s="4">
        <f>IF($B$8=0,0,IF(O$2&gt;=$A12,IF(O$2=$A12,($B12/$B$8)*$B$5,IF(O$2&lt;=$A12+$B$8-1,$B12/$B$8,$B12-SUM($C12:N12))),0))</f>
        <v>0</v>
      </c>
      <c r="P12" s="4">
        <f>IF($B$8=0,0,IF(P$2&gt;=$A12,IF(P$2=$A12,($B12/$B$8)*$B$5,IF(P$2&lt;=$A12+$B$8-1,$B12/$B$8,$B12-SUM($C12:O12))),0))</f>
        <v>0</v>
      </c>
      <c r="Q12" s="4">
        <f>IF($B$8=0,0,IF(Q$2&gt;=$A12,IF(Q$2=$A12,($B12/$B$8)*$B$5,IF(Q$2&lt;=$A12+$B$8-1,$B12/$B$8,$B12-SUM($C12:P12))),0))</f>
        <v>0</v>
      </c>
      <c r="R12" s="4">
        <f>IF($B$8=0,0,IF(R$2&gt;=$A12,IF(R$2=$A12,($B12/$B$8)*$B$5,IF(R$2&lt;=$A12+$B$8-1,$B12/$B$8,$B12-SUM($C12:Q12))),0))</f>
        <v>0</v>
      </c>
      <c r="S12" s="4">
        <f>IF($B$8=0,0,IF(S$2&gt;=$A12,IF(S$2=$A12,($B12/$B$8)*$B$5,IF(S$2&lt;=$A12+$B$8-1,$B12/$B$8,$B12-SUM($C12:R12))),0))</f>
        <v>0</v>
      </c>
      <c r="T12" s="4">
        <f>IF($B$8=0,0,IF(T$2&gt;=$A12,IF(T$2=$A12,($B12/$B$8)*$B$5,IF(T$2&lt;=$A12+$B$8-1,$B12/$B$8,$B12-SUM($C12:S12))),0))</f>
        <v>0</v>
      </c>
      <c r="U12" s="4">
        <f>IF($B$8=0,0,IF(U$2&gt;=$A12,IF(U$2=$A12,($B12/$B$8)*$B$5,IF(U$2&lt;=$A12+$B$8-1,$B12/$B$8,$B12-SUM($C12:T12))),0))</f>
        <v>0</v>
      </c>
      <c r="V12" s="4">
        <f>IF($B$8=0,0,IF(V$2&gt;=$A12,IF(V$2=$A12,($B12/$B$8)*$B$5,IF(V$2&lt;=$A12+$B$8-1,$B12/$B$8,$B12-SUM($C12:U12))),0))</f>
        <v>0</v>
      </c>
      <c r="W12" s="4">
        <f>IF($B$8=0,0,IF(W$2&gt;=$A12,IF(W$2=$A12,($B12/$B$8)*$B$5,IF(W$2&lt;=$A12+$B$8-1,$B12/$B$8,$B12-SUM($C12:V12))),0))</f>
        <v>0</v>
      </c>
      <c r="X12" s="4">
        <f>IF($B$8=0,0,IF(X$2&gt;=$A12,IF(X$2=$A12,($B12/$B$8)*$B$5,IF(X$2&lt;=$A12+$B$8-1,$B12/$B$8,$B12-SUM($C12:W12))),0))</f>
        <v>0</v>
      </c>
      <c r="Y12" s="4">
        <f>IF($B$8=0,0,IF(Y$2&gt;=$A12,IF(Y$2=$A12,($B12/$B$8)*$B$5,IF(Y$2&lt;=$A12+$B$8-1,$B12/$B$8,$B12-SUM($C12:X12))),0))</f>
        <v>0</v>
      </c>
      <c r="Z12" s="4">
        <f>IF($B$8=0,0,IF(Z$2&gt;=$A12,IF(Z$2=$A12,($B12/$B$8)*$B$5,IF(Z$2&lt;=$A12+$B$8-1,$B12/$B$8,$B12-SUM($C12:Y12))),0))</f>
        <v>0</v>
      </c>
      <c r="AA12" s="4">
        <f>IF($B$8=0,0,IF(AA$2&gt;=$A12,IF(AA$2=$A12,($B12/$B$8)*$B$5,IF(AA$2&lt;=$A12+$B$8-1,$B12/$B$8,$B12-SUM($C12:Z12))),0))</f>
        <v>0</v>
      </c>
      <c r="AB12" s="4">
        <f>IF($B$8=0,0,IF(AB$2&gt;=$A12,IF(AB$2=$A12,($B12/$B$8)*$B$5,IF(AB$2&lt;=$A12+$B$8-1,$B12/$B$8,$B12-SUM($C12:AA12))),0))</f>
        <v>0</v>
      </c>
      <c r="AC12" s="4">
        <f>IF($B$8=0,0,IF(AC$2&gt;=$A12,IF(AC$2=$A12,($B12/$B$8)*$B$5,IF(AC$2&lt;=$A12+$B$8-1,$B12/$B$8,$B12-SUM($C12:AB12))),0))</f>
        <v>0</v>
      </c>
      <c r="AD12" s="4">
        <f>IF($B$8=0,0,IF(AD$2&gt;=$A12,IF(AD$2=$A12,($B12/$B$8)*$B$5,IF(AD$2&lt;=$A12+$B$8-1,$B12/$B$8,$B12-SUM($C12:AC12))),0))</f>
        <v>0</v>
      </c>
      <c r="AE12" s="4">
        <f>IF($B$8=0,0,IF(AE$2&gt;=$A12,IF(AE$2=$A12,($B12/$B$8)*$B$5,IF(AE$2&lt;=$A12+$B$8-1,$B12/$B$8,$B12-SUM($C12:AD12))),0))</f>
        <v>0</v>
      </c>
      <c r="AF12" s="4">
        <f>IF($B$8=0,0,IF(AF$2&gt;=$A12,IF(AF$2=$A12,($B12/$B$8)*$B$5,IF(AF$2&lt;=$A12+$B$8-1,$B12/$B$8,$B12-SUM($C12:AE12))),0))</f>
        <v>0</v>
      </c>
      <c r="AG12" s="4">
        <f t="shared" si="13"/>
        <v>0</v>
      </c>
    </row>
    <row r="13" spans="1:33">
      <c r="A13" s="6">
        <f t="shared" si="14"/>
        <v>2026</v>
      </c>
      <c r="B13" s="4">
        <f t="shared" si="12"/>
        <v>0</v>
      </c>
      <c r="C13" s="4">
        <f>IF($B$8=0,0,IF(C$2&gt;=$A13,IF(C$2=$A13,($B13/$B$8)*$B$5,IF(C$2&lt;=$A13+$B$8-1,$B13/$B$8,$B13-SUM(B13:$C13))),0))</f>
        <v>0</v>
      </c>
      <c r="D13" s="4">
        <f>IF($B$8=0,0,IF(D$2&gt;=$A13,IF(D$2=$A13,($B13/$B$8)*$B$5,IF(D$2&lt;=$A13+$B$8-1,$B13/$B$8,$B13-SUM(C13:$C13))),0))</f>
        <v>0</v>
      </c>
      <c r="E13" s="4">
        <f>IF($B$8=0,0,IF(E$2&gt;=$A13,IF(E$2=$A13,($B13/$B$8)*$B$5,IF(E$2&lt;=$A13+$B$8-1,$B13/$B$8,$B13-SUM($C13:D13))),0))</f>
        <v>0</v>
      </c>
      <c r="F13" s="4">
        <f>IF($B$8=0,0,IF(F$2&gt;=$A13,IF(F$2=$A13,($B13/$B$8)*$B$5,IF(F$2&lt;=$A13+$B$8-1,$B13/$B$8,$B13-SUM($C13:E13))),0))</f>
        <v>0</v>
      </c>
      <c r="G13" s="4">
        <f>IF($B$8=0,0,IF(G$2&gt;=$A13,IF(G$2=$A13,($B13/$B$8)*$B$5,IF(G$2&lt;=$A13+$B$8-1,$B13/$B$8,$B13-SUM($C13:F13))),0))</f>
        <v>0</v>
      </c>
      <c r="H13" s="4">
        <f>IF($B$8=0,0,IF(H$2&gt;=$A13,IF(H$2=$A13,($B13/$B$8)*$B$5,IF(H$2&lt;=$A13+$B$8-1,$B13/$B$8,$B13-SUM($C13:G13))),0))</f>
        <v>0</v>
      </c>
      <c r="I13" s="4">
        <f>IF($B$8=0,0,IF(I$2&gt;=$A13,IF(I$2=$A13,($B13/$B$8)*$B$5,IF(I$2&lt;=$A13+$B$8-1,$B13/$B$8,$B13-SUM($C13:H13))),0))</f>
        <v>0</v>
      </c>
      <c r="J13" s="4">
        <f>IF($B$8=0,0,IF(J$2&gt;=$A13,IF(J$2=$A13,($B13/$B$8)*$B$5,IF(J$2&lt;=$A13+$B$8-1,$B13/$B$8,$B13-SUM($C13:I13))),0))</f>
        <v>0</v>
      </c>
      <c r="K13" s="4">
        <f>IF($B$8=0,0,IF(K$2&gt;=$A13,IF(K$2=$A13,($B13/$B$8)*$B$5,IF(K$2&lt;=$A13+$B$8-1,$B13/$B$8,$B13-SUM($C13:J13))),0))</f>
        <v>0</v>
      </c>
      <c r="L13" s="4">
        <f>IF($B$8=0,0,IF(L$2&gt;=$A13,IF(L$2=$A13,($B13/$B$8)*$B$5,IF(L$2&lt;=$A13+$B$8-1,$B13/$B$8,$B13-SUM($C13:K13))),0))</f>
        <v>0</v>
      </c>
      <c r="M13" s="4">
        <f>IF($B$8=0,0,IF(M$2&gt;=$A13,IF(M$2=$A13,($B13/$B$8)*$B$5,IF(M$2&lt;=$A13+$B$8-1,$B13/$B$8,$B13-SUM($C13:L13))),0))</f>
        <v>0</v>
      </c>
      <c r="N13" s="4">
        <f>IF($B$8=0,0,IF(N$2&gt;=$A13,IF(N$2=$A13,($B13/$B$8)*$B$5,IF(N$2&lt;=$A13+$B$8-1,$B13/$B$8,$B13-SUM($C13:M13))),0))</f>
        <v>0</v>
      </c>
      <c r="O13" s="4">
        <f>IF($B$8=0,0,IF(O$2&gt;=$A13,IF(O$2=$A13,($B13/$B$8)*$B$5,IF(O$2&lt;=$A13+$B$8-1,$B13/$B$8,$B13-SUM($C13:N13))),0))</f>
        <v>0</v>
      </c>
      <c r="P13" s="4">
        <f>IF($B$8=0,0,IF(P$2&gt;=$A13,IF(P$2=$A13,($B13/$B$8)*$B$5,IF(P$2&lt;=$A13+$B$8-1,$B13/$B$8,$B13-SUM($C13:O13))),0))</f>
        <v>0</v>
      </c>
      <c r="Q13" s="4">
        <f>IF($B$8=0,0,IF(Q$2&gt;=$A13,IF(Q$2=$A13,($B13/$B$8)*$B$5,IF(Q$2&lt;=$A13+$B$8-1,$B13/$B$8,$B13-SUM($C13:P13))),0))</f>
        <v>0</v>
      </c>
      <c r="R13" s="4">
        <f>IF($B$8=0,0,IF(R$2&gt;=$A13,IF(R$2=$A13,($B13/$B$8)*$B$5,IF(R$2&lt;=$A13+$B$8-1,$B13/$B$8,$B13-SUM($C13:Q13))),0))</f>
        <v>0</v>
      </c>
      <c r="S13" s="4">
        <f>IF($B$8=0,0,IF(S$2&gt;=$A13,IF(S$2=$A13,($B13/$B$8)*$B$5,IF(S$2&lt;=$A13+$B$8-1,$B13/$B$8,$B13-SUM($C13:R13))),0))</f>
        <v>0</v>
      </c>
      <c r="T13" s="4">
        <f>IF($B$8=0,0,IF(T$2&gt;=$A13,IF(T$2=$A13,($B13/$B$8)*$B$5,IF(T$2&lt;=$A13+$B$8-1,$B13/$B$8,$B13-SUM($C13:S13))),0))</f>
        <v>0</v>
      </c>
      <c r="U13" s="4">
        <f>IF($B$8=0,0,IF(U$2&gt;=$A13,IF(U$2=$A13,($B13/$B$8)*$B$5,IF(U$2&lt;=$A13+$B$8-1,$B13/$B$8,$B13-SUM($C13:T13))),0))</f>
        <v>0</v>
      </c>
      <c r="V13" s="4">
        <f>IF($B$8=0,0,IF(V$2&gt;=$A13,IF(V$2=$A13,($B13/$B$8)*$B$5,IF(V$2&lt;=$A13+$B$8-1,$B13/$B$8,$B13-SUM($C13:U13))),0))</f>
        <v>0</v>
      </c>
      <c r="W13" s="4">
        <f>IF($B$8=0,0,IF(W$2&gt;=$A13,IF(W$2=$A13,($B13/$B$8)*$B$5,IF(W$2&lt;=$A13+$B$8-1,$B13/$B$8,$B13-SUM($C13:V13))),0))</f>
        <v>0</v>
      </c>
      <c r="X13" s="4">
        <f>IF($B$8=0,0,IF(X$2&gt;=$A13,IF(X$2=$A13,($B13/$B$8)*$B$5,IF(X$2&lt;=$A13+$B$8-1,$B13/$B$8,$B13-SUM($C13:W13))),0))</f>
        <v>0</v>
      </c>
      <c r="Y13" s="4">
        <f>IF($B$8=0,0,IF(Y$2&gt;=$A13,IF(Y$2=$A13,($B13/$B$8)*$B$5,IF(Y$2&lt;=$A13+$B$8-1,$B13/$B$8,$B13-SUM($C13:X13))),0))</f>
        <v>0</v>
      </c>
      <c r="Z13" s="4">
        <f>IF($B$8=0,0,IF(Z$2&gt;=$A13,IF(Z$2=$A13,($B13/$B$8)*$B$5,IF(Z$2&lt;=$A13+$B$8-1,$B13/$B$8,$B13-SUM($C13:Y13))),0))</f>
        <v>0</v>
      </c>
      <c r="AA13" s="4">
        <f>IF($B$8=0,0,IF(AA$2&gt;=$A13,IF(AA$2=$A13,($B13/$B$8)*$B$5,IF(AA$2&lt;=$A13+$B$8-1,$B13/$B$8,$B13-SUM($C13:Z13))),0))</f>
        <v>0</v>
      </c>
      <c r="AB13" s="4">
        <f>IF($B$8=0,0,IF(AB$2&gt;=$A13,IF(AB$2=$A13,($B13/$B$8)*$B$5,IF(AB$2&lt;=$A13+$B$8-1,$B13/$B$8,$B13-SUM($C13:AA13))),0))</f>
        <v>0</v>
      </c>
      <c r="AC13" s="4">
        <f>IF($B$8=0,0,IF(AC$2&gt;=$A13,IF(AC$2=$A13,($B13/$B$8)*$B$5,IF(AC$2&lt;=$A13+$B$8-1,$B13/$B$8,$B13-SUM($C13:AB13))),0))</f>
        <v>0</v>
      </c>
      <c r="AD13" s="4">
        <f>IF($B$8=0,0,IF(AD$2&gt;=$A13,IF(AD$2=$A13,($B13/$B$8)*$B$5,IF(AD$2&lt;=$A13+$B$8-1,$B13/$B$8,$B13-SUM($C13:AC13))),0))</f>
        <v>0</v>
      </c>
      <c r="AE13" s="4">
        <f>IF($B$8=0,0,IF(AE$2&gt;=$A13,IF(AE$2=$A13,($B13/$B$8)*$B$5,IF(AE$2&lt;=$A13+$B$8-1,$B13/$B$8,$B13-SUM($C13:AD13))),0))</f>
        <v>0</v>
      </c>
      <c r="AF13" s="4">
        <f>IF($B$8=0,0,IF(AF$2&gt;=$A13,IF(AF$2=$A13,($B13/$B$8)*$B$5,IF(AF$2&lt;=$A13+$B$8-1,$B13/$B$8,$B13-SUM($C13:AE13))),0))</f>
        <v>0</v>
      </c>
      <c r="AG13" s="4">
        <f t="shared" si="13"/>
        <v>0</v>
      </c>
    </row>
    <row r="14" spans="1:33">
      <c r="A14" s="6">
        <f t="shared" si="14"/>
        <v>2027</v>
      </c>
      <c r="B14" s="4">
        <f t="shared" si="12"/>
        <v>0</v>
      </c>
      <c r="C14" s="4">
        <f>IF($B$8=0,0,IF(C$2&gt;=$A14,IF(C$2=$A14,($B14/$B$8)*$B$5,IF(C$2&lt;=$A14+$B$8-1,$B14/$B$8,$B14-SUM(B14:$C14))),0))</f>
        <v>0</v>
      </c>
      <c r="D14" s="4">
        <f>IF($B$8=0,0,IF(D$2&gt;=$A14,IF(D$2=$A14,($B14/$B$8)*$B$5,IF(D$2&lt;=$A14+$B$8-1,$B14/$B$8,$B14-SUM(C14:$C14))),0))</f>
        <v>0</v>
      </c>
      <c r="E14" s="4">
        <f>IF($B$8=0,0,IF(E$2&gt;=$A14,IF(E$2=$A14,($B14/$B$8)*$B$5,IF(E$2&lt;=$A14+$B$8-1,$B14/$B$8,$B14-SUM($C14:D14))),0))</f>
        <v>0</v>
      </c>
      <c r="F14" s="4">
        <f>IF($B$8=0,0,IF(F$2&gt;=$A14,IF(F$2=$A14,($B14/$B$8)*$B$5,IF(F$2&lt;=$A14+$B$8-1,$B14/$B$8,$B14-SUM($C14:E14))),0))</f>
        <v>0</v>
      </c>
      <c r="G14" s="4">
        <f>IF($B$8=0,0,IF(G$2&gt;=$A14,IF(G$2=$A14,($B14/$B$8)*$B$5,IF(G$2&lt;=$A14+$B$8-1,$B14/$B$8,$B14-SUM($C14:F14))),0))</f>
        <v>0</v>
      </c>
      <c r="H14" s="4">
        <f>IF($B$8=0,0,IF(H$2&gt;=$A14,IF(H$2=$A14,($B14/$B$8)*$B$5,IF(H$2&lt;=$A14+$B$8-1,$B14/$B$8,$B14-SUM($C14:G14))),0))</f>
        <v>0</v>
      </c>
      <c r="I14" s="4">
        <f>IF($B$8=0,0,IF(I$2&gt;=$A14,IF(I$2=$A14,($B14/$B$8)*$B$5,IF(I$2&lt;=$A14+$B$8-1,$B14/$B$8,$B14-SUM($C14:H14))),0))</f>
        <v>0</v>
      </c>
      <c r="J14" s="4">
        <f>IF($B$8=0,0,IF(J$2&gt;=$A14,IF(J$2=$A14,($B14/$B$8)*$B$5,IF(J$2&lt;=$A14+$B$8-1,$B14/$B$8,$B14-SUM($C14:I14))),0))</f>
        <v>0</v>
      </c>
      <c r="K14" s="4">
        <f>IF($B$8=0,0,IF(K$2&gt;=$A14,IF(K$2=$A14,($B14/$B$8)*$B$5,IF(K$2&lt;=$A14+$B$8-1,$B14/$B$8,$B14-SUM($C14:J14))),0))</f>
        <v>0</v>
      </c>
      <c r="L14" s="4">
        <f>IF($B$8=0,0,IF(L$2&gt;=$A14,IF(L$2=$A14,($B14/$B$8)*$B$5,IF(L$2&lt;=$A14+$B$8-1,$B14/$B$8,$B14-SUM($C14:K14))),0))</f>
        <v>0</v>
      </c>
      <c r="M14" s="4">
        <f>IF($B$8=0,0,IF(M$2&gt;=$A14,IF(M$2=$A14,($B14/$B$8)*$B$5,IF(M$2&lt;=$A14+$B$8-1,$B14/$B$8,$B14-SUM($C14:L14))),0))</f>
        <v>0</v>
      </c>
      <c r="N14" s="4">
        <f>IF($B$8=0,0,IF(N$2&gt;=$A14,IF(N$2=$A14,($B14/$B$8)*$B$5,IF(N$2&lt;=$A14+$B$8-1,$B14/$B$8,$B14-SUM($C14:M14))),0))</f>
        <v>0</v>
      </c>
      <c r="O14" s="4">
        <f>IF($B$8=0,0,IF(O$2&gt;=$A14,IF(O$2=$A14,($B14/$B$8)*$B$5,IF(O$2&lt;=$A14+$B$8-1,$B14/$B$8,$B14-SUM($C14:N14))),0))</f>
        <v>0</v>
      </c>
      <c r="P14" s="4">
        <f>IF($B$8=0,0,IF(P$2&gt;=$A14,IF(P$2=$A14,($B14/$B$8)*$B$5,IF(P$2&lt;=$A14+$B$8-1,$B14/$B$8,$B14-SUM($C14:O14))),0))</f>
        <v>0</v>
      </c>
      <c r="Q14" s="4">
        <f>IF($B$8=0,0,IF(Q$2&gt;=$A14,IF(Q$2=$A14,($B14/$B$8)*$B$5,IF(Q$2&lt;=$A14+$B$8-1,$B14/$B$8,$B14-SUM($C14:P14))),0))</f>
        <v>0</v>
      </c>
      <c r="R14" s="4">
        <f>IF($B$8=0,0,IF(R$2&gt;=$A14,IF(R$2=$A14,($B14/$B$8)*$B$5,IF(R$2&lt;=$A14+$B$8-1,$B14/$B$8,$B14-SUM($C14:Q14))),0))</f>
        <v>0</v>
      </c>
      <c r="S14" s="4">
        <f>IF($B$8=0,0,IF(S$2&gt;=$A14,IF(S$2=$A14,($B14/$B$8)*$B$5,IF(S$2&lt;=$A14+$B$8-1,$B14/$B$8,$B14-SUM($C14:R14))),0))</f>
        <v>0</v>
      </c>
      <c r="T14" s="4">
        <f>IF($B$8=0,0,IF(T$2&gt;=$A14,IF(T$2=$A14,($B14/$B$8)*$B$5,IF(T$2&lt;=$A14+$B$8-1,$B14/$B$8,$B14-SUM($C14:S14))),0))</f>
        <v>0</v>
      </c>
      <c r="U14" s="4">
        <f>IF($B$8=0,0,IF(U$2&gt;=$A14,IF(U$2=$A14,($B14/$B$8)*$B$5,IF(U$2&lt;=$A14+$B$8-1,$B14/$B$8,$B14-SUM($C14:T14))),0))</f>
        <v>0</v>
      </c>
      <c r="V14" s="4">
        <f>IF($B$8=0,0,IF(V$2&gt;=$A14,IF(V$2=$A14,($B14/$B$8)*$B$5,IF(V$2&lt;=$A14+$B$8-1,$B14/$B$8,$B14-SUM($C14:U14))),0))</f>
        <v>0</v>
      </c>
      <c r="W14" s="4">
        <f>IF($B$8=0,0,IF(W$2&gt;=$A14,IF(W$2=$A14,($B14/$B$8)*$B$5,IF(W$2&lt;=$A14+$B$8-1,$B14/$B$8,$B14-SUM($C14:V14))),0))</f>
        <v>0</v>
      </c>
      <c r="X14" s="4">
        <f>IF($B$8=0,0,IF(X$2&gt;=$A14,IF(X$2=$A14,($B14/$B$8)*$B$5,IF(X$2&lt;=$A14+$B$8-1,$B14/$B$8,$B14-SUM($C14:W14))),0))</f>
        <v>0</v>
      </c>
      <c r="Y14" s="4">
        <f>IF($B$8=0,0,IF(Y$2&gt;=$A14,IF(Y$2=$A14,($B14/$B$8)*$B$5,IF(Y$2&lt;=$A14+$B$8-1,$B14/$B$8,$B14-SUM($C14:X14))),0))</f>
        <v>0</v>
      </c>
      <c r="Z14" s="4">
        <f>IF($B$8=0,0,IF(Z$2&gt;=$A14,IF(Z$2=$A14,($B14/$B$8)*$B$5,IF(Z$2&lt;=$A14+$B$8-1,$B14/$B$8,$B14-SUM($C14:Y14))),0))</f>
        <v>0</v>
      </c>
      <c r="AA14" s="4">
        <f>IF($B$8=0,0,IF(AA$2&gt;=$A14,IF(AA$2=$A14,($B14/$B$8)*$B$5,IF(AA$2&lt;=$A14+$B$8-1,$B14/$B$8,$B14-SUM($C14:Z14))),0))</f>
        <v>0</v>
      </c>
      <c r="AB14" s="4">
        <f>IF($B$8=0,0,IF(AB$2&gt;=$A14,IF(AB$2=$A14,($B14/$B$8)*$B$5,IF(AB$2&lt;=$A14+$B$8-1,$B14/$B$8,$B14-SUM($C14:AA14))),0))</f>
        <v>0</v>
      </c>
      <c r="AC14" s="4">
        <f>IF($B$8=0,0,IF(AC$2&gt;=$A14,IF(AC$2=$A14,($B14/$B$8)*$B$5,IF(AC$2&lt;=$A14+$B$8-1,$B14/$B$8,$B14-SUM($C14:AB14))),0))</f>
        <v>0</v>
      </c>
      <c r="AD14" s="4">
        <f>IF($B$8=0,0,IF(AD$2&gt;=$A14,IF(AD$2=$A14,($B14/$B$8)*$B$5,IF(AD$2&lt;=$A14+$B$8-1,$B14/$B$8,$B14-SUM($C14:AC14))),0))</f>
        <v>0</v>
      </c>
      <c r="AE14" s="4">
        <f>IF($B$8=0,0,IF(AE$2&gt;=$A14,IF(AE$2=$A14,($B14/$B$8)*$B$5,IF(AE$2&lt;=$A14+$B$8-1,$B14/$B$8,$B14-SUM($C14:AD14))),0))</f>
        <v>0</v>
      </c>
      <c r="AF14" s="4">
        <f>IF($B$8=0,0,IF(AF$2&gt;=$A14,IF(AF$2=$A14,($B14/$B$8)*$B$5,IF(AF$2&lt;=$A14+$B$8-1,$B14/$B$8,$B14-SUM($C14:AE14))),0))</f>
        <v>0</v>
      </c>
      <c r="AG14" s="4">
        <f t="shared" si="13"/>
        <v>0</v>
      </c>
    </row>
    <row r="15" spans="1:33">
      <c r="A15" s="6">
        <f t="shared" si="14"/>
        <v>2028</v>
      </c>
      <c r="B15" s="4">
        <f t="shared" si="12"/>
        <v>0</v>
      </c>
      <c r="C15" s="4">
        <f>IF($B$8=0,0,IF(C$2&gt;=$A15,IF(C$2=$A15,($B15/$B$8)*$B$5,IF(C$2&lt;=$A15+$B$8-1,$B15/$B$8,$B15-SUM(B15:$C15))),0))</f>
        <v>0</v>
      </c>
      <c r="D15" s="4">
        <f>IF($B$8=0,0,IF(D$2&gt;=$A15,IF(D$2=$A15,($B15/$B$8)*$B$5,IF(D$2&lt;=$A15+$B$8-1,$B15/$B$8,$B15-SUM(C15:$C15))),0))</f>
        <v>0</v>
      </c>
      <c r="E15" s="4">
        <f>IF($B$8=0,0,IF(E$2&gt;=$A15,IF(E$2=$A15,($B15/$B$8)*$B$5,IF(E$2&lt;=$A15+$B$8-1,$B15/$B$8,$B15-SUM($C15:D15))),0))</f>
        <v>0</v>
      </c>
      <c r="F15" s="4">
        <f>IF($B$8=0,0,IF(F$2&gt;=$A15,IF(F$2=$A15,($B15/$B$8)*$B$5,IF(F$2&lt;=$A15+$B$8-1,$B15/$B$8,$B15-SUM($C15:E15))),0))</f>
        <v>0</v>
      </c>
      <c r="G15" s="4">
        <f>IF($B$8=0,0,IF(G$2&gt;=$A15,IF(G$2=$A15,($B15/$B$8)*$B$5,IF(G$2&lt;=$A15+$B$8-1,$B15/$B$8,$B15-SUM($C15:F15))),0))</f>
        <v>0</v>
      </c>
      <c r="H15" s="4">
        <f>IF($B$8=0,0,IF(H$2&gt;=$A15,IF(H$2=$A15,($B15/$B$8)*$B$5,IF(H$2&lt;=$A15+$B$8-1,$B15/$B$8,$B15-SUM($C15:G15))),0))</f>
        <v>0</v>
      </c>
      <c r="I15" s="4">
        <f>IF($B$8=0,0,IF(I$2&gt;=$A15,IF(I$2=$A15,($B15/$B$8)*$B$5,IF(I$2&lt;=$A15+$B$8-1,$B15/$B$8,$B15-SUM($C15:H15))),0))</f>
        <v>0</v>
      </c>
      <c r="J15" s="4">
        <f>IF($B$8=0,0,IF(J$2&gt;=$A15,IF(J$2=$A15,($B15/$B$8)*$B$5,IF(J$2&lt;=$A15+$B$8-1,$B15/$B$8,$B15-SUM($C15:I15))),0))</f>
        <v>0</v>
      </c>
      <c r="K15" s="4">
        <f>IF($B$8=0,0,IF(K$2&gt;=$A15,IF(K$2=$A15,($B15/$B$8)*$B$5,IF(K$2&lt;=$A15+$B$8-1,$B15/$B$8,$B15-SUM($C15:J15))),0))</f>
        <v>0</v>
      </c>
      <c r="L15" s="4">
        <f>IF($B$8=0,0,IF(L$2&gt;=$A15,IF(L$2=$A15,($B15/$B$8)*$B$5,IF(L$2&lt;=$A15+$B$8-1,$B15/$B$8,$B15-SUM($C15:K15))),0))</f>
        <v>0</v>
      </c>
      <c r="M15" s="4">
        <f>IF($B$8=0,0,IF(M$2&gt;=$A15,IF(M$2=$A15,($B15/$B$8)*$B$5,IF(M$2&lt;=$A15+$B$8-1,$B15/$B$8,$B15-SUM($C15:L15))),0))</f>
        <v>0</v>
      </c>
      <c r="N15" s="4">
        <f>IF($B$8=0,0,IF(N$2&gt;=$A15,IF(N$2=$A15,($B15/$B$8)*$B$5,IF(N$2&lt;=$A15+$B$8-1,$B15/$B$8,$B15-SUM($C15:M15))),0))</f>
        <v>0</v>
      </c>
      <c r="O15" s="4">
        <f>IF($B$8=0,0,IF(O$2&gt;=$A15,IF(O$2=$A15,($B15/$B$8)*$B$5,IF(O$2&lt;=$A15+$B$8-1,$B15/$B$8,$B15-SUM($C15:N15))),0))</f>
        <v>0</v>
      </c>
      <c r="P15" s="4">
        <f>IF($B$8=0,0,IF(P$2&gt;=$A15,IF(P$2=$A15,($B15/$B$8)*$B$5,IF(P$2&lt;=$A15+$B$8-1,$B15/$B$8,$B15-SUM($C15:O15))),0))</f>
        <v>0</v>
      </c>
      <c r="Q15" s="4">
        <f>IF($B$8=0,0,IF(Q$2&gt;=$A15,IF(Q$2=$A15,($B15/$B$8)*$B$5,IF(Q$2&lt;=$A15+$B$8-1,$B15/$B$8,$B15-SUM($C15:P15))),0))</f>
        <v>0</v>
      </c>
      <c r="R15" s="4">
        <f>IF($B$8=0,0,IF(R$2&gt;=$A15,IF(R$2=$A15,($B15/$B$8)*$B$5,IF(R$2&lt;=$A15+$B$8-1,$B15/$B$8,$B15-SUM($C15:Q15))),0))</f>
        <v>0</v>
      </c>
      <c r="S15" s="4">
        <f>IF($B$8=0,0,IF(S$2&gt;=$A15,IF(S$2=$A15,($B15/$B$8)*$B$5,IF(S$2&lt;=$A15+$B$8-1,$B15/$B$8,$B15-SUM($C15:R15))),0))</f>
        <v>0</v>
      </c>
      <c r="T15" s="4">
        <f>IF($B$8=0,0,IF(T$2&gt;=$A15,IF(T$2=$A15,($B15/$B$8)*$B$5,IF(T$2&lt;=$A15+$B$8-1,$B15/$B$8,$B15-SUM($C15:S15))),0))</f>
        <v>0</v>
      </c>
      <c r="U15" s="4">
        <f>IF($B$8=0,0,IF(U$2&gt;=$A15,IF(U$2=$A15,($B15/$B$8)*$B$5,IF(U$2&lt;=$A15+$B$8-1,$B15/$B$8,$B15-SUM($C15:T15))),0))</f>
        <v>0</v>
      </c>
      <c r="V15" s="4">
        <f>IF($B$8=0,0,IF(V$2&gt;=$A15,IF(V$2=$A15,($B15/$B$8)*$B$5,IF(V$2&lt;=$A15+$B$8-1,$B15/$B$8,$B15-SUM($C15:U15))),0))</f>
        <v>0</v>
      </c>
      <c r="W15" s="4">
        <f>IF($B$8=0,0,IF(W$2&gt;=$A15,IF(W$2=$A15,($B15/$B$8)*$B$5,IF(W$2&lt;=$A15+$B$8-1,$B15/$B$8,$B15-SUM($C15:V15))),0))</f>
        <v>0</v>
      </c>
      <c r="X15" s="4">
        <f>IF($B$8=0,0,IF(X$2&gt;=$A15,IF(X$2=$A15,($B15/$B$8)*$B$5,IF(X$2&lt;=$A15+$B$8-1,$B15/$B$8,$B15-SUM($C15:W15))),0))</f>
        <v>0</v>
      </c>
      <c r="Y15" s="4">
        <f>IF($B$8=0,0,IF(Y$2&gt;=$A15,IF(Y$2=$A15,($B15/$B$8)*$B$5,IF(Y$2&lt;=$A15+$B$8-1,$B15/$B$8,$B15-SUM($C15:X15))),0))</f>
        <v>0</v>
      </c>
      <c r="Z15" s="4">
        <f>IF($B$8=0,0,IF(Z$2&gt;=$A15,IF(Z$2=$A15,($B15/$B$8)*$B$5,IF(Z$2&lt;=$A15+$B$8-1,$B15/$B$8,$B15-SUM($C15:Y15))),0))</f>
        <v>0</v>
      </c>
      <c r="AA15" s="4">
        <f>IF($B$8=0,0,IF(AA$2&gt;=$A15,IF(AA$2=$A15,($B15/$B$8)*$B$5,IF(AA$2&lt;=$A15+$B$8-1,$B15/$B$8,$B15-SUM($C15:Z15))),0))</f>
        <v>0</v>
      </c>
      <c r="AB15" s="4">
        <f>IF($B$8=0,0,IF(AB$2&gt;=$A15,IF(AB$2=$A15,($B15/$B$8)*$B$5,IF(AB$2&lt;=$A15+$B$8-1,$B15/$B$8,$B15-SUM($C15:AA15))),0))</f>
        <v>0</v>
      </c>
      <c r="AC15" s="4">
        <f>IF($B$8=0,0,IF(AC$2&gt;=$A15,IF(AC$2=$A15,($B15/$B$8)*$B$5,IF(AC$2&lt;=$A15+$B$8-1,$B15/$B$8,$B15-SUM($C15:AB15))),0))</f>
        <v>0</v>
      </c>
      <c r="AD15" s="4">
        <f>IF($B$8=0,0,IF(AD$2&gt;=$A15,IF(AD$2=$A15,($B15/$B$8)*$B$5,IF(AD$2&lt;=$A15+$B$8-1,$B15/$B$8,$B15-SUM($C15:AC15))),0))</f>
        <v>0</v>
      </c>
      <c r="AE15" s="4">
        <f>IF($B$8=0,0,IF(AE$2&gt;=$A15,IF(AE$2=$A15,($B15/$B$8)*$B$5,IF(AE$2&lt;=$A15+$B$8-1,$B15/$B$8,$B15-SUM($C15:AD15))),0))</f>
        <v>0</v>
      </c>
      <c r="AF15" s="4">
        <f>IF($B$8=0,0,IF(AF$2&gt;=$A15,IF(AF$2=$A15,($B15/$B$8)*$B$5,IF(AF$2&lt;=$A15+$B$8-1,$B15/$B$8,$B15-SUM($C15:AE15))),0))</f>
        <v>0</v>
      </c>
      <c r="AG15" s="4">
        <f t="shared" si="13"/>
        <v>0</v>
      </c>
    </row>
    <row r="16" spans="1:33">
      <c r="A16" s="6">
        <f t="shared" si="14"/>
        <v>2029</v>
      </c>
      <c r="B16" s="4">
        <f t="shared" si="12"/>
        <v>0</v>
      </c>
      <c r="C16" s="4">
        <f>IF($B$8=0,0,IF(C$2&gt;=$A16,IF(C$2=$A16,($B16/$B$8)*$B$5,IF(C$2&lt;=$A16+$B$8-1,$B16/$B$8,$B16-SUM(B16:$C16))),0))</f>
        <v>0</v>
      </c>
      <c r="D16" s="4">
        <f>IF($B$8=0,0,IF(D$2&gt;=$A16,IF(D$2=$A16,($B16/$B$8)*$B$5,IF(D$2&lt;=$A16+$B$8-1,$B16/$B$8,$B16-SUM(C16:$C16))),0))</f>
        <v>0</v>
      </c>
      <c r="E16" s="4">
        <f>IF($B$8=0,0,IF(E$2&gt;=$A16,IF(E$2=$A16,($B16/$B$8)*$B$5,IF(E$2&lt;=$A16+$B$8-1,$B16/$B$8,$B16-SUM($C16:D16))),0))</f>
        <v>0</v>
      </c>
      <c r="F16" s="4">
        <f>IF($B$8=0,0,IF(F$2&gt;=$A16,IF(F$2=$A16,($B16/$B$8)*$B$5,IF(F$2&lt;=$A16+$B$8-1,$B16/$B$8,$B16-SUM($C16:E16))),0))</f>
        <v>0</v>
      </c>
      <c r="G16" s="4">
        <f>IF($B$8=0,0,IF(G$2&gt;=$A16,IF(G$2=$A16,($B16/$B$8)*$B$5,IF(G$2&lt;=$A16+$B$8-1,$B16/$B$8,$B16-SUM($C16:F16))),0))</f>
        <v>0</v>
      </c>
      <c r="H16" s="4">
        <f>IF($B$8=0,0,IF(H$2&gt;=$A16,IF(H$2=$A16,($B16/$B$8)*$B$5,IF(H$2&lt;=$A16+$B$8-1,$B16/$B$8,$B16-SUM($C16:G16))),0))</f>
        <v>0</v>
      </c>
      <c r="I16" s="4">
        <f>IF($B$8=0,0,IF(I$2&gt;=$A16,IF(I$2=$A16,($B16/$B$8)*$B$5,IF(I$2&lt;=$A16+$B$8-1,$B16/$B$8,$B16-SUM($C16:H16))),0))</f>
        <v>0</v>
      </c>
      <c r="J16" s="4">
        <f>IF($B$8=0,0,IF(J$2&gt;=$A16,IF(J$2=$A16,($B16/$B$8)*$B$5,IF(J$2&lt;=$A16+$B$8-1,$B16/$B$8,$B16-SUM($C16:I16))),0))</f>
        <v>0</v>
      </c>
      <c r="K16" s="4">
        <f>IF($B$8=0,0,IF(K$2&gt;=$A16,IF(K$2=$A16,($B16/$B$8)*$B$5,IF(K$2&lt;=$A16+$B$8-1,$B16/$B$8,$B16-SUM($C16:J16))),0))</f>
        <v>0</v>
      </c>
      <c r="L16" s="4">
        <f>IF($B$8=0,0,IF(L$2&gt;=$A16,IF(L$2=$A16,($B16/$B$8)*$B$5,IF(L$2&lt;=$A16+$B$8-1,$B16/$B$8,$B16-SUM($C16:K16))),0))</f>
        <v>0</v>
      </c>
      <c r="M16" s="4">
        <f>IF($B$8=0,0,IF(M$2&gt;=$A16,IF(M$2=$A16,($B16/$B$8)*$B$5,IF(M$2&lt;=$A16+$B$8-1,$B16/$B$8,$B16-SUM($C16:L16))),0))</f>
        <v>0</v>
      </c>
      <c r="N16" s="4">
        <f>IF($B$8=0,0,IF(N$2&gt;=$A16,IF(N$2=$A16,($B16/$B$8)*$B$5,IF(N$2&lt;=$A16+$B$8-1,$B16/$B$8,$B16-SUM($C16:M16))),0))</f>
        <v>0</v>
      </c>
      <c r="O16" s="4">
        <f>IF($B$8=0,0,IF(O$2&gt;=$A16,IF(O$2=$A16,($B16/$B$8)*$B$5,IF(O$2&lt;=$A16+$B$8-1,$B16/$B$8,$B16-SUM($C16:N16))),0))</f>
        <v>0</v>
      </c>
      <c r="P16" s="4">
        <f>IF($B$8=0,0,IF(P$2&gt;=$A16,IF(P$2=$A16,($B16/$B$8)*$B$5,IF(P$2&lt;=$A16+$B$8-1,$B16/$B$8,$B16-SUM($C16:O16))),0))</f>
        <v>0</v>
      </c>
      <c r="Q16" s="4">
        <f>IF($B$8=0,0,IF(Q$2&gt;=$A16,IF(Q$2=$A16,($B16/$B$8)*$B$5,IF(Q$2&lt;=$A16+$B$8-1,$B16/$B$8,$B16-SUM($C16:P16))),0))</f>
        <v>0</v>
      </c>
      <c r="R16" s="4">
        <f>IF($B$8=0,0,IF(R$2&gt;=$A16,IF(R$2=$A16,($B16/$B$8)*$B$5,IF(R$2&lt;=$A16+$B$8-1,$B16/$B$8,$B16-SUM($C16:Q16))),0))</f>
        <v>0</v>
      </c>
      <c r="S16" s="4">
        <f>IF($B$8=0,0,IF(S$2&gt;=$A16,IF(S$2=$A16,($B16/$B$8)*$B$5,IF(S$2&lt;=$A16+$B$8-1,$B16/$B$8,$B16-SUM($C16:R16))),0))</f>
        <v>0</v>
      </c>
      <c r="T16" s="4">
        <f>IF($B$8=0,0,IF(T$2&gt;=$A16,IF(T$2=$A16,($B16/$B$8)*$B$5,IF(T$2&lt;=$A16+$B$8-1,$B16/$B$8,$B16-SUM($C16:S16))),0))</f>
        <v>0</v>
      </c>
      <c r="U16" s="4">
        <f>IF($B$8=0,0,IF(U$2&gt;=$A16,IF(U$2=$A16,($B16/$B$8)*$B$5,IF(U$2&lt;=$A16+$B$8-1,$B16/$B$8,$B16-SUM($C16:T16))),0))</f>
        <v>0</v>
      </c>
      <c r="V16" s="4">
        <f>IF($B$8=0,0,IF(V$2&gt;=$A16,IF(V$2=$A16,($B16/$B$8)*$B$5,IF(V$2&lt;=$A16+$B$8-1,$B16/$B$8,$B16-SUM($C16:U16))),0))</f>
        <v>0</v>
      </c>
      <c r="W16" s="4">
        <f>IF($B$8=0,0,IF(W$2&gt;=$A16,IF(W$2=$A16,($B16/$B$8)*$B$5,IF(W$2&lt;=$A16+$B$8-1,$B16/$B$8,$B16-SUM($C16:V16))),0))</f>
        <v>0</v>
      </c>
      <c r="X16" s="4">
        <f>IF($B$8=0,0,IF(X$2&gt;=$A16,IF(X$2=$A16,($B16/$B$8)*$B$5,IF(X$2&lt;=$A16+$B$8-1,$B16/$B$8,$B16-SUM($C16:W16))),0))</f>
        <v>0</v>
      </c>
      <c r="Y16" s="4">
        <f>IF($B$8=0,0,IF(Y$2&gt;=$A16,IF(Y$2=$A16,($B16/$B$8)*$B$5,IF(Y$2&lt;=$A16+$B$8-1,$B16/$B$8,$B16-SUM($C16:X16))),0))</f>
        <v>0</v>
      </c>
      <c r="Z16" s="4">
        <f>IF($B$8=0,0,IF(Z$2&gt;=$A16,IF(Z$2=$A16,($B16/$B$8)*$B$5,IF(Z$2&lt;=$A16+$B$8-1,$B16/$B$8,$B16-SUM($C16:Y16))),0))</f>
        <v>0</v>
      </c>
      <c r="AA16" s="4">
        <f>IF($B$8=0,0,IF(AA$2&gt;=$A16,IF(AA$2=$A16,($B16/$B$8)*$B$5,IF(AA$2&lt;=$A16+$B$8-1,$B16/$B$8,$B16-SUM($C16:Z16))),0))</f>
        <v>0</v>
      </c>
      <c r="AB16" s="4">
        <f>IF($B$8=0,0,IF(AB$2&gt;=$A16,IF(AB$2=$A16,($B16/$B$8)*$B$5,IF(AB$2&lt;=$A16+$B$8-1,$B16/$B$8,$B16-SUM($C16:AA16))),0))</f>
        <v>0</v>
      </c>
      <c r="AC16" s="4">
        <f>IF($B$8=0,0,IF(AC$2&gt;=$A16,IF(AC$2=$A16,($B16/$B$8)*$B$5,IF(AC$2&lt;=$A16+$B$8-1,$B16/$B$8,$B16-SUM($C16:AB16))),0))</f>
        <v>0</v>
      </c>
      <c r="AD16" s="4">
        <f>IF($B$8=0,0,IF(AD$2&gt;=$A16,IF(AD$2=$A16,($B16/$B$8)*$B$5,IF(AD$2&lt;=$A16+$B$8-1,$B16/$B$8,$B16-SUM($C16:AC16))),0))</f>
        <v>0</v>
      </c>
      <c r="AE16" s="4">
        <f>IF($B$8=0,0,IF(AE$2&gt;=$A16,IF(AE$2=$A16,($B16/$B$8)*$B$5,IF(AE$2&lt;=$A16+$B$8-1,$B16/$B$8,$B16-SUM($C16:AD16))),0))</f>
        <v>0</v>
      </c>
      <c r="AF16" s="4">
        <f>IF($B$8=0,0,IF(AF$2&gt;=$A16,IF(AF$2=$A16,($B16/$B$8)*$B$5,IF(AF$2&lt;=$A16+$B$8-1,$B16/$B$8,$B16-SUM($C16:AE16))),0))</f>
        <v>0</v>
      </c>
      <c r="AG16" s="4">
        <f t="shared" si="13"/>
        <v>0</v>
      </c>
    </row>
    <row r="17" spans="1:33">
      <c r="A17" s="6">
        <f t="shared" si="14"/>
        <v>2030</v>
      </c>
      <c r="B17" s="4">
        <f t="shared" si="12"/>
        <v>0</v>
      </c>
      <c r="C17" s="4">
        <f>IF($B$8=0,0,IF(C$2&gt;=$A17,IF(C$2=$A17,($B17/$B$8)*$B$5,IF(C$2&lt;=$A17+$B$8-1,$B17/$B$8,$B17-SUM(B17:$C17))),0))</f>
        <v>0</v>
      </c>
      <c r="D17" s="4">
        <f>IF($B$8=0,0,IF(D$2&gt;=$A17,IF(D$2=$A17,($B17/$B$8)*$B$5,IF(D$2&lt;=$A17+$B$8-1,$B17/$B$8,$B17-SUM(C17:$C17))),0))</f>
        <v>0</v>
      </c>
      <c r="E17" s="4">
        <f>IF($B$8=0,0,IF(E$2&gt;=$A17,IF(E$2=$A17,($B17/$B$8)*$B$5,IF(E$2&lt;=$A17+$B$8-1,$B17/$B$8,$B17-SUM($C17:D17))),0))</f>
        <v>0</v>
      </c>
      <c r="F17" s="4">
        <f>IF($B$8=0,0,IF(F$2&gt;=$A17,IF(F$2=$A17,($B17/$B$8)*$B$5,IF(F$2&lt;=$A17+$B$8-1,$B17/$B$8,$B17-SUM($C17:E17))),0))</f>
        <v>0</v>
      </c>
      <c r="G17" s="4">
        <f>IF($B$8=0,0,IF(G$2&gt;=$A17,IF(G$2=$A17,($B17/$B$8)*$B$5,IF(G$2&lt;=$A17+$B$8-1,$B17/$B$8,$B17-SUM($C17:F17))),0))</f>
        <v>0</v>
      </c>
      <c r="H17" s="4">
        <f>IF($B$8=0,0,IF(H$2&gt;=$A17,IF(H$2=$A17,($B17/$B$8)*$B$5,IF(H$2&lt;=$A17+$B$8-1,$B17/$B$8,$B17-SUM($C17:G17))),0))</f>
        <v>0</v>
      </c>
      <c r="I17" s="4">
        <f>IF($B$8=0,0,IF(I$2&gt;=$A17,IF(I$2=$A17,($B17/$B$8)*$B$5,IF(I$2&lt;=$A17+$B$8-1,$B17/$B$8,$B17-SUM($C17:H17))),0))</f>
        <v>0</v>
      </c>
      <c r="J17" s="4">
        <f>IF($B$8=0,0,IF(J$2&gt;=$A17,IF(J$2=$A17,($B17/$B$8)*$B$5,IF(J$2&lt;=$A17+$B$8-1,$B17/$B$8,$B17-SUM($C17:I17))),0))</f>
        <v>0</v>
      </c>
      <c r="K17" s="4">
        <f>IF($B$8=0,0,IF(K$2&gt;=$A17,IF(K$2=$A17,($B17/$B$8)*$B$5,IF(K$2&lt;=$A17+$B$8-1,$B17/$B$8,$B17-SUM($C17:J17))),0))</f>
        <v>0</v>
      </c>
      <c r="L17" s="4">
        <f>IF($B$8=0,0,IF(L$2&gt;=$A17,IF(L$2=$A17,($B17/$B$8)*$B$5,IF(L$2&lt;=$A17+$B$8-1,$B17/$B$8,$B17-SUM($C17:K17))),0))</f>
        <v>0</v>
      </c>
      <c r="M17" s="4">
        <f>IF($B$8=0,0,IF(M$2&gt;=$A17,IF(M$2=$A17,($B17/$B$8)*$B$5,IF(M$2&lt;=$A17+$B$8-1,$B17/$B$8,$B17-SUM($C17:L17))),0))</f>
        <v>0</v>
      </c>
      <c r="N17" s="4">
        <f>IF($B$8=0,0,IF(N$2&gt;=$A17,IF(N$2=$A17,($B17/$B$8)*$B$5,IF(N$2&lt;=$A17+$B$8-1,$B17/$B$8,$B17-SUM($C17:M17))),0))</f>
        <v>0</v>
      </c>
      <c r="O17" s="4">
        <f>IF($B$8=0,0,IF(O$2&gt;=$A17,IF(O$2=$A17,($B17/$B$8)*$B$5,IF(O$2&lt;=$A17+$B$8-1,$B17/$B$8,$B17-SUM($C17:N17))),0))</f>
        <v>0</v>
      </c>
      <c r="P17" s="4">
        <f>IF($B$8=0,0,IF(P$2&gt;=$A17,IF(P$2=$A17,($B17/$B$8)*$B$5,IF(P$2&lt;=$A17+$B$8-1,$B17/$B$8,$B17-SUM($C17:O17))),0))</f>
        <v>0</v>
      </c>
      <c r="Q17" s="4">
        <f>IF($B$8=0,0,IF(Q$2&gt;=$A17,IF(Q$2=$A17,($B17/$B$8)*$B$5,IF(Q$2&lt;=$A17+$B$8-1,$B17/$B$8,$B17-SUM($C17:P17))),0))</f>
        <v>0</v>
      </c>
      <c r="R17" s="4">
        <f>IF($B$8=0,0,IF(R$2&gt;=$A17,IF(R$2=$A17,($B17/$B$8)*$B$5,IF(R$2&lt;=$A17+$B$8-1,$B17/$B$8,$B17-SUM($C17:Q17))),0))</f>
        <v>0</v>
      </c>
      <c r="S17" s="4">
        <f>IF($B$8=0,0,IF(S$2&gt;=$A17,IF(S$2=$A17,($B17/$B$8)*$B$5,IF(S$2&lt;=$A17+$B$8-1,$B17/$B$8,$B17-SUM($C17:R17))),0))</f>
        <v>0</v>
      </c>
      <c r="T17" s="4">
        <f>IF($B$8=0,0,IF(T$2&gt;=$A17,IF(T$2=$A17,($B17/$B$8)*$B$5,IF(T$2&lt;=$A17+$B$8-1,$B17/$B$8,$B17-SUM($C17:S17))),0))</f>
        <v>0</v>
      </c>
      <c r="U17" s="4">
        <f>IF($B$8=0,0,IF(U$2&gt;=$A17,IF(U$2=$A17,($B17/$B$8)*$B$5,IF(U$2&lt;=$A17+$B$8-1,$B17/$B$8,$B17-SUM($C17:T17))),0))</f>
        <v>0</v>
      </c>
      <c r="V17" s="4">
        <f>IF($B$8=0,0,IF(V$2&gt;=$A17,IF(V$2=$A17,($B17/$B$8)*$B$5,IF(V$2&lt;=$A17+$B$8-1,$B17/$B$8,$B17-SUM($C17:U17))),0))</f>
        <v>0</v>
      </c>
      <c r="W17" s="4">
        <f>IF($B$8=0,0,IF(W$2&gt;=$A17,IF(W$2=$A17,($B17/$B$8)*$B$5,IF(W$2&lt;=$A17+$B$8-1,$B17/$B$8,$B17-SUM($C17:V17))),0))</f>
        <v>0</v>
      </c>
      <c r="X17" s="4">
        <f>IF($B$8=0,0,IF(X$2&gt;=$A17,IF(X$2=$A17,($B17/$B$8)*$B$5,IF(X$2&lt;=$A17+$B$8-1,$B17/$B$8,$B17-SUM($C17:W17))),0))</f>
        <v>0</v>
      </c>
      <c r="Y17" s="4">
        <f>IF($B$8=0,0,IF(Y$2&gt;=$A17,IF(Y$2=$A17,($B17/$B$8)*$B$5,IF(Y$2&lt;=$A17+$B$8-1,$B17/$B$8,$B17-SUM($C17:X17))),0))</f>
        <v>0</v>
      </c>
      <c r="Z17" s="4">
        <f>IF($B$8=0,0,IF(Z$2&gt;=$A17,IF(Z$2=$A17,($B17/$B$8)*$B$5,IF(Z$2&lt;=$A17+$B$8-1,$B17/$B$8,$B17-SUM($C17:Y17))),0))</f>
        <v>0</v>
      </c>
      <c r="AA17" s="4">
        <f>IF($B$8=0,0,IF(AA$2&gt;=$A17,IF(AA$2=$A17,($B17/$B$8)*$B$5,IF(AA$2&lt;=$A17+$B$8-1,$B17/$B$8,$B17-SUM($C17:Z17))),0))</f>
        <v>0</v>
      </c>
      <c r="AB17" s="4">
        <f>IF($B$8=0,0,IF(AB$2&gt;=$A17,IF(AB$2=$A17,($B17/$B$8)*$B$5,IF(AB$2&lt;=$A17+$B$8-1,$B17/$B$8,$B17-SUM($C17:AA17))),0))</f>
        <v>0</v>
      </c>
      <c r="AC17" s="4">
        <f>IF($B$8=0,0,IF(AC$2&gt;=$A17,IF(AC$2=$A17,($B17/$B$8)*$B$5,IF(AC$2&lt;=$A17+$B$8-1,$B17/$B$8,$B17-SUM($C17:AB17))),0))</f>
        <v>0</v>
      </c>
      <c r="AD17" s="4">
        <f>IF($B$8=0,0,IF(AD$2&gt;=$A17,IF(AD$2=$A17,($B17/$B$8)*$B$5,IF(AD$2&lt;=$A17+$B$8-1,$B17/$B$8,$B17-SUM($C17:AC17))),0))</f>
        <v>0</v>
      </c>
      <c r="AE17" s="4">
        <f>IF($B$8=0,0,IF(AE$2&gt;=$A17,IF(AE$2=$A17,($B17/$B$8)*$B$5,IF(AE$2&lt;=$A17+$B$8-1,$B17/$B$8,$B17-SUM($C17:AD17))),0))</f>
        <v>0</v>
      </c>
      <c r="AF17" s="4">
        <f>IF($B$8=0,0,IF(AF$2&gt;=$A17,IF(AF$2=$A17,($B17/$B$8)*$B$5,IF(AF$2&lt;=$A17+$B$8-1,$B17/$B$8,$B17-SUM($C17:AE17))),0))</f>
        <v>0</v>
      </c>
      <c r="AG17" s="4">
        <f t="shared" si="13"/>
        <v>0</v>
      </c>
    </row>
    <row r="18" spans="1:33">
      <c r="A18" s="6">
        <f t="shared" si="14"/>
        <v>2031</v>
      </c>
      <c r="B18" s="4">
        <f t="shared" si="12"/>
        <v>0</v>
      </c>
      <c r="C18" s="4">
        <f>IF($B$8=0,0,IF(C$2&gt;=$A18,IF(C$2=$A18,($B18/$B$8)*$B$5,IF(C$2&lt;=$A18+$B$8-1,$B18/$B$8,$B18-SUM(B18:$C18))),0))</f>
        <v>0</v>
      </c>
      <c r="D18" s="4">
        <f>IF($B$8=0,0,IF(D$2&gt;=$A18,IF(D$2=$A18,($B18/$B$8)*$B$5,IF(D$2&lt;=$A18+$B$8-1,$B18/$B$8,$B18-SUM(C18:$C18))),0))</f>
        <v>0</v>
      </c>
      <c r="E18" s="4">
        <f>IF($B$8=0,0,IF(E$2&gt;=$A18,IF(E$2=$A18,($B18/$B$8)*$B$5,IF(E$2&lt;=$A18+$B$8-1,$B18/$B$8,$B18-SUM($C18:D18))),0))</f>
        <v>0</v>
      </c>
      <c r="F18" s="4">
        <f>IF($B$8=0,0,IF(F$2&gt;=$A18,IF(F$2=$A18,($B18/$B$8)*$B$5,IF(F$2&lt;=$A18+$B$8-1,$B18/$B$8,$B18-SUM($C18:E18))),0))</f>
        <v>0</v>
      </c>
      <c r="G18" s="4">
        <f>IF($B$8=0,0,IF(G$2&gt;=$A18,IF(G$2=$A18,($B18/$B$8)*$B$5,IF(G$2&lt;=$A18+$B$8-1,$B18/$B$8,$B18-SUM($C18:F18))),0))</f>
        <v>0</v>
      </c>
      <c r="H18" s="4">
        <f>IF($B$8=0,0,IF(H$2&gt;=$A18,IF(H$2=$A18,($B18/$B$8)*$B$5,IF(H$2&lt;=$A18+$B$8-1,$B18/$B$8,$B18-SUM($C18:G18))),0))</f>
        <v>0</v>
      </c>
      <c r="I18" s="4">
        <f>IF($B$8=0,0,IF(I$2&gt;=$A18,IF(I$2=$A18,($B18/$B$8)*$B$5,IF(I$2&lt;=$A18+$B$8-1,$B18/$B$8,$B18-SUM($C18:H18))),0))</f>
        <v>0</v>
      </c>
      <c r="J18" s="4">
        <f>IF($B$8=0,0,IF(J$2&gt;=$A18,IF(J$2=$A18,($B18/$B$8)*$B$5,IF(J$2&lt;=$A18+$B$8-1,$B18/$B$8,$B18-SUM($C18:I18))),0))</f>
        <v>0</v>
      </c>
      <c r="K18" s="4">
        <f>IF($B$8=0,0,IF(K$2&gt;=$A18,IF(K$2=$A18,($B18/$B$8)*$B$5,IF(K$2&lt;=$A18+$B$8-1,$B18/$B$8,$B18-SUM($C18:J18))),0))</f>
        <v>0</v>
      </c>
      <c r="L18" s="4">
        <f>IF($B$8=0,0,IF(L$2&gt;=$A18,IF(L$2=$A18,($B18/$B$8)*$B$5,IF(L$2&lt;=$A18+$B$8-1,$B18/$B$8,$B18-SUM($C18:K18))),0))</f>
        <v>0</v>
      </c>
      <c r="M18" s="4">
        <f>IF($B$8=0,0,IF(M$2&gt;=$A18,IF(M$2=$A18,($B18/$B$8)*$B$5,IF(M$2&lt;=$A18+$B$8-1,$B18/$B$8,$B18-SUM($C18:L18))),0))</f>
        <v>0</v>
      </c>
      <c r="N18" s="4">
        <f>IF($B$8=0,0,IF(N$2&gt;=$A18,IF(N$2=$A18,($B18/$B$8)*$B$5,IF(N$2&lt;=$A18+$B$8-1,$B18/$B$8,$B18-SUM($C18:M18))),0))</f>
        <v>0</v>
      </c>
      <c r="O18" s="4">
        <f>IF($B$8=0,0,IF(O$2&gt;=$A18,IF(O$2=$A18,($B18/$B$8)*$B$5,IF(O$2&lt;=$A18+$B$8-1,$B18/$B$8,$B18-SUM($C18:N18))),0))</f>
        <v>0</v>
      </c>
      <c r="P18" s="4">
        <f>IF($B$8=0,0,IF(P$2&gt;=$A18,IF(P$2=$A18,($B18/$B$8)*$B$5,IF(P$2&lt;=$A18+$B$8-1,$B18/$B$8,$B18-SUM($C18:O18))),0))</f>
        <v>0</v>
      </c>
      <c r="Q18" s="4">
        <f>IF($B$8=0,0,IF(Q$2&gt;=$A18,IF(Q$2=$A18,($B18/$B$8)*$B$5,IF(Q$2&lt;=$A18+$B$8-1,$B18/$B$8,$B18-SUM($C18:P18))),0))</f>
        <v>0</v>
      </c>
      <c r="R18" s="4">
        <f>IF($B$8=0,0,IF(R$2&gt;=$A18,IF(R$2=$A18,($B18/$B$8)*$B$5,IF(R$2&lt;=$A18+$B$8-1,$B18/$B$8,$B18-SUM($C18:Q18))),0))</f>
        <v>0</v>
      </c>
      <c r="S18" s="4">
        <f>IF($B$8=0,0,IF(S$2&gt;=$A18,IF(S$2=$A18,($B18/$B$8)*$B$5,IF(S$2&lt;=$A18+$B$8-1,$B18/$B$8,$B18-SUM($C18:R18))),0))</f>
        <v>0</v>
      </c>
      <c r="T18" s="4">
        <f>IF($B$8=0,0,IF(T$2&gt;=$A18,IF(T$2=$A18,($B18/$B$8)*$B$5,IF(T$2&lt;=$A18+$B$8-1,$B18/$B$8,$B18-SUM($C18:S18))),0))</f>
        <v>0</v>
      </c>
      <c r="U18" s="4">
        <f>IF($B$8=0,0,IF(U$2&gt;=$A18,IF(U$2=$A18,($B18/$B$8)*$B$5,IF(U$2&lt;=$A18+$B$8-1,$B18/$B$8,$B18-SUM($C18:T18))),0))</f>
        <v>0</v>
      </c>
      <c r="V18" s="4">
        <f>IF($B$8=0,0,IF(V$2&gt;=$A18,IF(V$2=$A18,($B18/$B$8)*$B$5,IF(V$2&lt;=$A18+$B$8-1,$B18/$B$8,$B18-SUM($C18:U18))),0))</f>
        <v>0</v>
      </c>
      <c r="W18" s="4">
        <f>IF($B$8=0,0,IF(W$2&gt;=$A18,IF(W$2=$A18,($B18/$B$8)*$B$5,IF(W$2&lt;=$A18+$B$8-1,$B18/$B$8,$B18-SUM($C18:V18))),0))</f>
        <v>0</v>
      </c>
      <c r="X18" s="4">
        <f>IF($B$8=0,0,IF(X$2&gt;=$A18,IF(X$2=$A18,($B18/$B$8)*$B$5,IF(X$2&lt;=$A18+$B$8-1,$B18/$B$8,$B18-SUM($C18:W18))),0))</f>
        <v>0</v>
      </c>
      <c r="Y18" s="4">
        <f>IF($B$8=0,0,IF(Y$2&gt;=$A18,IF(Y$2=$A18,($B18/$B$8)*$B$5,IF(Y$2&lt;=$A18+$B$8-1,$B18/$B$8,$B18-SUM($C18:X18))),0))</f>
        <v>0</v>
      </c>
      <c r="Z18" s="4">
        <f>IF($B$8=0,0,IF(Z$2&gt;=$A18,IF(Z$2=$A18,($B18/$B$8)*$B$5,IF(Z$2&lt;=$A18+$B$8-1,$B18/$B$8,$B18-SUM($C18:Y18))),0))</f>
        <v>0</v>
      </c>
      <c r="AA18" s="4">
        <f>IF($B$8=0,0,IF(AA$2&gt;=$A18,IF(AA$2=$A18,($B18/$B$8)*$B$5,IF(AA$2&lt;=$A18+$B$8-1,$B18/$B$8,$B18-SUM($C18:Z18))),0))</f>
        <v>0</v>
      </c>
      <c r="AB18" s="4">
        <f>IF($B$8=0,0,IF(AB$2&gt;=$A18,IF(AB$2=$A18,($B18/$B$8)*$B$5,IF(AB$2&lt;=$A18+$B$8-1,$B18/$B$8,$B18-SUM($C18:AA18))),0))</f>
        <v>0</v>
      </c>
      <c r="AC18" s="4">
        <f>IF($B$8=0,0,IF(AC$2&gt;=$A18,IF(AC$2=$A18,($B18/$B$8)*$B$5,IF(AC$2&lt;=$A18+$B$8-1,$B18/$B$8,$B18-SUM($C18:AB18))),0))</f>
        <v>0</v>
      </c>
      <c r="AD18" s="4">
        <f>IF($B$8=0,0,IF(AD$2&gt;=$A18,IF(AD$2=$A18,($B18/$B$8)*$B$5,IF(AD$2&lt;=$A18+$B$8-1,$B18/$B$8,$B18-SUM($C18:AC18))),0))</f>
        <v>0</v>
      </c>
      <c r="AE18" s="4">
        <f>IF($B$8=0,0,IF(AE$2&gt;=$A18,IF(AE$2=$A18,($B18/$B$8)*$B$5,IF(AE$2&lt;=$A18+$B$8-1,$B18/$B$8,$B18-SUM($C18:AD18))),0))</f>
        <v>0</v>
      </c>
      <c r="AF18" s="4">
        <f>IF($B$8=0,0,IF(AF$2&gt;=$A18,IF(AF$2=$A18,($B18/$B$8)*$B$5,IF(AF$2&lt;=$A18+$B$8-1,$B18/$B$8,$B18-SUM($C18:AE18))),0))</f>
        <v>0</v>
      </c>
      <c r="AG18" s="4">
        <f t="shared" si="13"/>
        <v>0</v>
      </c>
    </row>
    <row r="19" spans="1:33">
      <c r="A19" s="6">
        <f t="shared" si="14"/>
        <v>2032</v>
      </c>
      <c r="B19" s="4">
        <f t="shared" si="12"/>
        <v>0</v>
      </c>
      <c r="C19" s="4">
        <f>IF($B$8=0,0,IF(C$2&gt;=$A19,IF(C$2=$A19,($B19/$B$8)*$B$5,IF(C$2&lt;=$A19+$B$8-1,$B19/$B$8,$B19-SUM(B19:$C19))),0))</f>
        <v>0</v>
      </c>
      <c r="D19" s="4">
        <f>IF($B$8=0,0,IF(D$2&gt;=$A19,IF(D$2=$A19,($B19/$B$8)*$B$5,IF(D$2&lt;=$A19+$B$8-1,$B19/$B$8,$B19-SUM(C19:$C19))),0))</f>
        <v>0</v>
      </c>
      <c r="E19" s="4">
        <f>IF($B$8=0,0,IF(E$2&gt;=$A19,IF(E$2=$A19,($B19/$B$8)*$B$5,IF(E$2&lt;=$A19+$B$8-1,$B19/$B$8,$B19-SUM($C19:D19))),0))</f>
        <v>0</v>
      </c>
      <c r="F19" s="4">
        <f>IF($B$8=0,0,IF(F$2&gt;=$A19,IF(F$2=$A19,($B19/$B$8)*$B$5,IF(F$2&lt;=$A19+$B$8-1,$B19/$B$8,$B19-SUM($C19:E19))),0))</f>
        <v>0</v>
      </c>
      <c r="G19" s="4">
        <f>IF($B$8=0,0,IF(G$2&gt;=$A19,IF(G$2=$A19,($B19/$B$8)*$B$5,IF(G$2&lt;=$A19+$B$8-1,$B19/$B$8,$B19-SUM($C19:F19))),0))</f>
        <v>0</v>
      </c>
      <c r="H19" s="4">
        <f>IF($B$8=0,0,IF(H$2&gt;=$A19,IF(H$2=$A19,($B19/$B$8)*$B$5,IF(H$2&lt;=$A19+$B$8-1,$B19/$B$8,$B19-SUM($C19:G19))),0))</f>
        <v>0</v>
      </c>
      <c r="I19" s="4">
        <f>IF($B$8=0,0,IF(I$2&gt;=$A19,IF(I$2=$A19,($B19/$B$8)*$B$5,IF(I$2&lt;=$A19+$B$8-1,$B19/$B$8,$B19-SUM($C19:H19))),0))</f>
        <v>0</v>
      </c>
      <c r="J19" s="4">
        <f>IF($B$8=0,0,IF(J$2&gt;=$A19,IF(J$2=$A19,($B19/$B$8)*$B$5,IF(J$2&lt;=$A19+$B$8-1,$B19/$B$8,$B19-SUM($C19:I19))),0))</f>
        <v>0</v>
      </c>
      <c r="K19" s="4">
        <f>IF($B$8=0,0,IF(K$2&gt;=$A19,IF(K$2=$A19,($B19/$B$8)*$B$5,IF(K$2&lt;=$A19+$B$8-1,$B19/$B$8,$B19-SUM($C19:J19))),0))</f>
        <v>0</v>
      </c>
      <c r="L19" s="4">
        <f>IF($B$8=0,0,IF(L$2&gt;=$A19,IF(L$2=$A19,($B19/$B$8)*$B$5,IF(L$2&lt;=$A19+$B$8-1,$B19/$B$8,$B19-SUM($C19:K19))),0))</f>
        <v>0</v>
      </c>
      <c r="M19" s="4">
        <f>IF($B$8=0,0,IF(M$2&gt;=$A19,IF(M$2=$A19,($B19/$B$8)*$B$5,IF(M$2&lt;=$A19+$B$8-1,$B19/$B$8,$B19-SUM($C19:L19))),0))</f>
        <v>0</v>
      </c>
      <c r="N19" s="4">
        <f>IF($B$8=0,0,IF(N$2&gt;=$A19,IF(N$2=$A19,($B19/$B$8)*$B$5,IF(N$2&lt;=$A19+$B$8-1,$B19/$B$8,$B19-SUM($C19:M19))),0))</f>
        <v>0</v>
      </c>
      <c r="O19" s="4">
        <f>IF($B$8=0,0,IF(O$2&gt;=$A19,IF(O$2=$A19,($B19/$B$8)*$B$5,IF(O$2&lt;=$A19+$B$8-1,$B19/$B$8,$B19-SUM($C19:N19))),0))</f>
        <v>0</v>
      </c>
      <c r="P19" s="4">
        <f>IF($B$8=0,0,IF(P$2&gt;=$A19,IF(P$2=$A19,($B19/$B$8)*$B$5,IF(P$2&lt;=$A19+$B$8-1,$B19/$B$8,$B19-SUM($C19:O19))),0))</f>
        <v>0</v>
      </c>
      <c r="Q19" s="4">
        <f>IF($B$8=0,0,IF(Q$2&gt;=$A19,IF(Q$2=$A19,($B19/$B$8)*$B$5,IF(Q$2&lt;=$A19+$B$8-1,$B19/$B$8,$B19-SUM($C19:P19))),0))</f>
        <v>0</v>
      </c>
      <c r="R19" s="4">
        <f>IF($B$8=0,0,IF(R$2&gt;=$A19,IF(R$2=$A19,($B19/$B$8)*$B$5,IF(R$2&lt;=$A19+$B$8-1,$B19/$B$8,$B19-SUM($C19:Q19))),0))</f>
        <v>0</v>
      </c>
      <c r="S19" s="4">
        <f>IF($B$8=0,0,IF(S$2&gt;=$A19,IF(S$2=$A19,($B19/$B$8)*$B$5,IF(S$2&lt;=$A19+$B$8-1,$B19/$B$8,$B19-SUM($C19:R19))),0))</f>
        <v>0</v>
      </c>
      <c r="T19" s="4">
        <f>IF($B$8=0,0,IF(T$2&gt;=$A19,IF(T$2=$A19,($B19/$B$8)*$B$5,IF(T$2&lt;=$A19+$B$8-1,$B19/$B$8,$B19-SUM($C19:S19))),0))</f>
        <v>0</v>
      </c>
      <c r="U19" s="4">
        <f>IF($B$8=0,0,IF(U$2&gt;=$A19,IF(U$2=$A19,($B19/$B$8)*$B$5,IF(U$2&lt;=$A19+$B$8-1,$B19/$B$8,$B19-SUM($C19:T19))),0))</f>
        <v>0</v>
      </c>
      <c r="V19" s="4">
        <f>IF($B$8=0,0,IF(V$2&gt;=$A19,IF(V$2=$A19,($B19/$B$8)*$B$5,IF(V$2&lt;=$A19+$B$8-1,$B19/$B$8,$B19-SUM($C19:U19))),0))</f>
        <v>0</v>
      </c>
      <c r="W19" s="4">
        <f>IF($B$8=0,0,IF(W$2&gt;=$A19,IF(W$2=$A19,($B19/$B$8)*$B$5,IF(W$2&lt;=$A19+$B$8-1,$B19/$B$8,$B19-SUM($C19:V19))),0))</f>
        <v>0</v>
      </c>
      <c r="X19" s="4">
        <f>IF($B$8=0,0,IF(X$2&gt;=$A19,IF(X$2=$A19,($B19/$B$8)*$B$5,IF(X$2&lt;=$A19+$B$8-1,$B19/$B$8,$B19-SUM($C19:W19))),0))</f>
        <v>0</v>
      </c>
      <c r="Y19" s="4">
        <f>IF($B$8=0,0,IF(Y$2&gt;=$A19,IF(Y$2=$A19,($B19/$B$8)*$B$5,IF(Y$2&lt;=$A19+$B$8-1,$B19/$B$8,$B19-SUM($C19:X19))),0))</f>
        <v>0</v>
      </c>
      <c r="Z19" s="4">
        <f>IF($B$8=0,0,IF(Z$2&gt;=$A19,IF(Z$2=$A19,($B19/$B$8)*$B$5,IF(Z$2&lt;=$A19+$B$8-1,$B19/$B$8,$B19-SUM($C19:Y19))),0))</f>
        <v>0</v>
      </c>
      <c r="AA19" s="4">
        <f>IF($B$8=0,0,IF(AA$2&gt;=$A19,IF(AA$2=$A19,($B19/$B$8)*$B$5,IF(AA$2&lt;=$A19+$B$8-1,$B19/$B$8,$B19-SUM($C19:Z19))),0))</f>
        <v>0</v>
      </c>
      <c r="AB19" s="4">
        <f>IF($B$8=0,0,IF(AB$2&gt;=$A19,IF(AB$2=$A19,($B19/$B$8)*$B$5,IF(AB$2&lt;=$A19+$B$8-1,$B19/$B$8,$B19-SUM($C19:AA19))),0))</f>
        <v>0</v>
      </c>
      <c r="AC19" s="4">
        <f>IF($B$8=0,0,IF(AC$2&gt;=$A19,IF(AC$2=$A19,($B19/$B$8)*$B$5,IF(AC$2&lt;=$A19+$B$8-1,$B19/$B$8,$B19-SUM($C19:AB19))),0))</f>
        <v>0</v>
      </c>
      <c r="AD19" s="4">
        <f>IF($B$8=0,0,IF(AD$2&gt;=$A19,IF(AD$2=$A19,($B19/$B$8)*$B$5,IF(AD$2&lt;=$A19+$B$8-1,$B19/$B$8,$B19-SUM($C19:AC19))),0))</f>
        <v>0</v>
      </c>
      <c r="AE19" s="4">
        <f>IF($B$8=0,0,IF(AE$2&gt;=$A19,IF(AE$2=$A19,($B19/$B$8)*$B$5,IF(AE$2&lt;=$A19+$B$8-1,$B19/$B$8,$B19-SUM($C19:AD19))),0))</f>
        <v>0</v>
      </c>
      <c r="AF19" s="4">
        <f>IF($B$8=0,0,IF(AF$2&gt;=$A19,IF(AF$2=$A19,($B19/$B$8)*$B$5,IF(AF$2&lt;=$A19+$B$8-1,$B19/$B$8,$B19-SUM($C19:AE19))),0))</f>
        <v>0</v>
      </c>
      <c r="AG19" s="4">
        <f t="shared" si="13"/>
        <v>0</v>
      </c>
    </row>
    <row r="20" spans="1:33">
      <c r="A20" s="6">
        <f t="shared" si="14"/>
        <v>2033</v>
      </c>
      <c r="B20" s="4">
        <f t="shared" si="12"/>
        <v>0</v>
      </c>
      <c r="C20" s="4">
        <f>IF($B$8=0,0,IF(C$2&gt;=$A20,IF(C$2=$A20,($B20/$B$8)*$B$5,IF(C$2&lt;=$A20+$B$8-1,$B20/$B$8,$B20-SUM(B20:$C20))),0))</f>
        <v>0</v>
      </c>
      <c r="D20" s="4">
        <f>IF($B$8=0,0,IF(D$2&gt;=$A20,IF(D$2=$A20,($B20/$B$8)*$B$5,IF(D$2&lt;=$A20+$B$8-1,$B20/$B$8,$B20-SUM(C20:$C20))),0))</f>
        <v>0</v>
      </c>
      <c r="E20" s="4">
        <f>IF($B$8=0,0,IF(E$2&gt;=$A20,IF(E$2=$A20,($B20/$B$8)*$B$5,IF(E$2&lt;=$A20+$B$8-1,$B20/$B$8,$B20-SUM($C20:D20))),0))</f>
        <v>0</v>
      </c>
      <c r="F20" s="4">
        <f>IF($B$8=0,0,IF(F$2&gt;=$A20,IF(F$2=$A20,($B20/$B$8)*$B$5,IF(F$2&lt;=$A20+$B$8-1,$B20/$B$8,$B20-SUM($C20:E20))),0))</f>
        <v>0</v>
      </c>
      <c r="G20" s="4">
        <f>IF($B$8=0,0,IF(G$2&gt;=$A20,IF(G$2=$A20,($B20/$B$8)*$B$5,IF(G$2&lt;=$A20+$B$8-1,$B20/$B$8,$B20-SUM($C20:F20))),0))</f>
        <v>0</v>
      </c>
      <c r="H20" s="4">
        <f>IF($B$8=0,0,IF(H$2&gt;=$A20,IF(H$2=$A20,($B20/$B$8)*$B$5,IF(H$2&lt;=$A20+$B$8-1,$B20/$B$8,$B20-SUM($C20:G20))),0))</f>
        <v>0</v>
      </c>
      <c r="I20" s="4">
        <f>IF($B$8=0,0,IF(I$2&gt;=$A20,IF(I$2=$A20,($B20/$B$8)*$B$5,IF(I$2&lt;=$A20+$B$8-1,$B20/$B$8,$B20-SUM($C20:H20))),0))</f>
        <v>0</v>
      </c>
      <c r="J20" s="4">
        <f>IF($B$8=0,0,IF(J$2&gt;=$A20,IF(J$2=$A20,($B20/$B$8)*$B$5,IF(J$2&lt;=$A20+$B$8-1,$B20/$B$8,$B20-SUM($C20:I20))),0))</f>
        <v>0</v>
      </c>
      <c r="K20" s="4">
        <f>IF($B$8=0,0,IF(K$2&gt;=$A20,IF(K$2=$A20,($B20/$B$8)*$B$5,IF(K$2&lt;=$A20+$B$8-1,$B20/$B$8,$B20-SUM($C20:J20))),0))</f>
        <v>0</v>
      </c>
      <c r="L20" s="4">
        <f>IF($B$8=0,0,IF(L$2&gt;=$A20,IF(L$2=$A20,($B20/$B$8)*$B$5,IF(L$2&lt;=$A20+$B$8-1,$B20/$B$8,$B20-SUM($C20:K20))),0))</f>
        <v>0</v>
      </c>
      <c r="M20" s="4">
        <f>IF($B$8=0,0,IF(M$2&gt;=$A20,IF(M$2=$A20,($B20/$B$8)*$B$5,IF(M$2&lt;=$A20+$B$8-1,$B20/$B$8,$B20-SUM($C20:L20))),0))</f>
        <v>0</v>
      </c>
      <c r="N20" s="4">
        <f>IF($B$8=0,0,IF(N$2&gt;=$A20,IF(N$2=$A20,($B20/$B$8)*$B$5,IF(N$2&lt;=$A20+$B$8-1,$B20/$B$8,$B20-SUM($C20:M20))),0))</f>
        <v>0</v>
      </c>
      <c r="O20" s="4">
        <f>IF($B$8=0,0,IF(O$2&gt;=$A20,IF(O$2=$A20,($B20/$B$8)*$B$5,IF(O$2&lt;=$A20+$B$8-1,$B20/$B$8,$B20-SUM($C20:N20))),0))</f>
        <v>0</v>
      </c>
      <c r="P20" s="4">
        <f>IF($B$8=0,0,IF(P$2&gt;=$A20,IF(P$2=$A20,($B20/$B$8)*$B$5,IF(P$2&lt;=$A20+$B$8-1,$B20/$B$8,$B20-SUM($C20:O20))),0))</f>
        <v>0</v>
      </c>
      <c r="Q20" s="4">
        <f>IF($B$8=0,0,IF(Q$2&gt;=$A20,IF(Q$2=$A20,($B20/$B$8)*$B$5,IF(Q$2&lt;=$A20+$B$8-1,$B20/$B$8,$B20-SUM($C20:P20))),0))</f>
        <v>0</v>
      </c>
      <c r="R20" s="4">
        <f>IF($B$8=0,0,IF(R$2&gt;=$A20,IF(R$2=$A20,($B20/$B$8)*$B$5,IF(R$2&lt;=$A20+$B$8-1,$B20/$B$8,$B20-SUM($C20:Q20))),0))</f>
        <v>0</v>
      </c>
      <c r="S20" s="4">
        <f>IF($B$8=0,0,IF(S$2&gt;=$A20,IF(S$2=$A20,($B20/$B$8)*$B$5,IF(S$2&lt;=$A20+$B$8-1,$B20/$B$8,$B20-SUM($C20:R20))),0))</f>
        <v>0</v>
      </c>
      <c r="T20" s="4">
        <f>IF($B$8=0,0,IF(T$2&gt;=$A20,IF(T$2=$A20,($B20/$B$8)*$B$5,IF(T$2&lt;=$A20+$B$8-1,$B20/$B$8,$B20-SUM($C20:S20))),0))</f>
        <v>0</v>
      </c>
      <c r="U20" s="4">
        <f>IF($B$8=0,0,IF(U$2&gt;=$A20,IF(U$2=$A20,($B20/$B$8)*$B$5,IF(U$2&lt;=$A20+$B$8-1,$B20/$B$8,$B20-SUM($C20:T20))),0))</f>
        <v>0</v>
      </c>
      <c r="V20" s="4">
        <f>IF($B$8=0,0,IF(V$2&gt;=$A20,IF(V$2=$A20,($B20/$B$8)*$B$5,IF(V$2&lt;=$A20+$B$8-1,$B20/$B$8,$B20-SUM($C20:U20))),0))</f>
        <v>0</v>
      </c>
      <c r="W20" s="4">
        <f>IF($B$8=0,0,IF(W$2&gt;=$A20,IF(W$2=$A20,($B20/$B$8)*$B$5,IF(W$2&lt;=$A20+$B$8-1,$B20/$B$8,$B20-SUM($C20:V20))),0))</f>
        <v>0</v>
      </c>
      <c r="X20" s="4">
        <f>IF($B$8=0,0,IF(X$2&gt;=$A20,IF(X$2=$A20,($B20/$B$8)*$B$5,IF(X$2&lt;=$A20+$B$8-1,$B20/$B$8,$B20-SUM($C20:W20))),0))</f>
        <v>0</v>
      </c>
      <c r="Y20" s="4">
        <f>IF($B$8=0,0,IF(Y$2&gt;=$A20,IF(Y$2=$A20,($B20/$B$8)*$B$5,IF(Y$2&lt;=$A20+$B$8-1,$B20/$B$8,$B20-SUM($C20:X20))),0))</f>
        <v>0</v>
      </c>
      <c r="Z20" s="4">
        <f>IF($B$8=0,0,IF(Z$2&gt;=$A20,IF(Z$2=$A20,($B20/$B$8)*$B$5,IF(Z$2&lt;=$A20+$B$8-1,$B20/$B$8,$B20-SUM($C20:Y20))),0))</f>
        <v>0</v>
      </c>
      <c r="AA20" s="4">
        <f>IF($B$8=0,0,IF(AA$2&gt;=$A20,IF(AA$2=$A20,($B20/$B$8)*$B$5,IF(AA$2&lt;=$A20+$B$8-1,$B20/$B$8,$B20-SUM($C20:Z20))),0))</f>
        <v>0</v>
      </c>
      <c r="AB20" s="4">
        <f>IF($B$8=0,0,IF(AB$2&gt;=$A20,IF(AB$2=$A20,($B20/$B$8)*$B$5,IF(AB$2&lt;=$A20+$B$8-1,$B20/$B$8,$B20-SUM($C20:AA20))),0))</f>
        <v>0</v>
      </c>
      <c r="AC20" s="4">
        <f>IF($B$8=0,0,IF(AC$2&gt;=$A20,IF(AC$2=$A20,($B20/$B$8)*$B$5,IF(AC$2&lt;=$A20+$B$8-1,$B20/$B$8,$B20-SUM($C20:AB20))),0))</f>
        <v>0</v>
      </c>
      <c r="AD20" s="4">
        <f>IF($B$8=0,0,IF(AD$2&gt;=$A20,IF(AD$2=$A20,($B20/$B$8)*$B$5,IF(AD$2&lt;=$A20+$B$8-1,$B20/$B$8,$B20-SUM($C20:AC20))),0))</f>
        <v>0</v>
      </c>
      <c r="AE20" s="4">
        <f>IF($B$8=0,0,IF(AE$2&gt;=$A20,IF(AE$2=$A20,($B20/$B$8)*$B$5,IF(AE$2&lt;=$A20+$B$8-1,$B20/$B$8,$B20-SUM($C20:AD20))),0))</f>
        <v>0</v>
      </c>
      <c r="AF20" s="4">
        <f>IF($B$8=0,0,IF(AF$2&gt;=$A20,IF(AF$2=$A20,($B20/$B$8)*$B$5,IF(AF$2&lt;=$A20+$B$8-1,$B20/$B$8,$B20-SUM($C20:AE20))),0))</f>
        <v>0</v>
      </c>
      <c r="AG20" s="4">
        <f t="shared" si="13"/>
        <v>0</v>
      </c>
    </row>
    <row r="21" spans="1:33">
      <c r="A21" s="6">
        <f t="shared" si="14"/>
        <v>2034</v>
      </c>
      <c r="B21" s="4">
        <f t="shared" si="12"/>
        <v>0</v>
      </c>
      <c r="C21" s="4">
        <f>IF($B$8=0,0,IF(C$2&gt;=$A21,IF(C$2=$A21,($B21/$B$8)*$B$5,IF(C$2&lt;=$A21+$B$8-1,$B21/$B$8,$B21-SUM(B21:$C21))),0))</f>
        <v>0</v>
      </c>
      <c r="D21" s="4">
        <f>IF($B$8=0,0,IF(D$2&gt;=$A21,IF(D$2=$A21,($B21/$B$8)*$B$5,IF(D$2&lt;=$A21+$B$8-1,$B21/$B$8,$B21-SUM(C21:$C21))),0))</f>
        <v>0</v>
      </c>
      <c r="E21" s="4">
        <f>IF($B$8=0,0,IF(E$2&gt;=$A21,IF(E$2=$A21,($B21/$B$8)*$B$5,IF(E$2&lt;=$A21+$B$8-1,$B21/$B$8,$B21-SUM($C21:D21))),0))</f>
        <v>0</v>
      </c>
      <c r="F21" s="4">
        <f>IF($B$8=0,0,IF(F$2&gt;=$A21,IF(F$2=$A21,($B21/$B$8)*$B$5,IF(F$2&lt;=$A21+$B$8-1,$B21/$B$8,$B21-SUM($C21:E21))),0))</f>
        <v>0</v>
      </c>
      <c r="G21" s="4">
        <f>IF($B$8=0,0,IF(G$2&gt;=$A21,IF(G$2=$A21,($B21/$B$8)*$B$5,IF(G$2&lt;=$A21+$B$8-1,$B21/$B$8,$B21-SUM($C21:F21))),0))</f>
        <v>0</v>
      </c>
      <c r="H21" s="4">
        <f>IF($B$8=0,0,IF(H$2&gt;=$A21,IF(H$2=$A21,($B21/$B$8)*$B$5,IF(H$2&lt;=$A21+$B$8-1,$B21/$B$8,$B21-SUM($C21:G21))),0))</f>
        <v>0</v>
      </c>
      <c r="I21" s="4">
        <f>IF($B$8=0,0,IF(I$2&gt;=$A21,IF(I$2=$A21,($B21/$B$8)*$B$5,IF(I$2&lt;=$A21+$B$8-1,$B21/$B$8,$B21-SUM($C21:H21))),0))</f>
        <v>0</v>
      </c>
      <c r="J21" s="4">
        <f>IF($B$8=0,0,IF(J$2&gt;=$A21,IF(J$2=$A21,($B21/$B$8)*$B$5,IF(J$2&lt;=$A21+$B$8-1,$B21/$B$8,$B21-SUM($C21:I21))),0))</f>
        <v>0</v>
      </c>
      <c r="K21" s="4">
        <f>IF($B$8=0,0,IF(K$2&gt;=$A21,IF(K$2=$A21,($B21/$B$8)*$B$5,IF(K$2&lt;=$A21+$B$8-1,$B21/$B$8,$B21-SUM($C21:J21))),0))</f>
        <v>0</v>
      </c>
      <c r="L21" s="4">
        <f>IF($B$8=0,0,IF(L$2&gt;=$A21,IF(L$2=$A21,($B21/$B$8)*$B$5,IF(L$2&lt;=$A21+$B$8-1,$B21/$B$8,$B21-SUM($C21:K21))),0))</f>
        <v>0</v>
      </c>
      <c r="M21" s="4">
        <f>IF($B$8=0,0,IF(M$2&gt;=$A21,IF(M$2=$A21,($B21/$B$8)*$B$5,IF(M$2&lt;=$A21+$B$8-1,$B21/$B$8,$B21-SUM($C21:L21))),0))</f>
        <v>0</v>
      </c>
      <c r="N21" s="4">
        <f>IF($B$8=0,0,IF(N$2&gt;=$A21,IF(N$2=$A21,($B21/$B$8)*$B$5,IF(N$2&lt;=$A21+$B$8-1,$B21/$B$8,$B21-SUM($C21:M21))),0))</f>
        <v>0</v>
      </c>
      <c r="O21" s="4">
        <f>IF($B$8=0,0,IF(O$2&gt;=$A21,IF(O$2=$A21,($B21/$B$8)*$B$5,IF(O$2&lt;=$A21+$B$8-1,$B21/$B$8,$B21-SUM($C21:N21))),0))</f>
        <v>0</v>
      </c>
      <c r="P21" s="4">
        <f>IF($B$8=0,0,IF(P$2&gt;=$A21,IF(P$2=$A21,($B21/$B$8)*$B$5,IF(P$2&lt;=$A21+$B$8-1,$B21/$B$8,$B21-SUM($C21:O21))),0))</f>
        <v>0</v>
      </c>
      <c r="Q21" s="4">
        <f>IF($B$8=0,0,IF(Q$2&gt;=$A21,IF(Q$2=$A21,($B21/$B$8)*$B$5,IF(Q$2&lt;=$A21+$B$8-1,$B21/$B$8,$B21-SUM($C21:P21))),0))</f>
        <v>0</v>
      </c>
      <c r="R21" s="4">
        <f>IF($B$8=0,0,IF(R$2&gt;=$A21,IF(R$2=$A21,($B21/$B$8)*$B$5,IF(R$2&lt;=$A21+$B$8-1,$B21/$B$8,$B21-SUM($C21:Q21))),0))</f>
        <v>0</v>
      </c>
      <c r="S21" s="4">
        <f>IF($B$8=0,0,IF(S$2&gt;=$A21,IF(S$2=$A21,($B21/$B$8)*$B$5,IF(S$2&lt;=$A21+$B$8-1,$B21/$B$8,$B21-SUM($C21:R21))),0))</f>
        <v>0</v>
      </c>
      <c r="T21" s="4">
        <f>IF($B$8=0,0,IF(T$2&gt;=$A21,IF(T$2=$A21,($B21/$B$8)*$B$5,IF(T$2&lt;=$A21+$B$8-1,$B21/$B$8,$B21-SUM($C21:S21))),0))</f>
        <v>0</v>
      </c>
      <c r="U21" s="4">
        <f>IF($B$8=0,0,IF(U$2&gt;=$A21,IF(U$2=$A21,($B21/$B$8)*$B$5,IF(U$2&lt;=$A21+$B$8-1,$B21/$B$8,$B21-SUM($C21:T21))),0))</f>
        <v>0</v>
      </c>
      <c r="V21" s="4">
        <f>IF($B$8=0,0,IF(V$2&gt;=$A21,IF(V$2=$A21,($B21/$B$8)*$B$5,IF(V$2&lt;=$A21+$B$8-1,$B21/$B$8,$B21-SUM($C21:U21))),0))</f>
        <v>0</v>
      </c>
      <c r="W21" s="4">
        <f>IF($B$8=0,0,IF(W$2&gt;=$A21,IF(W$2=$A21,($B21/$B$8)*$B$5,IF(W$2&lt;=$A21+$B$8-1,$B21/$B$8,$B21-SUM($C21:V21))),0))</f>
        <v>0</v>
      </c>
      <c r="X21" s="4">
        <f>IF($B$8=0,0,IF(X$2&gt;=$A21,IF(X$2=$A21,($B21/$B$8)*$B$5,IF(X$2&lt;=$A21+$B$8-1,$B21/$B$8,$B21-SUM($C21:W21))),0))</f>
        <v>0</v>
      </c>
      <c r="Y21" s="4">
        <f>IF($B$8=0,0,IF(Y$2&gt;=$A21,IF(Y$2=$A21,($B21/$B$8)*$B$5,IF(Y$2&lt;=$A21+$B$8-1,$B21/$B$8,$B21-SUM($C21:X21))),0))</f>
        <v>0</v>
      </c>
      <c r="Z21" s="4">
        <f>IF($B$8=0,0,IF(Z$2&gt;=$A21,IF(Z$2=$A21,($B21/$B$8)*$B$5,IF(Z$2&lt;=$A21+$B$8-1,$B21/$B$8,$B21-SUM($C21:Y21))),0))</f>
        <v>0</v>
      </c>
      <c r="AA21" s="4">
        <f>IF($B$8=0,0,IF(AA$2&gt;=$A21,IF(AA$2=$A21,($B21/$B$8)*$B$5,IF(AA$2&lt;=$A21+$B$8-1,$B21/$B$8,$B21-SUM($C21:Z21))),0))</f>
        <v>0</v>
      </c>
      <c r="AB21" s="4">
        <f>IF($B$8=0,0,IF(AB$2&gt;=$A21,IF(AB$2=$A21,($B21/$B$8)*$B$5,IF(AB$2&lt;=$A21+$B$8-1,$B21/$B$8,$B21-SUM($C21:AA21))),0))</f>
        <v>0</v>
      </c>
      <c r="AC21" s="4">
        <f>IF($B$8=0,0,IF(AC$2&gt;=$A21,IF(AC$2=$A21,($B21/$B$8)*$B$5,IF(AC$2&lt;=$A21+$B$8-1,$B21/$B$8,$B21-SUM($C21:AB21))),0))</f>
        <v>0</v>
      </c>
      <c r="AD21" s="4">
        <f>IF($B$8=0,0,IF(AD$2&gt;=$A21,IF(AD$2=$A21,($B21/$B$8)*$B$5,IF(AD$2&lt;=$A21+$B$8-1,$B21/$B$8,$B21-SUM($C21:AC21))),0))</f>
        <v>0</v>
      </c>
      <c r="AE21" s="4">
        <f>IF($B$8=0,0,IF(AE$2&gt;=$A21,IF(AE$2=$A21,($B21/$B$8)*$B$5,IF(AE$2&lt;=$A21+$B$8-1,$B21/$B$8,$B21-SUM($C21:AD21))),0))</f>
        <v>0</v>
      </c>
      <c r="AF21" s="4">
        <f>IF($B$8=0,0,IF(AF$2&gt;=$A21,IF(AF$2=$A21,($B21/$B$8)*$B$5,IF(AF$2&lt;=$A21+$B$8-1,$B21/$B$8,$B21-SUM($C21:AE21))),0))</f>
        <v>0</v>
      </c>
      <c r="AG21" s="4">
        <f t="shared" si="13"/>
        <v>0</v>
      </c>
    </row>
    <row r="22" spans="1:33">
      <c r="A22" s="6">
        <f t="shared" si="14"/>
        <v>2035</v>
      </c>
      <c r="B22" s="4">
        <f t="shared" si="12"/>
        <v>0</v>
      </c>
      <c r="C22" s="4">
        <f>IF($B$8=0,0,IF(C$2&gt;=$A22,IF(C$2=$A22,($B22/$B$8)*$B$5,IF(C$2&lt;=$A22+$B$8-1,$B22/$B$8,$B22-SUM(B22:$C22))),0))</f>
        <v>0</v>
      </c>
      <c r="D22" s="4">
        <f>IF($B$8=0,0,IF(D$2&gt;=$A22,IF(D$2=$A22,($B22/$B$8)*$B$5,IF(D$2&lt;=$A22+$B$8-1,$B22/$B$8,$B22-SUM(C22:$C22))),0))</f>
        <v>0</v>
      </c>
      <c r="E22" s="4">
        <f>IF($B$8=0,0,IF(E$2&gt;=$A22,IF(E$2=$A22,($B22/$B$8)*$B$5,IF(E$2&lt;=$A22+$B$8-1,$B22/$B$8,$B22-SUM($C22:D22))),0))</f>
        <v>0</v>
      </c>
      <c r="F22" s="4">
        <f>IF($B$8=0,0,IF(F$2&gt;=$A22,IF(F$2=$A22,($B22/$B$8)*$B$5,IF(F$2&lt;=$A22+$B$8-1,$B22/$B$8,$B22-SUM($C22:E22))),0))</f>
        <v>0</v>
      </c>
      <c r="G22" s="4">
        <f>IF($B$8=0,0,IF(G$2&gt;=$A22,IF(G$2=$A22,($B22/$B$8)*$B$5,IF(G$2&lt;=$A22+$B$8-1,$B22/$B$8,$B22-SUM($C22:F22))),0))</f>
        <v>0</v>
      </c>
      <c r="H22" s="4">
        <f>IF($B$8=0,0,IF(H$2&gt;=$A22,IF(H$2=$A22,($B22/$B$8)*$B$5,IF(H$2&lt;=$A22+$B$8-1,$B22/$B$8,$B22-SUM($C22:G22))),0))</f>
        <v>0</v>
      </c>
      <c r="I22" s="4">
        <f>IF($B$8=0,0,IF(I$2&gt;=$A22,IF(I$2=$A22,($B22/$B$8)*$B$5,IF(I$2&lt;=$A22+$B$8-1,$B22/$B$8,$B22-SUM($C22:H22))),0))</f>
        <v>0</v>
      </c>
      <c r="J22" s="4">
        <f>IF($B$8=0,0,IF(J$2&gt;=$A22,IF(J$2=$A22,($B22/$B$8)*$B$5,IF(J$2&lt;=$A22+$B$8-1,$B22/$B$8,$B22-SUM($C22:I22))),0))</f>
        <v>0</v>
      </c>
      <c r="K22" s="4">
        <f>IF($B$8=0,0,IF(K$2&gt;=$A22,IF(K$2=$A22,($B22/$B$8)*$B$5,IF(K$2&lt;=$A22+$B$8-1,$B22/$B$8,$B22-SUM($C22:J22))),0))</f>
        <v>0</v>
      </c>
      <c r="L22" s="4">
        <f>IF($B$8=0,0,IF(L$2&gt;=$A22,IF(L$2=$A22,($B22/$B$8)*$B$5,IF(L$2&lt;=$A22+$B$8-1,$B22/$B$8,$B22-SUM($C22:K22))),0))</f>
        <v>0</v>
      </c>
      <c r="M22" s="4">
        <f>IF($B$8=0,0,IF(M$2&gt;=$A22,IF(M$2=$A22,($B22/$B$8)*$B$5,IF(M$2&lt;=$A22+$B$8-1,$B22/$B$8,$B22-SUM($C22:L22))),0))</f>
        <v>0</v>
      </c>
      <c r="N22" s="4">
        <f>IF($B$8=0,0,IF(N$2&gt;=$A22,IF(N$2=$A22,($B22/$B$8)*$B$5,IF(N$2&lt;=$A22+$B$8-1,$B22/$B$8,$B22-SUM($C22:M22))),0))</f>
        <v>0</v>
      </c>
      <c r="O22" s="4">
        <f>IF($B$8=0,0,IF(O$2&gt;=$A22,IF(O$2=$A22,($B22/$B$8)*$B$5,IF(O$2&lt;=$A22+$B$8-1,$B22/$B$8,$B22-SUM($C22:N22))),0))</f>
        <v>0</v>
      </c>
      <c r="P22" s="4">
        <f>IF($B$8=0,0,IF(P$2&gt;=$A22,IF(P$2=$A22,($B22/$B$8)*$B$5,IF(P$2&lt;=$A22+$B$8-1,$B22/$B$8,$B22-SUM($C22:O22))),0))</f>
        <v>0</v>
      </c>
      <c r="Q22" s="4">
        <f>IF($B$8=0,0,IF(Q$2&gt;=$A22,IF(Q$2=$A22,($B22/$B$8)*$B$5,IF(Q$2&lt;=$A22+$B$8-1,$B22/$B$8,$B22-SUM($C22:P22))),0))</f>
        <v>0</v>
      </c>
      <c r="R22" s="4">
        <f>IF($B$8=0,0,IF(R$2&gt;=$A22,IF(R$2=$A22,($B22/$B$8)*$B$5,IF(R$2&lt;=$A22+$B$8-1,$B22/$B$8,$B22-SUM($C22:Q22))),0))</f>
        <v>0</v>
      </c>
      <c r="S22" s="4">
        <f>IF($B$8=0,0,IF(S$2&gt;=$A22,IF(S$2=$A22,($B22/$B$8)*$B$5,IF(S$2&lt;=$A22+$B$8-1,$B22/$B$8,$B22-SUM($C22:R22))),0))</f>
        <v>0</v>
      </c>
      <c r="T22" s="4">
        <f>IF($B$8=0,0,IF(T$2&gt;=$A22,IF(T$2=$A22,($B22/$B$8)*$B$5,IF(T$2&lt;=$A22+$B$8-1,$B22/$B$8,$B22-SUM($C22:S22))),0))</f>
        <v>0</v>
      </c>
      <c r="U22" s="4">
        <f>IF($B$8=0,0,IF(U$2&gt;=$A22,IF(U$2=$A22,($B22/$B$8)*$B$5,IF(U$2&lt;=$A22+$B$8-1,$B22/$B$8,$B22-SUM($C22:T22))),0))</f>
        <v>0</v>
      </c>
      <c r="V22" s="4">
        <f>IF($B$8=0,0,IF(V$2&gt;=$A22,IF(V$2=$A22,($B22/$B$8)*$B$5,IF(V$2&lt;=$A22+$B$8-1,$B22/$B$8,$B22-SUM($C22:U22))),0))</f>
        <v>0</v>
      </c>
      <c r="W22" s="4">
        <f>IF($B$8=0,0,IF(W$2&gt;=$A22,IF(W$2=$A22,($B22/$B$8)*$B$5,IF(W$2&lt;=$A22+$B$8-1,$B22/$B$8,$B22-SUM($C22:V22))),0))</f>
        <v>0</v>
      </c>
      <c r="X22" s="4">
        <f>IF($B$8=0,0,IF(X$2&gt;=$A22,IF(X$2=$A22,($B22/$B$8)*$B$5,IF(X$2&lt;=$A22+$B$8-1,$B22/$B$8,$B22-SUM($C22:W22))),0))</f>
        <v>0</v>
      </c>
      <c r="Y22" s="4">
        <f>IF($B$8=0,0,IF(Y$2&gt;=$A22,IF(Y$2=$A22,($B22/$B$8)*$B$5,IF(Y$2&lt;=$A22+$B$8-1,$B22/$B$8,$B22-SUM($C22:X22))),0))</f>
        <v>0</v>
      </c>
      <c r="Z22" s="4">
        <f>IF($B$8=0,0,IF(Z$2&gt;=$A22,IF(Z$2=$A22,($B22/$B$8)*$B$5,IF(Z$2&lt;=$A22+$B$8-1,$B22/$B$8,$B22-SUM($C22:Y22))),0))</f>
        <v>0</v>
      </c>
      <c r="AA22" s="4">
        <f>IF($B$8=0,0,IF(AA$2&gt;=$A22,IF(AA$2=$A22,($B22/$B$8)*$B$5,IF(AA$2&lt;=$A22+$B$8-1,$B22/$B$8,$B22-SUM($C22:Z22))),0))</f>
        <v>0</v>
      </c>
      <c r="AB22" s="4">
        <f>IF($B$8=0,0,IF(AB$2&gt;=$A22,IF(AB$2=$A22,($B22/$B$8)*$B$5,IF(AB$2&lt;=$A22+$B$8-1,$B22/$B$8,$B22-SUM($C22:AA22))),0))</f>
        <v>0</v>
      </c>
      <c r="AC22" s="4">
        <f>IF($B$8=0,0,IF(AC$2&gt;=$A22,IF(AC$2=$A22,($B22/$B$8)*$B$5,IF(AC$2&lt;=$A22+$B$8-1,$B22/$B$8,$B22-SUM($C22:AB22))),0))</f>
        <v>0</v>
      </c>
      <c r="AD22" s="4">
        <f>IF($B$8=0,0,IF(AD$2&gt;=$A22,IF(AD$2=$A22,($B22/$B$8)*$B$5,IF(AD$2&lt;=$A22+$B$8-1,$B22/$B$8,$B22-SUM($C22:AC22))),0))</f>
        <v>0</v>
      </c>
      <c r="AE22" s="4">
        <f>IF($B$8=0,0,IF(AE$2&gt;=$A22,IF(AE$2=$A22,($B22/$B$8)*$B$5,IF(AE$2&lt;=$A22+$B$8-1,$B22/$B$8,$B22-SUM($C22:AD22))),0))</f>
        <v>0</v>
      </c>
      <c r="AF22" s="4">
        <f>IF($B$8=0,0,IF(AF$2&gt;=$A22,IF(AF$2=$A22,($B22/$B$8)*$B$5,IF(AF$2&lt;=$A22+$B$8-1,$B22/$B$8,$B22-SUM($C22:AE22))),0))</f>
        <v>0</v>
      </c>
      <c r="AG22" s="4">
        <f t="shared" si="13"/>
        <v>0</v>
      </c>
    </row>
    <row r="23" spans="1:33">
      <c r="A23" s="6">
        <f t="shared" si="14"/>
        <v>2036</v>
      </c>
      <c r="B23" s="4">
        <f t="shared" si="12"/>
        <v>0</v>
      </c>
      <c r="C23" s="4">
        <f>IF($B$8=0,0,IF(C$2&gt;=$A23,IF(C$2=$A23,($B23/$B$8)*$B$5,IF(C$2&lt;=$A23+$B$8-1,$B23/$B$8,$B23-SUM(B23:$C23))),0))</f>
        <v>0</v>
      </c>
      <c r="D23" s="4">
        <f>IF($B$8=0,0,IF(D$2&gt;=$A23,IF(D$2=$A23,($B23/$B$8)*$B$5,IF(D$2&lt;=$A23+$B$8-1,$B23/$B$8,$B23-SUM(C23:$C23))),0))</f>
        <v>0</v>
      </c>
      <c r="E23" s="4">
        <f>IF($B$8=0,0,IF(E$2&gt;=$A23,IF(E$2=$A23,($B23/$B$8)*$B$5,IF(E$2&lt;=$A23+$B$8-1,$B23/$B$8,$B23-SUM($C23:D23))),0))</f>
        <v>0</v>
      </c>
      <c r="F23" s="4">
        <f>IF($B$8=0,0,IF(F$2&gt;=$A23,IF(F$2=$A23,($B23/$B$8)*$B$5,IF(F$2&lt;=$A23+$B$8-1,$B23/$B$8,$B23-SUM($C23:E23))),0))</f>
        <v>0</v>
      </c>
      <c r="G23" s="4">
        <f>IF($B$8=0,0,IF(G$2&gt;=$A23,IF(G$2=$A23,($B23/$B$8)*$B$5,IF(G$2&lt;=$A23+$B$8-1,$B23/$B$8,$B23-SUM($C23:F23))),0))</f>
        <v>0</v>
      </c>
      <c r="H23" s="4">
        <f>IF($B$8=0,0,IF(H$2&gt;=$A23,IF(H$2=$A23,($B23/$B$8)*$B$5,IF(H$2&lt;=$A23+$B$8-1,$B23/$B$8,$B23-SUM($C23:G23))),0))</f>
        <v>0</v>
      </c>
      <c r="I23" s="4">
        <f>IF($B$8=0,0,IF(I$2&gt;=$A23,IF(I$2=$A23,($B23/$B$8)*$B$5,IF(I$2&lt;=$A23+$B$8-1,$B23/$B$8,$B23-SUM($C23:H23))),0))</f>
        <v>0</v>
      </c>
      <c r="J23" s="4">
        <f>IF($B$8=0,0,IF(J$2&gt;=$A23,IF(J$2=$A23,($B23/$B$8)*$B$5,IF(J$2&lt;=$A23+$B$8-1,$B23/$B$8,$B23-SUM($C23:I23))),0))</f>
        <v>0</v>
      </c>
      <c r="K23" s="4">
        <f>IF($B$8=0,0,IF(K$2&gt;=$A23,IF(K$2=$A23,($B23/$B$8)*$B$5,IF(K$2&lt;=$A23+$B$8-1,$B23/$B$8,$B23-SUM($C23:J23))),0))</f>
        <v>0</v>
      </c>
      <c r="L23" s="4">
        <f>IF($B$8=0,0,IF(L$2&gt;=$A23,IF(L$2=$A23,($B23/$B$8)*$B$5,IF(L$2&lt;=$A23+$B$8-1,$B23/$B$8,$B23-SUM($C23:K23))),0))</f>
        <v>0</v>
      </c>
      <c r="M23" s="4">
        <f>IF($B$8=0,0,IF(M$2&gt;=$A23,IF(M$2=$A23,($B23/$B$8)*$B$5,IF(M$2&lt;=$A23+$B$8-1,$B23/$B$8,$B23-SUM($C23:L23))),0))</f>
        <v>0</v>
      </c>
      <c r="N23" s="4">
        <f>IF($B$8=0,0,IF(N$2&gt;=$A23,IF(N$2=$A23,($B23/$B$8)*$B$5,IF(N$2&lt;=$A23+$B$8-1,$B23/$B$8,$B23-SUM($C23:M23))),0))</f>
        <v>0</v>
      </c>
      <c r="O23" s="4">
        <f>IF($B$8=0,0,IF(O$2&gt;=$A23,IF(O$2=$A23,($B23/$B$8)*$B$5,IF(O$2&lt;=$A23+$B$8-1,$B23/$B$8,$B23-SUM($C23:N23))),0))</f>
        <v>0</v>
      </c>
      <c r="P23" s="4">
        <f>IF($B$8=0,0,IF(P$2&gt;=$A23,IF(P$2=$A23,($B23/$B$8)*$B$5,IF(P$2&lt;=$A23+$B$8-1,$B23/$B$8,$B23-SUM($C23:O23))),0))</f>
        <v>0</v>
      </c>
      <c r="Q23" s="4">
        <f>IF($B$8=0,0,IF(Q$2&gt;=$A23,IF(Q$2=$A23,($B23/$B$8)*$B$5,IF(Q$2&lt;=$A23+$B$8-1,$B23/$B$8,$B23-SUM($C23:P23))),0))</f>
        <v>0</v>
      </c>
      <c r="R23" s="4">
        <f>IF($B$8=0,0,IF(R$2&gt;=$A23,IF(R$2=$A23,($B23/$B$8)*$B$5,IF(R$2&lt;=$A23+$B$8-1,$B23/$B$8,$B23-SUM($C23:Q23))),0))</f>
        <v>0</v>
      </c>
      <c r="S23" s="4">
        <f>IF($B$8=0,0,IF(S$2&gt;=$A23,IF(S$2=$A23,($B23/$B$8)*$B$5,IF(S$2&lt;=$A23+$B$8-1,$B23/$B$8,$B23-SUM($C23:R23))),0))</f>
        <v>0</v>
      </c>
      <c r="T23" s="4">
        <f>IF($B$8=0,0,IF(T$2&gt;=$A23,IF(T$2=$A23,($B23/$B$8)*$B$5,IF(T$2&lt;=$A23+$B$8-1,$B23/$B$8,$B23-SUM($C23:S23))),0))</f>
        <v>0</v>
      </c>
      <c r="U23" s="4">
        <f>IF($B$8=0,0,IF(U$2&gt;=$A23,IF(U$2=$A23,($B23/$B$8)*$B$5,IF(U$2&lt;=$A23+$B$8-1,$B23/$B$8,$B23-SUM($C23:T23))),0))</f>
        <v>0</v>
      </c>
      <c r="V23" s="4">
        <f>IF($B$8=0,0,IF(V$2&gt;=$A23,IF(V$2=$A23,($B23/$B$8)*$B$5,IF(V$2&lt;=$A23+$B$8-1,$B23/$B$8,$B23-SUM($C23:U23))),0))</f>
        <v>0</v>
      </c>
      <c r="W23" s="4">
        <f>IF($B$8=0,0,IF(W$2&gt;=$A23,IF(W$2=$A23,($B23/$B$8)*$B$5,IF(W$2&lt;=$A23+$B$8-1,$B23/$B$8,$B23-SUM($C23:V23))),0))</f>
        <v>0</v>
      </c>
      <c r="X23" s="4">
        <f>IF($B$8=0,0,IF(X$2&gt;=$A23,IF(X$2=$A23,($B23/$B$8)*$B$5,IF(X$2&lt;=$A23+$B$8-1,$B23/$B$8,$B23-SUM($C23:W23))),0))</f>
        <v>0</v>
      </c>
      <c r="Y23" s="4">
        <f>IF($B$8=0,0,IF(Y$2&gt;=$A23,IF(Y$2=$A23,($B23/$B$8)*$B$5,IF(Y$2&lt;=$A23+$B$8-1,$B23/$B$8,$B23-SUM($C23:X23))),0))</f>
        <v>0</v>
      </c>
      <c r="Z23" s="4">
        <f>IF($B$8=0,0,IF(Z$2&gt;=$A23,IF(Z$2=$A23,($B23/$B$8)*$B$5,IF(Z$2&lt;=$A23+$B$8-1,$B23/$B$8,$B23-SUM($C23:Y23))),0))</f>
        <v>0</v>
      </c>
      <c r="AA23" s="4">
        <f>IF($B$8=0,0,IF(AA$2&gt;=$A23,IF(AA$2=$A23,($B23/$B$8)*$B$5,IF(AA$2&lt;=$A23+$B$8-1,$B23/$B$8,$B23-SUM($C23:Z23))),0))</f>
        <v>0</v>
      </c>
      <c r="AB23" s="4">
        <f>IF($B$8=0,0,IF(AB$2&gt;=$A23,IF(AB$2=$A23,($B23/$B$8)*$B$5,IF(AB$2&lt;=$A23+$B$8-1,$B23/$B$8,$B23-SUM($C23:AA23))),0))</f>
        <v>0</v>
      </c>
      <c r="AC23" s="4">
        <f>IF($B$8=0,0,IF(AC$2&gt;=$A23,IF(AC$2=$A23,($B23/$B$8)*$B$5,IF(AC$2&lt;=$A23+$B$8-1,$B23/$B$8,$B23-SUM($C23:AB23))),0))</f>
        <v>0</v>
      </c>
      <c r="AD23" s="4">
        <f>IF($B$8=0,0,IF(AD$2&gt;=$A23,IF(AD$2=$A23,($B23/$B$8)*$B$5,IF(AD$2&lt;=$A23+$B$8-1,$B23/$B$8,$B23-SUM($C23:AC23))),0))</f>
        <v>0</v>
      </c>
      <c r="AE23" s="4">
        <f>IF($B$8=0,0,IF(AE$2&gt;=$A23,IF(AE$2=$A23,($B23/$B$8)*$B$5,IF(AE$2&lt;=$A23+$B$8-1,$B23/$B$8,$B23-SUM($C23:AD23))),0))</f>
        <v>0</v>
      </c>
      <c r="AF23" s="4">
        <f>IF($B$8=0,0,IF(AF$2&gt;=$A23,IF(AF$2=$A23,($B23/$B$8)*$B$5,IF(AF$2&lt;=$A23+$B$8-1,$B23/$B$8,$B23-SUM($C23:AE23))),0))</f>
        <v>0</v>
      </c>
      <c r="AG23" s="4">
        <f t="shared" si="13"/>
        <v>0</v>
      </c>
    </row>
    <row r="24" spans="1:33">
      <c r="A24" s="6">
        <f t="shared" si="14"/>
        <v>2037</v>
      </c>
      <c r="B24" s="4">
        <f t="shared" si="12"/>
        <v>0</v>
      </c>
      <c r="C24" s="4">
        <f>IF($B$8=0,0,IF(C$2&gt;=$A24,IF(C$2=$A24,($B24/$B$8)*$B$5,IF(C$2&lt;=$A24+$B$8-1,$B24/$B$8,$B24-SUM(B24:$C24))),0))</f>
        <v>0</v>
      </c>
      <c r="D24" s="4">
        <f>IF($B$8=0,0,IF(D$2&gt;=$A24,IF(D$2=$A24,($B24/$B$8)*$B$5,IF(D$2&lt;=$A24+$B$8-1,$B24/$B$8,$B24-SUM(C24:$C24))),0))</f>
        <v>0</v>
      </c>
      <c r="E24" s="4">
        <f>IF($B$8=0,0,IF(E$2&gt;=$A24,IF(E$2=$A24,($B24/$B$8)*$B$5,IF(E$2&lt;=$A24+$B$8-1,$B24/$B$8,$B24-SUM($C24:D24))),0))</f>
        <v>0</v>
      </c>
      <c r="F24" s="4">
        <f>IF($B$8=0,0,IF(F$2&gt;=$A24,IF(F$2=$A24,($B24/$B$8)*$B$5,IF(F$2&lt;=$A24+$B$8-1,$B24/$B$8,$B24-SUM($C24:E24))),0))</f>
        <v>0</v>
      </c>
      <c r="G24" s="4">
        <f>IF($B$8=0,0,IF(G$2&gt;=$A24,IF(G$2=$A24,($B24/$B$8)*$B$5,IF(G$2&lt;=$A24+$B$8-1,$B24/$B$8,$B24-SUM($C24:F24))),0))</f>
        <v>0</v>
      </c>
      <c r="H24" s="4">
        <f>IF($B$8=0,0,IF(H$2&gt;=$A24,IF(H$2=$A24,($B24/$B$8)*$B$5,IF(H$2&lt;=$A24+$B$8-1,$B24/$B$8,$B24-SUM($C24:G24))),0))</f>
        <v>0</v>
      </c>
      <c r="I24" s="4">
        <f>IF($B$8=0,0,IF(I$2&gt;=$A24,IF(I$2=$A24,($B24/$B$8)*$B$5,IF(I$2&lt;=$A24+$B$8-1,$B24/$B$8,$B24-SUM($C24:H24))),0))</f>
        <v>0</v>
      </c>
      <c r="J24" s="4">
        <f>IF($B$8=0,0,IF(J$2&gt;=$A24,IF(J$2=$A24,($B24/$B$8)*$B$5,IF(J$2&lt;=$A24+$B$8-1,$B24/$B$8,$B24-SUM($C24:I24))),0))</f>
        <v>0</v>
      </c>
      <c r="K24" s="4">
        <f>IF($B$8=0,0,IF(K$2&gt;=$A24,IF(K$2=$A24,($B24/$B$8)*$B$5,IF(K$2&lt;=$A24+$B$8-1,$B24/$B$8,$B24-SUM($C24:J24))),0))</f>
        <v>0</v>
      </c>
      <c r="L24" s="4">
        <f>IF($B$8=0,0,IF(L$2&gt;=$A24,IF(L$2=$A24,($B24/$B$8)*$B$5,IF(L$2&lt;=$A24+$B$8-1,$B24/$B$8,$B24-SUM($C24:K24))),0))</f>
        <v>0</v>
      </c>
      <c r="M24" s="4">
        <f>IF($B$8=0,0,IF(M$2&gt;=$A24,IF(M$2=$A24,($B24/$B$8)*$B$5,IF(M$2&lt;=$A24+$B$8-1,$B24/$B$8,$B24-SUM($C24:L24))),0))</f>
        <v>0</v>
      </c>
      <c r="N24" s="4">
        <f>IF($B$8=0,0,IF(N$2&gt;=$A24,IF(N$2=$A24,($B24/$B$8)*$B$5,IF(N$2&lt;=$A24+$B$8-1,$B24/$B$8,$B24-SUM($C24:M24))),0))</f>
        <v>0</v>
      </c>
      <c r="O24" s="4">
        <f>IF($B$8=0,0,IF(O$2&gt;=$A24,IF(O$2=$A24,($B24/$B$8)*$B$5,IF(O$2&lt;=$A24+$B$8-1,$B24/$B$8,$B24-SUM($C24:N24))),0))</f>
        <v>0</v>
      </c>
      <c r="P24" s="4">
        <f>IF($B$8=0,0,IF(P$2&gt;=$A24,IF(P$2=$A24,($B24/$B$8)*$B$5,IF(P$2&lt;=$A24+$B$8-1,$B24/$B$8,$B24-SUM($C24:O24))),0))</f>
        <v>0</v>
      </c>
      <c r="Q24" s="4">
        <f>IF($B$8=0,0,IF(Q$2&gt;=$A24,IF(Q$2=$A24,($B24/$B$8)*$B$5,IF(Q$2&lt;=$A24+$B$8-1,$B24/$B$8,$B24-SUM($C24:P24))),0))</f>
        <v>0</v>
      </c>
      <c r="R24" s="4">
        <f>IF($B$8=0,0,IF(R$2&gt;=$A24,IF(R$2=$A24,($B24/$B$8)*$B$5,IF(R$2&lt;=$A24+$B$8-1,$B24/$B$8,$B24-SUM($C24:Q24))),0))</f>
        <v>0</v>
      </c>
      <c r="S24" s="4">
        <f>IF($B$8=0,0,IF(S$2&gt;=$A24,IF(S$2=$A24,($B24/$B$8)*$B$5,IF(S$2&lt;=$A24+$B$8-1,$B24/$B$8,$B24-SUM($C24:R24))),0))</f>
        <v>0</v>
      </c>
      <c r="T24" s="4">
        <f>IF($B$8=0,0,IF(T$2&gt;=$A24,IF(T$2=$A24,($B24/$B$8)*$B$5,IF(T$2&lt;=$A24+$B$8-1,$B24/$B$8,$B24-SUM($C24:S24))),0))</f>
        <v>0</v>
      </c>
      <c r="U24" s="4">
        <f>IF($B$8=0,0,IF(U$2&gt;=$A24,IF(U$2=$A24,($B24/$B$8)*$B$5,IF(U$2&lt;=$A24+$B$8-1,$B24/$B$8,$B24-SUM($C24:T24))),0))</f>
        <v>0</v>
      </c>
      <c r="V24" s="4">
        <f>IF($B$8=0,0,IF(V$2&gt;=$A24,IF(V$2=$A24,($B24/$B$8)*$B$5,IF(V$2&lt;=$A24+$B$8-1,$B24/$B$8,$B24-SUM($C24:U24))),0))</f>
        <v>0</v>
      </c>
      <c r="W24" s="4">
        <f>IF($B$8=0,0,IF(W$2&gt;=$A24,IF(W$2=$A24,($B24/$B$8)*$B$5,IF(W$2&lt;=$A24+$B$8-1,$B24/$B$8,$B24-SUM($C24:V24))),0))</f>
        <v>0</v>
      </c>
      <c r="X24" s="4">
        <f>IF($B$8=0,0,IF(X$2&gt;=$A24,IF(X$2=$A24,($B24/$B$8)*$B$5,IF(X$2&lt;=$A24+$B$8-1,$B24/$B$8,$B24-SUM($C24:W24))),0))</f>
        <v>0</v>
      </c>
      <c r="Y24" s="4">
        <f>IF($B$8=0,0,IF(Y$2&gt;=$A24,IF(Y$2=$A24,($B24/$B$8)*$B$5,IF(Y$2&lt;=$A24+$B$8-1,$B24/$B$8,$B24-SUM($C24:X24))),0))</f>
        <v>0</v>
      </c>
      <c r="Z24" s="4">
        <f>IF($B$8=0,0,IF(Z$2&gt;=$A24,IF(Z$2=$A24,($B24/$B$8)*$B$5,IF(Z$2&lt;=$A24+$B$8-1,$B24/$B$8,$B24-SUM($C24:Y24))),0))</f>
        <v>0</v>
      </c>
      <c r="AA24" s="4">
        <f>IF($B$8=0,0,IF(AA$2&gt;=$A24,IF(AA$2=$A24,($B24/$B$8)*$B$5,IF(AA$2&lt;=$A24+$B$8-1,$B24/$B$8,$B24-SUM($C24:Z24))),0))</f>
        <v>0</v>
      </c>
      <c r="AB24" s="4">
        <f>IF($B$8=0,0,IF(AB$2&gt;=$A24,IF(AB$2=$A24,($B24/$B$8)*$B$5,IF(AB$2&lt;=$A24+$B$8-1,$B24/$B$8,$B24-SUM($C24:AA24))),0))</f>
        <v>0</v>
      </c>
      <c r="AC24" s="4">
        <f>IF($B$8=0,0,IF(AC$2&gt;=$A24,IF(AC$2=$A24,($B24/$B$8)*$B$5,IF(AC$2&lt;=$A24+$B$8-1,$B24/$B$8,$B24-SUM($C24:AB24))),0))</f>
        <v>0</v>
      </c>
      <c r="AD24" s="4">
        <f>IF($B$8=0,0,IF(AD$2&gt;=$A24,IF(AD$2=$A24,($B24/$B$8)*$B$5,IF(AD$2&lt;=$A24+$B$8-1,$B24/$B$8,$B24-SUM($C24:AC24))),0))</f>
        <v>0</v>
      </c>
      <c r="AE24" s="4">
        <f>IF($B$8=0,0,IF(AE$2&gt;=$A24,IF(AE$2=$A24,($B24/$B$8)*$B$5,IF(AE$2&lt;=$A24+$B$8-1,$B24/$B$8,$B24-SUM($C24:AD24))),0))</f>
        <v>0</v>
      </c>
      <c r="AF24" s="4">
        <f>IF($B$8=0,0,IF(AF$2&gt;=$A24,IF(AF$2=$A24,($B24/$B$8)*$B$5,IF(AF$2&lt;=$A24+$B$8-1,$B24/$B$8,$B24-SUM($C24:AE24))),0))</f>
        <v>0</v>
      </c>
      <c r="AG24" s="4">
        <f t="shared" si="13"/>
        <v>0</v>
      </c>
    </row>
    <row r="25" spans="1:33">
      <c r="A25" s="6">
        <f t="shared" si="14"/>
        <v>2038</v>
      </c>
      <c r="B25" s="4">
        <f t="shared" si="12"/>
        <v>0</v>
      </c>
      <c r="C25" s="4">
        <f>IF($B$8=0,0,IF(C$2&gt;=$A25,IF(C$2=$A25,($B25/$B$8)*$B$5,IF(C$2&lt;=$A25+$B$8-1,$B25/$B$8,$B25-SUM(B25:$C25))),0))</f>
        <v>0</v>
      </c>
      <c r="D25" s="4">
        <f>IF($B$8=0,0,IF(D$2&gt;=$A25,IF(D$2=$A25,($B25/$B$8)*$B$5,IF(D$2&lt;=$A25+$B$8-1,$B25/$B$8,$B25-SUM(C25:$C25))),0))</f>
        <v>0</v>
      </c>
      <c r="E25" s="4">
        <f>IF($B$8=0,0,IF(E$2&gt;=$A25,IF(E$2=$A25,($B25/$B$8)*$B$5,IF(E$2&lt;=$A25+$B$8-1,$B25/$B$8,$B25-SUM($C25:D25))),0))</f>
        <v>0</v>
      </c>
      <c r="F25" s="4">
        <f>IF($B$8=0,0,IF(F$2&gt;=$A25,IF(F$2=$A25,($B25/$B$8)*$B$5,IF(F$2&lt;=$A25+$B$8-1,$B25/$B$8,$B25-SUM($C25:E25))),0))</f>
        <v>0</v>
      </c>
      <c r="G25" s="4">
        <f>IF($B$8=0,0,IF(G$2&gt;=$A25,IF(G$2=$A25,($B25/$B$8)*$B$5,IF(G$2&lt;=$A25+$B$8-1,$B25/$B$8,$B25-SUM($C25:F25))),0))</f>
        <v>0</v>
      </c>
      <c r="H25" s="4">
        <f>IF($B$8=0,0,IF(H$2&gt;=$A25,IF(H$2=$A25,($B25/$B$8)*$B$5,IF(H$2&lt;=$A25+$B$8-1,$B25/$B$8,$B25-SUM($C25:G25))),0))</f>
        <v>0</v>
      </c>
      <c r="I25" s="4">
        <f>IF($B$8=0,0,IF(I$2&gt;=$A25,IF(I$2=$A25,($B25/$B$8)*$B$5,IF(I$2&lt;=$A25+$B$8-1,$B25/$B$8,$B25-SUM($C25:H25))),0))</f>
        <v>0</v>
      </c>
      <c r="J25" s="4">
        <f>IF($B$8=0,0,IF(J$2&gt;=$A25,IF(J$2=$A25,($B25/$B$8)*$B$5,IF(J$2&lt;=$A25+$B$8-1,$B25/$B$8,$B25-SUM($C25:I25))),0))</f>
        <v>0</v>
      </c>
      <c r="K25" s="4">
        <f>IF($B$8=0,0,IF(K$2&gt;=$A25,IF(K$2=$A25,($B25/$B$8)*$B$5,IF(K$2&lt;=$A25+$B$8-1,$B25/$B$8,$B25-SUM($C25:J25))),0))</f>
        <v>0</v>
      </c>
      <c r="L25" s="4">
        <f>IF($B$8=0,0,IF(L$2&gt;=$A25,IF(L$2=$A25,($B25/$B$8)*$B$5,IF(L$2&lt;=$A25+$B$8-1,$B25/$B$8,$B25-SUM($C25:K25))),0))</f>
        <v>0</v>
      </c>
      <c r="M25" s="4">
        <f>IF($B$8=0,0,IF(M$2&gt;=$A25,IF(M$2=$A25,($B25/$B$8)*$B$5,IF(M$2&lt;=$A25+$B$8-1,$B25/$B$8,$B25-SUM($C25:L25))),0))</f>
        <v>0</v>
      </c>
      <c r="N25" s="4">
        <f>IF($B$8=0,0,IF(N$2&gt;=$A25,IF(N$2=$A25,($B25/$B$8)*$B$5,IF(N$2&lt;=$A25+$B$8-1,$B25/$B$8,$B25-SUM($C25:M25))),0))</f>
        <v>0</v>
      </c>
      <c r="O25" s="4">
        <f>IF($B$8=0,0,IF(O$2&gt;=$A25,IF(O$2=$A25,($B25/$B$8)*$B$5,IF(O$2&lt;=$A25+$B$8-1,$B25/$B$8,$B25-SUM($C25:N25))),0))</f>
        <v>0</v>
      </c>
      <c r="P25" s="4">
        <f>IF($B$8=0,0,IF(P$2&gt;=$A25,IF(P$2=$A25,($B25/$B$8)*$B$5,IF(P$2&lt;=$A25+$B$8-1,$B25/$B$8,$B25-SUM($C25:O25))),0))</f>
        <v>0</v>
      </c>
      <c r="Q25" s="4">
        <f>IF($B$8=0,0,IF(Q$2&gt;=$A25,IF(Q$2=$A25,($B25/$B$8)*$B$5,IF(Q$2&lt;=$A25+$B$8-1,$B25/$B$8,$B25-SUM($C25:P25))),0))</f>
        <v>0</v>
      </c>
      <c r="R25" s="4">
        <f>IF($B$8=0,0,IF(R$2&gt;=$A25,IF(R$2=$A25,($B25/$B$8)*$B$5,IF(R$2&lt;=$A25+$B$8-1,$B25/$B$8,$B25-SUM($C25:Q25))),0))</f>
        <v>0</v>
      </c>
      <c r="S25" s="4">
        <f>IF($B$8=0,0,IF(S$2&gt;=$A25,IF(S$2=$A25,($B25/$B$8)*$B$5,IF(S$2&lt;=$A25+$B$8-1,$B25/$B$8,$B25-SUM($C25:R25))),0))</f>
        <v>0</v>
      </c>
      <c r="T25" s="4">
        <f>IF($B$8=0,0,IF(T$2&gt;=$A25,IF(T$2=$A25,($B25/$B$8)*$B$5,IF(T$2&lt;=$A25+$B$8-1,$B25/$B$8,$B25-SUM($C25:S25))),0))</f>
        <v>0</v>
      </c>
      <c r="U25" s="4">
        <f>IF($B$8=0,0,IF(U$2&gt;=$A25,IF(U$2=$A25,($B25/$B$8)*$B$5,IF(U$2&lt;=$A25+$B$8-1,$B25/$B$8,$B25-SUM($C25:T25))),0))</f>
        <v>0</v>
      </c>
      <c r="V25" s="4">
        <f>IF($B$8=0,0,IF(V$2&gt;=$A25,IF(V$2=$A25,($B25/$B$8)*$B$5,IF(V$2&lt;=$A25+$B$8-1,$B25/$B$8,$B25-SUM($C25:U25))),0))</f>
        <v>0</v>
      </c>
      <c r="W25" s="4">
        <f>IF($B$8=0,0,IF(W$2&gt;=$A25,IF(W$2=$A25,($B25/$B$8)*$B$5,IF(W$2&lt;=$A25+$B$8-1,$B25/$B$8,$B25-SUM($C25:V25))),0))</f>
        <v>0</v>
      </c>
      <c r="X25" s="4">
        <f>IF($B$8=0,0,IF(X$2&gt;=$A25,IF(X$2=$A25,($B25/$B$8)*$B$5,IF(X$2&lt;=$A25+$B$8-1,$B25/$B$8,$B25-SUM($C25:W25))),0))</f>
        <v>0</v>
      </c>
      <c r="Y25" s="4">
        <f>IF($B$8=0,0,IF(Y$2&gt;=$A25,IF(Y$2=$A25,($B25/$B$8)*$B$5,IF(Y$2&lt;=$A25+$B$8-1,$B25/$B$8,$B25-SUM($C25:X25))),0))</f>
        <v>0</v>
      </c>
      <c r="Z25" s="4">
        <f>IF($B$8=0,0,IF(Z$2&gt;=$A25,IF(Z$2=$A25,($B25/$B$8)*$B$5,IF(Z$2&lt;=$A25+$B$8-1,$B25/$B$8,$B25-SUM($C25:Y25))),0))</f>
        <v>0</v>
      </c>
      <c r="AA25" s="4">
        <f>IF($B$8=0,0,IF(AA$2&gt;=$A25,IF(AA$2=$A25,($B25/$B$8)*$B$5,IF(AA$2&lt;=$A25+$B$8-1,$B25/$B$8,$B25-SUM($C25:Z25))),0))</f>
        <v>0</v>
      </c>
      <c r="AB25" s="4">
        <f>IF($B$8=0,0,IF(AB$2&gt;=$A25,IF(AB$2=$A25,($B25/$B$8)*$B$5,IF(AB$2&lt;=$A25+$B$8-1,$B25/$B$8,$B25-SUM($C25:AA25))),0))</f>
        <v>0</v>
      </c>
      <c r="AC25" s="4">
        <f>IF($B$8=0,0,IF(AC$2&gt;=$A25,IF(AC$2=$A25,($B25/$B$8)*$B$5,IF(AC$2&lt;=$A25+$B$8-1,$B25/$B$8,$B25-SUM($C25:AB25))),0))</f>
        <v>0</v>
      </c>
      <c r="AD25" s="4">
        <f>IF($B$8=0,0,IF(AD$2&gt;=$A25,IF(AD$2=$A25,($B25/$B$8)*$B$5,IF(AD$2&lt;=$A25+$B$8-1,$B25/$B$8,$B25-SUM($C25:AC25))),0))</f>
        <v>0</v>
      </c>
      <c r="AE25" s="4">
        <f>IF($B$8=0,0,IF(AE$2&gt;=$A25,IF(AE$2=$A25,($B25/$B$8)*$B$5,IF(AE$2&lt;=$A25+$B$8-1,$B25/$B$8,$B25-SUM($C25:AD25))),0))</f>
        <v>0</v>
      </c>
      <c r="AF25" s="4">
        <f>IF($B$8=0,0,IF(AF$2&gt;=$A25,IF(AF$2=$A25,($B25/$B$8)*$B$5,IF(AF$2&lt;=$A25+$B$8-1,$B25/$B$8,$B25-SUM($C25:AE25))),0))</f>
        <v>0</v>
      </c>
      <c r="AG25" s="4">
        <f t="shared" si="13"/>
        <v>0</v>
      </c>
    </row>
    <row r="26" spans="1:33">
      <c r="A26" s="6">
        <f t="shared" si="14"/>
        <v>2039</v>
      </c>
      <c r="B26" s="4">
        <f t="shared" si="12"/>
        <v>0</v>
      </c>
      <c r="C26" s="4">
        <f>IF($B$8=0,0,IF(C$2&gt;=$A26,IF(C$2=$A26,($B26/$B$8)*$B$5,IF(C$2&lt;=$A26+$B$8-1,$B26/$B$8,$B26-SUM(B26:$C26))),0))</f>
        <v>0</v>
      </c>
      <c r="D26" s="4">
        <f>IF($B$8=0,0,IF(D$2&gt;=$A26,IF(D$2=$A26,($B26/$B$8)*$B$5,IF(D$2&lt;=$A26+$B$8-1,$B26/$B$8,$B26-SUM(C26:$C26))),0))</f>
        <v>0</v>
      </c>
      <c r="E26" s="4">
        <f>IF($B$8=0,0,IF(E$2&gt;=$A26,IF(E$2=$A26,($B26/$B$8)*$B$5,IF(E$2&lt;=$A26+$B$8-1,$B26/$B$8,$B26-SUM($C26:D26))),0))</f>
        <v>0</v>
      </c>
      <c r="F26" s="4">
        <f>IF($B$8=0,0,IF(F$2&gt;=$A26,IF(F$2=$A26,($B26/$B$8)*$B$5,IF(F$2&lt;=$A26+$B$8-1,$B26/$B$8,$B26-SUM($C26:E26))),0))</f>
        <v>0</v>
      </c>
      <c r="G26" s="4">
        <f>IF($B$8=0,0,IF(G$2&gt;=$A26,IF(G$2=$A26,($B26/$B$8)*$B$5,IF(G$2&lt;=$A26+$B$8-1,$B26/$B$8,$B26-SUM($C26:F26))),0))</f>
        <v>0</v>
      </c>
      <c r="H26" s="4">
        <f>IF($B$8=0,0,IF(H$2&gt;=$A26,IF(H$2=$A26,($B26/$B$8)*$B$5,IF(H$2&lt;=$A26+$B$8-1,$B26/$B$8,$B26-SUM($C26:G26))),0))</f>
        <v>0</v>
      </c>
      <c r="I26" s="4">
        <f>IF($B$8=0,0,IF(I$2&gt;=$A26,IF(I$2=$A26,($B26/$B$8)*$B$5,IF(I$2&lt;=$A26+$B$8-1,$B26/$B$8,$B26-SUM($C26:H26))),0))</f>
        <v>0</v>
      </c>
      <c r="J26" s="4">
        <f>IF($B$8=0,0,IF(J$2&gt;=$A26,IF(J$2=$A26,($B26/$B$8)*$B$5,IF(J$2&lt;=$A26+$B$8-1,$B26/$B$8,$B26-SUM($C26:I26))),0))</f>
        <v>0</v>
      </c>
      <c r="K26" s="4">
        <f>IF($B$8=0,0,IF(K$2&gt;=$A26,IF(K$2=$A26,($B26/$B$8)*$B$5,IF(K$2&lt;=$A26+$B$8-1,$B26/$B$8,$B26-SUM($C26:J26))),0))</f>
        <v>0</v>
      </c>
      <c r="L26" s="4">
        <f>IF($B$8=0,0,IF(L$2&gt;=$A26,IF(L$2=$A26,($B26/$B$8)*$B$5,IF(L$2&lt;=$A26+$B$8-1,$B26/$B$8,$B26-SUM($C26:K26))),0))</f>
        <v>0</v>
      </c>
      <c r="M26" s="4">
        <f>IF($B$8=0,0,IF(M$2&gt;=$A26,IF(M$2=$A26,($B26/$B$8)*$B$5,IF(M$2&lt;=$A26+$B$8-1,$B26/$B$8,$B26-SUM($C26:L26))),0))</f>
        <v>0</v>
      </c>
      <c r="N26" s="4">
        <f>IF($B$8=0,0,IF(N$2&gt;=$A26,IF(N$2=$A26,($B26/$B$8)*$B$5,IF(N$2&lt;=$A26+$B$8-1,$B26/$B$8,$B26-SUM($C26:M26))),0))</f>
        <v>0</v>
      </c>
      <c r="O26" s="4">
        <f>IF($B$8=0,0,IF(O$2&gt;=$A26,IF(O$2=$A26,($B26/$B$8)*$B$5,IF(O$2&lt;=$A26+$B$8-1,$B26/$B$8,$B26-SUM($C26:N26))),0))</f>
        <v>0</v>
      </c>
      <c r="P26" s="4">
        <f>IF($B$8=0,0,IF(P$2&gt;=$A26,IF(P$2=$A26,($B26/$B$8)*$B$5,IF(P$2&lt;=$A26+$B$8-1,$B26/$B$8,$B26-SUM($C26:O26))),0))</f>
        <v>0</v>
      </c>
      <c r="Q26" s="4">
        <f>IF($B$8=0,0,IF(Q$2&gt;=$A26,IF(Q$2=$A26,($B26/$B$8)*$B$5,IF(Q$2&lt;=$A26+$B$8-1,$B26/$B$8,$B26-SUM($C26:P26))),0))</f>
        <v>0</v>
      </c>
      <c r="R26" s="4">
        <f>IF($B$8=0,0,IF(R$2&gt;=$A26,IF(R$2=$A26,($B26/$B$8)*$B$5,IF(R$2&lt;=$A26+$B$8-1,$B26/$B$8,$B26-SUM($C26:Q26))),0))</f>
        <v>0</v>
      </c>
      <c r="S26" s="4">
        <f>IF($B$8=0,0,IF(S$2&gt;=$A26,IF(S$2=$A26,($B26/$B$8)*$B$5,IF(S$2&lt;=$A26+$B$8-1,$B26/$B$8,$B26-SUM($C26:R26))),0))</f>
        <v>0</v>
      </c>
      <c r="T26" s="4">
        <f>IF($B$8=0,0,IF(T$2&gt;=$A26,IF(T$2=$A26,($B26/$B$8)*$B$5,IF(T$2&lt;=$A26+$B$8-1,$B26/$B$8,$B26-SUM($C26:S26))),0))</f>
        <v>0</v>
      </c>
      <c r="U26" s="4">
        <f>IF($B$8=0,0,IF(U$2&gt;=$A26,IF(U$2=$A26,($B26/$B$8)*$B$5,IF(U$2&lt;=$A26+$B$8-1,$B26/$B$8,$B26-SUM($C26:T26))),0))</f>
        <v>0</v>
      </c>
      <c r="V26" s="4">
        <f>IF($B$8=0,0,IF(V$2&gt;=$A26,IF(V$2=$A26,($B26/$B$8)*$B$5,IF(V$2&lt;=$A26+$B$8-1,$B26/$B$8,$B26-SUM($C26:U26))),0))</f>
        <v>0</v>
      </c>
      <c r="W26" s="4">
        <f>IF($B$8=0,0,IF(W$2&gt;=$A26,IF(W$2=$A26,($B26/$B$8)*$B$5,IF(W$2&lt;=$A26+$B$8-1,$B26/$B$8,$B26-SUM($C26:V26))),0))</f>
        <v>0</v>
      </c>
      <c r="X26" s="4">
        <f>IF($B$8=0,0,IF(X$2&gt;=$A26,IF(X$2=$A26,($B26/$B$8)*$B$5,IF(X$2&lt;=$A26+$B$8-1,$B26/$B$8,$B26-SUM($C26:W26))),0))</f>
        <v>0</v>
      </c>
      <c r="Y26" s="4">
        <f>IF($B$8=0,0,IF(Y$2&gt;=$A26,IF(Y$2=$A26,($B26/$B$8)*$B$5,IF(Y$2&lt;=$A26+$B$8-1,$B26/$B$8,$B26-SUM($C26:X26))),0))</f>
        <v>0</v>
      </c>
      <c r="Z26" s="4">
        <f>IF($B$8=0,0,IF(Z$2&gt;=$A26,IF(Z$2=$A26,($B26/$B$8)*$B$5,IF(Z$2&lt;=$A26+$B$8-1,$B26/$B$8,$B26-SUM($C26:Y26))),0))</f>
        <v>0</v>
      </c>
      <c r="AA26" s="4">
        <f>IF($B$8=0,0,IF(AA$2&gt;=$A26,IF(AA$2=$A26,($B26/$B$8)*$B$5,IF(AA$2&lt;=$A26+$B$8-1,$B26/$B$8,$B26-SUM($C26:Z26))),0))</f>
        <v>0</v>
      </c>
      <c r="AB26" s="4">
        <f>IF($B$8=0,0,IF(AB$2&gt;=$A26,IF(AB$2=$A26,($B26/$B$8)*$B$5,IF(AB$2&lt;=$A26+$B$8-1,$B26/$B$8,$B26-SUM($C26:AA26))),0))</f>
        <v>0</v>
      </c>
      <c r="AC26" s="4">
        <f>IF($B$8=0,0,IF(AC$2&gt;=$A26,IF(AC$2=$A26,($B26/$B$8)*$B$5,IF(AC$2&lt;=$A26+$B$8-1,$B26/$B$8,$B26-SUM($C26:AB26))),0))</f>
        <v>0</v>
      </c>
      <c r="AD26" s="4">
        <f>IF($B$8=0,0,IF(AD$2&gt;=$A26,IF(AD$2=$A26,($B26/$B$8)*$B$5,IF(AD$2&lt;=$A26+$B$8-1,$B26/$B$8,$B26-SUM($C26:AC26))),0))</f>
        <v>0</v>
      </c>
      <c r="AE26" s="4">
        <f>IF($B$8=0,0,IF(AE$2&gt;=$A26,IF(AE$2=$A26,($B26/$B$8)*$B$5,IF(AE$2&lt;=$A26+$B$8-1,$B26/$B$8,$B26-SUM($C26:AD26))),0))</f>
        <v>0</v>
      </c>
      <c r="AF26" s="4">
        <f>IF($B$8=0,0,IF(AF$2&gt;=$A26,IF(AF$2=$A26,($B26/$B$8)*$B$5,IF(AF$2&lt;=$A26+$B$8-1,$B26/$B$8,$B26-SUM($C26:AE26))),0))</f>
        <v>0</v>
      </c>
      <c r="AG26" s="4">
        <f t="shared" si="13"/>
        <v>0</v>
      </c>
    </row>
    <row r="27" spans="1:33">
      <c r="A27" s="6">
        <f t="shared" si="14"/>
        <v>2040</v>
      </c>
      <c r="B27" s="4">
        <f t="shared" si="12"/>
        <v>0</v>
      </c>
      <c r="C27" s="4">
        <f>IF($B$8=0,0,IF(C$2&gt;=$A27,IF(C$2=$A27,($B27/$B$8)*$B$5,IF(C$2&lt;=$A27+$B$8-1,$B27/$B$8,$B27-SUM(B27:$C27))),0))</f>
        <v>0</v>
      </c>
      <c r="D27" s="4">
        <f>IF($B$8=0,0,IF(D$2&gt;=$A27,IF(D$2=$A27,($B27/$B$8)*$B$5,IF(D$2&lt;=$A27+$B$8-1,$B27/$B$8,$B27-SUM(C27:$C27))),0))</f>
        <v>0</v>
      </c>
      <c r="E27" s="4">
        <f>IF($B$8=0,0,IF(E$2&gt;=$A27,IF(E$2=$A27,($B27/$B$8)*$B$5,IF(E$2&lt;=$A27+$B$8-1,$B27/$B$8,$B27-SUM($C27:D27))),0))</f>
        <v>0</v>
      </c>
      <c r="F27" s="4">
        <f>IF($B$8=0,0,IF(F$2&gt;=$A27,IF(F$2=$A27,($B27/$B$8)*$B$5,IF(F$2&lt;=$A27+$B$8-1,$B27/$B$8,$B27-SUM($C27:E27))),0))</f>
        <v>0</v>
      </c>
      <c r="G27" s="4">
        <f>IF($B$8=0,0,IF(G$2&gt;=$A27,IF(G$2=$A27,($B27/$B$8)*$B$5,IF(G$2&lt;=$A27+$B$8-1,$B27/$B$8,$B27-SUM($C27:F27))),0))</f>
        <v>0</v>
      </c>
      <c r="H27" s="4">
        <f>IF($B$8=0,0,IF(H$2&gt;=$A27,IF(H$2=$A27,($B27/$B$8)*$B$5,IF(H$2&lt;=$A27+$B$8-1,$B27/$B$8,$B27-SUM($C27:G27))),0))</f>
        <v>0</v>
      </c>
      <c r="I27" s="4">
        <f>IF($B$8=0,0,IF(I$2&gt;=$A27,IF(I$2=$A27,($B27/$B$8)*$B$5,IF(I$2&lt;=$A27+$B$8-1,$B27/$B$8,$B27-SUM($C27:H27))),0))</f>
        <v>0</v>
      </c>
      <c r="J27" s="4">
        <f>IF($B$8=0,0,IF(J$2&gt;=$A27,IF(J$2=$A27,($B27/$B$8)*$B$5,IF(J$2&lt;=$A27+$B$8-1,$B27/$B$8,$B27-SUM($C27:I27))),0))</f>
        <v>0</v>
      </c>
      <c r="K27" s="4">
        <f>IF($B$8=0,0,IF(K$2&gt;=$A27,IF(K$2=$A27,($B27/$B$8)*$B$5,IF(K$2&lt;=$A27+$B$8-1,$B27/$B$8,$B27-SUM($C27:J27))),0))</f>
        <v>0</v>
      </c>
      <c r="L27" s="4">
        <f>IF($B$8=0,0,IF(L$2&gt;=$A27,IF(L$2=$A27,($B27/$B$8)*$B$5,IF(L$2&lt;=$A27+$B$8-1,$B27/$B$8,$B27-SUM($C27:K27))),0))</f>
        <v>0</v>
      </c>
      <c r="M27" s="4">
        <f>IF($B$8=0,0,IF(M$2&gt;=$A27,IF(M$2=$A27,($B27/$B$8)*$B$5,IF(M$2&lt;=$A27+$B$8-1,$B27/$B$8,$B27-SUM($C27:L27))),0))</f>
        <v>0</v>
      </c>
      <c r="N27" s="4">
        <f>IF($B$8=0,0,IF(N$2&gt;=$A27,IF(N$2=$A27,($B27/$B$8)*$B$5,IF(N$2&lt;=$A27+$B$8-1,$B27/$B$8,$B27-SUM($C27:M27))),0))</f>
        <v>0</v>
      </c>
      <c r="O27" s="4">
        <f>IF($B$8=0,0,IF(O$2&gt;=$A27,IF(O$2=$A27,($B27/$B$8)*$B$5,IF(O$2&lt;=$A27+$B$8-1,$B27/$B$8,$B27-SUM($C27:N27))),0))</f>
        <v>0</v>
      </c>
      <c r="P27" s="4">
        <f>IF($B$8=0,0,IF(P$2&gt;=$A27,IF(P$2=$A27,($B27/$B$8)*$B$5,IF(P$2&lt;=$A27+$B$8-1,$B27/$B$8,$B27-SUM($C27:O27))),0))</f>
        <v>0</v>
      </c>
      <c r="Q27" s="4">
        <f>IF($B$8=0,0,IF(Q$2&gt;=$A27,IF(Q$2=$A27,($B27/$B$8)*$B$5,IF(Q$2&lt;=$A27+$B$8-1,$B27/$B$8,$B27-SUM($C27:P27))),0))</f>
        <v>0</v>
      </c>
      <c r="R27" s="4">
        <f>IF($B$8=0,0,IF(R$2&gt;=$A27,IF(R$2=$A27,($B27/$B$8)*$B$5,IF(R$2&lt;=$A27+$B$8-1,$B27/$B$8,$B27-SUM($C27:Q27))),0))</f>
        <v>0</v>
      </c>
      <c r="S27" s="4">
        <f>IF($B$8=0,0,IF(S$2&gt;=$A27,IF(S$2=$A27,($B27/$B$8)*$B$5,IF(S$2&lt;=$A27+$B$8-1,$B27/$B$8,$B27-SUM($C27:R27))),0))</f>
        <v>0</v>
      </c>
      <c r="T27" s="4">
        <f>IF($B$8=0,0,IF(T$2&gt;=$A27,IF(T$2=$A27,($B27/$B$8)*$B$5,IF(T$2&lt;=$A27+$B$8-1,$B27/$B$8,$B27-SUM($C27:S27))),0))</f>
        <v>0</v>
      </c>
      <c r="U27" s="4">
        <f>IF($B$8=0,0,IF(U$2&gt;=$A27,IF(U$2=$A27,($B27/$B$8)*$B$5,IF(U$2&lt;=$A27+$B$8-1,$B27/$B$8,$B27-SUM($C27:T27))),0))</f>
        <v>0</v>
      </c>
      <c r="V27" s="4">
        <f>IF($B$8=0,0,IF(V$2&gt;=$A27,IF(V$2=$A27,($B27/$B$8)*$B$5,IF(V$2&lt;=$A27+$B$8-1,$B27/$B$8,$B27-SUM($C27:U27))),0))</f>
        <v>0</v>
      </c>
      <c r="W27" s="4">
        <f>IF($B$8=0,0,IF(W$2&gt;=$A27,IF(W$2=$A27,($B27/$B$8)*$B$5,IF(W$2&lt;=$A27+$B$8-1,$B27/$B$8,$B27-SUM($C27:V27))),0))</f>
        <v>0</v>
      </c>
      <c r="X27" s="4">
        <f>IF($B$8=0,0,IF(X$2&gt;=$A27,IF(X$2=$A27,($B27/$B$8)*$B$5,IF(X$2&lt;=$A27+$B$8-1,$B27/$B$8,$B27-SUM($C27:W27))),0))</f>
        <v>0</v>
      </c>
      <c r="Y27" s="4">
        <f>IF($B$8=0,0,IF(Y$2&gt;=$A27,IF(Y$2=$A27,($B27/$B$8)*$B$5,IF(Y$2&lt;=$A27+$B$8-1,$B27/$B$8,$B27-SUM($C27:X27))),0))</f>
        <v>0</v>
      </c>
      <c r="Z27" s="4">
        <f>IF($B$8=0,0,IF(Z$2&gt;=$A27,IF(Z$2=$A27,($B27/$B$8)*$B$5,IF(Z$2&lt;=$A27+$B$8-1,$B27/$B$8,$B27-SUM($C27:Y27))),0))</f>
        <v>0</v>
      </c>
      <c r="AA27" s="4">
        <f>IF($B$8=0,0,IF(AA$2&gt;=$A27,IF(AA$2=$A27,($B27/$B$8)*$B$5,IF(AA$2&lt;=$A27+$B$8-1,$B27/$B$8,$B27-SUM($C27:Z27))),0))</f>
        <v>0</v>
      </c>
      <c r="AB27" s="4">
        <f>IF($B$8=0,0,IF(AB$2&gt;=$A27,IF(AB$2=$A27,($B27/$B$8)*$B$5,IF(AB$2&lt;=$A27+$B$8-1,$B27/$B$8,$B27-SUM($C27:AA27))),0))</f>
        <v>0</v>
      </c>
      <c r="AC27" s="4">
        <f>IF($B$8=0,0,IF(AC$2&gt;=$A27,IF(AC$2=$A27,($B27/$B$8)*$B$5,IF(AC$2&lt;=$A27+$B$8-1,$B27/$B$8,$B27-SUM($C27:AB27))),0))</f>
        <v>0</v>
      </c>
      <c r="AD27" s="4">
        <f>IF($B$8=0,0,IF(AD$2&gt;=$A27,IF(AD$2=$A27,($B27/$B$8)*$B$5,IF(AD$2&lt;=$A27+$B$8-1,$B27/$B$8,$B27-SUM($C27:AC27))),0))</f>
        <v>0</v>
      </c>
      <c r="AE27" s="4">
        <f>IF($B$8=0,0,IF(AE$2&gt;=$A27,IF(AE$2=$A27,($B27/$B$8)*$B$5,IF(AE$2&lt;=$A27+$B$8-1,$B27/$B$8,$B27-SUM($C27:AD27))),0))</f>
        <v>0</v>
      </c>
      <c r="AF27" s="4">
        <f>IF($B$8=0,0,IF(AF$2&gt;=$A27,IF(AF$2=$A27,($B27/$B$8)*$B$5,IF(AF$2&lt;=$A27+$B$8-1,$B27/$B$8,$B27-SUM($C27:AE27))),0))</f>
        <v>0</v>
      </c>
      <c r="AG27" s="4">
        <f t="shared" si="13"/>
        <v>0</v>
      </c>
    </row>
    <row r="28" spans="1:33">
      <c r="A28" s="6">
        <f t="shared" si="14"/>
        <v>2041</v>
      </c>
      <c r="B28" s="4">
        <f t="shared" si="12"/>
        <v>0</v>
      </c>
      <c r="C28" s="4">
        <f>IF($B$8=0,0,IF(C$2&gt;=$A28,IF(C$2=$A28,($B28/$B$8)*$B$5,IF(C$2&lt;=$A28+$B$8-1,$B28/$B$8,$B28-SUM(B28:$C28))),0))</f>
        <v>0</v>
      </c>
      <c r="D28" s="4">
        <f>IF($B$8=0,0,IF(D$2&gt;=$A28,IF(D$2=$A28,($B28/$B$8)*$B$5,IF(D$2&lt;=$A28+$B$8-1,$B28/$B$8,$B28-SUM(C28:$C28))),0))</f>
        <v>0</v>
      </c>
      <c r="E28" s="4">
        <f>IF($B$8=0,0,IF(E$2&gt;=$A28,IF(E$2=$A28,($B28/$B$8)*$B$5,IF(E$2&lt;=$A28+$B$8-1,$B28/$B$8,$B28-SUM($C28:D28))),0))</f>
        <v>0</v>
      </c>
      <c r="F28" s="4">
        <f>IF($B$8=0,0,IF(F$2&gt;=$A28,IF(F$2=$A28,($B28/$B$8)*$B$5,IF(F$2&lt;=$A28+$B$8-1,$B28/$B$8,$B28-SUM($C28:E28))),0))</f>
        <v>0</v>
      </c>
      <c r="G28" s="4">
        <f>IF($B$8=0,0,IF(G$2&gt;=$A28,IF(G$2=$A28,($B28/$B$8)*$B$5,IF(G$2&lt;=$A28+$B$8-1,$B28/$B$8,$B28-SUM($C28:F28))),0))</f>
        <v>0</v>
      </c>
      <c r="H28" s="4">
        <f>IF($B$8=0,0,IF(H$2&gt;=$A28,IF(H$2=$A28,($B28/$B$8)*$B$5,IF(H$2&lt;=$A28+$B$8-1,$B28/$B$8,$B28-SUM($C28:G28))),0))</f>
        <v>0</v>
      </c>
      <c r="I28" s="4">
        <f>IF($B$8=0,0,IF(I$2&gt;=$A28,IF(I$2=$A28,($B28/$B$8)*$B$5,IF(I$2&lt;=$A28+$B$8-1,$B28/$B$8,$B28-SUM($C28:H28))),0))</f>
        <v>0</v>
      </c>
      <c r="J28" s="4">
        <f>IF($B$8=0,0,IF(J$2&gt;=$A28,IF(J$2=$A28,($B28/$B$8)*$B$5,IF(J$2&lt;=$A28+$B$8-1,$B28/$B$8,$B28-SUM($C28:I28))),0))</f>
        <v>0</v>
      </c>
      <c r="K28" s="4">
        <f>IF($B$8=0,0,IF(K$2&gt;=$A28,IF(K$2=$A28,($B28/$B$8)*$B$5,IF(K$2&lt;=$A28+$B$8-1,$B28/$B$8,$B28-SUM($C28:J28))),0))</f>
        <v>0</v>
      </c>
      <c r="L28" s="4">
        <f>IF($B$8=0,0,IF(L$2&gt;=$A28,IF(L$2=$A28,($B28/$B$8)*$B$5,IF(L$2&lt;=$A28+$B$8-1,$B28/$B$8,$B28-SUM($C28:K28))),0))</f>
        <v>0</v>
      </c>
      <c r="M28" s="4">
        <f>IF($B$8=0,0,IF(M$2&gt;=$A28,IF(M$2=$A28,($B28/$B$8)*$B$5,IF(M$2&lt;=$A28+$B$8-1,$B28/$B$8,$B28-SUM($C28:L28))),0))</f>
        <v>0</v>
      </c>
      <c r="N28" s="4">
        <f>IF($B$8=0,0,IF(N$2&gt;=$A28,IF(N$2=$A28,($B28/$B$8)*$B$5,IF(N$2&lt;=$A28+$B$8-1,$B28/$B$8,$B28-SUM($C28:M28))),0))</f>
        <v>0</v>
      </c>
      <c r="O28" s="4">
        <f>IF($B$8=0,0,IF(O$2&gt;=$A28,IF(O$2=$A28,($B28/$B$8)*$B$5,IF(O$2&lt;=$A28+$B$8-1,$B28/$B$8,$B28-SUM($C28:N28))),0))</f>
        <v>0</v>
      </c>
      <c r="P28" s="4">
        <f>IF($B$8=0,0,IF(P$2&gt;=$A28,IF(P$2=$A28,($B28/$B$8)*$B$5,IF(P$2&lt;=$A28+$B$8-1,$B28/$B$8,$B28-SUM($C28:O28))),0))</f>
        <v>0</v>
      </c>
      <c r="Q28" s="4">
        <f>IF($B$8=0,0,IF(Q$2&gt;=$A28,IF(Q$2=$A28,($B28/$B$8)*$B$5,IF(Q$2&lt;=$A28+$B$8-1,$B28/$B$8,$B28-SUM($C28:P28))),0))</f>
        <v>0</v>
      </c>
      <c r="R28" s="4">
        <f>IF($B$8=0,0,IF(R$2&gt;=$A28,IF(R$2=$A28,($B28/$B$8)*$B$5,IF(R$2&lt;=$A28+$B$8-1,$B28/$B$8,$B28-SUM($C28:Q28))),0))</f>
        <v>0</v>
      </c>
      <c r="S28" s="4">
        <f>IF($B$8=0,0,IF(S$2&gt;=$A28,IF(S$2=$A28,($B28/$B$8)*$B$5,IF(S$2&lt;=$A28+$B$8-1,$B28/$B$8,$B28-SUM($C28:R28))),0))</f>
        <v>0</v>
      </c>
      <c r="T28" s="4">
        <f>IF($B$8=0,0,IF(T$2&gt;=$A28,IF(T$2=$A28,($B28/$B$8)*$B$5,IF(T$2&lt;=$A28+$B$8-1,$B28/$B$8,$B28-SUM($C28:S28))),0))</f>
        <v>0</v>
      </c>
      <c r="U28" s="4">
        <f>IF($B$8=0,0,IF(U$2&gt;=$A28,IF(U$2=$A28,($B28/$B$8)*$B$5,IF(U$2&lt;=$A28+$B$8-1,$B28/$B$8,$B28-SUM($C28:T28))),0))</f>
        <v>0</v>
      </c>
      <c r="V28" s="4">
        <f>IF($B$8=0,0,IF(V$2&gt;=$A28,IF(V$2=$A28,($B28/$B$8)*$B$5,IF(V$2&lt;=$A28+$B$8-1,$B28/$B$8,$B28-SUM($C28:U28))),0))</f>
        <v>0</v>
      </c>
      <c r="W28" s="4">
        <f>IF($B$8=0,0,IF(W$2&gt;=$A28,IF(W$2=$A28,($B28/$B$8)*$B$5,IF(W$2&lt;=$A28+$B$8-1,$B28/$B$8,$B28-SUM($C28:V28))),0))</f>
        <v>0</v>
      </c>
      <c r="X28" s="4">
        <f>IF($B$8=0,0,IF(X$2&gt;=$A28,IF(X$2=$A28,($B28/$B$8)*$B$5,IF(X$2&lt;=$A28+$B$8-1,$B28/$B$8,$B28-SUM($C28:W28))),0))</f>
        <v>0</v>
      </c>
      <c r="Y28" s="4">
        <f>IF($B$8=0,0,IF(Y$2&gt;=$A28,IF(Y$2=$A28,($B28/$B$8)*$B$5,IF(Y$2&lt;=$A28+$B$8-1,$B28/$B$8,$B28-SUM($C28:X28))),0))</f>
        <v>0</v>
      </c>
      <c r="Z28" s="4">
        <f>IF($B$8=0,0,IF(Z$2&gt;=$A28,IF(Z$2=$A28,($B28/$B$8)*$B$5,IF(Z$2&lt;=$A28+$B$8-1,$B28/$B$8,$B28-SUM($C28:Y28))),0))</f>
        <v>0</v>
      </c>
      <c r="AA28" s="4">
        <f>IF($B$8=0,0,IF(AA$2&gt;=$A28,IF(AA$2=$A28,($B28/$B$8)*$B$5,IF(AA$2&lt;=$A28+$B$8-1,$B28/$B$8,$B28-SUM($C28:Z28))),0))</f>
        <v>0</v>
      </c>
      <c r="AB28" s="4">
        <f>IF($B$8=0,0,IF(AB$2&gt;=$A28,IF(AB$2=$A28,($B28/$B$8)*$B$5,IF(AB$2&lt;=$A28+$B$8-1,$B28/$B$8,$B28-SUM($C28:AA28))),0))</f>
        <v>0</v>
      </c>
      <c r="AC28" s="4">
        <f>IF($B$8=0,0,IF(AC$2&gt;=$A28,IF(AC$2=$A28,($B28/$B$8)*$B$5,IF(AC$2&lt;=$A28+$B$8-1,$B28/$B$8,$B28-SUM($C28:AB28))),0))</f>
        <v>0</v>
      </c>
      <c r="AD28" s="4">
        <f>IF($B$8=0,0,IF(AD$2&gt;=$A28,IF(AD$2=$A28,($B28/$B$8)*$B$5,IF(AD$2&lt;=$A28+$B$8-1,$B28/$B$8,$B28-SUM($C28:AC28))),0))</f>
        <v>0</v>
      </c>
      <c r="AE28" s="4">
        <f>IF($B$8=0,0,IF(AE$2&gt;=$A28,IF(AE$2=$A28,($B28/$B$8)*$B$5,IF(AE$2&lt;=$A28+$B$8-1,$B28/$B$8,$B28-SUM($C28:AD28))),0))</f>
        <v>0</v>
      </c>
      <c r="AF28" s="4">
        <f>IF($B$8=0,0,IF(AF$2&gt;=$A28,IF(AF$2=$A28,($B28/$B$8)*$B$5,IF(AF$2&lt;=$A28+$B$8-1,$B28/$B$8,$B28-SUM($C28:AE28))),0))</f>
        <v>0</v>
      </c>
      <c r="AG28" s="4">
        <f t="shared" si="13"/>
        <v>0</v>
      </c>
    </row>
    <row r="29" spans="1:33">
      <c r="A29" s="6">
        <f t="shared" si="14"/>
        <v>2042</v>
      </c>
      <c r="B29" s="4">
        <f t="shared" si="12"/>
        <v>0</v>
      </c>
      <c r="C29" s="4">
        <f>IF($B$8=0,0,IF(C$2&gt;=$A29,IF(C$2=$A29,($B29/$B$8)*$B$5,IF(C$2&lt;=$A29+$B$8-1,$B29/$B$8,$B29-SUM(B29:$C29))),0))</f>
        <v>0</v>
      </c>
      <c r="D29" s="4">
        <f>IF($B$8=0,0,IF(D$2&gt;=$A29,IF(D$2=$A29,($B29/$B$8)*$B$5,IF(D$2&lt;=$A29+$B$8-1,$B29/$B$8,$B29-SUM(C29:$C29))),0))</f>
        <v>0</v>
      </c>
      <c r="E29" s="4">
        <f>IF($B$8=0,0,IF(E$2&gt;=$A29,IF(E$2=$A29,($B29/$B$8)*$B$5,IF(E$2&lt;=$A29+$B$8-1,$B29/$B$8,$B29-SUM($C29:D29))),0))</f>
        <v>0</v>
      </c>
      <c r="F29" s="4">
        <f>IF($B$8=0,0,IF(F$2&gt;=$A29,IF(F$2=$A29,($B29/$B$8)*$B$5,IF(F$2&lt;=$A29+$B$8-1,$B29/$B$8,$B29-SUM($C29:E29))),0))</f>
        <v>0</v>
      </c>
      <c r="G29" s="4">
        <f>IF($B$8=0,0,IF(G$2&gt;=$A29,IF(G$2=$A29,($B29/$B$8)*$B$5,IF(G$2&lt;=$A29+$B$8-1,$B29/$B$8,$B29-SUM($C29:F29))),0))</f>
        <v>0</v>
      </c>
      <c r="H29" s="4">
        <f>IF($B$8=0,0,IF(H$2&gt;=$A29,IF(H$2=$A29,($B29/$B$8)*$B$5,IF(H$2&lt;=$A29+$B$8-1,$B29/$B$8,$B29-SUM($C29:G29))),0))</f>
        <v>0</v>
      </c>
      <c r="I29" s="4">
        <f>IF($B$8=0,0,IF(I$2&gt;=$A29,IF(I$2=$A29,($B29/$B$8)*$B$5,IF(I$2&lt;=$A29+$B$8-1,$B29/$B$8,$B29-SUM($C29:H29))),0))</f>
        <v>0</v>
      </c>
      <c r="J29" s="4">
        <f>IF($B$8=0,0,IF(J$2&gt;=$A29,IF(J$2=$A29,($B29/$B$8)*$B$5,IF(J$2&lt;=$A29+$B$8-1,$B29/$B$8,$B29-SUM($C29:I29))),0))</f>
        <v>0</v>
      </c>
      <c r="K29" s="4">
        <f>IF($B$8=0,0,IF(K$2&gt;=$A29,IF(K$2=$A29,($B29/$B$8)*$B$5,IF(K$2&lt;=$A29+$B$8-1,$B29/$B$8,$B29-SUM($C29:J29))),0))</f>
        <v>0</v>
      </c>
      <c r="L29" s="4">
        <f>IF($B$8=0,0,IF(L$2&gt;=$A29,IF(L$2=$A29,($B29/$B$8)*$B$5,IF(L$2&lt;=$A29+$B$8-1,$B29/$B$8,$B29-SUM($C29:K29))),0))</f>
        <v>0</v>
      </c>
      <c r="M29" s="4">
        <f>IF($B$8=0,0,IF(M$2&gt;=$A29,IF(M$2=$A29,($B29/$B$8)*$B$5,IF(M$2&lt;=$A29+$B$8-1,$B29/$B$8,$B29-SUM($C29:L29))),0))</f>
        <v>0</v>
      </c>
      <c r="N29" s="4">
        <f>IF($B$8=0,0,IF(N$2&gt;=$A29,IF(N$2=$A29,($B29/$B$8)*$B$5,IF(N$2&lt;=$A29+$B$8-1,$B29/$B$8,$B29-SUM($C29:M29))),0))</f>
        <v>0</v>
      </c>
      <c r="O29" s="4">
        <f>IF($B$8=0,0,IF(O$2&gt;=$A29,IF(O$2=$A29,($B29/$B$8)*$B$5,IF(O$2&lt;=$A29+$B$8-1,$B29/$B$8,$B29-SUM($C29:N29))),0))</f>
        <v>0</v>
      </c>
      <c r="P29" s="4">
        <f>IF($B$8=0,0,IF(P$2&gt;=$A29,IF(P$2=$A29,($B29/$B$8)*$B$5,IF(P$2&lt;=$A29+$B$8-1,$B29/$B$8,$B29-SUM($C29:O29))),0))</f>
        <v>0</v>
      </c>
      <c r="Q29" s="4">
        <f>IF($B$8=0,0,IF(Q$2&gt;=$A29,IF(Q$2=$A29,($B29/$B$8)*$B$5,IF(Q$2&lt;=$A29+$B$8-1,$B29/$B$8,$B29-SUM($C29:P29))),0))</f>
        <v>0</v>
      </c>
      <c r="R29" s="4">
        <f>IF($B$8=0,0,IF(R$2&gt;=$A29,IF(R$2=$A29,($B29/$B$8)*$B$5,IF(R$2&lt;=$A29+$B$8-1,$B29/$B$8,$B29-SUM($C29:Q29))),0))</f>
        <v>0</v>
      </c>
      <c r="S29" s="4">
        <f>IF($B$8=0,0,IF(S$2&gt;=$A29,IF(S$2=$A29,($B29/$B$8)*$B$5,IF(S$2&lt;=$A29+$B$8-1,$B29/$B$8,$B29-SUM($C29:R29))),0))</f>
        <v>0</v>
      </c>
      <c r="T29" s="4">
        <f>IF($B$8=0,0,IF(T$2&gt;=$A29,IF(T$2=$A29,($B29/$B$8)*$B$5,IF(T$2&lt;=$A29+$B$8-1,$B29/$B$8,$B29-SUM($C29:S29))),0))</f>
        <v>0</v>
      </c>
      <c r="U29" s="4">
        <f>IF($B$8=0,0,IF(U$2&gt;=$A29,IF(U$2=$A29,($B29/$B$8)*$B$5,IF(U$2&lt;=$A29+$B$8-1,$B29/$B$8,$B29-SUM($C29:T29))),0))</f>
        <v>0</v>
      </c>
      <c r="V29" s="4">
        <f>IF($B$8=0,0,IF(V$2&gt;=$A29,IF(V$2=$A29,($B29/$B$8)*$B$5,IF(V$2&lt;=$A29+$B$8-1,$B29/$B$8,$B29-SUM($C29:U29))),0))</f>
        <v>0</v>
      </c>
      <c r="W29" s="4">
        <f>IF($B$8=0,0,IF(W$2&gt;=$A29,IF(W$2=$A29,($B29/$B$8)*$B$5,IF(W$2&lt;=$A29+$B$8-1,$B29/$B$8,$B29-SUM($C29:V29))),0))</f>
        <v>0</v>
      </c>
      <c r="X29" s="4">
        <f>IF($B$8=0,0,IF(X$2&gt;=$A29,IF(X$2=$A29,($B29/$B$8)*$B$5,IF(X$2&lt;=$A29+$B$8-1,$B29/$B$8,$B29-SUM($C29:W29))),0))</f>
        <v>0</v>
      </c>
      <c r="Y29" s="4">
        <f>IF($B$8=0,0,IF(Y$2&gt;=$A29,IF(Y$2=$A29,($B29/$B$8)*$B$5,IF(Y$2&lt;=$A29+$B$8-1,$B29/$B$8,$B29-SUM($C29:X29))),0))</f>
        <v>0</v>
      </c>
      <c r="Z29" s="4">
        <f>IF($B$8=0,0,IF(Z$2&gt;=$A29,IF(Z$2=$A29,($B29/$B$8)*$B$5,IF(Z$2&lt;=$A29+$B$8-1,$B29/$B$8,$B29-SUM($C29:Y29))),0))</f>
        <v>0</v>
      </c>
      <c r="AA29" s="4">
        <f>IF($B$8=0,0,IF(AA$2&gt;=$A29,IF(AA$2=$A29,($B29/$B$8)*$B$5,IF(AA$2&lt;=$A29+$B$8-1,$B29/$B$8,$B29-SUM($C29:Z29))),0))</f>
        <v>0</v>
      </c>
      <c r="AB29" s="4">
        <f>IF($B$8=0,0,IF(AB$2&gt;=$A29,IF(AB$2=$A29,($B29/$B$8)*$B$5,IF(AB$2&lt;=$A29+$B$8-1,$B29/$B$8,$B29-SUM($C29:AA29))),0))</f>
        <v>0</v>
      </c>
      <c r="AC29" s="4">
        <f>IF($B$8=0,0,IF(AC$2&gt;=$A29,IF(AC$2=$A29,($B29/$B$8)*$B$5,IF(AC$2&lt;=$A29+$B$8-1,$B29/$B$8,$B29-SUM($C29:AB29))),0))</f>
        <v>0</v>
      </c>
      <c r="AD29" s="4">
        <f>IF($B$8=0,0,IF(AD$2&gt;=$A29,IF(AD$2=$A29,($B29/$B$8)*$B$5,IF(AD$2&lt;=$A29+$B$8-1,$B29/$B$8,$B29-SUM($C29:AC29))),0))</f>
        <v>0</v>
      </c>
      <c r="AE29" s="4">
        <f>IF($B$8=0,0,IF(AE$2&gt;=$A29,IF(AE$2=$A29,($B29/$B$8)*$B$5,IF(AE$2&lt;=$A29+$B$8-1,$B29/$B$8,$B29-SUM($C29:AD29))),0))</f>
        <v>0</v>
      </c>
      <c r="AF29" s="4">
        <f>IF($B$8=0,0,IF(AF$2&gt;=$A29,IF(AF$2=$A29,($B29/$B$8)*$B$5,IF(AF$2&lt;=$A29+$B$8-1,$B29/$B$8,$B29-SUM($C29:AE29))),0))</f>
        <v>0</v>
      </c>
      <c r="AG29" s="4">
        <f t="shared" si="13"/>
        <v>0</v>
      </c>
    </row>
    <row r="30" spans="1:33">
      <c r="A30" s="6">
        <f t="shared" si="14"/>
        <v>2043</v>
      </c>
      <c r="B30" s="4">
        <f t="shared" si="12"/>
        <v>0</v>
      </c>
      <c r="C30" s="4">
        <f>IF($B$8=0,0,IF(C$2&gt;=$A30,IF(C$2=$A30,($B30/$B$8)*$B$5,IF(C$2&lt;=$A30+$B$8-1,$B30/$B$8,$B30-SUM(B30:$C30))),0))</f>
        <v>0</v>
      </c>
      <c r="D30" s="4">
        <f>IF($B$8=0,0,IF(D$2&gt;=$A30,IF(D$2=$A30,($B30/$B$8)*$B$5,IF(D$2&lt;=$A30+$B$8-1,$B30/$B$8,$B30-SUM(C30:$C30))),0))</f>
        <v>0</v>
      </c>
      <c r="E30" s="4">
        <f>IF($B$8=0,0,IF(E$2&gt;=$A30,IF(E$2=$A30,($B30/$B$8)*$B$5,IF(E$2&lt;=$A30+$B$8-1,$B30/$B$8,$B30-SUM($C30:D30))),0))</f>
        <v>0</v>
      </c>
      <c r="F30" s="4">
        <f>IF($B$8=0,0,IF(F$2&gt;=$A30,IF(F$2=$A30,($B30/$B$8)*$B$5,IF(F$2&lt;=$A30+$B$8-1,$B30/$B$8,$B30-SUM($C30:E30))),0))</f>
        <v>0</v>
      </c>
      <c r="G30" s="4">
        <f>IF($B$8=0,0,IF(G$2&gt;=$A30,IF(G$2=$A30,($B30/$B$8)*$B$5,IF(G$2&lt;=$A30+$B$8-1,$B30/$B$8,$B30-SUM($C30:F30))),0))</f>
        <v>0</v>
      </c>
      <c r="H30" s="4">
        <f>IF($B$8=0,0,IF(H$2&gt;=$A30,IF(H$2=$A30,($B30/$B$8)*$B$5,IF(H$2&lt;=$A30+$B$8-1,$B30/$B$8,$B30-SUM($C30:G30))),0))</f>
        <v>0</v>
      </c>
      <c r="I30" s="4">
        <f>IF($B$8=0,0,IF(I$2&gt;=$A30,IF(I$2=$A30,($B30/$B$8)*$B$5,IF(I$2&lt;=$A30+$B$8-1,$B30/$B$8,$B30-SUM($C30:H30))),0))</f>
        <v>0</v>
      </c>
      <c r="J30" s="4">
        <f>IF($B$8=0,0,IF(J$2&gt;=$A30,IF(J$2=$A30,($B30/$B$8)*$B$5,IF(J$2&lt;=$A30+$B$8-1,$B30/$B$8,$B30-SUM($C30:I30))),0))</f>
        <v>0</v>
      </c>
      <c r="K30" s="4">
        <f>IF($B$8=0,0,IF(K$2&gt;=$A30,IF(K$2=$A30,($B30/$B$8)*$B$5,IF(K$2&lt;=$A30+$B$8-1,$B30/$B$8,$B30-SUM($C30:J30))),0))</f>
        <v>0</v>
      </c>
      <c r="L30" s="4">
        <f>IF($B$8=0,0,IF(L$2&gt;=$A30,IF(L$2=$A30,($B30/$B$8)*$B$5,IF(L$2&lt;=$A30+$B$8-1,$B30/$B$8,$B30-SUM($C30:K30))),0))</f>
        <v>0</v>
      </c>
      <c r="M30" s="4">
        <f>IF($B$8=0,0,IF(M$2&gt;=$A30,IF(M$2=$A30,($B30/$B$8)*$B$5,IF(M$2&lt;=$A30+$B$8-1,$B30/$B$8,$B30-SUM($C30:L30))),0))</f>
        <v>0</v>
      </c>
      <c r="N30" s="4">
        <f>IF($B$8=0,0,IF(N$2&gt;=$A30,IF(N$2=$A30,($B30/$B$8)*$B$5,IF(N$2&lt;=$A30+$B$8-1,$B30/$B$8,$B30-SUM($C30:M30))),0))</f>
        <v>0</v>
      </c>
      <c r="O30" s="4">
        <f>IF($B$8=0,0,IF(O$2&gt;=$A30,IF(O$2=$A30,($B30/$B$8)*$B$5,IF(O$2&lt;=$A30+$B$8-1,$B30/$B$8,$B30-SUM($C30:N30))),0))</f>
        <v>0</v>
      </c>
      <c r="P30" s="4">
        <f>IF($B$8=0,0,IF(P$2&gt;=$A30,IF(P$2=$A30,($B30/$B$8)*$B$5,IF(P$2&lt;=$A30+$B$8-1,$B30/$B$8,$B30-SUM($C30:O30))),0))</f>
        <v>0</v>
      </c>
      <c r="Q30" s="4">
        <f>IF($B$8=0,0,IF(Q$2&gt;=$A30,IF(Q$2=$A30,($B30/$B$8)*$B$5,IF(Q$2&lt;=$A30+$B$8-1,$B30/$B$8,$B30-SUM($C30:P30))),0))</f>
        <v>0</v>
      </c>
      <c r="R30" s="4">
        <f>IF($B$8=0,0,IF(R$2&gt;=$A30,IF(R$2=$A30,($B30/$B$8)*$B$5,IF(R$2&lt;=$A30+$B$8-1,$B30/$B$8,$B30-SUM($C30:Q30))),0))</f>
        <v>0</v>
      </c>
      <c r="S30" s="4">
        <f>IF($B$8=0,0,IF(S$2&gt;=$A30,IF(S$2=$A30,($B30/$B$8)*$B$5,IF(S$2&lt;=$A30+$B$8-1,$B30/$B$8,$B30-SUM($C30:R30))),0))</f>
        <v>0</v>
      </c>
      <c r="T30" s="4">
        <f>IF($B$8=0,0,IF(T$2&gt;=$A30,IF(T$2=$A30,($B30/$B$8)*$B$5,IF(T$2&lt;=$A30+$B$8-1,$B30/$B$8,$B30-SUM($C30:S30))),0))</f>
        <v>0</v>
      </c>
      <c r="U30" s="4">
        <f>IF($B$8=0,0,IF(U$2&gt;=$A30,IF(U$2=$A30,($B30/$B$8)*$B$5,IF(U$2&lt;=$A30+$B$8-1,$B30/$B$8,$B30-SUM($C30:T30))),0))</f>
        <v>0</v>
      </c>
      <c r="V30" s="4">
        <f>IF($B$8=0,0,IF(V$2&gt;=$A30,IF(V$2=$A30,($B30/$B$8)*$B$5,IF(V$2&lt;=$A30+$B$8-1,$B30/$B$8,$B30-SUM($C30:U30))),0))</f>
        <v>0</v>
      </c>
      <c r="W30" s="4">
        <f>IF($B$8=0,0,IF(W$2&gt;=$A30,IF(W$2=$A30,($B30/$B$8)*$B$5,IF(W$2&lt;=$A30+$B$8-1,$B30/$B$8,$B30-SUM($C30:V30))),0))</f>
        <v>0</v>
      </c>
      <c r="X30" s="4">
        <f>IF($B$8=0,0,IF(X$2&gt;=$A30,IF(X$2=$A30,($B30/$B$8)*$B$5,IF(X$2&lt;=$A30+$B$8-1,$B30/$B$8,$B30-SUM($C30:W30))),0))</f>
        <v>0</v>
      </c>
      <c r="Y30" s="4">
        <f>IF($B$8=0,0,IF(Y$2&gt;=$A30,IF(Y$2=$A30,($B30/$B$8)*$B$5,IF(Y$2&lt;=$A30+$B$8-1,$B30/$B$8,$B30-SUM($C30:X30))),0))</f>
        <v>0</v>
      </c>
      <c r="Z30" s="4">
        <f>IF($B$8=0,0,IF(Z$2&gt;=$A30,IF(Z$2=$A30,($B30/$B$8)*$B$5,IF(Z$2&lt;=$A30+$B$8-1,$B30/$B$8,$B30-SUM($C30:Y30))),0))</f>
        <v>0</v>
      </c>
      <c r="AA30" s="4">
        <f>IF($B$8=0,0,IF(AA$2&gt;=$A30,IF(AA$2=$A30,($B30/$B$8)*$B$5,IF(AA$2&lt;=$A30+$B$8-1,$B30/$B$8,$B30-SUM($C30:Z30))),0))</f>
        <v>0</v>
      </c>
      <c r="AB30" s="4">
        <f>IF($B$8=0,0,IF(AB$2&gt;=$A30,IF(AB$2=$A30,($B30/$B$8)*$B$5,IF(AB$2&lt;=$A30+$B$8-1,$B30/$B$8,$B30-SUM($C30:AA30))),0))</f>
        <v>0</v>
      </c>
      <c r="AC30" s="4">
        <f>IF($B$8=0,0,IF(AC$2&gt;=$A30,IF(AC$2=$A30,($B30/$B$8)*$B$5,IF(AC$2&lt;=$A30+$B$8-1,$B30/$B$8,$B30-SUM($C30:AB30))),0))</f>
        <v>0</v>
      </c>
      <c r="AD30" s="4">
        <f>IF($B$8=0,0,IF(AD$2&gt;=$A30,IF(AD$2=$A30,($B30/$B$8)*$B$5,IF(AD$2&lt;=$A30+$B$8-1,$B30/$B$8,$B30-SUM($C30:AC30))),0))</f>
        <v>0</v>
      </c>
      <c r="AE30" s="4">
        <f>IF($B$8=0,0,IF(AE$2&gt;=$A30,IF(AE$2=$A30,($B30/$B$8)*$B$5,IF(AE$2&lt;=$A30+$B$8-1,$B30/$B$8,$B30-SUM($C30:AD30))),0))</f>
        <v>0</v>
      </c>
      <c r="AF30" s="4">
        <f>IF($B$8=0,0,IF(AF$2&gt;=$A30,IF(AF$2=$A30,($B30/$B$8)*$B$5,IF(AF$2&lt;=$A30+$B$8-1,$B30/$B$8,$B30-SUM($C30:AE30))),0))</f>
        <v>0</v>
      </c>
      <c r="AG30" s="4">
        <f t="shared" si="13"/>
        <v>0</v>
      </c>
    </row>
    <row r="31" spans="1:33">
      <c r="A31" s="6">
        <f t="shared" si="14"/>
        <v>2044</v>
      </c>
      <c r="B31" s="4">
        <f t="shared" si="12"/>
        <v>0</v>
      </c>
      <c r="C31" s="4">
        <f>IF($B$8=0,0,IF(C$2&gt;=$A31,IF(C$2=$A31,($B31/$B$8)*$B$5,IF(C$2&lt;=$A31+$B$8-1,$B31/$B$8,$B31-SUM(B31:$C31))),0))</f>
        <v>0</v>
      </c>
      <c r="D31" s="4">
        <f>IF($B$8=0,0,IF(D$2&gt;=$A31,IF(D$2=$A31,($B31/$B$8)*$B$5,IF(D$2&lt;=$A31+$B$8-1,$B31/$B$8,$B31-SUM(C31:$C31))),0))</f>
        <v>0</v>
      </c>
      <c r="E31" s="4">
        <f>IF($B$8=0,0,IF(E$2&gt;=$A31,IF(E$2=$A31,($B31/$B$8)*$B$5,IF(E$2&lt;=$A31+$B$8-1,$B31/$B$8,$B31-SUM($C31:D31))),0))</f>
        <v>0</v>
      </c>
      <c r="F31" s="4">
        <f>IF($B$8=0,0,IF(F$2&gt;=$A31,IF(F$2=$A31,($B31/$B$8)*$B$5,IF(F$2&lt;=$A31+$B$8-1,$B31/$B$8,$B31-SUM($C31:E31))),0))</f>
        <v>0</v>
      </c>
      <c r="G31" s="4">
        <f>IF($B$8=0,0,IF(G$2&gt;=$A31,IF(G$2=$A31,($B31/$B$8)*$B$5,IF(G$2&lt;=$A31+$B$8-1,$B31/$B$8,$B31-SUM($C31:F31))),0))</f>
        <v>0</v>
      </c>
      <c r="H31" s="4">
        <f>IF($B$8=0,0,IF(H$2&gt;=$A31,IF(H$2=$A31,($B31/$B$8)*$B$5,IF(H$2&lt;=$A31+$B$8-1,$B31/$B$8,$B31-SUM($C31:G31))),0))</f>
        <v>0</v>
      </c>
      <c r="I31" s="4">
        <f>IF($B$8=0,0,IF(I$2&gt;=$A31,IF(I$2=$A31,($B31/$B$8)*$B$5,IF(I$2&lt;=$A31+$B$8-1,$B31/$B$8,$B31-SUM($C31:H31))),0))</f>
        <v>0</v>
      </c>
      <c r="J31" s="4">
        <f>IF($B$8=0,0,IF(J$2&gt;=$A31,IF(J$2=$A31,($B31/$B$8)*$B$5,IF(J$2&lt;=$A31+$B$8-1,$B31/$B$8,$B31-SUM($C31:I31))),0))</f>
        <v>0</v>
      </c>
      <c r="K31" s="4">
        <f>IF($B$8=0,0,IF(K$2&gt;=$A31,IF(K$2=$A31,($B31/$B$8)*$B$5,IF(K$2&lt;=$A31+$B$8-1,$B31/$B$8,$B31-SUM($C31:J31))),0))</f>
        <v>0</v>
      </c>
      <c r="L31" s="4">
        <f>IF($B$8=0,0,IF(L$2&gt;=$A31,IF(L$2=$A31,($B31/$B$8)*$B$5,IF(L$2&lt;=$A31+$B$8-1,$B31/$B$8,$B31-SUM($C31:K31))),0))</f>
        <v>0</v>
      </c>
      <c r="M31" s="4">
        <f>IF($B$8=0,0,IF(M$2&gt;=$A31,IF(M$2=$A31,($B31/$B$8)*$B$5,IF(M$2&lt;=$A31+$B$8-1,$B31/$B$8,$B31-SUM($C31:L31))),0))</f>
        <v>0</v>
      </c>
      <c r="N31" s="4">
        <f>IF($B$8=0,0,IF(N$2&gt;=$A31,IF(N$2=$A31,($B31/$B$8)*$B$5,IF(N$2&lt;=$A31+$B$8-1,$B31/$B$8,$B31-SUM($C31:M31))),0))</f>
        <v>0</v>
      </c>
      <c r="O31" s="4">
        <f>IF($B$8=0,0,IF(O$2&gt;=$A31,IF(O$2=$A31,($B31/$B$8)*$B$5,IF(O$2&lt;=$A31+$B$8-1,$B31/$B$8,$B31-SUM($C31:N31))),0))</f>
        <v>0</v>
      </c>
      <c r="P31" s="4">
        <f>IF($B$8=0,0,IF(P$2&gt;=$A31,IF(P$2=$A31,($B31/$B$8)*$B$5,IF(P$2&lt;=$A31+$B$8-1,$B31/$B$8,$B31-SUM($C31:O31))),0))</f>
        <v>0</v>
      </c>
      <c r="Q31" s="4">
        <f>IF($B$8=0,0,IF(Q$2&gt;=$A31,IF(Q$2=$A31,($B31/$B$8)*$B$5,IF(Q$2&lt;=$A31+$B$8-1,$B31/$B$8,$B31-SUM($C31:P31))),0))</f>
        <v>0</v>
      </c>
      <c r="R31" s="4">
        <f>IF($B$8=0,0,IF(R$2&gt;=$A31,IF(R$2=$A31,($B31/$B$8)*$B$5,IF(R$2&lt;=$A31+$B$8-1,$B31/$B$8,$B31-SUM($C31:Q31))),0))</f>
        <v>0</v>
      </c>
      <c r="S31" s="4">
        <f>IF($B$8=0,0,IF(S$2&gt;=$A31,IF(S$2=$A31,($B31/$B$8)*$B$5,IF(S$2&lt;=$A31+$B$8-1,$B31/$B$8,$B31-SUM($C31:R31))),0))</f>
        <v>0</v>
      </c>
      <c r="T31" s="4">
        <f>IF($B$8=0,0,IF(T$2&gt;=$A31,IF(T$2=$A31,($B31/$B$8)*$B$5,IF(T$2&lt;=$A31+$B$8-1,$B31/$B$8,$B31-SUM($C31:S31))),0))</f>
        <v>0</v>
      </c>
      <c r="U31" s="4">
        <f>IF($B$8=0,0,IF(U$2&gt;=$A31,IF(U$2=$A31,($B31/$B$8)*$B$5,IF(U$2&lt;=$A31+$B$8-1,$B31/$B$8,$B31-SUM($C31:T31))),0))</f>
        <v>0</v>
      </c>
      <c r="V31" s="4">
        <f>IF($B$8=0,0,IF(V$2&gt;=$A31,IF(V$2=$A31,($B31/$B$8)*$B$5,IF(V$2&lt;=$A31+$B$8-1,$B31/$B$8,$B31-SUM($C31:U31))),0))</f>
        <v>0</v>
      </c>
      <c r="W31" s="4">
        <f>IF($B$8=0,0,IF(W$2&gt;=$A31,IF(W$2=$A31,($B31/$B$8)*$B$5,IF(W$2&lt;=$A31+$B$8-1,$B31/$B$8,$B31-SUM($C31:V31))),0))</f>
        <v>0</v>
      </c>
      <c r="X31" s="4">
        <f>IF($B$8=0,0,IF(X$2&gt;=$A31,IF(X$2=$A31,($B31/$B$8)*$B$5,IF(X$2&lt;=$A31+$B$8-1,$B31/$B$8,$B31-SUM($C31:W31))),0))</f>
        <v>0</v>
      </c>
      <c r="Y31" s="4">
        <f>IF($B$8=0,0,IF(Y$2&gt;=$A31,IF(Y$2=$A31,($B31/$B$8)*$B$5,IF(Y$2&lt;=$A31+$B$8-1,$B31/$B$8,$B31-SUM($C31:X31))),0))</f>
        <v>0</v>
      </c>
      <c r="Z31" s="4">
        <f>IF($B$8=0,0,IF(Z$2&gt;=$A31,IF(Z$2=$A31,($B31/$B$8)*$B$5,IF(Z$2&lt;=$A31+$B$8-1,$B31/$B$8,$B31-SUM($C31:Y31))),0))</f>
        <v>0</v>
      </c>
      <c r="AA31" s="4">
        <f>IF($B$8=0,0,IF(AA$2&gt;=$A31,IF(AA$2=$A31,($B31/$B$8)*$B$5,IF(AA$2&lt;=$A31+$B$8-1,$B31/$B$8,$B31-SUM($C31:Z31))),0))</f>
        <v>0</v>
      </c>
      <c r="AB31" s="4">
        <f>IF($B$8=0,0,IF(AB$2&gt;=$A31,IF(AB$2=$A31,($B31/$B$8)*$B$5,IF(AB$2&lt;=$A31+$B$8-1,$B31/$B$8,$B31-SUM($C31:AA31))),0))</f>
        <v>0</v>
      </c>
      <c r="AC31" s="4">
        <f>IF($B$8=0,0,IF(AC$2&gt;=$A31,IF(AC$2=$A31,($B31/$B$8)*$B$5,IF(AC$2&lt;=$A31+$B$8-1,$B31/$B$8,$B31-SUM($C31:AB31))),0))</f>
        <v>0</v>
      </c>
      <c r="AD31" s="4">
        <f>IF($B$8=0,0,IF(AD$2&gt;=$A31,IF(AD$2=$A31,($B31/$B$8)*$B$5,IF(AD$2&lt;=$A31+$B$8-1,$B31/$B$8,$B31-SUM($C31:AC31))),0))</f>
        <v>0</v>
      </c>
      <c r="AE31" s="4">
        <f>IF($B$8=0,0,IF(AE$2&gt;=$A31,IF(AE$2=$A31,($B31/$B$8)*$B$5,IF(AE$2&lt;=$A31+$B$8-1,$B31/$B$8,$B31-SUM($C31:AD31))),0))</f>
        <v>0</v>
      </c>
      <c r="AF31" s="4">
        <f>IF($B$8=0,0,IF(AF$2&gt;=$A31,IF(AF$2=$A31,($B31/$B$8)*$B$5,IF(AF$2&lt;=$A31+$B$8-1,$B31/$B$8,$B31-SUM($C31:AE31))),0))</f>
        <v>0</v>
      </c>
      <c r="AG31" s="4">
        <f t="shared" si="13"/>
        <v>0</v>
      </c>
    </row>
    <row r="32" spans="1:33">
      <c r="A32" s="6">
        <f t="shared" si="14"/>
        <v>2045</v>
      </c>
      <c r="B32" s="4">
        <f t="shared" si="12"/>
        <v>0</v>
      </c>
      <c r="C32" s="4">
        <f>IF($B$8=0,0,IF(C$2&gt;=$A32,IF(C$2=$A32,($B32/$B$8)*$B$5,IF(C$2&lt;=$A32+$B$8-1,$B32/$B$8,$B32-SUM(B32:$C32))),0))</f>
        <v>0</v>
      </c>
      <c r="D32" s="4">
        <f>IF($B$8=0,0,IF(D$2&gt;=$A32,IF(D$2=$A32,($B32/$B$8)*$B$5,IF(D$2&lt;=$A32+$B$8-1,$B32/$B$8,$B32-SUM(C32:$C32))),0))</f>
        <v>0</v>
      </c>
      <c r="E32" s="4">
        <f>IF($B$8=0,0,IF(E$2&gt;=$A32,IF(E$2=$A32,($B32/$B$8)*$B$5,IF(E$2&lt;=$A32+$B$8-1,$B32/$B$8,$B32-SUM($C32:D32))),0))</f>
        <v>0</v>
      </c>
      <c r="F32" s="4">
        <f>IF($B$8=0,0,IF(F$2&gt;=$A32,IF(F$2=$A32,($B32/$B$8)*$B$5,IF(F$2&lt;=$A32+$B$8-1,$B32/$B$8,$B32-SUM($C32:E32))),0))</f>
        <v>0</v>
      </c>
      <c r="G32" s="4">
        <f>IF($B$8=0,0,IF(G$2&gt;=$A32,IF(G$2=$A32,($B32/$B$8)*$B$5,IF(G$2&lt;=$A32+$B$8-1,$B32/$B$8,$B32-SUM($C32:F32))),0))</f>
        <v>0</v>
      </c>
      <c r="H32" s="4">
        <f>IF($B$8=0,0,IF(H$2&gt;=$A32,IF(H$2=$A32,($B32/$B$8)*$B$5,IF(H$2&lt;=$A32+$B$8-1,$B32/$B$8,$B32-SUM($C32:G32))),0))</f>
        <v>0</v>
      </c>
      <c r="I32" s="4">
        <f>IF($B$8=0,0,IF(I$2&gt;=$A32,IF(I$2=$A32,($B32/$B$8)*$B$5,IF(I$2&lt;=$A32+$B$8-1,$B32/$B$8,$B32-SUM($C32:H32))),0))</f>
        <v>0</v>
      </c>
      <c r="J32" s="4">
        <f>IF($B$8=0,0,IF(J$2&gt;=$A32,IF(J$2=$A32,($B32/$B$8)*$B$5,IF(J$2&lt;=$A32+$B$8-1,$B32/$B$8,$B32-SUM($C32:I32))),0))</f>
        <v>0</v>
      </c>
      <c r="K32" s="4">
        <f>IF($B$8=0,0,IF(K$2&gt;=$A32,IF(K$2=$A32,($B32/$B$8)*$B$5,IF(K$2&lt;=$A32+$B$8-1,$B32/$B$8,$B32-SUM($C32:J32))),0))</f>
        <v>0</v>
      </c>
      <c r="L32" s="4">
        <f>IF($B$8=0,0,IF(L$2&gt;=$A32,IF(L$2=$A32,($B32/$B$8)*$B$5,IF(L$2&lt;=$A32+$B$8-1,$B32/$B$8,$B32-SUM($C32:K32))),0))</f>
        <v>0</v>
      </c>
      <c r="M32" s="4">
        <f>IF($B$8=0,0,IF(M$2&gt;=$A32,IF(M$2=$A32,($B32/$B$8)*$B$5,IF(M$2&lt;=$A32+$B$8-1,$B32/$B$8,$B32-SUM($C32:L32))),0))</f>
        <v>0</v>
      </c>
      <c r="N32" s="4">
        <f>IF($B$8=0,0,IF(N$2&gt;=$A32,IF(N$2=$A32,($B32/$B$8)*$B$5,IF(N$2&lt;=$A32+$B$8-1,$B32/$B$8,$B32-SUM($C32:M32))),0))</f>
        <v>0</v>
      </c>
      <c r="O32" s="4">
        <f>IF($B$8=0,0,IF(O$2&gt;=$A32,IF(O$2=$A32,($B32/$B$8)*$B$5,IF(O$2&lt;=$A32+$B$8-1,$B32/$B$8,$B32-SUM($C32:N32))),0))</f>
        <v>0</v>
      </c>
      <c r="P32" s="4">
        <f>IF($B$8=0,0,IF(P$2&gt;=$A32,IF(P$2=$A32,($B32/$B$8)*$B$5,IF(P$2&lt;=$A32+$B$8-1,$B32/$B$8,$B32-SUM($C32:O32))),0))</f>
        <v>0</v>
      </c>
      <c r="Q32" s="4">
        <f>IF($B$8=0,0,IF(Q$2&gt;=$A32,IF(Q$2=$A32,($B32/$B$8)*$B$5,IF(Q$2&lt;=$A32+$B$8-1,$B32/$B$8,$B32-SUM($C32:P32))),0))</f>
        <v>0</v>
      </c>
      <c r="R32" s="4">
        <f>IF($B$8=0,0,IF(R$2&gt;=$A32,IF(R$2=$A32,($B32/$B$8)*$B$5,IF(R$2&lt;=$A32+$B$8-1,$B32/$B$8,$B32-SUM($C32:Q32))),0))</f>
        <v>0</v>
      </c>
      <c r="S32" s="4">
        <f>IF($B$8=0,0,IF(S$2&gt;=$A32,IF(S$2=$A32,($B32/$B$8)*$B$5,IF(S$2&lt;=$A32+$B$8-1,$B32/$B$8,$B32-SUM($C32:R32))),0))</f>
        <v>0</v>
      </c>
      <c r="T32" s="4">
        <f>IF($B$8=0,0,IF(T$2&gt;=$A32,IF(T$2=$A32,($B32/$B$8)*$B$5,IF(T$2&lt;=$A32+$B$8-1,$B32/$B$8,$B32-SUM($C32:S32))),0))</f>
        <v>0</v>
      </c>
      <c r="U32" s="4">
        <f>IF($B$8=0,0,IF(U$2&gt;=$A32,IF(U$2=$A32,($B32/$B$8)*$B$5,IF(U$2&lt;=$A32+$B$8-1,$B32/$B$8,$B32-SUM($C32:T32))),0))</f>
        <v>0</v>
      </c>
      <c r="V32" s="4">
        <f>IF($B$8=0,0,IF(V$2&gt;=$A32,IF(V$2=$A32,($B32/$B$8)*$B$5,IF(V$2&lt;=$A32+$B$8-1,$B32/$B$8,$B32-SUM($C32:U32))),0))</f>
        <v>0</v>
      </c>
      <c r="W32" s="4">
        <f>IF($B$8=0,0,IF(W$2&gt;=$A32,IF(W$2=$A32,($B32/$B$8)*$B$5,IF(W$2&lt;=$A32+$B$8-1,$B32/$B$8,$B32-SUM($C32:V32))),0))</f>
        <v>0</v>
      </c>
      <c r="X32" s="4">
        <f>IF($B$8=0,0,IF(X$2&gt;=$A32,IF(X$2=$A32,($B32/$B$8)*$B$5,IF(X$2&lt;=$A32+$B$8-1,$B32/$B$8,$B32-SUM($C32:W32))),0))</f>
        <v>0</v>
      </c>
      <c r="Y32" s="4">
        <f>IF($B$8=0,0,IF(Y$2&gt;=$A32,IF(Y$2=$A32,($B32/$B$8)*$B$5,IF(Y$2&lt;=$A32+$B$8-1,$B32/$B$8,$B32-SUM($C32:X32))),0))</f>
        <v>0</v>
      </c>
      <c r="Z32" s="4">
        <f>IF($B$8=0,0,IF(Z$2&gt;=$A32,IF(Z$2=$A32,($B32/$B$8)*$B$5,IF(Z$2&lt;=$A32+$B$8-1,$B32/$B$8,$B32-SUM($C32:Y32))),0))</f>
        <v>0</v>
      </c>
      <c r="AA32" s="4">
        <f>IF($B$8=0,0,IF(AA$2&gt;=$A32,IF(AA$2=$A32,($B32/$B$8)*$B$5,IF(AA$2&lt;=$A32+$B$8-1,$B32/$B$8,$B32-SUM($C32:Z32))),0))</f>
        <v>0</v>
      </c>
      <c r="AB32" s="4">
        <f>IF($B$8=0,0,IF(AB$2&gt;=$A32,IF(AB$2=$A32,($B32/$B$8)*$B$5,IF(AB$2&lt;=$A32+$B$8-1,$B32/$B$8,$B32-SUM($C32:AA32))),0))</f>
        <v>0</v>
      </c>
      <c r="AC32" s="4">
        <f>IF($B$8=0,0,IF(AC$2&gt;=$A32,IF(AC$2=$A32,($B32/$B$8)*$B$5,IF(AC$2&lt;=$A32+$B$8-1,$B32/$B$8,$B32-SUM($C32:AB32))),0))</f>
        <v>0</v>
      </c>
      <c r="AD32" s="4">
        <f>IF($B$8=0,0,IF(AD$2&gt;=$A32,IF(AD$2=$A32,($B32/$B$8)*$B$5,IF(AD$2&lt;=$A32+$B$8-1,$B32/$B$8,$B32-SUM($C32:AC32))),0))</f>
        <v>0</v>
      </c>
      <c r="AE32" s="4">
        <f>IF($B$8=0,0,IF(AE$2&gt;=$A32,IF(AE$2=$A32,($B32/$B$8)*$B$5,IF(AE$2&lt;=$A32+$B$8-1,$B32/$B$8,$B32-SUM($C32:AD32))),0))</f>
        <v>0</v>
      </c>
      <c r="AF32" s="4">
        <f>IF($B$8=0,0,IF(AF$2&gt;=$A32,IF(AF$2=$A32,($B32/$B$8)*$B$5,IF(AF$2&lt;=$A32+$B$8-1,$B32/$B$8,$B32-SUM($C32:AE32))),0))</f>
        <v>0</v>
      </c>
      <c r="AG32" s="4">
        <f t="shared" si="13"/>
        <v>0</v>
      </c>
    </row>
    <row r="33" spans="1:33">
      <c r="A33" s="6">
        <f t="shared" si="14"/>
        <v>2046</v>
      </c>
      <c r="B33" s="4">
        <f t="shared" si="12"/>
        <v>0</v>
      </c>
      <c r="C33" s="4">
        <f>IF($B$8=0,0,IF(C$2&gt;=$A33,IF(C$2=$A33,($B33/$B$8)*$B$5,IF(C$2&lt;=$A33+$B$8-1,$B33/$B$8,$B33-SUM(B33:$C33))),0))</f>
        <v>0</v>
      </c>
      <c r="D33" s="4">
        <f>IF($B$8=0,0,IF(D$2&gt;=$A33,IF(D$2=$A33,($B33/$B$8)*$B$5,IF(D$2&lt;=$A33+$B$8-1,$B33/$B$8,$B33-SUM(C33:$C33))),0))</f>
        <v>0</v>
      </c>
      <c r="E33" s="4">
        <f>IF($B$8=0,0,IF(E$2&gt;=$A33,IF(E$2=$A33,($B33/$B$8)*$B$5,IF(E$2&lt;=$A33+$B$8-1,$B33/$B$8,$B33-SUM($C33:D33))),0))</f>
        <v>0</v>
      </c>
      <c r="F33" s="4">
        <f>IF($B$8=0,0,IF(F$2&gt;=$A33,IF(F$2=$A33,($B33/$B$8)*$B$5,IF(F$2&lt;=$A33+$B$8-1,$B33/$B$8,$B33-SUM($C33:E33))),0))</f>
        <v>0</v>
      </c>
      <c r="G33" s="4">
        <f>IF($B$8=0,0,IF(G$2&gt;=$A33,IF(G$2=$A33,($B33/$B$8)*$B$5,IF(G$2&lt;=$A33+$B$8-1,$B33/$B$8,$B33-SUM($C33:F33))),0))</f>
        <v>0</v>
      </c>
      <c r="H33" s="4">
        <f>IF($B$8=0,0,IF(H$2&gt;=$A33,IF(H$2=$A33,($B33/$B$8)*$B$5,IF(H$2&lt;=$A33+$B$8-1,$B33/$B$8,$B33-SUM($C33:G33))),0))</f>
        <v>0</v>
      </c>
      <c r="I33" s="4">
        <f>IF($B$8=0,0,IF(I$2&gt;=$A33,IF(I$2=$A33,($B33/$B$8)*$B$5,IF(I$2&lt;=$A33+$B$8-1,$B33/$B$8,$B33-SUM($C33:H33))),0))</f>
        <v>0</v>
      </c>
      <c r="J33" s="4">
        <f>IF($B$8=0,0,IF(J$2&gt;=$A33,IF(J$2=$A33,($B33/$B$8)*$B$5,IF(J$2&lt;=$A33+$B$8-1,$B33/$B$8,$B33-SUM($C33:I33))),0))</f>
        <v>0</v>
      </c>
      <c r="K33" s="4">
        <f>IF($B$8=0,0,IF(K$2&gt;=$A33,IF(K$2=$A33,($B33/$B$8)*$B$5,IF(K$2&lt;=$A33+$B$8-1,$B33/$B$8,$B33-SUM($C33:J33))),0))</f>
        <v>0</v>
      </c>
      <c r="L33" s="4">
        <f>IF($B$8=0,0,IF(L$2&gt;=$A33,IF(L$2=$A33,($B33/$B$8)*$B$5,IF(L$2&lt;=$A33+$B$8-1,$B33/$B$8,$B33-SUM($C33:K33))),0))</f>
        <v>0</v>
      </c>
      <c r="M33" s="4">
        <f>IF($B$8=0,0,IF(M$2&gt;=$A33,IF(M$2=$A33,($B33/$B$8)*$B$5,IF(M$2&lt;=$A33+$B$8-1,$B33/$B$8,$B33-SUM($C33:L33))),0))</f>
        <v>0</v>
      </c>
      <c r="N33" s="4">
        <f>IF($B$8=0,0,IF(N$2&gt;=$A33,IF(N$2=$A33,($B33/$B$8)*$B$5,IF(N$2&lt;=$A33+$B$8-1,$B33/$B$8,$B33-SUM($C33:M33))),0))</f>
        <v>0</v>
      </c>
      <c r="O33" s="4">
        <f>IF($B$8=0,0,IF(O$2&gt;=$A33,IF(O$2=$A33,($B33/$B$8)*$B$5,IF(O$2&lt;=$A33+$B$8-1,$B33/$B$8,$B33-SUM($C33:N33))),0))</f>
        <v>0</v>
      </c>
      <c r="P33" s="4">
        <f>IF($B$8=0,0,IF(P$2&gt;=$A33,IF(P$2=$A33,($B33/$B$8)*$B$5,IF(P$2&lt;=$A33+$B$8-1,$B33/$B$8,$B33-SUM($C33:O33))),0))</f>
        <v>0</v>
      </c>
      <c r="Q33" s="4">
        <f>IF($B$8=0,0,IF(Q$2&gt;=$A33,IF(Q$2=$A33,($B33/$B$8)*$B$5,IF(Q$2&lt;=$A33+$B$8-1,$B33/$B$8,$B33-SUM($C33:P33))),0))</f>
        <v>0</v>
      </c>
      <c r="R33" s="4">
        <f>IF($B$8=0,0,IF(R$2&gt;=$A33,IF(R$2=$A33,($B33/$B$8)*$B$5,IF(R$2&lt;=$A33+$B$8-1,$B33/$B$8,$B33-SUM($C33:Q33))),0))</f>
        <v>0</v>
      </c>
      <c r="S33" s="4">
        <f>IF($B$8=0,0,IF(S$2&gt;=$A33,IF(S$2=$A33,($B33/$B$8)*$B$5,IF(S$2&lt;=$A33+$B$8-1,$B33/$B$8,$B33-SUM($C33:R33))),0))</f>
        <v>0</v>
      </c>
      <c r="T33" s="4">
        <f>IF($B$8=0,0,IF(T$2&gt;=$A33,IF(T$2=$A33,($B33/$B$8)*$B$5,IF(T$2&lt;=$A33+$B$8-1,$B33/$B$8,$B33-SUM($C33:S33))),0))</f>
        <v>0</v>
      </c>
      <c r="U33" s="4">
        <f>IF($B$8=0,0,IF(U$2&gt;=$A33,IF(U$2=$A33,($B33/$B$8)*$B$5,IF(U$2&lt;=$A33+$B$8-1,$B33/$B$8,$B33-SUM($C33:T33))),0))</f>
        <v>0</v>
      </c>
      <c r="V33" s="4">
        <f>IF($B$8=0,0,IF(V$2&gt;=$A33,IF(V$2=$A33,($B33/$B$8)*$B$5,IF(V$2&lt;=$A33+$B$8-1,$B33/$B$8,$B33-SUM($C33:U33))),0))</f>
        <v>0</v>
      </c>
      <c r="W33" s="4">
        <f>IF($B$8=0,0,IF(W$2&gt;=$A33,IF(W$2=$A33,($B33/$B$8)*$B$5,IF(W$2&lt;=$A33+$B$8-1,$B33/$B$8,$B33-SUM($C33:V33))),0))</f>
        <v>0</v>
      </c>
      <c r="X33" s="4">
        <f>IF($B$8=0,0,IF(X$2&gt;=$A33,IF(X$2=$A33,($B33/$B$8)*$B$5,IF(X$2&lt;=$A33+$B$8-1,$B33/$B$8,$B33-SUM($C33:W33))),0))</f>
        <v>0</v>
      </c>
      <c r="Y33" s="4">
        <f>IF($B$8=0,0,IF(Y$2&gt;=$A33,IF(Y$2=$A33,($B33/$B$8)*$B$5,IF(Y$2&lt;=$A33+$B$8-1,$B33/$B$8,$B33-SUM($C33:X33))),0))</f>
        <v>0</v>
      </c>
      <c r="Z33" s="4">
        <f>IF($B$8=0,0,IF(Z$2&gt;=$A33,IF(Z$2=$A33,($B33/$B$8)*$B$5,IF(Z$2&lt;=$A33+$B$8-1,$B33/$B$8,$B33-SUM($C33:Y33))),0))</f>
        <v>0</v>
      </c>
      <c r="AA33" s="4">
        <f>IF($B$8=0,0,IF(AA$2&gt;=$A33,IF(AA$2=$A33,($B33/$B$8)*$B$5,IF(AA$2&lt;=$A33+$B$8-1,$B33/$B$8,$B33-SUM($C33:Z33))),0))</f>
        <v>0</v>
      </c>
      <c r="AB33" s="4">
        <f>IF($B$8=0,0,IF(AB$2&gt;=$A33,IF(AB$2=$A33,($B33/$B$8)*$B$5,IF(AB$2&lt;=$A33+$B$8-1,$B33/$B$8,$B33-SUM($C33:AA33))),0))</f>
        <v>0</v>
      </c>
      <c r="AC33" s="4">
        <f>IF($B$8=0,0,IF(AC$2&gt;=$A33,IF(AC$2=$A33,($B33/$B$8)*$B$5,IF(AC$2&lt;=$A33+$B$8-1,$B33/$B$8,$B33-SUM($C33:AB33))),0))</f>
        <v>0</v>
      </c>
      <c r="AD33" s="4">
        <f>IF($B$8=0,0,IF(AD$2&gt;=$A33,IF(AD$2=$A33,($B33/$B$8)*$B$5,IF(AD$2&lt;=$A33+$B$8-1,$B33/$B$8,$B33-SUM($C33:AC33))),0))</f>
        <v>0</v>
      </c>
      <c r="AE33" s="4">
        <f>IF($B$8=0,0,IF(AE$2&gt;=$A33,IF(AE$2=$A33,($B33/$B$8)*$B$5,IF(AE$2&lt;=$A33+$B$8-1,$B33/$B$8,$B33-SUM($C33:AD33))),0))</f>
        <v>0</v>
      </c>
      <c r="AF33" s="4">
        <f>IF($B$8=0,0,IF(AF$2&gt;=$A33,IF(AF$2=$A33,($B33/$B$8)*$B$5,IF(AF$2&lt;=$A33+$B$8-1,$B33/$B$8,$B33-SUM($C33:AE33))),0))</f>
        <v>0</v>
      </c>
      <c r="AG33" s="4">
        <f t="shared" si="13"/>
        <v>0</v>
      </c>
    </row>
    <row r="34" spans="1:33">
      <c r="A34" s="6">
        <f t="shared" si="14"/>
        <v>2047</v>
      </c>
      <c r="B34" s="4">
        <f t="shared" si="12"/>
        <v>0</v>
      </c>
      <c r="C34" s="4">
        <f>IF($B$8=0,0,IF(C$2&gt;=$A34,IF(C$2=$A34,($B34/$B$8)*$B$5,IF(C$2&lt;=$A34+$B$8-1,$B34/$B$8,$B34-SUM(B34:$C34))),0))</f>
        <v>0</v>
      </c>
      <c r="D34" s="4">
        <f>IF($B$8=0,0,IF(D$2&gt;=$A34,IF(D$2=$A34,($B34/$B$8)*$B$5,IF(D$2&lt;=$A34+$B$8-1,$B34/$B$8,$B34-SUM(C34:$C34))),0))</f>
        <v>0</v>
      </c>
      <c r="E34" s="4">
        <f>IF($B$8=0,0,IF(E$2&gt;=$A34,IF(E$2=$A34,($B34/$B$8)*$B$5,IF(E$2&lt;=$A34+$B$8-1,$B34/$B$8,$B34-SUM($C34:D34))),0))</f>
        <v>0</v>
      </c>
      <c r="F34" s="4">
        <f>IF($B$8=0,0,IF(F$2&gt;=$A34,IF(F$2=$A34,($B34/$B$8)*$B$5,IF(F$2&lt;=$A34+$B$8-1,$B34/$B$8,$B34-SUM($C34:E34))),0))</f>
        <v>0</v>
      </c>
      <c r="G34" s="4">
        <f>IF($B$8=0,0,IF(G$2&gt;=$A34,IF(G$2=$A34,($B34/$B$8)*$B$5,IF(G$2&lt;=$A34+$B$8-1,$B34/$B$8,$B34-SUM($C34:F34))),0))</f>
        <v>0</v>
      </c>
      <c r="H34" s="4">
        <f>IF($B$8=0,0,IF(H$2&gt;=$A34,IF(H$2=$A34,($B34/$B$8)*$B$5,IF(H$2&lt;=$A34+$B$8-1,$B34/$B$8,$B34-SUM($C34:G34))),0))</f>
        <v>0</v>
      </c>
      <c r="I34" s="4">
        <f>IF($B$8=0,0,IF(I$2&gt;=$A34,IF(I$2=$A34,($B34/$B$8)*$B$5,IF(I$2&lt;=$A34+$B$8-1,$B34/$B$8,$B34-SUM($C34:H34))),0))</f>
        <v>0</v>
      </c>
      <c r="J34" s="4">
        <f>IF($B$8=0,0,IF(J$2&gt;=$A34,IF(J$2=$A34,($B34/$B$8)*$B$5,IF(J$2&lt;=$A34+$B$8-1,$B34/$B$8,$B34-SUM($C34:I34))),0))</f>
        <v>0</v>
      </c>
      <c r="K34" s="4">
        <f>IF($B$8=0,0,IF(K$2&gt;=$A34,IF(K$2=$A34,($B34/$B$8)*$B$5,IF(K$2&lt;=$A34+$B$8-1,$B34/$B$8,$B34-SUM($C34:J34))),0))</f>
        <v>0</v>
      </c>
      <c r="L34" s="4">
        <f>IF($B$8=0,0,IF(L$2&gt;=$A34,IF(L$2=$A34,($B34/$B$8)*$B$5,IF(L$2&lt;=$A34+$B$8-1,$B34/$B$8,$B34-SUM($C34:K34))),0))</f>
        <v>0</v>
      </c>
      <c r="M34" s="4">
        <f>IF($B$8=0,0,IF(M$2&gt;=$A34,IF(M$2=$A34,($B34/$B$8)*$B$5,IF(M$2&lt;=$A34+$B$8-1,$B34/$B$8,$B34-SUM($C34:L34))),0))</f>
        <v>0</v>
      </c>
      <c r="N34" s="4">
        <f>IF($B$8=0,0,IF(N$2&gt;=$A34,IF(N$2=$A34,($B34/$B$8)*$B$5,IF(N$2&lt;=$A34+$B$8-1,$B34/$B$8,$B34-SUM($C34:M34))),0))</f>
        <v>0</v>
      </c>
      <c r="O34" s="4">
        <f>IF($B$8=0,0,IF(O$2&gt;=$A34,IF(O$2=$A34,($B34/$B$8)*$B$5,IF(O$2&lt;=$A34+$B$8-1,$B34/$B$8,$B34-SUM($C34:N34))),0))</f>
        <v>0</v>
      </c>
      <c r="P34" s="4">
        <f>IF($B$8=0,0,IF(P$2&gt;=$A34,IF(P$2=$A34,($B34/$B$8)*$B$5,IF(P$2&lt;=$A34+$B$8-1,$B34/$B$8,$B34-SUM($C34:O34))),0))</f>
        <v>0</v>
      </c>
      <c r="Q34" s="4">
        <f>IF($B$8=0,0,IF(Q$2&gt;=$A34,IF(Q$2=$A34,($B34/$B$8)*$B$5,IF(Q$2&lt;=$A34+$B$8-1,$B34/$B$8,$B34-SUM($C34:P34))),0))</f>
        <v>0</v>
      </c>
      <c r="R34" s="4">
        <f>IF($B$8=0,0,IF(R$2&gt;=$A34,IF(R$2=$A34,($B34/$B$8)*$B$5,IF(R$2&lt;=$A34+$B$8-1,$B34/$B$8,$B34-SUM($C34:Q34))),0))</f>
        <v>0</v>
      </c>
      <c r="S34" s="4">
        <f>IF($B$8=0,0,IF(S$2&gt;=$A34,IF(S$2=$A34,($B34/$B$8)*$B$5,IF(S$2&lt;=$A34+$B$8-1,$B34/$B$8,$B34-SUM($C34:R34))),0))</f>
        <v>0</v>
      </c>
      <c r="T34" s="4">
        <f>IF($B$8=0,0,IF(T$2&gt;=$A34,IF(T$2=$A34,($B34/$B$8)*$B$5,IF(T$2&lt;=$A34+$B$8-1,$B34/$B$8,$B34-SUM($C34:S34))),0))</f>
        <v>0</v>
      </c>
      <c r="U34" s="4">
        <f>IF($B$8=0,0,IF(U$2&gt;=$A34,IF(U$2=$A34,($B34/$B$8)*$B$5,IF(U$2&lt;=$A34+$B$8-1,$B34/$B$8,$B34-SUM($C34:T34))),0))</f>
        <v>0</v>
      </c>
      <c r="V34" s="4">
        <f>IF($B$8=0,0,IF(V$2&gt;=$A34,IF(V$2=$A34,($B34/$B$8)*$B$5,IF(V$2&lt;=$A34+$B$8-1,$B34/$B$8,$B34-SUM($C34:U34))),0))</f>
        <v>0</v>
      </c>
      <c r="W34" s="4">
        <f>IF($B$8=0,0,IF(W$2&gt;=$A34,IF(W$2=$A34,($B34/$B$8)*$B$5,IF(W$2&lt;=$A34+$B$8-1,$B34/$B$8,$B34-SUM($C34:V34))),0))</f>
        <v>0</v>
      </c>
      <c r="X34" s="4">
        <f>IF($B$8=0,0,IF(X$2&gt;=$A34,IF(X$2=$A34,($B34/$B$8)*$B$5,IF(X$2&lt;=$A34+$B$8-1,$B34/$B$8,$B34-SUM($C34:W34))),0))</f>
        <v>0</v>
      </c>
      <c r="Y34" s="4">
        <f>IF($B$8=0,0,IF(Y$2&gt;=$A34,IF(Y$2=$A34,($B34/$B$8)*$B$5,IF(Y$2&lt;=$A34+$B$8-1,$B34/$B$8,$B34-SUM($C34:X34))),0))</f>
        <v>0</v>
      </c>
      <c r="Z34" s="4">
        <f>IF($B$8=0,0,IF(Z$2&gt;=$A34,IF(Z$2=$A34,($B34/$B$8)*$B$5,IF(Z$2&lt;=$A34+$B$8-1,$B34/$B$8,$B34-SUM($C34:Y34))),0))</f>
        <v>0</v>
      </c>
      <c r="AA34" s="4">
        <f>IF($B$8=0,0,IF(AA$2&gt;=$A34,IF(AA$2=$A34,($B34/$B$8)*$B$5,IF(AA$2&lt;=$A34+$B$8-1,$B34/$B$8,$B34-SUM($C34:Z34))),0))</f>
        <v>0</v>
      </c>
      <c r="AB34" s="4">
        <f>IF($B$8=0,0,IF(AB$2&gt;=$A34,IF(AB$2=$A34,($B34/$B$8)*$B$5,IF(AB$2&lt;=$A34+$B$8-1,$B34/$B$8,$B34-SUM($C34:AA34))),0))</f>
        <v>0</v>
      </c>
      <c r="AC34" s="4">
        <f>IF($B$8=0,0,IF(AC$2&gt;=$A34,IF(AC$2=$A34,($B34/$B$8)*$B$5,IF(AC$2&lt;=$A34+$B$8-1,$B34/$B$8,$B34-SUM($C34:AB34))),0))</f>
        <v>0</v>
      </c>
      <c r="AD34" s="4">
        <f>IF($B$8=0,0,IF(AD$2&gt;=$A34,IF(AD$2=$A34,($B34/$B$8)*$B$5,IF(AD$2&lt;=$A34+$B$8-1,$B34/$B$8,$B34-SUM($C34:AC34))),0))</f>
        <v>0</v>
      </c>
      <c r="AE34" s="4">
        <f>IF($B$8=0,0,IF(AE$2&gt;=$A34,IF(AE$2=$A34,($B34/$B$8)*$B$5,IF(AE$2&lt;=$A34+$B$8-1,$B34/$B$8,$B34-SUM($C34:AD34))),0))</f>
        <v>0</v>
      </c>
      <c r="AF34" s="4">
        <f>IF($B$8=0,0,IF(AF$2&gt;=$A34,IF(AF$2=$A34,($B34/$B$8)*$B$5,IF(AF$2&lt;=$A34+$B$8-1,$B34/$B$8,$B34-SUM($C34:AE34))),0))</f>
        <v>0</v>
      </c>
      <c r="AG34" s="4">
        <f t="shared" ref="AG34:AG38" si="15">SUM(C34:AF34)</f>
        <v>0</v>
      </c>
    </row>
    <row r="35" spans="1:33">
      <c r="A35" s="6">
        <f t="shared" si="14"/>
        <v>2048</v>
      </c>
      <c r="B35" s="4">
        <f t="shared" si="12"/>
        <v>0</v>
      </c>
      <c r="C35" s="4">
        <f>IF($B$8=0,0,IF(C$2&gt;=$A35,IF(C$2=$A35,($B35/$B$8)*$B$5,IF(C$2&lt;=$A35+$B$8-1,$B35/$B$8,$B35-SUM(B35:$C35))),0))</f>
        <v>0</v>
      </c>
      <c r="D35" s="4">
        <f>IF($B$8=0,0,IF(D$2&gt;=$A35,IF(D$2=$A35,($B35/$B$8)*$B$5,IF(D$2&lt;=$A35+$B$8-1,$B35/$B$8,$B35-SUM(C35:$C35))),0))</f>
        <v>0</v>
      </c>
      <c r="E35" s="4">
        <f>IF($B$8=0,0,IF(E$2&gt;=$A35,IF(E$2=$A35,($B35/$B$8)*$B$5,IF(E$2&lt;=$A35+$B$8-1,$B35/$B$8,$B35-SUM($C35:D35))),0))</f>
        <v>0</v>
      </c>
      <c r="F35" s="4">
        <f>IF($B$8=0,0,IF(F$2&gt;=$A35,IF(F$2=$A35,($B35/$B$8)*$B$5,IF(F$2&lt;=$A35+$B$8-1,$B35/$B$8,$B35-SUM($C35:E35))),0))</f>
        <v>0</v>
      </c>
      <c r="G35" s="4">
        <f>IF($B$8=0,0,IF(G$2&gt;=$A35,IF(G$2=$A35,($B35/$B$8)*$B$5,IF(G$2&lt;=$A35+$B$8-1,$B35/$B$8,$B35-SUM($C35:F35))),0))</f>
        <v>0</v>
      </c>
      <c r="H35" s="4">
        <f>IF($B$8=0,0,IF(H$2&gt;=$A35,IF(H$2=$A35,($B35/$B$8)*$B$5,IF(H$2&lt;=$A35+$B$8-1,$B35/$B$8,$B35-SUM($C35:G35))),0))</f>
        <v>0</v>
      </c>
      <c r="I35" s="4">
        <f>IF($B$8=0,0,IF(I$2&gt;=$A35,IF(I$2=$A35,($B35/$B$8)*$B$5,IF(I$2&lt;=$A35+$B$8-1,$B35/$B$8,$B35-SUM($C35:H35))),0))</f>
        <v>0</v>
      </c>
      <c r="J35" s="4">
        <f>IF($B$8=0,0,IF(J$2&gt;=$A35,IF(J$2=$A35,($B35/$B$8)*$B$5,IF(J$2&lt;=$A35+$B$8-1,$B35/$B$8,$B35-SUM($C35:I35))),0))</f>
        <v>0</v>
      </c>
      <c r="K35" s="4">
        <f>IF($B$8=0,0,IF(K$2&gt;=$A35,IF(K$2=$A35,($B35/$B$8)*$B$5,IF(K$2&lt;=$A35+$B$8-1,$B35/$B$8,$B35-SUM($C35:J35))),0))</f>
        <v>0</v>
      </c>
      <c r="L35" s="4">
        <f>IF($B$8=0,0,IF(L$2&gt;=$A35,IF(L$2=$A35,($B35/$B$8)*$B$5,IF(L$2&lt;=$A35+$B$8-1,$B35/$B$8,$B35-SUM($C35:K35))),0))</f>
        <v>0</v>
      </c>
      <c r="M35" s="4">
        <f>IF($B$8=0,0,IF(M$2&gt;=$A35,IF(M$2=$A35,($B35/$B$8)*$B$5,IF(M$2&lt;=$A35+$B$8-1,$B35/$B$8,$B35-SUM($C35:L35))),0))</f>
        <v>0</v>
      </c>
      <c r="N35" s="4">
        <f>IF($B$8=0,0,IF(N$2&gt;=$A35,IF(N$2=$A35,($B35/$B$8)*$B$5,IF(N$2&lt;=$A35+$B$8-1,$B35/$B$8,$B35-SUM($C35:M35))),0))</f>
        <v>0</v>
      </c>
      <c r="O35" s="4">
        <f>IF($B$8=0,0,IF(O$2&gt;=$A35,IF(O$2=$A35,($B35/$B$8)*$B$5,IF(O$2&lt;=$A35+$B$8-1,$B35/$B$8,$B35-SUM($C35:N35))),0))</f>
        <v>0</v>
      </c>
      <c r="P35" s="4">
        <f>IF($B$8=0,0,IF(P$2&gt;=$A35,IF(P$2=$A35,($B35/$B$8)*$B$5,IF(P$2&lt;=$A35+$B$8-1,$B35/$B$8,$B35-SUM($C35:O35))),0))</f>
        <v>0</v>
      </c>
      <c r="Q35" s="4">
        <f>IF($B$8=0,0,IF(Q$2&gt;=$A35,IF(Q$2=$A35,($B35/$B$8)*$B$5,IF(Q$2&lt;=$A35+$B$8-1,$B35/$B$8,$B35-SUM($C35:P35))),0))</f>
        <v>0</v>
      </c>
      <c r="R35" s="4">
        <f>IF($B$8=0,0,IF(R$2&gt;=$A35,IF(R$2=$A35,($B35/$B$8)*$B$5,IF(R$2&lt;=$A35+$B$8-1,$B35/$B$8,$B35-SUM($C35:Q35))),0))</f>
        <v>0</v>
      </c>
      <c r="S35" s="4">
        <f>IF($B$8=0,0,IF(S$2&gt;=$A35,IF(S$2=$A35,($B35/$B$8)*$B$5,IF(S$2&lt;=$A35+$B$8-1,$B35/$B$8,$B35-SUM($C35:R35))),0))</f>
        <v>0</v>
      </c>
      <c r="T35" s="4">
        <f>IF($B$8=0,0,IF(T$2&gt;=$A35,IF(T$2=$A35,($B35/$B$8)*$B$5,IF(T$2&lt;=$A35+$B$8-1,$B35/$B$8,$B35-SUM($C35:S35))),0))</f>
        <v>0</v>
      </c>
      <c r="U35" s="4">
        <f>IF($B$8=0,0,IF(U$2&gt;=$A35,IF(U$2=$A35,($B35/$B$8)*$B$5,IF(U$2&lt;=$A35+$B$8-1,$B35/$B$8,$B35-SUM($C35:T35))),0))</f>
        <v>0</v>
      </c>
      <c r="V35" s="4">
        <f>IF($B$8=0,0,IF(V$2&gt;=$A35,IF(V$2=$A35,($B35/$B$8)*$B$5,IF(V$2&lt;=$A35+$B$8-1,$B35/$B$8,$B35-SUM($C35:U35))),0))</f>
        <v>0</v>
      </c>
      <c r="W35" s="4">
        <f>IF($B$8=0,0,IF(W$2&gt;=$A35,IF(W$2=$A35,($B35/$B$8)*$B$5,IF(W$2&lt;=$A35+$B$8-1,$B35/$B$8,$B35-SUM($C35:V35))),0))</f>
        <v>0</v>
      </c>
      <c r="X35" s="4">
        <f>IF($B$8=0,0,IF(X$2&gt;=$A35,IF(X$2=$A35,($B35/$B$8)*$B$5,IF(X$2&lt;=$A35+$B$8-1,$B35/$B$8,$B35-SUM($C35:W35))),0))</f>
        <v>0</v>
      </c>
      <c r="Y35" s="4">
        <f>IF($B$8=0,0,IF(Y$2&gt;=$A35,IF(Y$2=$A35,($B35/$B$8)*$B$5,IF(Y$2&lt;=$A35+$B$8-1,$B35/$B$8,$B35-SUM($C35:X35))),0))</f>
        <v>0</v>
      </c>
      <c r="Z35" s="4">
        <f>IF($B$8=0,0,IF(Z$2&gt;=$A35,IF(Z$2=$A35,($B35/$B$8)*$B$5,IF(Z$2&lt;=$A35+$B$8-1,$B35/$B$8,$B35-SUM($C35:Y35))),0))</f>
        <v>0</v>
      </c>
      <c r="AA35" s="4">
        <f>IF($B$8=0,0,IF(AA$2&gt;=$A35,IF(AA$2=$A35,($B35/$B$8)*$B$5,IF(AA$2&lt;=$A35+$B$8-1,$B35/$B$8,$B35-SUM($C35:Z35))),0))</f>
        <v>0</v>
      </c>
      <c r="AB35" s="4">
        <f>IF($B$8=0,0,IF(AB$2&gt;=$A35,IF(AB$2=$A35,($B35/$B$8)*$B$5,IF(AB$2&lt;=$A35+$B$8-1,$B35/$B$8,$B35-SUM($C35:AA35))),0))</f>
        <v>0</v>
      </c>
      <c r="AC35" s="4">
        <f>IF($B$8=0,0,IF(AC$2&gt;=$A35,IF(AC$2=$A35,($B35/$B$8)*$B$5,IF(AC$2&lt;=$A35+$B$8-1,$B35/$B$8,$B35-SUM($C35:AB35))),0))</f>
        <v>0</v>
      </c>
      <c r="AD35" s="4">
        <f>IF($B$8=0,0,IF(AD$2&gt;=$A35,IF(AD$2=$A35,($B35/$B$8)*$B$5,IF(AD$2&lt;=$A35+$B$8-1,$B35/$B$8,$B35-SUM($C35:AC35))),0))</f>
        <v>0</v>
      </c>
      <c r="AE35" s="4">
        <f>IF($B$8=0,0,IF(AE$2&gt;=$A35,IF(AE$2=$A35,($B35/$B$8)*$B$5,IF(AE$2&lt;=$A35+$B$8-1,$B35/$B$8,$B35-SUM($C35:AD35))),0))</f>
        <v>0</v>
      </c>
      <c r="AF35" s="4">
        <f>IF($B$8=0,0,IF(AF$2&gt;=$A35,IF(AF$2=$A35,($B35/$B$8)*$B$5,IF(AF$2&lt;=$A35+$B$8-1,$B35/$B$8,$B35-SUM($C35:AE35))),0))</f>
        <v>0</v>
      </c>
      <c r="AG35" s="4">
        <f t="shared" si="15"/>
        <v>0</v>
      </c>
    </row>
    <row r="36" spans="1:33">
      <c r="A36" s="6">
        <f t="shared" si="14"/>
        <v>2049</v>
      </c>
      <c r="B36" s="4">
        <f t="shared" si="12"/>
        <v>0</v>
      </c>
      <c r="C36" s="4">
        <f>IF($B$8=0,0,IF(C$2&gt;=$A36,IF(C$2=$A36,($B36/$B$8)*$B$5,IF(C$2&lt;=$A36+$B$8-1,$B36/$B$8,$B36-SUM(B36:$C36))),0))</f>
        <v>0</v>
      </c>
      <c r="D36" s="4">
        <f>IF($B$8=0,0,IF(D$2&gt;=$A36,IF(D$2=$A36,($B36/$B$8)*$B$5,IF(D$2&lt;=$A36+$B$8-1,$B36/$B$8,$B36-SUM(C36:$C36))),0))</f>
        <v>0</v>
      </c>
      <c r="E36" s="4">
        <f>IF($B$8=0,0,IF(E$2&gt;=$A36,IF(E$2=$A36,($B36/$B$8)*$B$5,IF(E$2&lt;=$A36+$B$8-1,$B36/$B$8,$B36-SUM($C36:D36))),0))</f>
        <v>0</v>
      </c>
      <c r="F36" s="4">
        <f>IF($B$8=0,0,IF(F$2&gt;=$A36,IF(F$2=$A36,($B36/$B$8)*$B$5,IF(F$2&lt;=$A36+$B$8-1,$B36/$B$8,$B36-SUM($C36:E36))),0))</f>
        <v>0</v>
      </c>
      <c r="G36" s="4">
        <f>IF($B$8=0,0,IF(G$2&gt;=$A36,IF(G$2=$A36,($B36/$B$8)*$B$5,IF(G$2&lt;=$A36+$B$8-1,$B36/$B$8,$B36-SUM($C36:F36))),0))</f>
        <v>0</v>
      </c>
      <c r="H36" s="4">
        <f>IF($B$8=0,0,IF(H$2&gt;=$A36,IF(H$2=$A36,($B36/$B$8)*$B$5,IF(H$2&lt;=$A36+$B$8-1,$B36/$B$8,$B36-SUM($C36:G36))),0))</f>
        <v>0</v>
      </c>
      <c r="I36" s="4">
        <f>IF($B$8=0,0,IF(I$2&gt;=$A36,IF(I$2=$A36,($B36/$B$8)*$B$5,IF(I$2&lt;=$A36+$B$8-1,$B36/$B$8,$B36-SUM($C36:H36))),0))</f>
        <v>0</v>
      </c>
      <c r="J36" s="4">
        <f>IF($B$8=0,0,IF(J$2&gt;=$A36,IF(J$2=$A36,($B36/$B$8)*$B$5,IF(J$2&lt;=$A36+$B$8-1,$B36/$B$8,$B36-SUM($C36:I36))),0))</f>
        <v>0</v>
      </c>
      <c r="K36" s="4">
        <f>IF($B$8=0,0,IF(K$2&gt;=$A36,IF(K$2=$A36,($B36/$B$8)*$B$5,IF(K$2&lt;=$A36+$B$8-1,$B36/$B$8,$B36-SUM($C36:J36))),0))</f>
        <v>0</v>
      </c>
      <c r="L36" s="4">
        <f>IF($B$8=0,0,IF(L$2&gt;=$A36,IF(L$2=$A36,($B36/$B$8)*$B$5,IF(L$2&lt;=$A36+$B$8-1,$B36/$B$8,$B36-SUM($C36:K36))),0))</f>
        <v>0</v>
      </c>
      <c r="M36" s="4">
        <f>IF($B$8=0,0,IF(M$2&gt;=$A36,IF(M$2=$A36,($B36/$B$8)*$B$5,IF(M$2&lt;=$A36+$B$8-1,$B36/$B$8,$B36-SUM($C36:L36))),0))</f>
        <v>0</v>
      </c>
      <c r="N36" s="4">
        <f>IF($B$8=0,0,IF(N$2&gt;=$A36,IF(N$2=$A36,($B36/$B$8)*$B$5,IF(N$2&lt;=$A36+$B$8-1,$B36/$B$8,$B36-SUM($C36:M36))),0))</f>
        <v>0</v>
      </c>
      <c r="O36" s="4">
        <f>IF($B$8=0,0,IF(O$2&gt;=$A36,IF(O$2=$A36,($B36/$B$8)*$B$5,IF(O$2&lt;=$A36+$B$8-1,$B36/$B$8,$B36-SUM($C36:N36))),0))</f>
        <v>0</v>
      </c>
      <c r="P36" s="4">
        <f>IF($B$8=0,0,IF(P$2&gt;=$A36,IF(P$2=$A36,($B36/$B$8)*$B$5,IF(P$2&lt;=$A36+$B$8-1,$B36/$B$8,$B36-SUM($C36:O36))),0))</f>
        <v>0</v>
      </c>
      <c r="Q36" s="4">
        <f>IF($B$8=0,0,IF(Q$2&gt;=$A36,IF(Q$2=$A36,($B36/$B$8)*$B$5,IF(Q$2&lt;=$A36+$B$8-1,$B36/$B$8,$B36-SUM($C36:P36))),0))</f>
        <v>0</v>
      </c>
      <c r="R36" s="4">
        <f>IF($B$8=0,0,IF(R$2&gt;=$A36,IF(R$2=$A36,($B36/$B$8)*$B$5,IF(R$2&lt;=$A36+$B$8-1,$B36/$B$8,$B36-SUM($C36:Q36))),0))</f>
        <v>0</v>
      </c>
      <c r="S36" s="4">
        <f>IF($B$8=0,0,IF(S$2&gt;=$A36,IF(S$2=$A36,($B36/$B$8)*$B$5,IF(S$2&lt;=$A36+$B$8-1,$B36/$B$8,$B36-SUM($C36:R36))),0))</f>
        <v>0</v>
      </c>
      <c r="T36" s="4">
        <f>IF($B$8=0,0,IF(T$2&gt;=$A36,IF(T$2=$A36,($B36/$B$8)*$B$5,IF(T$2&lt;=$A36+$B$8-1,$B36/$B$8,$B36-SUM($C36:S36))),0))</f>
        <v>0</v>
      </c>
      <c r="U36" s="4">
        <f>IF($B$8=0,0,IF(U$2&gt;=$A36,IF(U$2=$A36,($B36/$B$8)*$B$5,IF(U$2&lt;=$A36+$B$8-1,$B36/$B$8,$B36-SUM($C36:T36))),0))</f>
        <v>0</v>
      </c>
      <c r="V36" s="4">
        <f>IF($B$8=0,0,IF(V$2&gt;=$A36,IF(V$2=$A36,($B36/$B$8)*$B$5,IF(V$2&lt;=$A36+$B$8-1,$B36/$B$8,$B36-SUM($C36:U36))),0))</f>
        <v>0</v>
      </c>
      <c r="W36" s="4">
        <f>IF($B$8=0,0,IF(W$2&gt;=$A36,IF(W$2=$A36,($B36/$B$8)*$B$5,IF(W$2&lt;=$A36+$B$8-1,$B36/$B$8,$B36-SUM($C36:V36))),0))</f>
        <v>0</v>
      </c>
      <c r="X36" s="4">
        <f>IF($B$8=0,0,IF(X$2&gt;=$A36,IF(X$2=$A36,($B36/$B$8)*$B$5,IF(X$2&lt;=$A36+$B$8-1,$B36/$B$8,$B36-SUM($C36:W36))),0))</f>
        <v>0</v>
      </c>
      <c r="Y36" s="4">
        <f>IF($B$8=0,0,IF(Y$2&gt;=$A36,IF(Y$2=$A36,($B36/$B$8)*$B$5,IF(Y$2&lt;=$A36+$B$8-1,$B36/$B$8,$B36-SUM($C36:X36))),0))</f>
        <v>0</v>
      </c>
      <c r="Z36" s="4">
        <f>IF($B$8=0,0,IF(Z$2&gt;=$A36,IF(Z$2=$A36,($B36/$B$8)*$B$5,IF(Z$2&lt;=$A36+$B$8-1,$B36/$B$8,$B36-SUM($C36:Y36))),0))</f>
        <v>0</v>
      </c>
      <c r="AA36" s="4">
        <f>IF($B$8=0,0,IF(AA$2&gt;=$A36,IF(AA$2=$A36,($B36/$B$8)*$B$5,IF(AA$2&lt;=$A36+$B$8-1,$B36/$B$8,$B36-SUM($C36:Z36))),0))</f>
        <v>0</v>
      </c>
      <c r="AB36" s="4">
        <f>IF($B$8=0,0,IF(AB$2&gt;=$A36,IF(AB$2=$A36,($B36/$B$8)*$B$5,IF(AB$2&lt;=$A36+$B$8-1,$B36/$B$8,$B36-SUM($C36:AA36))),0))</f>
        <v>0</v>
      </c>
      <c r="AC36" s="4">
        <f>IF($B$8=0,0,IF(AC$2&gt;=$A36,IF(AC$2=$A36,($B36/$B$8)*$B$5,IF(AC$2&lt;=$A36+$B$8-1,$B36/$B$8,$B36-SUM($C36:AB36))),0))</f>
        <v>0</v>
      </c>
      <c r="AD36" s="4">
        <f>IF($B$8=0,0,IF(AD$2&gt;=$A36,IF(AD$2=$A36,($B36/$B$8)*$B$5,IF(AD$2&lt;=$A36+$B$8-1,$B36/$B$8,$B36-SUM($C36:AC36))),0))</f>
        <v>0</v>
      </c>
      <c r="AE36" s="4">
        <f>IF($B$8=0,0,IF(AE$2&gt;=$A36,IF(AE$2=$A36,($B36/$B$8)*$B$5,IF(AE$2&lt;=$A36+$B$8-1,$B36/$B$8,$B36-SUM($C36:AD36))),0))</f>
        <v>0</v>
      </c>
      <c r="AF36" s="4">
        <f>IF($B$8=0,0,IF(AF$2&gt;=$A36,IF(AF$2=$A36,($B36/$B$8)*$B$5,IF(AF$2&lt;=$A36+$B$8-1,$B36/$B$8,$B36-SUM($C36:AE36))),0))</f>
        <v>0</v>
      </c>
      <c r="AG36" s="4">
        <f t="shared" si="15"/>
        <v>0</v>
      </c>
    </row>
    <row r="37" spans="1:33">
      <c r="A37" s="6">
        <f t="shared" si="14"/>
        <v>2050</v>
      </c>
      <c r="B37" s="4">
        <f t="shared" si="12"/>
        <v>0</v>
      </c>
      <c r="C37" s="4">
        <f>IF($B$8=0,0,IF(C$2&gt;=$A37,IF(C$2=$A37,($B37/$B$8)*$B$5,IF(C$2&lt;=$A37+$B$8-1,$B37/$B$8,$B37-SUM(B37:$C37))),0))</f>
        <v>0</v>
      </c>
      <c r="D37" s="4">
        <f>IF($B$8=0,0,IF(D$2&gt;=$A37,IF(D$2=$A37,($B37/$B$8)*$B$5,IF(D$2&lt;=$A37+$B$8-1,$B37/$B$8,$B37-SUM(C37:$C37))),0))</f>
        <v>0</v>
      </c>
      <c r="E37" s="4">
        <f>IF($B$8=0,0,IF(E$2&gt;=$A37,IF(E$2=$A37,($B37/$B$8)*$B$5,IF(E$2&lt;=$A37+$B$8-1,$B37/$B$8,$B37-SUM($C37:D37))),0))</f>
        <v>0</v>
      </c>
      <c r="F37" s="4">
        <f>IF($B$8=0,0,IF(F$2&gt;=$A37,IF(F$2=$A37,($B37/$B$8)*$B$5,IF(F$2&lt;=$A37+$B$8-1,$B37/$B$8,$B37-SUM($C37:E37))),0))</f>
        <v>0</v>
      </c>
      <c r="G37" s="4">
        <f>IF($B$8=0,0,IF(G$2&gt;=$A37,IF(G$2=$A37,($B37/$B$8)*$B$5,IF(G$2&lt;=$A37+$B$8-1,$B37/$B$8,$B37-SUM($C37:F37))),0))</f>
        <v>0</v>
      </c>
      <c r="H37" s="4">
        <f>IF($B$8=0,0,IF(H$2&gt;=$A37,IF(H$2=$A37,($B37/$B$8)*$B$5,IF(H$2&lt;=$A37+$B$8-1,$B37/$B$8,$B37-SUM($C37:G37))),0))</f>
        <v>0</v>
      </c>
      <c r="I37" s="4">
        <f>IF($B$8=0,0,IF(I$2&gt;=$A37,IF(I$2=$A37,($B37/$B$8)*$B$5,IF(I$2&lt;=$A37+$B$8-1,$B37/$B$8,$B37-SUM($C37:H37))),0))</f>
        <v>0</v>
      </c>
      <c r="J37" s="4">
        <f>IF($B$8=0,0,IF(J$2&gt;=$A37,IF(J$2=$A37,($B37/$B$8)*$B$5,IF(J$2&lt;=$A37+$B$8-1,$B37/$B$8,$B37-SUM($C37:I37))),0))</f>
        <v>0</v>
      </c>
      <c r="K37" s="4">
        <f>IF($B$8=0,0,IF(K$2&gt;=$A37,IF(K$2=$A37,($B37/$B$8)*$B$5,IF(K$2&lt;=$A37+$B$8-1,$B37/$B$8,$B37-SUM($C37:J37))),0))</f>
        <v>0</v>
      </c>
      <c r="L37" s="4">
        <f>IF($B$8=0,0,IF(L$2&gt;=$A37,IF(L$2=$A37,($B37/$B$8)*$B$5,IF(L$2&lt;=$A37+$B$8-1,$B37/$B$8,$B37-SUM($C37:K37))),0))</f>
        <v>0</v>
      </c>
      <c r="M37" s="4">
        <f>IF($B$8=0,0,IF(M$2&gt;=$A37,IF(M$2=$A37,($B37/$B$8)*$B$5,IF(M$2&lt;=$A37+$B$8-1,$B37/$B$8,$B37-SUM($C37:L37))),0))</f>
        <v>0</v>
      </c>
      <c r="N37" s="4">
        <f>IF($B$8=0,0,IF(N$2&gt;=$A37,IF(N$2=$A37,($B37/$B$8)*$B$5,IF(N$2&lt;=$A37+$B$8-1,$B37/$B$8,$B37-SUM($C37:M37))),0))</f>
        <v>0</v>
      </c>
      <c r="O37" s="4">
        <f>IF($B$8=0,0,IF(O$2&gt;=$A37,IF(O$2=$A37,($B37/$B$8)*$B$5,IF(O$2&lt;=$A37+$B$8-1,$B37/$B$8,$B37-SUM($C37:N37))),0))</f>
        <v>0</v>
      </c>
      <c r="P37" s="4">
        <f>IF($B$8=0,0,IF(P$2&gt;=$A37,IF(P$2=$A37,($B37/$B$8)*$B$5,IF(P$2&lt;=$A37+$B$8-1,$B37/$B$8,$B37-SUM($C37:O37))),0))</f>
        <v>0</v>
      </c>
      <c r="Q37" s="4">
        <f>IF($B$8=0,0,IF(Q$2&gt;=$A37,IF(Q$2=$A37,($B37/$B$8)*$B$5,IF(Q$2&lt;=$A37+$B$8-1,$B37/$B$8,$B37-SUM($C37:P37))),0))</f>
        <v>0</v>
      </c>
      <c r="R37" s="4">
        <f>IF($B$8=0,0,IF(R$2&gt;=$A37,IF(R$2=$A37,($B37/$B$8)*$B$5,IF(R$2&lt;=$A37+$B$8-1,$B37/$B$8,$B37-SUM($C37:Q37))),0))</f>
        <v>0</v>
      </c>
      <c r="S37" s="4">
        <f>IF($B$8=0,0,IF(S$2&gt;=$A37,IF(S$2=$A37,($B37/$B$8)*$B$5,IF(S$2&lt;=$A37+$B$8-1,$B37/$B$8,$B37-SUM($C37:R37))),0))</f>
        <v>0</v>
      </c>
      <c r="T37" s="4">
        <f>IF($B$8=0,0,IF(T$2&gt;=$A37,IF(T$2=$A37,($B37/$B$8)*$B$5,IF(T$2&lt;=$A37+$B$8-1,$B37/$B$8,$B37-SUM($C37:S37))),0))</f>
        <v>0</v>
      </c>
      <c r="U37" s="4">
        <f>IF($B$8=0,0,IF(U$2&gt;=$A37,IF(U$2=$A37,($B37/$B$8)*$B$5,IF(U$2&lt;=$A37+$B$8-1,$B37/$B$8,$B37-SUM($C37:T37))),0))</f>
        <v>0</v>
      </c>
      <c r="V37" s="4">
        <f>IF($B$8=0,0,IF(V$2&gt;=$A37,IF(V$2=$A37,($B37/$B$8)*$B$5,IF(V$2&lt;=$A37+$B$8-1,$B37/$B$8,$B37-SUM($C37:U37))),0))</f>
        <v>0</v>
      </c>
      <c r="W37" s="4">
        <f>IF($B$8=0,0,IF(W$2&gt;=$A37,IF(W$2=$A37,($B37/$B$8)*$B$5,IF(W$2&lt;=$A37+$B$8-1,$B37/$B$8,$B37-SUM($C37:V37))),0))</f>
        <v>0</v>
      </c>
      <c r="X37" s="4">
        <f>IF($B$8=0,0,IF(X$2&gt;=$A37,IF(X$2=$A37,($B37/$B$8)*$B$5,IF(X$2&lt;=$A37+$B$8-1,$B37/$B$8,$B37-SUM($C37:W37))),0))</f>
        <v>0</v>
      </c>
      <c r="Y37" s="4">
        <f>IF($B$8=0,0,IF(Y$2&gt;=$A37,IF(Y$2=$A37,($B37/$B$8)*$B$5,IF(Y$2&lt;=$A37+$B$8-1,$B37/$B$8,$B37-SUM($C37:X37))),0))</f>
        <v>0</v>
      </c>
      <c r="Z37" s="4">
        <f>IF($B$8=0,0,IF(Z$2&gt;=$A37,IF(Z$2=$A37,($B37/$B$8)*$B$5,IF(Z$2&lt;=$A37+$B$8-1,$B37/$B$8,$B37-SUM($C37:Y37))),0))</f>
        <v>0</v>
      </c>
      <c r="AA37" s="4">
        <f>IF($B$8=0,0,IF(AA$2&gt;=$A37,IF(AA$2=$A37,($B37/$B$8)*$B$5,IF(AA$2&lt;=$A37+$B$8-1,$B37/$B$8,$B37-SUM($C37:Z37))),0))</f>
        <v>0</v>
      </c>
      <c r="AB37" s="4">
        <f>IF($B$8=0,0,IF(AB$2&gt;=$A37,IF(AB$2=$A37,($B37/$B$8)*$B$5,IF(AB$2&lt;=$A37+$B$8-1,$B37/$B$8,$B37-SUM($C37:AA37))),0))</f>
        <v>0</v>
      </c>
      <c r="AC37" s="4">
        <f>IF($B$8=0,0,IF(AC$2&gt;=$A37,IF(AC$2=$A37,($B37/$B$8)*$B$5,IF(AC$2&lt;=$A37+$B$8-1,$B37/$B$8,$B37-SUM($C37:AB37))),0))</f>
        <v>0</v>
      </c>
      <c r="AD37" s="4">
        <f>IF($B$8=0,0,IF(AD$2&gt;=$A37,IF(AD$2=$A37,($B37/$B$8)*$B$5,IF(AD$2&lt;=$A37+$B$8-1,$B37/$B$8,$B37-SUM($C37:AC37))),0))</f>
        <v>0</v>
      </c>
      <c r="AE37" s="4">
        <f>IF($B$8=0,0,IF(AE$2&gt;=$A37,IF(AE$2=$A37,($B37/$B$8)*$B$5,IF(AE$2&lt;=$A37+$B$8-1,$B37/$B$8,$B37-SUM($C37:AD37))),0))</f>
        <v>0</v>
      </c>
      <c r="AF37" s="4">
        <f>IF($B$8=0,0,IF(AF$2&gt;=$A37,IF(AF$2=$A37,($B37/$B$8)*$B$5,IF(AF$2&lt;=$A37+$B$8-1,$B37/$B$8,$B37-SUM($C37:AE37))),0))</f>
        <v>0</v>
      </c>
      <c r="AG37" s="4">
        <f t="shared" si="15"/>
        <v>0</v>
      </c>
    </row>
    <row r="38" spans="1:33">
      <c r="A38" s="6">
        <f t="shared" si="14"/>
        <v>2051</v>
      </c>
      <c r="B38" s="4">
        <f t="shared" si="12"/>
        <v>0</v>
      </c>
      <c r="C38" s="4">
        <f>IF($B$8=0,0,IF(C$2&gt;=$A38,IF(C$2=$A38,($B38/$B$8)*$B$5,IF(C$2&lt;=$A38+$B$8-1,$B38/$B$8,$B38-SUM(B38:$C38))),0))</f>
        <v>0</v>
      </c>
      <c r="D38" s="4">
        <f>IF($B$8=0,0,IF(D$2&gt;=$A38,IF(D$2=$A38,($B38/$B$8)*$B$5,IF(D$2&lt;=$A38+$B$8-1,$B38/$B$8,$B38-SUM(C38:$C38))),0))</f>
        <v>0</v>
      </c>
      <c r="E38" s="4">
        <f>IF($B$8=0,0,IF(E$2&gt;=$A38,IF(E$2=$A38,($B38/$B$8)*$B$5,IF(E$2&lt;=$A38+$B$8-1,$B38/$B$8,$B38-SUM($C38:D38))),0))</f>
        <v>0</v>
      </c>
      <c r="F38" s="4">
        <f>IF($B$8=0,0,IF(F$2&gt;=$A38,IF(F$2=$A38,($B38/$B$8)*$B$5,IF(F$2&lt;=$A38+$B$8-1,$B38/$B$8,$B38-SUM($C38:E38))),0))</f>
        <v>0</v>
      </c>
      <c r="G38" s="4">
        <f>IF($B$8=0,0,IF(G$2&gt;=$A38,IF(G$2=$A38,($B38/$B$8)*$B$5,IF(G$2&lt;=$A38+$B$8-1,$B38/$B$8,$B38-SUM($C38:F38))),0))</f>
        <v>0</v>
      </c>
      <c r="H38" s="4">
        <f>IF($B$8=0,0,IF(H$2&gt;=$A38,IF(H$2=$A38,($B38/$B$8)*$B$5,IF(H$2&lt;=$A38+$B$8-1,$B38/$B$8,$B38-SUM($C38:G38))),0))</f>
        <v>0</v>
      </c>
      <c r="I38" s="4">
        <f>IF($B$8=0,0,IF(I$2&gt;=$A38,IF(I$2=$A38,($B38/$B$8)*$B$5,IF(I$2&lt;=$A38+$B$8-1,$B38/$B$8,$B38-SUM($C38:H38))),0))</f>
        <v>0</v>
      </c>
      <c r="J38" s="4">
        <f>IF($B$8=0,0,IF(J$2&gt;=$A38,IF(J$2=$A38,($B38/$B$8)*$B$5,IF(J$2&lt;=$A38+$B$8-1,$B38/$B$8,$B38-SUM($C38:I38))),0))</f>
        <v>0</v>
      </c>
      <c r="K38" s="4">
        <f>IF($B$8=0,0,IF(K$2&gt;=$A38,IF(K$2=$A38,($B38/$B$8)*$B$5,IF(K$2&lt;=$A38+$B$8-1,$B38/$B$8,$B38-SUM($C38:J38))),0))</f>
        <v>0</v>
      </c>
      <c r="L38" s="4">
        <f>IF($B$8=0,0,IF(L$2&gt;=$A38,IF(L$2=$A38,($B38/$B$8)*$B$5,IF(L$2&lt;=$A38+$B$8-1,$B38/$B$8,$B38-SUM($C38:K38))),0))</f>
        <v>0</v>
      </c>
      <c r="M38" s="4">
        <f>IF($B$8=0,0,IF(M$2&gt;=$A38,IF(M$2=$A38,($B38/$B$8)*$B$5,IF(M$2&lt;=$A38+$B$8-1,$B38/$B$8,$B38-SUM($C38:L38))),0))</f>
        <v>0</v>
      </c>
      <c r="N38" s="4">
        <f>IF($B$8=0,0,IF(N$2&gt;=$A38,IF(N$2=$A38,($B38/$B$8)*$B$5,IF(N$2&lt;=$A38+$B$8-1,$B38/$B$8,$B38-SUM($C38:M38))),0))</f>
        <v>0</v>
      </c>
      <c r="O38" s="4">
        <f>IF($B$8=0,0,IF(O$2&gt;=$A38,IF(O$2=$A38,($B38/$B$8)*$B$5,IF(O$2&lt;=$A38+$B$8-1,$B38/$B$8,$B38-SUM($C38:N38))),0))</f>
        <v>0</v>
      </c>
      <c r="P38" s="4">
        <f>IF($B$8=0,0,IF(P$2&gt;=$A38,IF(P$2=$A38,($B38/$B$8)*$B$5,IF(P$2&lt;=$A38+$B$8-1,$B38/$B$8,$B38-SUM($C38:O38))),0))</f>
        <v>0</v>
      </c>
      <c r="Q38" s="4">
        <f>IF($B$8=0,0,IF(Q$2&gt;=$A38,IF(Q$2=$A38,($B38/$B$8)*$B$5,IF(Q$2&lt;=$A38+$B$8-1,$B38/$B$8,$B38-SUM($C38:P38))),0))</f>
        <v>0</v>
      </c>
      <c r="R38" s="4">
        <f>IF($B$8=0,0,IF(R$2&gt;=$A38,IF(R$2=$A38,($B38/$B$8)*$B$5,IF(R$2&lt;=$A38+$B$8-1,$B38/$B$8,$B38-SUM($C38:Q38))),0))</f>
        <v>0</v>
      </c>
      <c r="S38" s="4">
        <f>IF($B$8=0,0,IF(S$2&gt;=$A38,IF(S$2=$A38,($B38/$B$8)*$B$5,IF(S$2&lt;=$A38+$B$8-1,$B38/$B$8,$B38-SUM($C38:R38))),0))</f>
        <v>0</v>
      </c>
      <c r="T38" s="4">
        <f>IF($B$8=0,0,IF(T$2&gt;=$A38,IF(T$2=$A38,($B38/$B$8)*$B$5,IF(T$2&lt;=$A38+$B$8-1,$B38/$B$8,$B38-SUM($C38:S38))),0))</f>
        <v>0</v>
      </c>
      <c r="U38" s="4">
        <f>IF($B$8=0,0,IF(U$2&gt;=$A38,IF(U$2=$A38,($B38/$B$8)*$B$5,IF(U$2&lt;=$A38+$B$8-1,$B38/$B$8,$B38-SUM($C38:T38))),0))</f>
        <v>0</v>
      </c>
      <c r="V38" s="4">
        <f>IF($B$8=0,0,IF(V$2&gt;=$A38,IF(V$2=$A38,($B38/$B$8)*$B$5,IF(V$2&lt;=$A38+$B$8-1,$B38/$B$8,$B38-SUM($C38:U38))),0))</f>
        <v>0</v>
      </c>
      <c r="W38" s="4">
        <f>IF($B$8=0,0,IF(W$2&gt;=$A38,IF(W$2=$A38,($B38/$B$8)*$B$5,IF(W$2&lt;=$A38+$B$8-1,$B38/$B$8,$B38-SUM($C38:V38))),0))</f>
        <v>0</v>
      </c>
      <c r="X38" s="4">
        <f>IF($B$8=0,0,IF(X$2&gt;=$A38,IF(X$2=$A38,($B38/$B$8)*$B$5,IF(X$2&lt;=$A38+$B$8-1,$B38/$B$8,$B38-SUM($C38:W38))),0))</f>
        <v>0</v>
      </c>
      <c r="Y38" s="4">
        <f>IF($B$8=0,0,IF(Y$2&gt;=$A38,IF(Y$2=$A38,($B38/$B$8)*$B$5,IF(Y$2&lt;=$A38+$B$8-1,$B38/$B$8,$B38-SUM($C38:X38))),0))</f>
        <v>0</v>
      </c>
      <c r="Z38" s="4">
        <f>IF($B$8=0,0,IF(Z$2&gt;=$A38,IF(Z$2=$A38,($B38/$B$8)*$B$5,IF(Z$2&lt;=$A38+$B$8-1,$B38/$B$8,$B38-SUM($C38:Y38))),0))</f>
        <v>0</v>
      </c>
      <c r="AA38" s="4">
        <f>IF($B$8=0,0,IF(AA$2&gt;=$A38,IF(AA$2=$A38,($B38/$B$8)*$B$5,IF(AA$2&lt;=$A38+$B$8-1,$B38/$B$8,$B38-SUM($C38:Z38))),0))</f>
        <v>0</v>
      </c>
      <c r="AB38" s="4">
        <f>IF($B$8=0,0,IF(AB$2&gt;=$A38,IF(AB$2=$A38,($B38/$B$8)*$B$5,IF(AB$2&lt;=$A38+$B$8-1,$B38/$B$8,$B38-SUM($C38:AA38))),0))</f>
        <v>0</v>
      </c>
      <c r="AC38" s="4">
        <f>IF($B$8=0,0,IF(AC$2&gt;=$A38,IF(AC$2=$A38,($B38/$B$8)*$B$5,IF(AC$2&lt;=$A38+$B$8-1,$B38/$B$8,$B38-SUM($C38:AB38))),0))</f>
        <v>0</v>
      </c>
      <c r="AD38" s="4">
        <f>IF($B$8=0,0,IF(AD$2&gt;=$A38,IF(AD$2=$A38,($B38/$B$8)*$B$5,IF(AD$2&lt;=$A38+$B$8-1,$B38/$B$8,$B38-SUM($C38:AC38))),0))</f>
        <v>0</v>
      </c>
      <c r="AE38" s="4">
        <f>IF($B$8=0,0,IF(AE$2&gt;=$A38,IF(AE$2=$A38,($B38/$B$8)*$B$5,IF(AE$2&lt;=$A38+$B$8-1,$B38/$B$8,$B38-SUM($C38:AD38))),0))</f>
        <v>0</v>
      </c>
      <c r="AF38" s="4">
        <f>IF($B$8=0,0,IF(AF$2&gt;=$A38,IF(AF$2=$A38,($B38/$B$8)*$B$5,IF(AF$2&lt;=$A38+$B$8-1,$B38/$B$8,$B38-SUM($C38:AE38))),0))</f>
        <v>0</v>
      </c>
      <c r="AG38" s="4">
        <f t="shared" si="15"/>
        <v>0</v>
      </c>
    </row>
    <row r="39" spans="1:33" ht="15" thickBot="1">
      <c r="A39" s="6" t="str">
        <f>"Total Depreciation - "&amp;A5</f>
        <v>Total Depreciation - Land Assumption</v>
      </c>
      <c r="B39" s="43">
        <f>SUM(B9:B38)</f>
        <v>13522736.507616967</v>
      </c>
      <c r="C39" s="43">
        <f>SUM(C9:C38)</f>
        <v>0</v>
      </c>
      <c r="D39" s="43">
        <f t="shared" ref="D39:AF39" si="16">SUM(D9:D38)</f>
        <v>0</v>
      </c>
      <c r="E39" s="43">
        <f t="shared" si="16"/>
        <v>0</v>
      </c>
      <c r="F39" s="43">
        <f t="shared" si="16"/>
        <v>0</v>
      </c>
      <c r="G39" s="43">
        <f t="shared" si="16"/>
        <v>0</v>
      </c>
      <c r="H39" s="43">
        <f t="shared" si="16"/>
        <v>0</v>
      </c>
      <c r="I39" s="43">
        <f t="shared" si="16"/>
        <v>0</v>
      </c>
      <c r="J39" s="43">
        <f t="shared" si="16"/>
        <v>0</v>
      </c>
      <c r="K39" s="43">
        <f t="shared" si="16"/>
        <v>0</v>
      </c>
      <c r="L39" s="43">
        <f t="shared" si="16"/>
        <v>0</v>
      </c>
      <c r="M39" s="43">
        <f t="shared" si="16"/>
        <v>0</v>
      </c>
      <c r="N39" s="43">
        <f t="shared" si="16"/>
        <v>0</v>
      </c>
      <c r="O39" s="43">
        <f t="shared" si="16"/>
        <v>0</v>
      </c>
      <c r="P39" s="43">
        <f t="shared" si="16"/>
        <v>0</v>
      </c>
      <c r="Q39" s="43">
        <f t="shared" si="16"/>
        <v>0</v>
      </c>
      <c r="R39" s="43">
        <f t="shared" si="16"/>
        <v>0</v>
      </c>
      <c r="S39" s="43">
        <f t="shared" si="16"/>
        <v>0</v>
      </c>
      <c r="T39" s="43">
        <f t="shared" si="16"/>
        <v>0</v>
      </c>
      <c r="U39" s="43">
        <f t="shared" si="16"/>
        <v>0</v>
      </c>
      <c r="V39" s="43">
        <f t="shared" si="16"/>
        <v>0</v>
      </c>
      <c r="W39" s="43">
        <f t="shared" si="16"/>
        <v>0</v>
      </c>
      <c r="X39" s="43">
        <f t="shared" si="16"/>
        <v>0</v>
      </c>
      <c r="Y39" s="43">
        <f t="shared" si="16"/>
        <v>0</v>
      </c>
      <c r="Z39" s="43">
        <f t="shared" si="16"/>
        <v>0</v>
      </c>
      <c r="AA39" s="43">
        <f t="shared" si="16"/>
        <v>0</v>
      </c>
      <c r="AB39" s="43">
        <f t="shared" si="16"/>
        <v>0</v>
      </c>
      <c r="AC39" s="43">
        <f t="shared" si="16"/>
        <v>0</v>
      </c>
      <c r="AD39" s="43">
        <f t="shared" si="16"/>
        <v>0</v>
      </c>
      <c r="AE39" s="43">
        <f t="shared" si="16"/>
        <v>0</v>
      </c>
      <c r="AF39" s="43">
        <f t="shared" si="16"/>
        <v>0</v>
      </c>
      <c r="AG39" s="43">
        <f>SUM(C39:AF39)</f>
        <v>0</v>
      </c>
    </row>
    <row r="41" spans="1:33">
      <c r="A41" s="302" t="str">
        <f>+Capex!$A$7</f>
        <v>Midtown Building</v>
      </c>
      <c r="B41" s="324">
        <f>+Capex!$C$7/12</f>
        <v>0</v>
      </c>
    </row>
    <row r="42" spans="1:33">
      <c r="A42" s="6" t="s">
        <v>399</v>
      </c>
      <c r="C42" s="40">
        <f>IF(Capex!$B$7=0,Capex!G$7,IF(Capex!$B$7=Capex!G$4,Capex!$AK$7,0))+IF(Capex!$B$7=0,Capex!G$21,IF(Capex!$B$7=Capex!G$4,Capex!$AK$21,0))</f>
        <v>0</v>
      </c>
      <c r="D42" s="40">
        <f>IF(Capex!$B$7=0,Capex!H$7,IF(Capex!$B$7=Capex!H$4,Capex!$AK$7,0))+IF(Capex!$B$7=0,Capex!H$21,IF(Capex!$B$7=Capex!H$4,Capex!$AK$21,0))</f>
        <v>0</v>
      </c>
      <c r="E42" s="40">
        <f>IF(Capex!$B$7=0,Capex!I$7,IF(Capex!$B$7=Capex!I$4,Capex!$AK$7,0))+IF(Capex!$B$7=0,Capex!I$21,IF(Capex!$B$7=Capex!I$4,Capex!$AK$21,0))</f>
        <v>108410427.83879925</v>
      </c>
      <c r="F42" s="40">
        <f>IF(Capex!$B$7=0,Capex!J$7,IF(Capex!$B$7=Capex!J$4,Capex!$AK$7,0))+IF(Capex!$B$7=0,Capex!J$21,IF(Capex!$B$7=Capex!J$4,Capex!$AK$21,0))</f>
        <v>0</v>
      </c>
      <c r="G42" s="40">
        <f>IF(Capex!$B$7=0,Capex!K$7,IF(Capex!$B$7=Capex!K$4,Capex!$AK$7,0))+IF(Capex!$B$7=0,Capex!K$21,IF(Capex!$B$7=Capex!K$4,Capex!$AK$21,0))</f>
        <v>0</v>
      </c>
      <c r="H42" s="40">
        <f>IF(Capex!$B$7=0,Capex!L$7,IF(Capex!$B$7=Capex!L$4,Capex!$AK$7,0))+IF(Capex!$B$7=0,Capex!L$21,IF(Capex!$B$7=Capex!L$4,Capex!$AK$21,0))</f>
        <v>0</v>
      </c>
      <c r="I42" s="40">
        <f>IF(Capex!$B$7=0,Capex!M$7,IF(Capex!$B$7=Capex!M$4,Capex!$AK$7,0))+IF(Capex!$B$7=0,Capex!M$21,IF(Capex!$B$7=Capex!M$4,Capex!$AK$21,0))</f>
        <v>0</v>
      </c>
      <c r="J42" s="40">
        <f>IF(Capex!$B$7=0,Capex!N$7,IF(Capex!$B$7=Capex!N$4,Capex!$AK$7,0))+IF(Capex!$B$7=0,Capex!N$21,IF(Capex!$B$7=Capex!N$4,Capex!$AK$21,0))</f>
        <v>0</v>
      </c>
      <c r="K42" s="40">
        <f>IF(Capex!$B$7=0,Capex!O$7,IF(Capex!$B$7=Capex!O$4,Capex!$AK$7,0))+IF(Capex!$B$7=0,Capex!O$21,IF(Capex!$B$7=Capex!O$4,Capex!$AK$21,0))</f>
        <v>0</v>
      </c>
      <c r="L42" s="40">
        <f>IF(Capex!$B$7=0,Capex!P$7,IF(Capex!$B$7=Capex!P$4,Capex!$AK$7,0))+IF(Capex!$B$7=0,Capex!P$21,IF(Capex!$B$7=Capex!P$4,Capex!$AK$21,0))</f>
        <v>0</v>
      </c>
      <c r="M42" s="40">
        <f>IF(Capex!$B$7=0,Capex!Q$7,IF(Capex!$B$7=Capex!Q$4,Capex!$AK$7,0))+IF(Capex!$B$7=0,Capex!Q$21,IF(Capex!$B$7=Capex!Q$4,Capex!$AK$21,0))</f>
        <v>0</v>
      </c>
      <c r="N42" s="40">
        <f>IF(Capex!$B$7=0,Capex!R$7,IF(Capex!$B$7=Capex!R$4,Capex!$AK$7,0))+IF(Capex!$B$7=0,Capex!R$21,IF(Capex!$B$7=Capex!R$4,Capex!$AK$21,0))</f>
        <v>0</v>
      </c>
      <c r="O42" s="40">
        <f>IF(Capex!$B$7=0,Capex!S$7,IF(Capex!$B$7=Capex!S$4,Capex!$AK$7,0))+IF(Capex!$B$7=0,Capex!S$21,IF(Capex!$B$7=Capex!S$4,Capex!$AK$21,0))</f>
        <v>0</v>
      </c>
      <c r="P42" s="40">
        <f>IF(Capex!$B$7=0,Capex!T$7,IF(Capex!$B$7=Capex!T$4,Capex!$AK$7,0))+IF(Capex!$B$7=0,Capex!T$21,IF(Capex!$B$7=Capex!T$4,Capex!$AK$21,0))</f>
        <v>0</v>
      </c>
      <c r="Q42" s="40">
        <f>IF(Capex!$B$7=0,Capex!U$7,IF(Capex!$B$7=Capex!U$4,Capex!$AK$7,0))+IF(Capex!$B$7=0,Capex!U$21,IF(Capex!$B$7=Capex!U$4,Capex!$AK$21,0))</f>
        <v>0</v>
      </c>
      <c r="R42" s="40">
        <f>IF(Capex!$B$7=0,Capex!V$7,IF(Capex!$B$7=Capex!V$4,Capex!$AK$7,0))+IF(Capex!$B$7=0,Capex!V$21,IF(Capex!$B$7=Capex!V$4,Capex!$AK$21,0))</f>
        <v>0</v>
      </c>
      <c r="S42" s="40">
        <f>IF(Capex!$B$7=0,Capex!W$7,IF(Capex!$B$7=Capex!W$4,Capex!$AK$7,0))+IF(Capex!$B$7=0,Capex!W$21,IF(Capex!$B$7=Capex!W$4,Capex!$AK$21,0))</f>
        <v>0</v>
      </c>
      <c r="T42" s="40">
        <f>IF(Capex!$B$7=0,Capex!X$7,IF(Capex!$B$7=Capex!X$4,Capex!$AK$7,0))+IF(Capex!$B$7=0,Capex!X$21,IF(Capex!$B$7=Capex!X$4,Capex!$AK$21,0))</f>
        <v>0</v>
      </c>
      <c r="U42" s="40">
        <f>IF(Capex!$B$7=0,Capex!Y$7,IF(Capex!$B$7=Capex!Y$4,Capex!$AK$7,0))+IF(Capex!$B$7=0,Capex!Y$21,IF(Capex!$B$7=Capex!Y$4,Capex!$AK$21,0))</f>
        <v>0</v>
      </c>
      <c r="V42" s="40">
        <f>IF(Capex!$B$7=0,Capex!Z$7,IF(Capex!$B$7=Capex!Z$4,Capex!$AK$7,0))+IF(Capex!$B$7=0,Capex!Z$21,IF(Capex!$B$7=Capex!Z$4,Capex!$AK$21,0))</f>
        <v>0</v>
      </c>
      <c r="W42" s="40">
        <f>IF(Capex!$B$7=0,Capex!AA$7,IF(Capex!$B$7=Capex!AA$4,Capex!$AK$7,0))+IF(Capex!$B$7=0,Capex!AA$21,IF(Capex!$B$7=Capex!AA$4,Capex!$AK$21,0))</f>
        <v>0</v>
      </c>
      <c r="X42" s="40">
        <f>IF(Capex!$B$7=0,Capex!AB$7,IF(Capex!$B$7=Capex!AB$4,Capex!$AK$7,0))+IF(Capex!$B$7=0,Capex!AB$21,IF(Capex!$B$7=Capex!AB$4,Capex!$AK$21,0))</f>
        <v>0</v>
      </c>
      <c r="Y42" s="40">
        <f>IF(Capex!$B$7=0,Capex!AC$7,IF(Capex!$B$7=Capex!AC$4,Capex!$AK$7,0))+IF(Capex!$B$7=0,Capex!AC$21,IF(Capex!$B$7=Capex!AC$4,Capex!$AK$21,0))</f>
        <v>0</v>
      </c>
      <c r="Z42" s="40">
        <f>IF(Capex!$B$7=0,Capex!AD$7,IF(Capex!$B$7=Capex!AD$4,Capex!$AK$7,0))+IF(Capex!$B$7=0,Capex!AD$21,IF(Capex!$B$7=Capex!AD$4,Capex!$AK$21,0))</f>
        <v>0</v>
      </c>
      <c r="AA42" s="40">
        <f>IF(Capex!$B$7=0,Capex!AE$7,IF(Capex!$B$7=Capex!AE$4,Capex!$AK$7,0))+IF(Capex!$B$7=0,Capex!AE$21,IF(Capex!$B$7=Capex!AE$4,Capex!$AK$21,0))</f>
        <v>0</v>
      </c>
      <c r="AB42" s="40">
        <f>IF(Capex!$B$7=0,Capex!AF$7,IF(Capex!$B$7=Capex!AF$4,Capex!$AK$7,0))+IF(Capex!$B$7=0,Capex!AF$21,IF(Capex!$B$7=Capex!AF$4,Capex!$AK$21,0))</f>
        <v>0</v>
      </c>
      <c r="AC42" s="40">
        <f>IF(Capex!$B$7=0,Capex!AG$7,IF(Capex!$B$7=Capex!AG$4,Capex!$AK$7,0))+IF(Capex!$B$7=0,Capex!AG$21,IF(Capex!$B$7=Capex!AG$4,Capex!$AK$21,0))</f>
        <v>0</v>
      </c>
      <c r="AD42" s="40">
        <f>IF(Capex!$B$7=0,Capex!AH$7,IF(Capex!$B$7=Capex!AH$4,Capex!$AK$7,0))+IF(Capex!$B$7=0,Capex!AH$21,IF(Capex!$B$7=Capex!AH$4,Capex!$AK$21,0))</f>
        <v>0</v>
      </c>
      <c r="AE42" s="40">
        <f>IF(Capex!$B$7=0,Capex!AI$7,IF(Capex!$B$7=Capex!AI$4,Capex!$AK$7,0))+IF(Capex!$B$7=0,Capex!AI$21,IF(Capex!$B$7=Capex!AI$4,Capex!$AK$21,0))</f>
        <v>0</v>
      </c>
      <c r="AF42" s="40">
        <f>IF(Capex!$B$7=0,Capex!AJ$7,IF(Capex!$B$7=Capex!AJ$4,Capex!$AK$7,0))+IF(Capex!$B$7=0,Capex!AJ$21,IF(Capex!$B$7=Capex!AJ$4,Capex!$AK$21,0))</f>
        <v>0</v>
      </c>
    </row>
    <row r="43" spans="1:33">
      <c r="A43" s="6" t="s">
        <v>400</v>
      </c>
      <c r="B43" s="299"/>
      <c r="C43" s="49">
        <f>+C42</f>
        <v>0</v>
      </c>
      <c r="D43" s="49">
        <f t="shared" ref="D43:AA43" si="17">+D42+C43</f>
        <v>0</v>
      </c>
      <c r="E43" s="49">
        <f t="shared" si="17"/>
        <v>108410427.83879925</v>
      </c>
      <c r="F43" s="49">
        <f t="shared" si="17"/>
        <v>108410427.83879925</v>
      </c>
      <c r="G43" s="49">
        <f t="shared" si="17"/>
        <v>108410427.83879925</v>
      </c>
      <c r="H43" s="49">
        <f t="shared" si="17"/>
        <v>108410427.83879925</v>
      </c>
      <c r="I43" s="49">
        <f t="shared" si="17"/>
        <v>108410427.83879925</v>
      </c>
      <c r="J43" s="49">
        <f t="shared" si="17"/>
        <v>108410427.83879925</v>
      </c>
      <c r="K43" s="49">
        <f t="shared" si="17"/>
        <v>108410427.83879925</v>
      </c>
      <c r="L43" s="49">
        <f t="shared" si="17"/>
        <v>108410427.83879925</v>
      </c>
      <c r="M43" s="49">
        <f t="shared" si="17"/>
        <v>108410427.83879925</v>
      </c>
      <c r="N43" s="49">
        <f t="shared" si="17"/>
        <v>108410427.83879925</v>
      </c>
      <c r="O43" s="49">
        <f t="shared" si="17"/>
        <v>108410427.83879925</v>
      </c>
      <c r="P43" s="49">
        <f t="shared" si="17"/>
        <v>108410427.83879925</v>
      </c>
      <c r="Q43" s="49">
        <f t="shared" si="17"/>
        <v>108410427.83879925</v>
      </c>
      <c r="R43" s="49">
        <f t="shared" si="17"/>
        <v>108410427.83879925</v>
      </c>
      <c r="S43" s="49">
        <f t="shared" si="17"/>
        <v>108410427.83879925</v>
      </c>
      <c r="T43" s="49">
        <f t="shared" si="17"/>
        <v>108410427.83879925</v>
      </c>
      <c r="U43" s="49">
        <f t="shared" si="17"/>
        <v>108410427.83879925</v>
      </c>
      <c r="V43" s="49">
        <f t="shared" si="17"/>
        <v>108410427.83879925</v>
      </c>
      <c r="W43" s="49">
        <f t="shared" si="17"/>
        <v>108410427.83879925</v>
      </c>
      <c r="X43" s="49">
        <f t="shared" si="17"/>
        <v>108410427.83879925</v>
      </c>
      <c r="Y43" s="49">
        <f t="shared" si="17"/>
        <v>108410427.83879925</v>
      </c>
      <c r="Z43" s="49">
        <f t="shared" si="17"/>
        <v>108410427.83879925</v>
      </c>
      <c r="AA43" s="49">
        <f t="shared" si="17"/>
        <v>108410427.83879925</v>
      </c>
      <c r="AB43" s="49">
        <f t="shared" ref="AB43" si="18">+AB42+AA43</f>
        <v>108410427.83879925</v>
      </c>
      <c r="AC43" s="49">
        <f t="shared" ref="AC43" si="19">+AC42+AB43</f>
        <v>108410427.83879925</v>
      </c>
      <c r="AD43" s="49">
        <f t="shared" ref="AD43" si="20">+AD42+AC43</f>
        <v>108410427.83879925</v>
      </c>
      <c r="AE43" s="49">
        <f t="shared" ref="AE43" si="21">+AE42+AD43</f>
        <v>108410427.83879925</v>
      </c>
      <c r="AF43" s="49">
        <f t="shared" ref="AF43" si="22">+AF42+AE43</f>
        <v>108410427.83879925</v>
      </c>
    </row>
    <row r="44" spans="1:33" ht="16.2">
      <c r="A44" s="6" t="s">
        <v>401</v>
      </c>
      <c r="B44" s="88">
        <f>+Capex!$D$7</f>
        <v>60</v>
      </c>
      <c r="AG44" s="462"/>
    </row>
    <row r="45" spans="1:33">
      <c r="A45" s="6">
        <f>+A9</f>
        <v>2022</v>
      </c>
      <c r="B45" s="4">
        <f t="shared" ref="B45:B74" si="23">SUMIF($C$2:$AF$2,A45,$C$42:$AF$42)</f>
        <v>0</v>
      </c>
      <c r="C45" s="4">
        <f>IF($B$44=0,0,IF(C$2&gt;=$A45,IF(C$2=$A45,($B45/$B$44)*$B$41,IF(C$2&lt;=$A45+$B$44-1,$B45/$B$44,$B45-SUM(B45:$C45))),0))</f>
        <v>0</v>
      </c>
      <c r="D45" s="4">
        <f>IF($B$44=0,0,IF(D$2&gt;=$A45,IF(D$2=$A45,($B45/$B$44)*$B$41,IF(D$2&lt;=$A45+$B$44-1,$B45/$B$44,$B45-SUM(C45:$C45))),0))</f>
        <v>0</v>
      </c>
      <c r="E45" s="4">
        <f>IF($B$44=0,0,IF(E$2&gt;=$A45,IF(E$2=$A45,($B45/$B$44)*$B$41,IF(E$2&lt;=$A45+$B$44-1,$B45/$B$44,$B45-SUM($C45:D45))),0))</f>
        <v>0</v>
      </c>
      <c r="F45" s="4">
        <f>IF($B$44=0,0,IF(F$2&gt;=$A45,IF(F$2=$A45,($B45/$B$44)*$B$41,IF(F$2&lt;=$A45+$B$44-1,$B45/$B$44,$B45-SUM($C45:E45))),0))</f>
        <v>0</v>
      </c>
      <c r="G45" s="4">
        <f>IF($B$44=0,0,IF(G$2&gt;=$A45,IF(G$2=$A45,($B45/$B$44)*$B$41,IF(G$2&lt;=$A45+$B$44-1,$B45/$B$44,$B45-SUM($C45:F45))),0))</f>
        <v>0</v>
      </c>
      <c r="H45" s="4">
        <f>IF($B$44=0,0,IF(H$2&gt;=$A45,IF(H$2=$A45,($B45/$B$44)*$B$41,IF(H$2&lt;=$A45+$B$44-1,$B45/$B$44,$B45-SUM($C45:G45))),0))</f>
        <v>0</v>
      </c>
      <c r="I45" s="4">
        <f>IF($B$44=0,0,IF(I$2&gt;=$A45,IF(I$2=$A45,($B45/$B$44)*$B$41,IF(I$2&lt;=$A45+$B$44-1,$B45/$B$44,$B45-SUM($C45:H45))),0))</f>
        <v>0</v>
      </c>
      <c r="J45" s="4">
        <f>IF($B$44=0,0,IF(J$2&gt;=$A45,IF(J$2=$A45,($B45/$B$44)*$B$41,IF(J$2&lt;=$A45+$B$44-1,$B45/$B$44,$B45-SUM($C45:I45))),0))</f>
        <v>0</v>
      </c>
      <c r="K45" s="4">
        <f>IF($B$44=0,0,IF(K$2&gt;=$A45,IF(K$2=$A45,($B45/$B$44)*$B$41,IF(K$2&lt;=$A45+$B$44-1,$B45/$B$44,$B45-SUM($C45:J45))),0))</f>
        <v>0</v>
      </c>
      <c r="L45" s="4">
        <f>IF($B$44=0,0,IF(L$2&gt;=$A45,IF(L$2=$A45,($B45/$B$44)*$B$41,IF(L$2&lt;=$A45+$B$44-1,$B45/$B$44,$B45-SUM($C45:K45))),0))</f>
        <v>0</v>
      </c>
      <c r="M45" s="4">
        <f>IF($B$44=0,0,IF(M$2&gt;=$A45,IF(M$2=$A45,($B45/$B$44)*$B$41,IF(M$2&lt;=$A45+$B$44-1,$B45/$B$44,$B45-SUM($C45:L45))),0))</f>
        <v>0</v>
      </c>
      <c r="N45" s="4">
        <f>IF($B$44=0,0,IF(N$2&gt;=$A45,IF(N$2=$A45,($B45/$B$44)*$B$41,IF(N$2&lt;=$A45+$B$44-1,$B45/$B$44,$B45-SUM($C45:M45))),0))</f>
        <v>0</v>
      </c>
      <c r="O45" s="4">
        <f>IF($B$44=0,0,IF(O$2&gt;=$A45,IF(O$2=$A45,($B45/$B$44)*$B$41,IF(O$2&lt;=$A45+$B$44-1,$B45/$B$44,$B45-SUM($C45:N45))),0))</f>
        <v>0</v>
      </c>
      <c r="P45" s="4">
        <f>IF($B$44=0,0,IF(P$2&gt;=$A45,IF(P$2=$A45,($B45/$B$44)*$B$41,IF(P$2&lt;=$A45+$B$44-1,$B45/$B$44,$B45-SUM($C45:O45))),0))</f>
        <v>0</v>
      </c>
      <c r="Q45" s="4">
        <f>IF($B$44=0,0,IF(Q$2&gt;=$A45,IF(Q$2=$A45,($B45/$B$44)*$B$41,IF(Q$2&lt;=$A45+$B$44-1,$B45/$B$44,$B45-SUM($C45:P45))),0))</f>
        <v>0</v>
      </c>
      <c r="R45" s="4">
        <f>IF($B$44=0,0,IF(R$2&gt;=$A45,IF(R$2=$A45,($B45/$B$44)*$B$41,IF(R$2&lt;=$A45+$B$44-1,$B45/$B$44,$B45-SUM($C45:Q45))),0))</f>
        <v>0</v>
      </c>
      <c r="S45" s="4">
        <f>IF($B$44=0,0,IF(S$2&gt;=$A45,IF(S$2=$A45,($B45/$B$44)*$B$41,IF(S$2&lt;=$A45+$B$44-1,$B45/$B$44,$B45-SUM($C45:R45))),0))</f>
        <v>0</v>
      </c>
      <c r="T45" s="4">
        <f>IF($B$44=0,0,IF(T$2&gt;=$A45,IF(T$2=$A45,($B45/$B$44)*$B$41,IF(T$2&lt;=$A45+$B$44-1,$B45/$B$44,$B45-SUM($C45:S45))),0))</f>
        <v>0</v>
      </c>
      <c r="U45" s="4">
        <f>IF($B$44=0,0,IF(U$2&gt;=$A45,IF(U$2=$A45,($B45/$B$44)*$B$41,IF(U$2&lt;=$A45+$B$44-1,$B45/$B$44,$B45-SUM($C45:T45))),0))</f>
        <v>0</v>
      </c>
      <c r="V45" s="4">
        <f>IF($B$44=0,0,IF(V$2&gt;=$A45,IF(V$2=$A45,($B45/$B$44)*$B$41,IF(V$2&lt;=$A45+$B$44-1,$B45/$B$44,$B45-SUM($C45:U45))),0))</f>
        <v>0</v>
      </c>
      <c r="W45" s="4">
        <f>IF($B$44=0,0,IF(W$2&gt;=$A45,IF(W$2=$A45,($B45/$B$44)*$B$41,IF(W$2&lt;=$A45+$B$44-1,$B45/$B$44,$B45-SUM($C45:V45))),0))</f>
        <v>0</v>
      </c>
      <c r="X45" s="4">
        <f>IF($B$44=0,0,IF(X$2&gt;=$A45,IF(X$2=$A45,($B45/$B$44)*$B$41,IF(X$2&lt;=$A45+$B$44-1,$B45/$B$44,$B45-SUM($C45:W45))),0))</f>
        <v>0</v>
      </c>
      <c r="Y45" s="4">
        <f>IF($B$44=0,0,IF(Y$2&gt;=$A45,IF(Y$2=$A45,($B45/$B$44)*$B$41,IF(Y$2&lt;=$A45+$B$44-1,$B45/$B$44,$B45-SUM($C45:X45))),0))</f>
        <v>0</v>
      </c>
      <c r="Z45" s="4">
        <f>IF($B$44=0,0,IF(Z$2&gt;=$A45,IF(Z$2=$A45,($B45/$B$44)*$B$41,IF(Z$2&lt;=$A45+$B$44-1,$B45/$B$44,$B45-SUM($C45:Y45))),0))</f>
        <v>0</v>
      </c>
      <c r="AA45" s="4">
        <f>IF($B$44=0,0,IF(AA$2&gt;=$A45,IF(AA$2=$A45,($B45/$B$44)*$B$41,IF(AA$2&lt;=$A45+$B$44-1,$B45/$B$44,$B45-SUM($C45:Z45))),0))</f>
        <v>0</v>
      </c>
      <c r="AB45" s="4">
        <f>IF($B$44=0,0,IF(AB$2&gt;=$A45,IF(AB$2=$A45,($B45/$B$44)*$B$41,IF(AB$2&lt;=$A45+$B$44-1,$B45/$B$44,$B45-SUM($C45:AA45))),0))</f>
        <v>0</v>
      </c>
      <c r="AC45" s="4">
        <f>IF($B$44=0,0,IF(AC$2&gt;=$A45,IF(AC$2=$A45,($B45/$B$44)*$B$41,IF(AC$2&lt;=$A45+$B$44-1,$B45/$B$44,$B45-SUM($C45:AB45))),0))</f>
        <v>0</v>
      </c>
      <c r="AD45" s="4">
        <f>IF($B$44=0,0,IF(AD$2&gt;=$A45,IF(AD$2=$A45,($B45/$B$44)*$B$41,IF(AD$2&lt;=$A45+$B$44-1,$B45/$B$44,$B45-SUM($C45:AC45))),0))</f>
        <v>0</v>
      </c>
      <c r="AE45" s="4">
        <f>IF($B$44=0,0,IF(AE$2&gt;=$A45,IF(AE$2=$A45,($B45/$B$44)*$B$41,IF(AE$2&lt;=$A45+$B$44-1,$B45/$B$44,$B45-SUM($C45:AD45))),0))</f>
        <v>0</v>
      </c>
      <c r="AF45" s="4">
        <f>IF($B$44=0,0,IF(AF$2&gt;=$A45,IF(AF$2=$A45,($B45/$B$44)*$B$41,IF(AF$2&lt;=$A45+$B$44-1,$B45/$B$44,$B45-SUM($C45:AE45))),0))</f>
        <v>0</v>
      </c>
      <c r="AG45" s="4">
        <f t="shared" ref="AG45:AG69" si="24">SUM(C45:AF45)</f>
        <v>0</v>
      </c>
    </row>
    <row r="46" spans="1:33">
      <c r="A46" s="6">
        <f>+A45+1</f>
        <v>2023</v>
      </c>
      <c r="B46" s="4">
        <f t="shared" si="23"/>
        <v>0</v>
      </c>
      <c r="C46" s="4">
        <f>IF($B$44=0,0,IF(C$2&gt;=$A46,IF(C$2=$A46,($B46/$B$44)*$B$41,IF(C$2&lt;=$A46+$B$44-1,$B46/$B$44,$B46-SUM(B46:$C46))),0))</f>
        <v>0</v>
      </c>
      <c r="D46" s="4">
        <f>IF($B$44=0,0,IF(D$2&gt;=$A46,IF(D$2=$A46,($B46/$B$44)*$B$41,IF(D$2&lt;=$A46+$B$44-1,$B46/$B$44,$B46-SUM(C46:$C46))),0))</f>
        <v>0</v>
      </c>
      <c r="E46" s="4">
        <f>IF($B$44=0,0,IF(E$2&gt;=$A46,IF(E$2=$A46,($B46/$B$44)*$B$41,IF(E$2&lt;=$A46+$B$44-1,$B46/$B$44,$B46-SUM($C46:D46))),0))</f>
        <v>0</v>
      </c>
      <c r="F46" s="4">
        <f>IF($B$44=0,0,IF(F$2&gt;=$A46,IF(F$2=$A46,($B46/$B$44)*$B$41,IF(F$2&lt;=$A46+$B$44-1,$B46/$B$44,$B46-SUM($C46:E46))),0))</f>
        <v>0</v>
      </c>
      <c r="G46" s="4">
        <f>IF($B$44=0,0,IF(G$2&gt;=$A46,IF(G$2=$A46,($B46/$B$44)*$B$41,IF(G$2&lt;=$A46+$B$44-1,$B46/$B$44,$B46-SUM($C46:F46))),0))</f>
        <v>0</v>
      </c>
      <c r="H46" s="4">
        <f>IF($B$44=0,0,IF(H$2&gt;=$A46,IF(H$2=$A46,($B46/$B$44)*$B$41,IF(H$2&lt;=$A46+$B$44-1,$B46/$B$44,$B46-SUM($C46:G46))),0))</f>
        <v>0</v>
      </c>
      <c r="I46" s="4">
        <f>IF($B$44=0,0,IF(I$2&gt;=$A46,IF(I$2=$A46,($B46/$B$44)*$B$41,IF(I$2&lt;=$A46+$B$44-1,$B46/$B$44,$B46-SUM($C46:H46))),0))</f>
        <v>0</v>
      </c>
      <c r="J46" s="4">
        <f>IF($B$44=0,0,IF(J$2&gt;=$A46,IF(J$2=$A46,($B46/$B$44)*$B$41,IF(J$2&lt;=$A46+$B$44-1,$B46/$B$44,$B46-SUM($C46:I46))),0))</f>
        <v>0</v>
      </c>
      <c r="K46" s="4">
        <f>IF($B$44=0,0,IF(K$2&gt;=$A46,IF(K$2=$A46,($B46/$B$44)*$B$41,IF(K$2&lt;=$A46+$B$44-1,$B46/$B$44,$B46-SUM($C46:J46))),0))</f>
        <v>0</v>
      </c>
      <c r="L46" s="4">
        <f>IF($B$44=0,0,IF(L$2&gt;=$A46,IF(L$2=$A46,($B46/$B$44)*$B$41,IF(L$2&lt;=$A46+$B$44-1,$B46/$B$44,$B46-SUM($C46:K46))),0))</f>
        <v>0</v>
      </c>
      <c r="M46" s="4">
        <f>IF($B$44=0,0,IF(M$2&gt;=$A46,IF(M$2=$A46,($B46/$B$44)*$B$41,IF(M$2&lt;=$A46+$B$44-1,$B46/$B$44,$B46-SUM($C46:L46))),0))</f>
        <v>0</v>
      </c>
      <c r="N46" s="4">
        <f>IF($B$44=0,0,IF(N$2&gt;=$A46,IF(N$2=$A46,($B46/$B$44)*$B$41,IF(N$2&lt;=$A46+$B$44-1,$B46/$B$44,$B46-SUM($C46:M46))),0))</f>
        <v>0</v>
      </c>
      <c r="O46" s="4">
        <f>IF($B$44=0,0,IF(O$2&gt;=$A46,IF(O$2=$A46,($B46/$B$44)*$B$41,IF(O$2&lt;=$A46+$B$44-1,$B46/$B$44,$B46-SUM($C46:N46))),0))</f>
        <v>0</v>
      </c>
      <c r="P46" s="4">
        <f>IF($B$44=0,0,IF(P$2&gt;=$A46,IF(P$2=$A46,($B46/$B$44)*$B$41,IF(P$2&lt;=$A46+$B$44-1,$B46/$B$44,$B46-SUM($C46:O46))),0))</f>
        <v>0</v>
      </c>
      <c r="Q46" s="4">
        <f>IF($B$44=0,0,IF(Q$2&gt;=$A46,IF(Q$2=$A46,($B46/$B$44)*$B$41,IF(Q$2&lt;=$A46+$B$44-1,$B46/$B$44,$B46-SUM($C46:P46))),0))</f>
        <v>0</v>
      </c>
      <c r="R46" s="4">
        <f>IF($B$44=0,0,IF(R$2&gt;=$A46,IF(R$2=$A46,($B46/$B$44)*$B$41,IF(R$2&lt;=$A46+$B$44-1,$B46/$B$44,$B46-SUM($C46:Q46))),0))</f>
        <v>0</v>
      </c>
      <c r="S46" s="4">
        <f>IF($B$44=0,0,IF(S$2&gt;=$A46,IF(S$2=$A46,($B46/$B$44)*$B$41,IF(S$2&lt;=$A46+$B$44-1,$B46/$B$44,$B46-SUM($C46:R46))),0))</f>
        <v>0</v>
      </c>
      <c r="T46" s="4">
        <f>IF($B$44=0,0,IF(T$2&gt;=$A46,IF(T$2=$A46,($B46/$B$44)*$B$41,IF(T$2&lt;=$A46+$B$44-1,$B46/$B$44,$B46-SUM($C46:S46))),0))</f>
        <v>0</v>
      </c>
      <c r="U46" s="4">
        <f>IF($B$44=0,0,IF(U$2&gt;=$A46,IF(U$2=$A46,($B46/$B$44)*$B$41,IF(U$2&lt;=$A46+$B$44-1,$B46/$B$44,$B46-SUM($C46:T46))),0))</f>
        <v>0</v>
      </c>
      <c r="V46" s="4">
        <f>IF($B$44=0,0,IF(V$2&gt;=$A46,IF(V$2=$A46,($B46/$B$44)*$B$41,IF(V$2&lt;=$A46+$B$44-1,$B46/$B$44,$B46-SUM($C46:U46))),0))</f>
        <v>0</v>
      </c>
      <c r="W46" s="4">
        <f>IF($B$44=0,0,IF(W$2&gt;=$A46,IF(W$2=$A46,($B46/$B$44)*$B$41,IF(W$2&lt;=$A46+$B$44-1,$B46/$B$44,$B46-SUM($C46:V46))),0))</f>
        <v>0</v>
      </c>
      <c r="X46" s="4">
        <f>IF($B$44=0,0,IF(X$2&gt;=$A46,IF(X$2=$A46,($B46/$B$44)*$B$41,IF(X$2&lt;=$A46+$B$44-1,$B46/$B$44,$B46-SUM($C46:W46))),0))</f>
        <v>0</v>
      </c>
      <c r="Y46" s="4">
        <f>IF($B$44=0,0,IF(Y$2&gt;=$A46,IF(Y$2=$A46,($B46/$B$44)*$B$41,IF(Y$2&lt;=$A46+$B$44-1,$B46/$B$44,$B46-SUM($C46:X46))),0))</f>
        <v>0</v>
      </c>
      <c r="Z46" s="4">
        <f>IF($B$44=0,0,IF(Z$2&gt;=$A46,IF(Z$2=$A46,($B46/$B$44)*$B$41,IF(Z$2&lt;=$A46+$B$44-1,$B46/$B$44,$B46-SUM($C46:Y46))),0))</f>
        <v>0</v>
      </c>
      <c r="AA46" s="4">
        <f>IF($B$44=0,0,IF(AA$2&gt;=$A46,IF(AA$2=$A46,($B46/$B$44)*$B$41,IF(AA$2&lt;=$A46+$B$44-1,$B46/$B$44,$B46-SUM($C46:Z46))),0))</f>
        <v>0</v>
      </c>
      <c r="AB46" s="4">
        <f>IF($B$44=0,0,IF(AB$2&gt;=$A46,IF(AB$2=$A46,($B46/$B$44)*$B$41,IF(AB$2&lt;=$A46+$B$44-1,$B46/$B$44,$B46-SUM($C46:AA46))),0))</f>
        <v>0</v>
      </c>
      <c r="AC46" s="4">
        <f>IF($B$44=0,0,IF(AC$2&gt;=$A46,IF(AC$2=$A46,($B46/$B$44)*$B$41,IF(AC$2&lt;=$A46+$B$44-1,$B46/$B$44,$B46-SUM($C46:AB46))),0))</f>
        <v>0</v>
      </c>
      <c r="AD46" s="4">
        <f>IF($B$44=0,0,IF(AD$2&gt;=$A46,IF(AD$2=$A46,($B46/$B$44)*$B$41,IF(AD$2&lt;=$A46+$B$44-1,$B46/$B$44,$B46-SUM($C46:AC46))),0))</f>
        <v>0</v>
      </c>
      <c r="AE46" s="4">
        <f>IF($B$44=0,0,IF(AE$2&gt;=$A46,IF(AE$2=$A46,($B46/$B$44)*$B$41,IF(AE$2&lt;=$A46+$B$44-1,$B46/$B$44,$B46-SUM($C46:AD46))),0))</f>
        <v>0</v>
      </c>
      <c r="AF46" s="4">
        <f>IF($B$44=0,0,IF(AF$2&gt;=$A46,IF(AF$2=$A46,($B46/$B$44)*$B$41,IF(AF$2&lt;=$A46+$B$44-1,$B46/$B$44,$B46-SUM($C46:AE46))),0))</f>
        <v>0</v>
      </c>
      <c r="AG46" s="4">
        <f t="shared" si="24"/>
        <v>0</v>
      </c>
    </row>
    <row r="47" spans="1:33">
      <c r="A47" s="6">
        <f t="shared" ref="A47:A74" si="25">+A46+1</f>
        <v>2024</v>
      </c>
      <c r="B47" s="4">
        <f t="shared" si="23"/>
        <v>108410427.83879925</v>
      </c>
      <c r="C47" s="4">
        <f>IF($B$44=0,0,IF(C$2&gt;=$A47,IF(C$2=$A47,($B47/$B$44)*$B$41,IF(C$2&lt;=$A47+$B$44-1,$B47/$B$44,$B47-SUM(B47:$C47))),0))</f>
        <v>0</v>
      </c>
      <c r="D47" s="4">
        <f>IF($B$44=0,0,IF(D$2&gt;=$A47,IF(D$2=$A47,($B47/$B$44)*$B$41,IF(D$2&lt;=$A47+$B$44-1,$B47/$B$44,$B47-SUM(C47:$C47))),0))</f>
        <v>0</v>
      </c>
      <c r="E47" s="4">
        <f>IF($B$44=0,0,IF(E$2&gt;=$A47,IF(E$2=$A47,($B47/$B$44)*$B$41,IF(E$2&lt;=$A47+$B$44-1,$B47/$B$44,$B47-SUM($C47:D47))),0))</f>
        <v>0</v>
      </c>
      <c r="F47" s="4">
        <f>IF($B$44=0,0,IF(F$2&gt;=$A47,IF(F$2=$A47,($B47/$B$44)*$B$41,IF(F$2&lt;=$A47+$B$44-1,$B47/$B$44,$B47-SUM($C47:E47))),0))</f>
        <v>1806840.4639799877</v>
      </c>
      <c r="G47" s="4">
        <f>IF($B$44=0,0,IF(G$2&gt;=$A47,IF(G$2=$A47,($B47/$B$44)*$B$41,IF(G$2&lt;=$A47+$B$44-1,$B47/$B$44,$B47-SUM($C47:F47))),0))</f>
        <v>1806840.4639799877</v>
      </c>
      <c r="H47" s="4">
        <f>IF($B$44=0,0,IF(H$2&gt;=$A47,IF(H$2=$A47,($B47/$B$44)*$B$41,IF(H$2&lt;=$A47+$B$44-1,$B47/$B$44,$B47-SUM($C47:G47))),0))</f>
        <v>1806840.4639799877</v>
      </c>
      <c r="I47" s="4">
        <f>IF($B$44=0,0,IF(I$2&gt;=$A47,IF(I$2=$A47,($B47/$B$44)*$B$41,IF(I$2&lt;=$A47+$B$44-1,$B47/$B$44,$B47-SUM($C47:H47))),0))</f>
        <v>1806840.4639799877</v>
      </c>
      <c r="J47" s="4">
        <f>IF($B$44=0,0,IF(J$2&gt;=$A47,IF(J$2=$A47,($B47/$B$44)*$B$41,IF(J$2&lt;=$A47+$B$44-1,$B47/$B$44,$B47-SUM($C47:I47))),0))</f>
        <v>1806840.4639799877</v>
      </c>
      <c r="K47" s="4">
        <f>IF($B$44=0,0,IF(K$2&gt;=$A47,IF(K$2=$A47,($B47/$B$44)*$B$41,IF(K$2&lt;=$A47+$B$44-1,$B47/$B$44,$B47-SUM($C47:J47))),0))</f>
        <v>1806840.4639799877</v>
      </c>
      <c r="L47" s="4">
        <f>IF($B$44=0,0,IF(L$2&gt;=$A47,IF(L$2=$A47,($B47/$B$44)*$B$41,IF(L$2&lt;=$A47+$B$44-1,$B47/$B$44,$B47-SUM($C47:K47))),0))</f>
        <v>1806840.4639799877</v>
      </c>
      <c r="M47" s="4">
        <f>IF($B$44=0,0,IF(M$2&gt;=$A47,IF(M$2=$A47,($B47/$B$44)*$B$41,IF(M$2&lt;=$A47+$B$44-1,$B47/$B$44,$B47-SUM($C47:L47))),0))</f>
        <v>1806840.4639799877</v>
      </c>
      <c r="N47" s="4">
        <f>IF($B$44=0,0,IF(N$2&gt;=$A47,IF(N$2=$A47,($B47/$B$44)*$B$41,IF(N$2&lt;=$A47+$B$44-1,$B47/$B$44,$B47-SUM($C47:M47))),0))</f>
        <v>1806840.4639799877</v>
      </c>
      <c r="O47" s="4">
        <f>IF($B$44=0,0,IF(O$2&gt;=$A47,IF(O$2=$A47,($B47/$B$44)*$B$41,IF(O$2&lt;=$A47+$B$44-1,$B47/$B$44,$B47-SUM($C47:N47))),0))</f>
        <v>1806840.4639799877</v>
      </c>
      <c r="P47" s="4">
        <f>IF($B$44=0,0,IF(P$2&gt;=$A47,IF(P$2=$A47,($B47/$B$44)*$B$41,IF(P$2&lt;=$A47+$B$44-1,$B47/$B$44,$B47-SUM($C47:O47))),0))</f>
        <v>1806840.4639799877</v>
      </c>
      <c r="Q47" s="4">
        <f>IF($B$44=0,0,IF(Q$2&gt;=$A47,IF(Q$2=$A47,($B47/$B$44)*$B$41,IF(Q$2&lt;=$A47+$B$44-1,$B47/$B$44,$B47-SUM($C47:P47))),0))</f>
        <v>1806840.4639799877</v>
      </c>
      <c r="R47" s="4">
        <f>IF($B$44=0,0,IF(R$2&gt;=$A47,IF(R$2=$A47,($B47/$B$44)*$B$41,IF(R$2&lt;=$A47+$B$44-1,$B47/$B$44,$B47-SUM($C47:Q47))),0))</f>
        <v>1806840.4639799877</v>
      </c>
      <c r="S47" s="4">
        <f>IF($B$44=0,0,IF(S$2&gt;=$A47,IF(S$2=$A47,($B47/$B$44)*$B$41,IF(S$2&lt;=$A47+$B$44-1,$B47/$B$44,$B47-SUM($C47:R47))),0))</f>
        <v>1806840.4639799877</v>
      </c>
      <c r="T47" s="4">
        <f>IF($B$44=0,0,IF(T$2&gt;=$A47,IF(T$2=$A47,($B47/$B$44)*$B$41,IF(T$2&lt;=$A47+$B$44-1,$B47/$B$44,$B47-SUM($C47:S47))),0))</f>
        <v>1806840.4639799877</v>
      </c>
      <c r="U47" s="4">
        <f>IF($B$44=0,0,IF(U$2&gt;=$A47,IF(U$2=$A47,($B47/$B$44)*$B$41,IF(U$2&lt;=$A47+$B$44-1,$B47/$B$44,$B47-SUM($C47:T47))),0))</f>
        <v>1806840.4639799877</v>
      </c>
      <c r="V47" s="4">
        <f>IF($B$44=0,0,IF(V$2&gt;=$A47,IF(V$2=$A47,($B47/$B$44)*$B$41,IF(V$2&lt;=$A47+$B$44-1,$B47/$B$44,$B47-SUM($C47:U47))),0))</f>
        <v>1806840.4639799877</v>
      </c>
      <c r="W47" s="4">
        <f>IF($B$44=0,0,IF(W$2&gt;=$A47,IF(W$2=$A47,($B47/$B$44)*$B$41,IF(W$2&lt;=$A47+$B$44-1,$B47/$B$44,$B47-SUM($C47:V47))),0))</f>
        <v>1806840.4639799877</v>
      </c>
      <c r="X47" s="4">
        <f>IF($B$44=0,0,IF(X$2&gt;=$A47,IF(X$2=$A47,($B47/$B$44)*$B$41,IF(X$2&lt;=$A47+$B$44-1,$B47/$B$44,$B47-SUM($C47:W47))),0))</f>
        <v>1806840.4639799877</v>
      </c>
      <c r="Y47" s="4">
        <f>IF($B$44=0,0,IF(Y$2&gt;=$A47,IF(Y$2=$A47,($B47/$B$44)*$B$41,IF(Y$2&lt;=$A47+$B$44-1,$B47/$B$44,$B47-SUM($C47:X47))),0))</f>
        <v>1806840.4639799877</v>
      </c>
      <c r="Z47" s="4">
        <f>IF($B$44=0,0,IF(Z$2&gt;=$A47,IF(Z$2=$A47,($B47/$B$44)*$B$41,IF(Z$2&lt;=$A47+$B$44-1,$B47/$B$44,$B47-SUM($C47:Y47))),0))</f>
        <v>1806840.4639799877</v>
      </c>
      <c r="AA47" s="4">
        <f>IF($B$44=0,0,IF(AA$2&gt;=$A47,IF(AA$2=$A47,($B47/$B$44)*$B$41,IF(AA$2&lt;=$A47+$B$44-1,$B47/$B$44,$B47-SUM($C47:Z47))),0))</f>
        <v>1806840.4639799877</v>
      </c>
      <c r="AB47" s="4">
        <f>IF($B$44=0,0,IF(AB$2&gt;=$A47,IF(AB$2=$A47,($B47/$B$44)*$B$41,IF(AB$2&lt;=$A47+$B$44-1,$B47/$B$44,$B47-SUM($C47:AA47))),0))</f>
        <v>1806840.4639799877</v>
      </c>
      <c r="AC47" s="4">
        <f>IF($B$44=0,0,IF(AC$2&gt;=$A47,IF(AC$2=$A47,($B47/$B$44)*$B$41,IF(AC$2&lt;=$A47+$B$44-1,$B47/$B$44,$B47-SUM($C47:AB47))),0))</f>
        <v>1806840.4639799877</v>
      </c>
      <c r="AD47" s="4">
        <f>IF($B$44=0,0,IF(AD$2&gt;=$A47,IF(AD$2=$A47,($B47/$B$44)*$B$41,IF(AD$2&lt;=$A47+$B$44-1,$B47/$B$44,$B47-SUM($C47:AC47))),0))</f>
        <v>1806840.4639799877</v>
      </c>
      <c r="AE47" s="4">
        <f>IF($B$44=0,0,IF(AE$2&gt;=$A47,IF(AE$2=$A47,($B47/$B$44)*$B$41,IF(AE$2&lt;=$A47+$B$44-1,$B47/$B$44,$B47-SUM($C47:AD47))),0))</f>
        <v>1806840.4639799877</v>
      </c>
      <c r="AF47" s="4">
        <f>IF($B$44=0,0,IF(AF$2&gt;=$A47,IF(AF$2=$A47,($B47/$B$44)*$B$41,IF(AF$2&lt;=$A47+$B$44-1,$B47/$B$44,$B47-SUM($C47:AE47))),0))</f>
        <v>1806840.4639799877</v>
      </c>
      <c r="AG47" s="4">
        <f t="shared" si="24"/>
        <v>48784692.527459696</v>
      </c>
    </row>
    <row r="48" spans="1:33">
      <c r="A48" s="6">
        <f t="shared" si="25"/>
        <v>2025</v>
      </c>
      <c r="B48" s="4">
        <f t="shared" si="23"/>
        <v>0</v>
      </c>
      <c r="C48" s="4">
        <f>IF($B$44=0,0,IF(C$2&gt;=$A48,IF(C$2=$A48,($B48/$B$44)*$B$41,IF(C$2&lt;=$A48+$B$44-1,$B48/$B$44,$B48-SUM(B48:$C48))),0))</f>
        <v>0</v>
      </c>
      <c r="D48" s="4">
        <f>IF($B$44=0,0,IF(D$2&gt;=$A48,IF(D$2=$A48,($B48/$B$44)*$B$41,IF(D$2&lt;=$A48+$B$44-1,$B48/$B$44,$B48-SUM(C48:$C48))),0))</f>
        <v>0</v>
      </c>
      <c r="E48" s="4">
        <f>IF($B$44=0,0,IF(E$2&gt;=$A48,IF(E$2=$A48,($B48/$B$44)*$B$41,IF(E$2&lt;=$A48+$B$44-1,$B48/$B$44,$B48-SUM($C48:D48))),0))</f>
        <v>0</v>
      </c>
      <c r="F48" s="4">
        <f>IF($B$44=0,0,IF(F$2&gt;=$A48,IF(F$2=$A48,($B48/$B$44)*$B$41,IF(F$2&lt;=$A48+$B$44-1,$B48/$B$44,$B48-SUM($C48:E48))),0))</f>
        <v>0</v>
      </c>
      <c r="G48" s="4">
        <f>IF($B$44=0,0,IF(G$2&gt;=$A48,IF(G$2=$A48,($B48/$B$44)*$B$41,IF(G$2&lt;=$A48+$B$44-1,$B48/$B$44,$B48-SUM($C48:F48))),0))</f>
        <v>0</v>
      </c>
      <c r="H48" s="4">
        <f>IF($B$44=0,0,IF(H$2&gt;=$A48,IF(H$2=$A48,($B48/$B$44)*$B$41,IF(H$2&lt;=$A48+$B$44-1,$B48/$B$44,$B48-SUM($C48:G48))),0))</f>
        <v>0</v>
      </c>
      <c r="I48" s="4">
        <f>IF($B$44=0,0,IF(I$2&gt;=$A48,IF(I$2=$A48,($B48/$B$44)*$B$41,IF(I$2&lt;=$A48+$B$44-1,$B48/$B$44,$B48-SUM($C48:H48))),0))</f>
        <v>0</v>
      </c>
      <c r="J48" s="4">
        <f>IF($B$44=0,0,IF(J$2&gt;=$A48,IF(J$2=$A48,($B48/$B$44)*$B$41,IF(J$2&lt;=$A48+$B$44-1,$B48/$B$44,$B48-SUM($C48:I48))),0))</f>
        <v>0</v>
      </c>
      <c r="K48" s="4">
        <f>IF($B$44=0,0,IF(K$2&gt;=$A48,IF(K$2=$A48,($B48/$B$44)*$B$41,IF(K$2&lt;=$A48+$B$44-1,$B48/$B$44,$B48-SUM($C48:J48))),0))</f>
        <v>0</v>
      </c>
      <c r="L48" s="4">
        <f>IF($B$44=0,0,IF(L$2&gt;=$A48,IF(L$2=$A48,($B48/$B$44)*$B$41,IF(L$2&lt;=$A48+$B$44-1,$B48/$B$44,$B48-SUM($C48:K48))),0))</f>
        <v>0</v>
      </c>
      <c r="M48" s="4">
        <f>IF($B$44=0,0,IF(M$2&gt;=$A48,IF(M$2=$A48,($B48/$B$44)*$B$41,IF(M$2&lt;=$A48+$B$44-1,$B48/$B$44,$B48-SUM($C48:L48))),0))</f>
        <v>0</v>
      </c>
      <c r="N48" s="4">
        <f>IF($B$44=0,0,IF(N$2&gt;=$A48,IF(N$2=$A48,($B48/$B$44)*$B$41,IF(N$2&lt;=$A48+$B$44-1,$B48/$B$44,$B48-SUM($C48:M48))),0))</f>
        <v>0</v>
      </c>
      <c r="O48" s="4">
        <f>IF($B$44=0,0,IF(O$2&gt;=$A48,IF(O$2=$A48,($B48/$B$44)*$B$41,IF(O$2&lt;=$A48+$B$44-1,$B48/$B$44,$B48-SUM($C48:N48))),0))</f>
        <v>0</v>
      </c>
      <c r="P48" s="4">
        <f>IF($B$44=0,0,IF(P$2&gt;=$A48,IF(P$2=$A48,($B48/$B$44)*$B$41,IF(P$2&lt;=$A48+$B$44-1,$B48/$B$44,$B48-SUM($C48:O48))),0))</f>
        <v>0</v>
      </c>
      <c r="Q48" s="4">
        <f>IF($B$44=0,0,IF(Q$2&gt;=$A48,IF(Q$2=$A48,($B48/$B$44)*$B$41,IF(Q$2&lt;=$A48+$B$44-1,$B48/$B$44,$B48-SUM($C48:P48))),0))</f>
        <v>0</v>
      </c>
      <c r="R48" s="4">
        <f>IF($B$44=0,0,IF(R$2&gt;=$A48,IF(R$2=$A48,($B48/$B$44)*$B$41,IF(R$2&lt;=$A48+$B$44-1,$B48/$B$44,$B48-SUM($C48:Q48))),0))</f>
        <v>0</v>
      </c>
      <c r="S48" s="4">
        <f>IF($B$44=0,0,IF(S$2&gt;=$A48,IF(S$2=$A48,($B48/$B$44)*$B$41,IF(S$2&lt;=$A48+$B$44-1,$B48/$B$44,$B48-SUM($C48:R48))),0))</f>
        <v>0</v>
      </c>
      <c r="T48" s="4">
        <f>IF($B$44=0,0,IF(T$2&gt;=$A48,IF(T$2=$A48,($B48/$B$44)*$B$41,IF(T$2&lt;=$A48+$B$44-1,$B48/$B$44,$B48-SUM($C48:S48))),0))</f>
        <v>0</v>
      </c>
      <c r="U48" s="4">
        <f>IF($B$44=0,0,IF(U$2&gt;=$A48,IF(U$2=$A48,($B48/$B$44)*$B$41,IF(U$2&lt;=$A48+$B$44-1,$B48/$B$44,$B48-SUM($C48:T48))),0))</f>
        <v>0</v>
      </c>
      <c r="V48" s="4">
        <f>IF($B$44=0,0,IF(V$2&gt;=$A48,IF(V$2=$A48,($B48/$B$44)*$B$41,IF(V$2&lt;=$A48+$B$44-1,$B48/$B$44,$B48-SUM($C48:U48))),0))</f>
        <v>0</v>
      </c>
      <c r="W48" s="4">
        <f>IF($B$44=0,0,IF(W$2&gt;=$A48,IF(W$2=$A48,($B48/$B$44)*$B$41,IF(W$2&lt;=$A48+$B$44-1,$B48/$B$44,$B48-SUM($C48:V48))),0))</f>
        <v>0</v>
      </c>
      <c r="X48" s="4">
        <f>IF($B$44=0,0,IF(X$2&gt;=$A48,IF(X$2=$A48,($B48/$B$44)*$B$41,IF(X$2&lt;=$A48+$B$44-1,$B48/$B$44,$B48-SUM($C48:W48))),0))</f>
        <v>0</v>
      </c>
      <c r="Y48" s="4">
        <f>IF($B$44=0,0,IF(Y$2&gt;=$A48,IF(Y$2=$A48,($B48/$B$44)*$B$41,IF(Y$2&lt;=$A48+$B$44-1,$B48/$B$44,$B48-SUM($C48:X48))),0))</f>
        <v>0</v>
      </c>
      <c r="Z48" s="4">
        <f>IF($B$44=0,0,IF(Z$2&gt;=$A48,IF(Z$2=$A48,($B48/$B$44)*$B$41,IF(Z$2&lt;=$A48+$B$44-1,$B48/$B$44,$B48-SUM($C48:Y48))),0))</f>
        <v>0</v>
      </c>
      <c r="AA48" s="4">
        <f>IF($B$44=0,0,IF(AA$2&gt;=$A48,IF(AA$2=$A48,($B48/$B$44)*$B$41,IF(AA$2&lt;=$A48+$B$44-1,$B48/$B$44,$B48-SUM($C48:Z48))),0))</f>
        <v>0</v>
      </c>
      <c r="AB48" s="4">
        <f>IF($B$44=0,0,IF(AB$2&gt;=$A48,IF(AB$2=$A48,($B48/$B$44)*$B$41,IF(AB$2&lt;=$A48+$B$44-1,$B48/$B$44,$B48-SUM($C48:AA48))),0))</f>
        <v>0</v>
      </c>
      <c r="AC48" s="4">
        <f>IF($B$44=0,0,IF(AC$2&gt;=$A48,IF(AC$2=$A48,($B48/$B$44)*$B$41,IF(AC$2&lt;=$A48+$B$44-1,$B48/$B$44,$B48-SUM($C48:AB48))),0))</f>
        <v>0</v>
      </c>
      <c r="AD48" s="4">
        <f>IF($B$44=0,0,IF(AD$2&gt;=$A48,IF(AD$2=$A48,($B48/$B$44)*$B$41,IF(AD$2&lt;=$A48+$B$44-1,$B48/$B$44,$B48-SUM($C48:AC48))),0))</f>
        <v>0</v>
      </c>
      <c r="AE48" s="4">
        <f>IF($B$44=0,0,IF(AE$2&gt;=$A48,IF(AE$2=$A48,($B48/$B$44)*$B$41,IF(AE$2&lt;=$A48+$B$44-1,$B48/$B$44,$B48-SUM($C48:AD48))),0))</f>
        <v>0</v>
      </c>
      <c r="AF48" s="4">
        <f>IF($B$44=0,0,IF(AF$2&gt;=$A48,IF(AF$2=$A48,($B48/$B$44)*$B$41,IF(AF$2&lt;=$A48+$B$44-1,$B48/$B$44,$B48-SUM($C48:AE48))),0))</f>
        <v>0</v>
      </c>
      <c r="AG48" s="4">
        <f t="shared" si="24"/>
        <v>0</v>
      </c>
    </row>
    <row r="49" spans="1:33">
      <c r="A49" s="6">
        <f t="shared" si="25"/>
        <v>2026</v>
      </c>
      <c r="B49" s="4">
        <f t="shared" si="23"/>
        <v>0</v>
      </c>
      <c r="C49" s="4">
        <f>IF($B$44=0,0,IF(C$2&gt;=$A49,IF(C$2=$A49,($B49/$B$44)*$B$41,IF(C$2&lt;=$A49+$B$44-1,$B49/$B$44,$B49-SUM(B49:$C49))),0))</f>
        <v>0</v>
      </c>
      <c r="D49" s="4">
        <f>IF($B$44=0,0,IF(D$2&gt;=$A49,IF(D$2=$A49,($B49/$B$44)*$B$41,IF(D$2&lt;=$A49+$B$44-1,$B49/$B$44,$B49-SUM(C49:$C49))),0))</f>
        <v>0</v>
      </c>
      <c r="E49" s="4">
        <f>IF($B$44=0,0,IF(E$2&gt;=$A49,IF(E$2=$A49,($B49/$B$44)*$B$41,IF(E$2&lt;=$A49+$B$44-1,$B49/$B$44,$B49-SUM($C49:D49))),0))</f>
        <v>0</v>
      </c>
      <c r="F49" s="4">
        <f>IF($B$44=0,0,IF(F$2&gt;=$A49,IF(F$2=$A49,($B49/$B$44)*$B$41,IF(F$2&lt;=$A49+$B$44-1,$B49/$B$44,$B49-SUM($C49:E49))),0))</f>
        <v>0</v>
      </c>
      <c r="G49" s="4">
        <f>IF($B$44=0,0,IF(G$2&gt;=$A49,IF(G$2=$A49,($B49/$B$44)*$B$41,IF(G$2&lt;=$A49+$B$44-1,$B49/$B$44,$B49-SUM($C49:F49))),0))</f>
        <v>0</v>
      </c>
      <c r="H49" s="4">
        <f>IF($B$44=0,0,IF(H$2&gt;=$A49,IF(H$2=$A49,($B49/$B$44)*$B$41,IF(H$2&lt;=$A49+$B$44-1,$B49/$B$44,$B49-SUM($C49:G49))),0))</f>
        <v>0</v>
      </c>
      <c r="I49" s="4">
        <f>IF($B$44=0,0,IF(I$2&gt;=$A49,IF(I$2=$A49,($B49/$B$44)*$B$41,IF(I$2&lt;=$A49+$B$44-1,$B49/$B$44,$B49-SUM($C49:H49))),0))</f>
        <v>0</v>
      </c>
      <c r="J49" s="4">
        <f>IF($B$44=0,0,IF(J$2&gt;=$A49,IF(J$2=$A49,($B49/$B$44)*$B$41,IF(J$2&lt;=$A49+$B$44-1,$B49/$B$44,$B49-SUM($C49:I49))),0))</f>
        <v>0</v>
      </c>
      <c r="K49" s="4">
        <f>IF($B$44=0,0,IF(K$2&gt;=$A49,IF(K$2=$A49,($B49/$B$44)*$B$41,IF(K$2&lt;=$A49+$B$44-1,$B49/$B$44,$B49-SUM($C49:J49))),0))</f>
        <v>0</v>
      </c>
      <c r="L49" s="4">
        <f>IF($B$44=0,0,IF(L$2&gt;=$A49,IF(L$2=$A49,($B49/$B$44)*$B$41,IF(L$2&lt;=$A49+$B$44-1,$B49/$B$44,$B49-SUM($C49:K49))),0))</f>
        <v>0</v>
      </c>
      <c r="M49" s="4">
        <f>IF($B$44=0,0,IF(M$2&gt;=$A49,IF(M$2=$A49,($B49/$B$44)*$B$41,IF(M$2&lt;=$A49+$B$44-1,$B49/$B$44,$B49-SUM($C49:L49))),0))</f>
        <v>0</v>
      </c>
      <c r="N49" s="4">
        <f>IF($B$44=0,0,IF(N$2&gt;=$A49,IF(N$2=$A49,($B49/$B$44)*$B$41,IF(N$2&lt;=$A49+$B$44-1,$B49/$B$44,$B49-SUM($C49:M49))),0))</f>
        <v>0</v>
      </c>
      <c r="O49" s="4">
        <f>IF($B$44=0,0,IF(O$2&gt;=$A49,IF(O$2=$A49,($B49/$B$44)*$B$41,IF(O$2&lt;=$A49+$B$44-1,$B49/$B$44,$B49-SUM($C49:N49))),0))</f>
        <v>0</v>
      </c>
      <c r="P49" s="4">
        <f>IF($B$44=0,0,IF(P$2&gt;=$A49,IF(P$2=$A49,($B49/$B$44)*$B$41,IF(P$2&lt;=$A49+$B$44-1,$B49/$B$44,$B49-SUM($C49:O49))),0))</f>
        <v>0</v>
      </c>
      <c r="Q49" s="4">
        <f>IF($B$44=0,0,IF(Q$2&gt;=$A49,IF(Q$2=$A49,($B49/$B$44)*$B$41,IF(Q$2&lt;=$A49+$B$44-1,$B49/$B$44,$B49-SUM($C49:P49))),0))</f>
        <v>0</v>
      </c>
      <c r="R49" s="4">
        <f>IF($B$44=0,0,IF(R$2&gt;=$A49,IF(R$2=$A49,($B49/$B$44)*$B$41,IF(R$2&lt;=$A49+$B$44-1,$B49/$B$44,$B49-SUM($C49:Q49))),0))</f>
        <v>0</v>
      </c>
      <c r="S49" s="4">
        <f>IF($B$44=0,0,IF(S$2&gt;=$A49,IF(S$2=$A49,($B49/$B$44)*$B$41,IF(S$2&lt;=$A49+$B$44-1,$B49/$B$44,$B49-SUM($C49:R49))),0))</f>
        <v>0</v>
      </c>
      <c r="T49" s="4">
        <f>IF($B$44=0,0,IF(T$2&gt;=$A49,IF(T$2=$A49,($B49/$B$44)*$B$41,IF(T$2&lt;=$A49+$B$44-1,$B49/$B$44,$B49-SUM($C49:S49))),0))</f>
        <v>0</v>
      </c>
      <c r="U49" s="4">
        <f>IF($B$44=0,0,IF(U$2&gt;=$A49,IF(U$2=$A49,($B49/$B$44)*$B$41,IF(U$2&lt;=$A49+$B$44-1,$B49/$B$44,$B49-SUM($C49:T49))),0))</f>
        <v>0</v>
      </c>
      <c r="V49" s="4">
        <f>IF($B$44=0,0,IF(V$2&gt;=$A49,IF(V$2=$A49,($B49/$B$44)*$B$41,IF(V$2&lt;=$A49+$B$44-1,$B49/$B$44,$B49-SUM($C49:U49))),0))</f>
        <v>0</v>
      </c>
      <c r="W49" s="4">
        <f>IF($B$44=0,0,IF(W$2&gt;=$A49,IF(W$2=$A49,($B49/$B$44)*$B$41,IF(W$2&lt;=$A49+$B$44-1,$B49/$B$44,$B49-SUM($C49:V49))),0))</f>
        <v>0</v>
      </c>
      <c r="X49" s="4">
        <f>IF($B$44=0,0,IF(X$2&gt;=$A49,IF(X$2=$A49,($B49/$B$44)*$B$41,IF(X$2&lt;=$A49+$B$44-1,$B49/$B$44,$B49-SUM($C49:W49))),0))</f>
        <v>0</v>
      </c>
      <c r="Y49" s="4">
        <f>IF($B$44=0,0,IF(Y$2&gt;=$A49,IF(Y$2=$A49,($B49/$B$44)*$B$41,IF(Y$2&lt;=$A49+$B$44-1,$B49/$B$44,$B49-SUM($C49:X49))),0))</f>
        <v>0</v>
      </c>
      <c r="Z49" s="4">
        <f>IF($B$44=0,0,IF(Z$2&gt;=$A49,IF(Z$2=$A49,($B49/$B$44)*$B$41,IF(Z$2&lt;=$A49+$B$44-1,$B49/$B$44,$B49-SUM($C49:Y49))),0))</f>
        <v>0</v>
      </c>
      <c r="AA49" s="4">
        <f>IF($B$44=0,0,IF(AA$2&gt;=$A49,IF(AA$2=$A49,($B49/$B$44)*$B$41,IF(AA$2&lt;=$A49+$B$44-1,$B49/$B$44,$B49-SUM($C49:Z49))),0))</f>
        <v>0</v>
      </c>
      <c r="AB49" s="4">
        <f>IF($B$44=0,0,IF(AB$2&gt;=$A49,IF(AB$2=$A49,($B49/$B$44)*$B$41,IF(AB$2&lt;=$A49+$B$44-1,$B49/$B$44,$B49-SUM($C49:AA49))),0))</f>
        <v>0</v>
      </c>
      <c r="AC49" s="4">
        <f>IF($B$44=0,0,IF(AC$2&gt;=$A49,IF(AC$2=$A49,($B49/$B$44)*$B$41,IF(AC$2&lt;=$A49+$B$44-1,$B49/$B$44,$B49-SUM($C49:AB49))),0))</f>
        <v>0</v>
      </c>
      <c r="AD49" s="4">
        <f>IF($B$44=0,0,IF(AD$2&gt;=$A49,IF(AD$2=$A49,($B49/$B$44)*$B$41,IF(AD$2&lt;=$A49+$B$44-1,$B49/$B$44,$B49-SUM($C49:AC49))),0))</f>
        <v>0</v>
      </c>
      <c r="AE49" s="4">
        <f>IF($B$44=0,0,IF(AE$2&gt;=$A49,IF(AE$2=$A49,($B49/$B$44)*$B$41,IF(AE$2&lt;=$A49+$B$44-1,$B49/$B$44,$B49-SUM($C49:AD49))),0))</f>
        <v>0</v>
      </c>
      <c r="AF49" s="4">
        <f>IF($B$44=0,0,IF(AF$2&gt;=$A49,IF(AF$2=$A49,($B49/$B$44)*$B$41,IF(AF$2&lt;=$A49+$B$44-1,$B49/$B$44,$B49-SUM($C49:AE49))),0))</f>
        <v>0</v>
      </c>
      <c r="AG49" s="4">
        <f t="shared" si="24"/>
        <v>0</v>
      </c>
    </row>
    <row r="50" spans="1:33">
      <c r="A50" s="6">
        <f t="shared" si="25"/>
        <v>2027</v>
      </c>
      <c r="B50" s="4">
        <f t="shared" si="23"/>
        <v>0</v>
      </c>
      <c r="C50" s="4">
        <f>IF($B$44=0,0,IF(C$2&gt;=$A50,IF(C$2=$A50,($B50/$B$44)*$B$41,IF(C$2&lt;=$A50+$B$44-1,$B50/$B$44,$B50-SUM(B50:$C50))),0))</f>
        <v>0</v>
      </c>
      <c r="D50" s="4">
        <f>IF($B$44=0,0,IF(D$2&gt;=$A50,IF(D$2=$A50,($B50/$B$44)*$B$41,IF(D$2&lt;=$A50+$B$44-1,$B50/$B$44,$B50-SUM(C50:$C50))),0))</f>
        <v>0</v>
      </c>
      <c r="E50" s="4">
        <f>IF($B$44=0,0,IF(E$2&gt;=$A50,IF(E$2=$A50,($B50/$B$44)*$B$41,IF(E$2&lt;=$A50+$B$44-1,$B50/$B$44,$B50-SUM($C50:D50))),0))</f>
        <v>0</v>
      </c>
      <c r="F50" s="4">
        <f>IF($B$44=0,0,IF(F$2&gt;=$A50,IF(F$2=$A50,($B50/$B$44)*$B$41,IF(F$2&lt;=$A50+$B$44-1,$B50/$B$44,$B50-SUM($C50:E50))),0))</f>
        <v>0</v>
      </c>
      <c r="G50" s="4">
        <f>IF($B$44=0,0,IF(G$2&gt;=$A50,IF(G$2=$A50,($B50/$B$44)*$B$41,IF(G$2&lt;=$A50+$B$44-1,$B50/$B$44,$B50-SUM($C50:F50))),0))</f>
        <v>0</v>
      </c>
      <c r="H50" s="4">
        <f>IF($B$44=0,0,IF(H$2&gt;=$A50,IF(H$2=$A50,($B50/$B$44)*$B$41,IF(H$2&lt;=$A50+$B$44-1,$B50/$B$44,$B50-SUM($C50:G50))),0))</f>
        <v>0</v>
      </c>
      <c r="I50" s="4">
        <f>IF($B$44=0,0,IF(I$2&gt;=$A50,IF(I$2=$A50,($B50/$B$44)*$B$41,IF(I$2&lt;=$A50+$B$44-1,$B50/$B$44,$B50-SUM($C50:H50))),0))</f>
        <v>0</v>
      </c>
      <c r="J50" s="4">
        <f>IF($B$44=0,0,IF(J$2&gt;=$A50,IF(J$2=$A50,($B50/$B$44)*$B$41,IF(J$2&lt;=$A50+$B$44-1,$B50/$B$44,$B50-SUM($C50:I50))),0))</f>
        <v>0</v>
      </c>
      <c r="K50" s="4">
        <f>IF($B$44=0,0,IF(K$2&gt;=$A50,IF(K$2=$A50,($B50/$B$44)*$B$41,IF(K$2&lt;=$A50+$B$44-1,$B50/$B$44,$B50-SUM($C50:J50))),0))</f>
        <v>0</v>
      </c>
      <c r="L50" s="4">
        <f>IF($B$44=0,0,IF(L$2&gt;=$A50,IF(L$2=$A50,($B50/$B$44)*$B$41,IF(L$2&lt;=$A50+$B$44-1,$B50/$B$44,$B50-SUM($C50:K50))),0))</f>
        <v>0</v>
      </c>
      <c r="M50" s="4">
        <f>IF($B$44=0,0,IF(M$2&gt;=$A50,IF(M$2=$A50,($B50/$B$44)*$B$41,IF(M$2&lt;=$A50+$B$44-1,$B50/$B$44,$B50-SUM($C50:L50))),0))</f>
        <v>0</v>
      </c>
      <c r="N50" s="4">
        <f>IF($B$44=0,0,IF(N$2&gt;=$A50,IF(N$2=$A50,($B50/$B$44)*$B$41,IF(N$2&lt;=$A50+$B$44-1,$B50/$B$44,$B50-SUM($C50:M50))),0))</f>
        <v>0</v>
      </c>
      <c r="O50" s="4">
        <f>IF($B$44=0,0,IF(O$2&gt;=$A50,IF(O$2=$A50,($B50/$B$44)*$B$41,IF(O$2&lt;=$A50+$B$44-1,$B50/$B$44,$B50-SUM($C50:N50))),0))</f>
        <v>0</v>
      </c>
      <c r="P50" s="4">
        <f>IF($B$44=0,0,IF(P$2&gt;=$A50,IF(P$2=$A50,($B50/$B$44)*$B$41,IF(P$2&lt;=$A50+$B$44-1,$B50/$B$44,$B50-SUM($C50:O50))),0))</f>
        <v>0</v>
      </c>
      <c r="Q50" s="4">
        <f>IF($B$44=0,0,IF(Q$2&gt;=$A50,IF(Q$2=$A50,($B50/$B$44)*$B$41,IF(Q$2&lt;=$A50+$B$44-1,$B50/$B$44,$B50-SUM($C50:P50))),0))</f>
        <v>0</v>
      </c>
      <c r="R50" s="4">
        <f>IF($B$44=0,0,IF(R$2&gt;=$A50,IF(R$2=$A50,($B50/$B$44)*$B$41,IF(R$2&lt;=$A50+$B$44-1,$B50/$B$44,$B50-SUM($C50:Q50))),0))</f>
        <v>0</v>
      </c>
      <c r="S50" s="4">
        <f>IF($B$44=0,0,IF(S$2&gt;=$A50,IF(S$2=$A50,($B50/$B$44)*$B$41,IF(S$2&lt;=$A50+$B$44-1,$B50/$B$44,$B50-SUM($C50:R50))),0))</f>
        <v>0</v>
      </c>
      <c r="T50" s="4">
        <f>IF($B$44=0,0,IF(T$2&gt;=$A50,IF(T$2=$A50,($B50/$B$44)*$B$41,IF(T$2&lt;=$A50+$B$44-1,$B50/$B$44,$B50-SUM($C50:S50))),0))</f>
        <v>0</v>
      </c>
      <c r="U50" s="4">
        <f>IF($B$44=0,0,IF(U$2&gt;=$A50,IF(U$2=$A50,($B50/$B$44)*$B$41,IF(U$2&lt;=$A50+$B$44-1,$B50/$B$44,$B50-SUM($C50:T50))),0))</f>
        <v>0</v>
      </c>
      <c r="V50" s="4">
        <f>IF($B$44=0,0,IF(V$2&gt;=$A50,IF(V$2=$A50,($B50/$B$44)*$B$41,IF(V$2&lt;=$A50+$B$44-1,$B50/$B$44,$B50-SUM($C50:U50))),0))</f>
        <v>0</v>
      </c>
      <c r="W50" s="4">
        <f>IF($B$44=0,0,IF(W$2&gt;=$A50,IF(W$2=$A50,($B50/$B$44)*$B$41,IF(W$2&lt;=$A50+$B$44-1,$B50/$B$44,$B50-SUM($C50:V50))),0))</f>
        <v>0</v>
      </c>
      <c r="X50" s="4">
        <f>IF($B$44=0,0,IF(X$2&gt;=$A50,IF(X$2=$A50,($B50/$B$44)*$B$41,IF(X$2&lt;=$A50+$B$44-1,$B50/$B$44,$B50-SUM($C50:W50))),0))</f>
        <v>0</v>
      </c>
      <c r="Y50" s="4">
        <f>IF($B$44=0,0,IF(Y$2&gt;=$A50,IF(Y$2=$A50,($B50/$B$44)*$B$41,IF(Y$2&lt;=$A50+$B$44-1,$B50/$B$44,$B50-SUM($C50:X50))),0))</f>
        <v>0</v>
      </c>
      <c r="Z50" s="4">
        <f>IF($B$44=0,0,IF(Z$2&gt;=$A50,IF(Z$2=$A50,($B50/$B$44)*$B$41,IF(Z$2&lt;=$A50+$B$44-1,$B50/$B$44,$B50-SUM($C50:Y50))),0))</f>
        <v>0</v>
      </c>
      <c r="AA50" s="4">
        <f>IF($B$44=0,0,IF(AA$2&gt;=$A50,IF(AA$2=$A50,($B50/$B$44)*$B$41,IF(AA$2&lt;=$A50+$B$44-1,$B50/$B$44,$B50-SUM($C50:Z50))),0))</f>
        <v>0</v>
      </c>
      <c r="AB50" s="4">
        <f>IF($B$44=0,0,IF(AB$2&gt;=$A50,IF(AB$2=$A50,($B50/$B$44)*$B$41,IF(AB$2&lt;=$A50+$B$44-1,$B50/$B$44,$B50-SUM($C50:AA50))),0))</f>
        <v>0</v>
      </c>
      <c r="AC50" s="4">
        <f>IF($B$44=0,0,IF(AC$2&gt;=$A50,IF(AC$2=$A50,($B50/$B$44)*$B$41,IF(AC$2&lt;=$A50+$B$44-1,$B50/$B$44,$B50-SUM($C50:AB50))),0))</f>
        <v>0</v>
      </c>
      <c r="AD50" s="4">
        <f>IF($B$44=0,0,IF(AD$2&gt;=$A50,IF(AD$2=$A50,($B50/$B$44)*$B$41,IF(AD$2&lt;=$A50+$B$44-1,$B50/$B$44,$B50-SUM($C50:AC50))),0))</f>
        <v>0</v>
      </c>
      <c r="AE50" s="4">
        <f>IF($B$44=0,0,IF(AE$2&gt;=$A50,IF(AE$2=$A50,($B50/$B$44)*$B$41,IF(AE$2&lt;=$A50+$B$44-1,$B50/$B$44,$B50-SUM($C50:AD50))),0))</f>
        <v>0</v>
      </c>
      <c r="AF50" s="4">
        <f>IF($B$44=0,0,IF(AF$2&gt;=$A50,IF(AF$2=$A50,($B50/$B$44)*$B$41,IF(AF$2&lt;=$A50+$B$44-1,$B50/$B$44,$B50-SUM($C50:AE50))),0))</f>
        <v>0</v>
      </c>
      <c r="AG50" s="4">
        <f t="shared" si="24"/>
        <v>0</v>
      </c>
    </row>
    <row r="51" spans="1:33">
      <c r="A51" s="6">
        <f t="shared" si="25"/>
        <v>2028</v>
      </c>
      <c r="B51" s="4">
        <f t="shared" si="23"/>
        <v>0</v>
      </c>
      <c r="C51" s="4">
        <f>IF($B$44=0,0,IF(C$2&gt;=$A51,IF(C$2=$A51,($B51/$B$44)*$B$41,IF(C$2&lt;=$A51+$B$44-1,$B51/$B$44,$B51-SUM(B51:$C51))),0))</f>
        <v>0</v>
      </c>
      <c r="D51" s="4">
        <f>IF($B$44=0,0,IF(D$2&gt;=$A51,IF(D$2=$A51,($B51/$B$44)*$B$41,IF(D$2&lt;=$A51+$B$44-1,$B51/$B$44,$B51-SUM(C51:$C51))),0))</f>
        <v>0</v>
      </c>
      <c r="E51" s="4">
        <f>IF($B$44=0,0,IF(E$2&gt;=$A51,IF(E$2=$A51,($B51/$B$44)*$B$41,IF(E$2&lt;=$A51+$B$44-1,$B51/$B$44,$B51-SUM($C51:D51))),0))</f>
        <v>0</v>
      </c>
      <c r="F51" s="4">
        <f>IF($B$44=0,0,IF(F$2&gt;=$A51,IF(F$2=$A51,($B51/$B$44)*$B$41,IF(F$2&lt;=$A51+$B$44-1,$B51/$B$44,$B51-SUM($C51:E51))),0))</f>
        <v>0</v>
      </c>
      <c r="G51" s="4">
        <f>IF($B$44=0,0,IF(G$2&gt;=$A51,IF(G$2=$A51,($B51/$B$44)*$B$41,IF(G$2&lt;=$A51+$B$44-1,$B51/$B$44,$B51-SUM($C51:F51))),0))</f>
        <v>0</v>
      </c>
      <c r="H51" s="4">
        <f>IF($B$44=0,0,IF(H$2&gt;=$A51,IF(H$2=$A51,($B51/$B$44)*$B$41,IF(H$2&lt;=$A51+$B$44-1,$B51/$B$44,$B51-SUM($C51:G51))),0))</f>
        <v>0</v>
      </c>
      <c r="I51" s="4">
        <f>IF($B$44=0,0,IF(I$2&gt;=$A51,IF(I$2=$A51,($B51/$B$44)*$B$41,IF(I$2&lt;=$A51+$B$44-1,$B51/$B$44,$B51-SUM($C51:H51))),0))</f>
        <v>0</v>
      </c>
      <c r="J51" s="4">
        <f>IF($B$44=0,0,IF(J$2&gt;=$A51,IF(J$2=$A51,($B51/$B$44)*$B$41,IF(J$2&lt;=$A51+$B$44-1,$B51/$B$44,$B51-SUM($C51:I51))),0))</f>
        <v>0</v>
      </c>
      <c r="K51" s="4">
        <f>IF($B$44=0,0,IF(K$2&gt;=$A51,IF(K$2=$A51,($B51/$B$44)*$B$41,IF(K$2&lt;=$A51+$B$44-1,$B51/$B$44,$B51-SUM($C51:J51))),0))</f>
        <v>0</v>
      </c>
      <c r="L51" s="4">
        <f>IF($B$44=0,0,IF(L$2&gt;=$A51,IF(L$2=$A51,($B51/$B$44)*$B$41,IF(L$2&lt;=$A51+$B$44-1,$B51/$B$44,$B51-SUM($C51:K51))),0))</f>
        <v>0</v>
      </c>
      <c r="M51" s="4">
        <f>IF($B$44=0,0,IF(M$2&gt;=$A51,IF(M$2=$A51,($B51/$B$44)*$B$41,IF(M$2&lt;=$A51+$B$44-1,$B51/$B$44,$B51-SUM($C51:L51))),0))</f>
        <v>0</v>
      </c>
      <c r="N51" s="4">
        <f>IF($B$44=0,0,IF(N$2&gt;=$A51,IF(N$2=$A51,($B51/$B$44)*$B$41,IF(N$2&lt;=$A51+$B$44-1,$B51/$B$44,$B51-SUM($C51:M51))),0))</f>
        <v>0</v>
      </c>
      <c r="O51" s="4">
        <f>IF($B$44=0,0,IF(O$2&gt;=$A51,IF(O$2=$A51,($B51/$B$44)*$B$41,IF(O$2&lt;=$A51+$B$44-1,$B51/$B$44,$B51-SUM($C51:N51))),0))</f>
        <v>0</v>
      </c>
      <c r="P51" s="4">
        <f>IF($B$44=0,0,IF(P$2&gt;=$A51,IF(P$2=$A51,($B51/$B$44)*$B$41,IF(P$2&lt;=$A51+$B$44-1,$B51/$B$44,$B51-SUM($C51:O51))),0))</f>
        <v>0</v>
      </c>
      <c r="Q51" s="4">
        <f>IF($B$44=0,0,IF(Q$2&gt;=$A51,IF(Q$2=$A51,($B51/$B$44)*$B$41,IF(Q$2&lt;=$A51+$B$44-1,$B51/$B$44,$B51-SUM($C51:P51))),0))</f>
        <v>0</v>
      </c>
      <c r="R51" s="4">
        <f>IF($B$44=0,0,IF(R$2&gt;=$A51,IF(R$2=$A51,($B51/$B$44)*$B$41,IF(R$2&lt;=$A51+$B$44-1,$B51/$B$44,$B51-SUM($C51:Q51))),0))</f>
        <v>0</v>
      </c>
      <c r="S51" s="4">
        <f>IF($B$44=0,0,IF(S$2&gt;=$A51,IF(S$2=$A51,($B51/$B$44)*$B$41,IF(S$2&lt;=$A51+$B$44-1,$B51/$B$44,$B51-SUM($C51:R51))),0))</f>
        <v>0</v>
      </c>
      <c r="T51" s="4">
        <f>IF($B$44=0,0,IF(T$2&gt;=$A51,IF(T$2=$A51,($B51/$B$44)*$B$41,IF(T$2&lt;=$A51+$B$44-1,$B51/$B$44,$B51-SUM($C51:S51))),0))</f>
        <v>0</v>
      </c>
      <c r="U51" s="4">
        <f>IF($B$44=0,0,IF(U$2&gt;=$A51,IF(U$2=$A51,($B51/$B$44)*$B$41,IF(U$2&lt;=$A51+$B$44-1,$B51/$B$44,$B51-SUM($C51:T51))),0))</f>
        <v>0</v>
      </c>
      <c r="V51" s="4">
        <f>IF($B$44=0,0,IF(V$2&gt;=$A51,IF(V$2=$A51,($B51/$B$44)*$B$41,IF(V$2&lt;=$A51+$B$44-1,$B51/$B$44,$B51-SUM($C51:U51))),0))</f>
        <v>0</v>
      </c>
      <c r="W51" s="4">
        <f>IF($B$44=0,0,IF(W$2&gt;=$A51,IF(W$2=$A51,($B51/$B$44)*$B$41,IF(W$2&lt;=$A51+$B$44-1,$B51/$B$44,$B51-SUM($C51:V51))),0))</f>
        <v>0</v>
      </c>
      <c r="X51" s="4">
        <f>IF($B$44=0,0,IF(X$2&gt;=$A51,IF(X$2=$A51,($B51/$B$44)*$B$41,IF(X$2&lt;=$A51+$B$44-1,$B51/$B$44,$B51-SUM($C51:W51))),0))</f>
        <v>0</v>
      </c>
      <c r="Y51" s="4">
        <f>IF($B$44=0,0,IF(Y$2&gt;=$A51,IF(Y$2=$A51,($B51/$B$44)*$B$41,IF(Y$2&lt;=$A51+$B$44-1,$B51/$B$44,$B51-SUM($C51:X51))),0))</f>
        <v>0</v>
      </c>
      <c r="Z51" s="4">
        <f>IF($B$44=0,0,IF(Z$2&gt;=$A51,IF(Z$2=$A51,($B51/$B$44)*$B$41,IF(Z$2&lt;=$A51+$B$44-1,$B51/$B$44,$B51-SUM($C51:Y51))),0))</f>
        <v>0</v>
      </c>
      <c r="AA51" s="4">
        <f>IF($B$44=0,0,IF(AA$2&gt;=$A51,IF(AA$2=$A51,($B51/$B$44)*$B$41,IF(AA$2&lt;=$A51+$B$44-1,$B51/$B$44,$B51-SUM($C51:Z51))),0))</f>
        <v>0</v>
      </c>
      <c r="AB51" s="4">
        <f>IF($B$44=0,0,IF(AB$2&gt;=$A51,IF(AB$2=$A51,($B51/$B$44)*$B$41,IF(AB$2&lt;=$A51+$B$44-1,$B51/$B$44,$B51-SUM($C51:AA51))),0))</f>
        <v>0</v>
      </c>
      <c r="AC51" s="4">
        <f>IF($B$44=0,0,IF(AC$2&gt;=$A51,IF(AC$2=$A51,($B51/$B$44)*$B$41,IF(AC$2&lt;=$A51+$B$44-1,$B51/$B$44,$B51-SUM($C51:AB51))),0))</f>
        <v>0</v>
      </c>
      <c r="AD51" s="4">
        <f>IF($B$44=0,0,IF(AD$2&gt;=$A51,IF(AD$2=$A51,($B51/$B$44)*$B$41,IF(AD$2&lt;=$A51+$B$44-1,$B51/$B$44,$B51-SUM($C51:AC51))),0))</f>
        <v>0</v>
      </c>
      <c r="AE51" s="4">
        <f>IF($B$44=0,0,IF(AE$2&gt;=$A51,IF(AE$2=$A51,($B51/$B$44)*$B$41,IF(AE$2&lt;=$A51+$B$44-1,$B51/$B$44,$B51-SUM($C51:AD51))),0))</f>
        <v>0</v>
      </c>
      <c r="AF51" s="4">
        <f>IF($B$44=0,0,IF(AF$2&gt;=$A51,IF(AF$2=$A51,($B51/$B$44)*$B$41,IF(AF$2&lt;=$A51+$B$44-1,$B51/$B$44,$B51-SUM($C51:AE51))),0))</f>
        <v>0</v>
      </c>
      <c r="AG51" s="4">
        <f t="shared" si="24"/>
        <v>0</v>
      </c>
    </row>
    <row r="52" spans="1:33">
      <c r="A52" s="6">
        <f t="shared" si="25"/>
        <v>2029</v>
      </c>
      <c r="B52" s="4">
        <f t="shared" si="23"/>
        <v>0</v>
      </c>
      <c r="C52" s="4">
        <f>IF($B$44=0,0,IF(C$2&gt;=$A52,IF(C$2=$A52,($B52/$B$44)*$B$41,IF(C$2&lt;=$A52+$B$44-1,$B52/$B$44,$B52-SUM(B52:$C52))),0))</f>
        <v>0</v>
      </c>
      <c r="D52" s="4">
        <f>IF($B$44=0,0,IF(D$2&gt;=$A52,IF(D$2=$A52,($B52/$B$44)*$B$41,IF(D$2&lt;=$A52+$B$44-1,$B52/$B$44,$B52-SUM(C52:$C52))),0))</f>
        <v>0</v>
      </c>
      <c r="E52" s="4">
        <f>IF($B$44=0,0,IF(E$2&gt;=$A52,IF(E$2=$A52,($B52/$B$44)*$B$41,IF(E$2&lt;=$A52+$B$44-1,$B52/$B$44,$B52-SUM($C52:D52))),0))</f>
        <v>0</v>
      </c>
      <c r="F52" s="4">
        <f>IF($B$44=0,0,IF(F$2&gt;=$A52,IF(F$2=$A52,($B52/$B$44)*$B$41,IF(F$2&lt;=$A52+$B$44-1,$B52/$B$44,$B52-SUM($C52:E52))),0))</f>
        <v>0</v>
      </c>
      <c r="G52" s="4">
        <f>IF($B$44=0,0,IF(G$2&gt;=$A52,IF(G$2=$A52,($B52/$B$44)*$B$41,IF(G$2&lt;=$A52+$B$44-1,$B52/$B$44,$B52-SUM($C52:F52))),0))</f>
        <v>0</v>
      </c>
      <c r="H52" s="4">
        <f>IF($B$44=0,0,IF(H$2&gt;=$A52,IF(H$2=$A52,($B52/$B$44)*$B$41,IF(H$2&lt;=$A52+$B$44-1,$B52/$B$44,$B52-SUM($C52:G52))),0))</f>
        <v>0</v>
      </c>
      <c r="I52" s="4">
        <f>IF($B$44=0,0,IF(I$2&gt;=$A52,IF(I$2=$A52,($B52/$B$44)*$B$41,IF(I$2&lt;=$A52+$B$44-1,$B52/$B$44,$B52-SUM($C52:H52))),0))</f>
        <v>0</v>
      </c>
      <c r="J52" s="4">
        <f>IF($B$44=0,0,IF(J$2&gt;=$A52,IF(J$2=$A52,($B52/$B$44)*$B$41,IF(J$2&lt;=$A52+$B$44-1,$B52/$B$44,$B52-SUM($C52:I52))),0))</f>
        <v>0</v>
      </c>
      <c r="K52" s="4">
        <f>IF($B$44=0,0,IF(K$2&gt;=$A52,IF(K$2=$A52,($B52/$B$44)*$B$41,IF(K$2&lt;=$A52+$B$44-1,$B52/$B$44,$B52-SUM($C52:J52))),0))</f>
        <v>0</v>
      </c>
      <c r="L52" s="4">
        <f>IF($B$44=0,0,IF(L$2&gt;=$A52,IF(L$2=$A52,($B52/$B$44)*$B$41,IF(L$2&lt;=$A52+$B$44-1,$B52/$B$44,$B52-SUM($C52:K52))),0))</f>
        <v>0</v>
      </c>
      <c r="M52" s="4">
        <f>IF($B$44=0,0,IF(M$2&gt;=$A52,IF(M$2=$A52,($B52/$B$44)*$B$41,IF(M$2&lt;=$A52+$B$44-1,$B52/$B$44,$B52-SUM($C52:L52))),0))</f>
        <v>0</v>
      </c>
      <c r="N52" s="4">
        <f>IF($B$44=0,0,IF(N$2&gt;=$A52,IF(N$2=$A52,($B52/$B$44)*$B$41,IF(N$2&lt;=$A52+$B$44-1,$B52/$B$44,$B52-SUM($C52:M52))),0))</f>
        <v>0</v>
      </c>
      <c r="O52" s="4">
        <f>IF($B$44=0,0,IF(O$2&gt;=$A52,IF(O$2=$A52,($B52/$B$44)*$B$41,IF(O$2&lt;=$A52+$B$44-1,$B52/$B$44,$B52-SUM($C52:N52))),0))</f>
        <v>0</v>
      </c>
      <c r="P52" s="4">
        <f>IF($B$44=0,0,IF(P$2&gt;=$A52,IF(P$2=$A52,($B52/$B$44)*$B$41,IF(P$2&lt;=$A52+$B$44-1,$B52/$B$44,$B52-SUM($C52:O52))),0))</f>
        <v>0</v>
      </c>
      <c r="Q52" s="4">
        <f>IF($B$44=0,0,IF(Q$2&gt;=$A52,IF(Q$2=$A52,($B52/$B$44)*$B$41,IF(Q$2&lt;=$A52+$B$44-1,$B52/$B$44,$B52-SUM($C52:P52))),0))</f>
        <v>0</v>
      </c>
      <c r="R52" s="4">
        <f>IF($B$44=0,0,IF(R$2&gt;=$A52,IF(R$2=$A52,($B52/$B$44)*$B$41,IF(R$2&lt;=$A52+$B$44-1,$B52/$B$44,$B52-SUM($C52:Q52))),0))</f>
        <v>0</v>
      </c>
      <c r="S52" s="4">
        <f>IF($B$44=0,0,IF(S$2&gt;=$A52,IF(S$2=$A52,($B52/$B$44)*$B$41,IF(S$2&lt;=$A52+$B$44-1,$B52/$B$44,$B52-SUM($C52:R52))),0))</f>
        <v>0</v>
      </c>
      <c r="T52" s="4">
        <f>IF($B$44=0,0,IF(T$2&gt;=$A52,IF(T$2=$A52,($B52/$B$44)*$B$41,IF(T$2&lt;=$A52+$B$44-1,$B52/$B$44,$B52-SUM($C52:S52))),0))</f>
        <v>0</v>
      </c>
      <c r="U52" s="4">
        <f>IF($B$44=0,0,IF(U$2&gt;=$A52,IF(U$2=$A52,($B52/$B$44)*$B$41,IF(U$2&lt;=$A52+$B$44-1,$B52/$B$44,$B52-SUM($C52:T52))),0))</f>
        <v>0</v>
      </c>
      <c r="V52" s="4">
        <f>IF($B$44=0,0,IF(V$2&gt;=$A52,IF(V$2=$A52,($B52/$B$44)*$B$41,IF(V$2&lt;=$A52+$B$44-1,$B52/$B$44,$B52-SUM($C52:U52))),0))</f>
        <v>0</v>
      </c>
      <c r="W52" s="4">
        <f>IF($B$44=0,0,IF(W$2&gt;=$A52,IF(W$2=$A52,($B52/$B$44)*$B$41,IF(W$2&lt;=$A52+$B$44-1,$B52/$B$44,$B52-SUM($C52:V52))),0))</f>
        <v>0</v>
      </c>
      <c r="X52" s="4">
        <f>IF($B$44=0,0,IF(X$2&gt;=$A52,IF(X$2=$A52,($B52/$B$44)*$B$41,IF(X$2&lt;=$A52+$B$44-1,$B52/$B$44,$B52-SUM($C52:W52))),0))</f>
        <v>0</v>
      </c>
      <c r="Y52" s="4">
        <f>IF($B$44=0,0,IF(Y$2&gt;=$A52,IF(Y$2=$A52,($B52/$B$44)*$B$41,IF(Y$2&lt;=$A52+$B$44-1,$B52/$B$44,$B52-SUM($C52:X52))),0))</f>
        <v>0</v>
      </c>
      <c r="Z52" s="4">
        <f>IF($B$44=0,0,IF(Z$2&gt;=$A52,IF(Z$2=$A52,($B52/$B$44)*$B$41,IF(Z$2&lt;=$A52+$B$44-1,$B52/$B$44,$B52-SUM($C52:Y52))),0))</f>
        <v>0</v>
      </c>
      <c r="AA52" s="4">
        <f>IF($B$44=0,0,IF(AA$2&gt;=$A52,IF(AA$2=$A52,($B52/$B$44)*$B$41,IF(AA$2&lt;=$A52+$B$44-1,$B52/$B$44,$B52-SUM($C52:Z52))),0))</f>
        <v>0</v>
      </c>
      <c r="AB52" s="4">
        <f>IF($B$44=0,0,IF(AB$2&gt;=$A52,IF(AB$2=$A52,($B52/$B$44)*$B$41,IF(AB$2&lt;=$A52+$B$44-1,$B52/$B$44,$B52-SUM($C52:AA52))),0))</f>
        <v>0</v>
      </c>
      <c r="AC52" s="4">
        <f>IF($B$44=0,0,IF(AC$2&gt;=$A52,IF(AC$2=$A52,($B52/$B$44)*$B$41,IF(AC$2&lt;=$A52+$B$44-1,$B52/$B$44,$B52-SUM($C52:AB52))),0))</f>
        <v>0</v>
      </c>
      <c r="AD52" s="4">
        <f>IF($B$44=0,0,IF(AD$2&gt;=$A52,IF(AD$2=$A52,($B52/$B$44)*$B$41,IF(AD$2&lt;=$A52+$B$44-1,$B52/$B$44,$B52-SUM($C52:AC52))),0))</f>
        <v>0</v>
      </c>
      <c r="AE52" s="4">
        <f>IF($B$44=0,0,IF(AE$2&gt;=$A52,IF(AE$2=$A52,($B52/$B$44)*$B$41,IF(AE$2&lt;=$A52+$B$44-1,$B52/$B$44,$B52-SUM($C52:AD52))),0))</f>
        <v>0</v>
      </c>
      <c r="AF52" s="4">
        <f>IF($B$44=0,0,IF(AF$2&gt;=$A52,IF(AF$2=$A52,($B52/$B$44)*$B$41,IF(AF$2&lt;=$A52+$B$44-1,$B52/$B$44,$B52-SUM($C52:AE52))),0))</f>
        <v>0</v>
      </c>
      <c r="AG52" s="4">
        <f t="shared" si="24"/>
        <v>0</v>
      </c>
    </row>
    <row r="53" spans="1:33">
      <c r="A53" s="6">
        <f t="shared" si="25"/>
        <v>2030</v>
      </c>
      <c r="B53" s="4">
        <f t="shared" si="23"/>
        <v>0</v>
      </c>
      <c r="C53" s="4">
        <f>IF($B$44=0,0,IF(C$2&gt;=$A53,IF(C$2=$A53,($B53/$B$44)*$B$41,IF(C$2&lt;=$A53+$B$44-1,$B53/$B$44,$B53-SUM(B53:$C53))),0))</f>
        <v>0</v>
      </c>
      <c r="D53" s="4">
        <f>IF($B$44=0,0,IF(D$2&gt;=$A53,IF(D$2=$A53,($B53/$B$44)*$B$41,IF(D$2&lt;=$A53+$B$44-1,$B53/$B$44,$B53-SUM(C53:$C53))),0))</f>
        <v>0</v>
      </c>
      <c r="E53" s="4">
        <f>IF($B$44=0,0,IF(E$2&gt;=$A53,IF(E$2=$A53,($B53/$B$44)*$B$41,IF(E$2&lt;=$A53+$B$44-1,$B53/$B$44,$B53-SUM($C53:D53))),0))</f>
        <v>0</v>
      </c>
      <c r="F53" s="4">
        <f>IF($B$44=0,0,IF(F$2&gt;=$A53,IF(F$2=$A53,($B53/$B$44)*$B$41,IF(F$2&lt;=$A53+$B$44-1,$B53/$B$44,$B53-SUM($C53:E53))),0))</f>
        <v>0</v>
      </c>
      <c r="G53" s="4">
        <f>IF($B$44=0,0,IF(G$2&gt;=$A53,IF(G$2=$A53,($B53/$B$44)*$B$41,IF(G$2&lt;=$A53+$B$44-1,$B53/$B$44,$B53-SUM($C53:F53))),0))</f>
        <v>0</v>
      </c>
      <c r="H53" s="4">
        <f>IF($B$44=0,0,IF(H$2&gt;=$A53,IF(H$2=$A53,($B53/$B$44)*$B$41,IF(H$2&lt;=$A53+$B$44-1,$B53/$B$44,$B53-SUM($C53:G53))),0))</f>
        <v>0</v>
      </c>
      <c r="I53" s="4">
        <f>IF($B$44=0,0,IF(I$2&gt;=$A53,IF(I$2=$A53,($B53/$B$44)*$B$41,IF(I$2&lt;=$A53+$B$44-1,$B53/$B$44,$B53-SUM($C53:H53))),0))</f>
        <v>0</v>
      </c>
      <c r="J53" s="4">
        <f>IF($B$44=0,0,IF(J$2&gt;=$A53,IF(J$2=$A53,($B53/$B$44)*$B$41,IF(J$2&lt;=$A53+$B$44-1,$B53/$B$44,$B53-SUM($C53:I53))),0))</f>
        <v>0</v>
      </c>
      <c r="K53" s="4">
        <f>IF($B$44=0,0,IF(K$2&gt;=$A53,IF(K$2=$A53,($B53/$B$44)*$B$41,IF(K$2&lt;=$A53+$B$44-1,$B53/$B$44,$B53-SUM($C53:J53))),0))</f>
        <v>0</v>
      </c>
      <c r="L53" s="4">
        <f>IF($B$44=0,0,IF(L$2&gt;=$A53,IF(L$2=$A53,($B53/$B$44)*$B$41,IF(L$2&lt;=$A53+$B$44-1,$B53/$B$44,$B53-SUM($C53:K53))),0))</f>
        <v>0</v>
      </c>
      <c r="M53" s="4">
        <f>IF($B$44=0,0,IF(M$2&gt;=$A53,IF(M$2=$A53,($B53/$B$44)*$B$41,IF(M$2&lt;=$A53+$B$44-1,$B53/$B$44,$B53-SUM($C53:L53))),0))</f>
        <v>0</v>
      </c>
      <c r="N53" s="4">
        <f>IF($B$44=0,0,IF(N$2&gt;=$A53,IF(N$2=$A53,($B53/$B$44)*$B$41,IF(N$2&lt;=$A53+$B$44-1,$B53/$B$44,$B53-SUM($C53:M53))),0))</f>
        <v>0</v>
      </c>
      <c r="O53" s="4">
        <f>IF($B$44=0,0,IF(O$2&gt;=$A53,IF(O$2=$A53,($B53/$B$44)*$B$41,IF(O$2&lt;=$A53+$B$44-1,$B53/$B$44,$B53-SUM($C53:N53))),0))</f>
        <v>0</v>
      </c>
      <c r="P53" s="4">
        <f>IF($B$44=0,0,IF(P$2&gt;=$A53,IF(P$2=$A53,($B53/$B$44)*$B$41,IF(P$2&lt;=$A53+$B$44-1,$B53/$B$44,$B53-SUM($C53:O53))),0))</f>
        <v>0</v>
      </c>
      <c r="Q53" s="4">
        <f>IF($B$44=0,0,IF(Q$2&gt;=$A53,IF(Q$2=$A53,($B53/$B$44)*$B$41,IF(Q$2&lt;=$A53+$B$44-1,$B53/$B$44,$B53-SUM($C53:P53))),0))</f>
        <v>0</v>
      </c>
      <c r="R53" s="4">
        <f>IF($B$44=0,0,IF(R$2&gt;=$A53,IF(R$2=$A53,($B53/$B$44)*$B$41,IF(R$2&lt;=$A53+$B$44-1,$B53/$B$44,$B53-SUM($C53:Q53))),0))</f>
        <v>0</v>
      </c>
      <c r="S53" s="4">
        <f>IF($B$44=0,0,IF(S$2&gt;=$A53,IF(S$2=$A53,($B53/$B$44)*$B$41,IF(S$2&lt;=$A53+$B$44-1,$B53/$B$44,$B53-SUM($C53:R53))),0))</f>
        <v>0</v>
      </c>
      <c r="T53" s="4">
        <f>IF($B$44=0,0,IF(T$2&gt;=$A53,IF(T$2=$A53,($B53/$B$44)*$B$41,IF(T$2&lt;=$A53+$B$44-1,$B53/$B$44,$B53-SUM($C53:S53))),0))</f>
        <v>0</v>
      </c>
      <c r="U53" s="4">
        <f>IF($B$44=0,0,IF(U$2&gt;=$A53,IF(U$2=$A53,($B53/$B$44)*$B$41,IF(U$2&lt;=$A53+$B$44-1,$B53/$B$44,$B53-SUM($C53:T53))),0))</f>
        <v>0</v>
      </c>
      <c r="V53" s="4">
        <f>IF($B$44=0,0,IF(V$2&gt;=$A53,IF(V$2=$A53,($B53/$B$44)*$B$41,IF(V$2&lt;=$A53+$B$44-1,$B53/$B$44,$B53-SUM($C53:U53))),0))</f>
        <v>0</v>
      </c>
      <c r="W53" s="4">
        <f>IF($B$44=0,0,IF(W$2&gt;=$A53,IF(W$2=$A53,($B53/$B$44)*$B$41,IF(W$2&lt;=$A53+$B$44-1,$B53/$B$44,$B53-SUM($C53:V53))),0))</f>
        <v>0</v>
      </c>
      <c r="X53" s="4">
        <f>IF($B$44=0,0,IF(X$2&gt;=$A53,IF(X$2=$A53,($B53/$B$44)*$B$41,IF(X$2&lt;=$A53+$B$44-1,$B53/$B$44,$B53-SUM($C53:W53))),0))</f>
        <v>0</v>
      </c>
      <c r="Y53" s="4">
        <f>IF($B$44=0,0,IF(Y$2&gt;=$A53,IF(Y$2=$A53,($B53/$B$44)*$B$41,IF(Y$2&lt;=$A53+$B$44-1,$B53/$B$44,$B53-SUM($C53:X53))),0))</f>
        <v>0</v>
      </c>
      <c r="Z53" s="4">
        <f>IF($B$44=0,0,IF(Z$2&gt;=$A53,IF(Z$2=$A53,($B53/$B$44)*$B$41,IF(Z$2&lt;=$A53+$B$44-1,$B53/$B$44,$B53-SUM($C53:Y53))),0))</f>
        <v>0</v>
      </c>
      <c r="AA53" s="4">
        <f>IF($B$44=0,0,IF(AA$2&gt;=$A53,IF(AA$2=$A53,($B53/$B$44)*$B$41,IF(AA$2&lt;=$A53+$B$44-1,$B53/$B$44,$B53-SUM($C53:Z53))),0))</f>
        <v>0</v>
      </c>
      <c r="AB53" s="4">
        <f>IF($B$44=0,0,IF(AB$2&gt;=$A53,IF(AB$2=$A53,($B53/$B$44)*$B$41,IF(AB$2&lt;=$A53+$B$44-1,$B53/$B$44,$B53-SUM($C53:AA53))),0))</f>
        <v>0</v>
      </c>
      <c r="AC53" s="4">
        <f>IF($B$44=0,0,IF(AC$2&gt;=$A53,IF(AC$2=$A53,($B53/$B$44)*$B$41,IF(AC$2&lt;=$A53+$B$44-1,$B53/$B$44,$B53-SUM($C53:AB53))),0))</f>
        <v>0</v>
      </c>
      <c r="AD53" s="4">
        <f>IF($B$44=0,0,IF(AD$2&gt;=$A53,IF(AD$2=$A53,($B53/$B$44)*$B$41,IF(AD$2&lt;=$A53+$B$44-1,$B53/$B$44,$B53-SUM($C53:AC53))),0))</f>
        <v>0</v>
      </c>
      <c r="AE53" s="4">
        <f>IF($B$44=0,0,IF(AE$2&gt;=$A53,IF(AE$2=$A53,($B53/$B$44)*$B$41,IF(AE$2&lt;=$A53+$B$44-1,$B53/$B$44,$B53-SUM($C53:AD53))),0))</f>
        <v>0</v>
      </c>
      <c r="AF53" s="4">
        <f>IF($B$44=0,0,IF(AF$2&gt;=$A53,IF(AF$2=$A53,($B53/$B$44)*$B$41,IF(AF$2&lt;=$A53+$B$44-1,$B53/$B$44,$B53-SUM($C53:AE53))),0))</f>
        <v>0</v>
      </c>
      <c r="AG53" s="4">
        <f t="shared" si="24"/>
        <v>0</v>
      </c>
    </row>
    <row r="54" spans="1:33">
      <c r="A54" s="6">
        <f t="shared" si="25"/>
        <v>2031</v>
      </c>
      <c r="B54" s="4">
        <f t="shared" si="23"/>
        <v>0</v>
      </c>
      <c r="C54" s="4">
        <f>IF($B$44=0,0,IF(C$2&gt;=$A54,IF(C$2=$A54,($B54/$B$44)*$B$41,IF(C$2&lt;=$A54+$B$44-1,$B54/$B$44,$B54-SUM(B54:$C54))),0))</f>
        <v>0</v>
      </c>
      <c r="D54" s="4">
        <f>IF($B$44=0,0,IF(D$2&gt;=$A54,IF(D$2=$A54,($B54/$B$44)*$B$41,IF(D$2&lt;=$A54+$B$44-1,$B54/$B$44,$B54-SUM(C54:$C54))),0))</f>
        <v>0</v>
      </c>
      <c r="E54" s="4">
        <f>IF($B$44=0,0,IF(E$2&gt;=$A54,IF(E$2=$A54,($B54/$B$44)*$B$41,IF(E$2&lt;=$A54+$B$44-1,$B54/$B$44,$B54-SUM($C54:D54))),0))</f>
        <v>0</v>
      </c>
      <c r="F54" s="4">
        <f>IF($B$44=0,0,IF(F$2&gt;=$A54,IF(F$2=$A54,($B54/$B$44)*$B$41,IF(F$2&lt;=$A54+$B$44-1,$B54/$B$44,$B54-SUM($C54:E54))),0))</f>
        <v>0</v>
      </c>
      <c r="G54" s="4">
        <f>IF($B$44=0,0,IF(G$2&gt;=$A54,IF(G$2=$A54,($B54/$B$44)*$B$41,IF(G$2&lt;=$A54+$B$44-1,$B54/$B$44,$B54-SUM($C54:F54))),0))</f>
        <v>0</v>
      </c>
      <c r="H54" s="4">
        <f>IF($B$44=0,0,IF(H$2&gt;=$A54,IF(H$2=$A54,($B54/$B$44)*$B$41,IF(H$2&lt;=$A54+$B$44-1,$B54/$B$44,$B54-SUM($C54:G54))),0))</f>
        <v>0</v>
      </c>
      <c r="I54" s="4">
        <f>IF($B$44=0,0,IF(I$2&gt;=$A54,IF(I$2=$A54,($B54/$B$44)*$B$41,IF(I$2&lt;=$A54+$B$44-1,$B54/$B$44,$B54-SUM($C54:H54))),0))</f>
        <v>0</v>
      </c>
      <c r="J54" s="4">
        <f>IF($B$44=0,0,IF(J$2&gt;=$A54,IF(J$2=$A54,($B54/$B$44)*$B$41,IF(J$2&lt;=$A54+$B$44-1,$B54/$B$44,$B54-SUM($C54:I54))),0))</f>
        <v>0</v>
      </c>
      <c r="K54" s="4">
        <f>IF($B$44=0,0,IF(K$2&gt;=$A54,IF(K$2=$A54,($B54/$B$44)*$B$41,IF(K$2&lt;=$A54+$B$44-1,$B54/$B$44,$B54-SUM($C54:J54))),0))</f>
        <v>0</v>
      </c>
      <c r="L54" s="4">
        <f>IF($B$44=0,0,IF(L$2&gt;=$A54,IF(L$2=$A54,($B54/$B$44)*$B$41,IF(L$2&lt;=$A54+$B$44-1,$B54/$B$44,$B54-SUM($C54:K54))),0))</f>
        <v>0</v>
      </c>
      <c r="M54" s="4">
        <f>IF($B$44=0,0,IF(M$2&gt;=$A54,IF(M$2=$A54,($B54/$B$44)*$B$41,IF(M$2&lt;=$A54+$B$44-1,$B54/$B$44,$B54-SUM($C54:L54))),0))</f>
        <v>0</v>
      </c>
      <c r="N54" s="4">
        <f>IF($B$44=0,0,IF(N$2&gt;=$A54,IF(N$2=$A54,($B54/$B$44)*$B$41,IF(N$2&lt;=$A54+$B$44-1,$B54/$B$44,$B54-SUM($C54:M54))),0))</f>
        <v>0</v>
      </c>
      <c r="O54" s="4">
        <f>IF($B$44=0,0,IF(O$2&gt;=$A54,IF(O$2=$A54,($B54/$B$44)*$B$41,IF(O$2&lt;=$A54+$B$44-1,$B54/$B$44,$B54-SUM($C54:N54))),0))</f>
        <v>0</v>
      </c>
      <c r="P54" s="4">
        <f>IF($B$44=0,0,IF(P$2&gt;=$A54,IF(P$2=$A54,($B54/$B$44)*$B$41,IF(P$2&lt;=$A54+$B$44-1,$B54/$B$44,$B54-SUM($C54:O54))),0))</f>
        <v>0</v>
      </c>
      <c r="Q54" s="4">
        <f>IF($B$44=0,0,IF(Q$2&gt;=$A54,IF(Q$2=$A54,($B54/$B$44)*$B$41,IF(Q$2&lt;=$A54+$B$44-1,$B54/$B$44,$B54-SUM($C54:P54))),0))</f>
        <v>0</v>
      </c>
      <c r="R54" s="4">
        <f>IF($B$44=0,0,IF(R$2&gt;=$A54,IF(R$2=$A54,($B54/$B$44)*$B$41,IF(R$2&lt;=$A54+$B$44-1,$B54/$B$44,$B54-SUM($C54:Q54))),0))</f>
        <v>0</v>
      </c>
      <c r="S54" s="4">
        <f>IF($B$44=0,0,IF(S$2&gt;=$A54,IF(S$2=$A54,($B54/$B$44)*$B$41,IF(S$2&lt;=$A54+$B$44-1,$B54/$B$44,$B54-SUM($C54:R54))),0))</f>
        <v>0</v>
      </c>
      <c r="T54" s="4">
        <f>IF($B$44=0,0,IF(T$2&gt;=$A54,IF(T$2=$A54,($B54/$B$44)*$B$41,IF(T$2&lt;=$A54+$B$44-1,$B54/$B$44,$B54-SUM($C54:S54))),0))</f>
        <v>0</v>
      </c>
      <c r="U54" s="4">
        <f>IF($B$44=0,0,IF(U$2&gt;=$A54,IF(U$2=$A54,($B54/$B$44)*$B$41,IF(U$2&lt;=$A54+$B$44-1,$B54/$B$44,$B54-SUM($C54:T54))),0))</f>
        <v>0</v>
      </c>
      <c r="V54" s="4">
        <f>IF($B$44=0,0,IF(V$2&gt;=$A54,IF(V$2=$A54,($B54/$B$44)*$B$41,IF(V$2&lt;=$A54+$B$44-1,$B54/$B$44,$B54-SUM($C54:U54))),0))</f>
        <v>0</v>
      </c>
      <c r="W54" s="4">
        <f>IF($B$44=0,0,IF(W$2&gt;=$A54,IF(W$2=$A54,($B54/$B$44)*$B$41,IF(W$2&lt;=$A54+$B$44-1,$B54/$B$44,$B54-SUM($C54:V54))),0))</f>
        <v>0</v>
      </c>
      <c r="X54" s="4">
        <f>IF($B$44=0,0,IF(X$2&gt;=$A54,IF(X$2=$A54,($B54/$B$44)*$B$41,IF(X$2&lt;=$A54+$B$44-1,$B54/$B$44,$B54-SUM($C54:W54))),0))</f>
        <v>0</v>
      </c>
      <c r="Y54" s="4">
        <f>IF($B$44=0,0,IF(Y$2&gt;=$A54,IF(Y$2=$A54,($B54/$B$44)*$B$41,IF(Y$2&lt;=$A54+$B$44-1,$B54/$B$44,$B54-SUM($C54:X54))),0))</f>
        <v>0</v>
      </c>
      <c r="Z54" s="4">
        <f>IF($B$44=0,0,IF(Z$2&gt;=$A54,IF(Z$2=$A54,($B54/$B$44)*$B$41,IF(Z$2&lt;=$A54+$B$44-1,$B54/$B$44,$B54-SUM($C54:Y54))),0))</f>
        <v>0</v>
      </c>
      <c r="AA54" s="4">
        <f>IF($B$44=0,0,IF(AA$2&gt;=$A54,IF(AA$2=$A54,($B54/$B$44)*$B$41,IF(AA$2&lt;=$A54+$B$44-1,$B54/$B$44,$B54-SUM($C54:Z54))),0))</f>
        <v>0</v>
      </c>
      <c r="AB54" s="4">
        <f>IF($B$44=0,0,IF(AB$2&gt;=$A54,IF(AB$2=$A54,($B54/$B$44)*$B$41,IF(AB$2&lt;=$A54+$B$44-1,$B54/$B$44,$B54-SUM($C54:AA54))),0))</f>
        <v>0</v>
      </c>
      <c r="AC54" s="4">
        <f>IF($B$44=0,0,IF(AC$2&gt;=$A54,IF(AC$2=$A54,($B54/$B$44)*$B$41,IF(AC$2&lt;=$A54+$B$44-1,$B54/$B$44,$B54-SUM($C54:AB54))),0))</f>
        <v>0</v>
      </c>
      <c r="AD54" s="4">
        <f>IF($B$44=0,0,IF(AD$2&gt;=$A54,IF(AD$2=$A54,($B54/$B$44)*$B$41,IF(AD$2&lt;=$A54+$B$44-1,$B54/$B$44,$B54-SUM($C54:AC54))),0))</f>
        <v>0</v>
      </c>
      <c r="AE54" s="4">
        <f>IF($B$44=0,0,IF(AE$2&gt;=$A54,IF(AE$2=$A54,($B54/$B$44)*$B$41,IF(AE$2&lt;=$A54+$B$44-1,$B54/$B$44,$B54-SUM($C54:AD54))),0))</f>
        <v>0</v>
      </c>
      <c r="AF54" s="4">
        <f>IF($B$44=0,0,IF(AF$2&gt;=$A54,IF(AF$2=$A54,($B54/$B$44)*$B$41,IF(AF$2&lt;=$A54+$B$44-1,$B54/$B$44,$B54-SUM($C54:AE54))),0))</f>
        <v>0</v>
      </c>
      <c r="AG54" s="4">
        <f t="shared" si="24"/>
        <v>0</v>
      </c>
    </row>
    <row r="55" spans="1:33">
      <c r="A55" s="6">
        <f t="shared" si="25"/>
        <v>2032</v>
      </c>
      <c r="B55" s="4">
        <f t="shared" si="23"/>
        <v>0</v>
      </c>
      <c r="C55" s="4">
        <f>IF($B$44=0,0,IF(C$2&gt;=$A55,IF(C$2=$A55,($B55/$B$44)*$B$41,IF(C$2&lt;=$A55+$B$44-1,$B55/$B$44,$B55-SUM(B55:$C55))),0))</f>
        <v>0</v>
      </c>
      <c r="D55" s="4">
        <f>IF($B$44=0,0,IF(D$2&gt;=$A55,IF(D$2=$A55,($B55/$B$44)*$B$41,IF(D$2&lt;=$A55+$B$44-1,$B55/$B$44,$B55-SUM(C55:$C55))),0))</f>
        <v>0</v>
      </c>
      <c r="E55" s="4">
        <f>IF($B$44=0,0,IF(E$2&gt;=$A55,IF(E$2=$A55,($B55/$B$44)*$B$41,IF(E$2&lt;=$A55+$B$44-1,$B55/$B$44,$B55-SUM($C55:D55))),0))</f>
        <v>0</v>
      </c>
      <c r="F55" s="4">
        <f>IF($B$44=0,0,IF(F$2&gt;=$A55,IF(F$2=$A55,($B55/$B$44)*$B$41,IF(F$2&lt;=$A55+$B$44-1,$B55/$B$44,$B55-SUM($C55:E55))),0))</f>
        <v>0</v>
      </c>
      <c r="G55" s="4">
        <f>IF($B$44=0,0,IF(G$2&gt;=$A55,IF(G$2=$A55,($B55/$B$44)*$B$41,IF(G$2&lt;=$A55+$B$44-1,$B55/$B$44,$B55-SUM($C55:F55))),0))</f>
        <v>0</v>
      </c>
      <c r="H55" s="4">
        <f>IF($B$44=0,0,IF(H$2&gt;=$A55,IF(H$2=$A55,($B55/$B$44)*$B$41,IF(H$2&lt;=$A55+$B$44-1,$B55/$B$44,$B55-SUM($C55:G55))),0))</f>
        <v>0</v>
      </c>
      <c r="I55" s="4">
        <f>IF($B$44=0,0,IF(I$2&gt;=$A55,IF(I$2=$A55,($B55/$B$44)*$B$41,IF(I$2&lt;=$A55+$B$44-1,$B55/$B$44,$B55-SUM($C55:H55))),0))</f>
        <v>0</v>
      </c>
      <c r="J55" s="4">
        <f>IF($B$44=0,0,IF(J$2&gt;=$A55,IF(J$2=$A55,($B55/$B$44)*$B$41,IF(J$2&lt;=$A55+$B$44-1,$B55/$B$44,$B55-SUM($C55:I55))),0))</f>
        <v>0</v>
      </c>
      <c r="K55" s="4">
        <f>IF($B$44=0,0,IF(K$2&gt;=$A55,IF(K$2=$A55,($B55/$B$44)*$B$41,IF(K$2&lt;=$A55+$B$44-1,$B55/$B$44,$B55-SUM($C55:J55))),0))</f>
        <v>0</v>
      </c>
      <c r="L55" s="4">
        <f>IF($B$44=0,0,IF(L$2&gt;=$A55,IF(L$2=$A55,($B55/$B$44)*$B$41,IF(L$2&lt;=$A55+$B$44-1,$B55/$B$44,$B55-SUM($C55:K55))),0))</f>
        <v>0</v>
      </c>
      <c r="M55" s="4">
        <f>IF($B$44=0,0,IF(M$2&gt;=$A55,IF(M$2=$A55,($B55/$B$44)*$B$41,IF(M$2&lt;=$A55+$B$44-1,$B55/$B$44,$B55-SUM($C55:L55))),0))</f>
        <v>0</v>
      </c>
      <c r="N55" s="4">
        <f>IF($B$44=0,0,IF(N$2&gt;=$A55,IF(N$2=$A55,($B55/$B$44)*$B$41,IF(N$2&lt;=$A55+$B$44-1,$B55/$B$44,$B55-SUM($C55:M55))),0))</f>
        <v>0</v>
      </c>
      <c r="O55" s="4">
        <f>IF($B$44=0,0,IF(O$2&gt;=$A55,IF(O$2=$A55,($B55/$B$44)*$B$41,IF(O$2&lt;=$A55+$B$44-1,$B55/$B$44,$B55-SUM($C55:N55))),0))</f>
        <v>0</v>
      </c>
      <c r="P55" s="4">
        <f>IF($B$44=0,0,IF(P$2&gt;=$A55,IF(P$2=$A55,($B55/$B$44)*$B$41,IF(P$2&lt;=$A55+$B$44-1,$B55/$B$44,$B55-SUM($C55:O55))),0))</f>
        <v>0</v>
      </c>
      <c r="Q55" s="4">
        <f>IF($B$44=0,0,IF(Q$2&gt;=$A55,IF(Q$2=$A55,($B55/$B$44)*$B$41,IF(Q$2&lt;=$A55+$B$44-1,$B55/$B$44,$B55-SUM($C55:P55))),0))</f>
        <v>0</v>
      </c>
      <c r="R55" s="4">
        <f>IF($B$44=0,0,IF(R$2&gt;=$A55,IF(R$2=$A55,($B55/$B$44)*$B$41,IF(R$2&lt;=$A55+$B$44-1,$B55/$B$44,$B55-SUM($C55:Q55))),0))</f>
        <v>0</v>
      </c>
      <c r="S55" s="4">
        <f>IF($B$44=0,0,IF(S$2&gt;=$A55,IF(S$2=$A55,($B55/$B$44)*$B$41,IF(S$2&lt;=$A55+$B$44-1,$B55/$B$44,$B55-SUM($C55:R55))),0))</f>
        <v>0</v>
      </c>
      <c r="T55" s="4">
        <f>IF($B$44=0,0,IF(T$2&gt;=$A55,IF(T$2=$A55,($B55/$B$44)*$B$41,IF(T$2&lt;=$A55+$B$44-1,$B55/$B$44,$B55-SUM($C55:S55))),0))</f>
        <v>0</v>
      </c>
      <c r="U55" s="4">
        <f>IF($B$44=0,0,IF(U$2&gt;=$A55,IF(U$2=$A55,($B55/$B$44)*$B$41,IF(U$2&lt;=$A55+$B$44-1,$B55/$B$44,$B55-SUM($C55:T55))),0))</f>
        <v>0</v>
      </c>
      <c r="V55" s="4">
        <f>IF($B$44=0,0,IF(V$2&gt;=$A55,IF(V$2=$A55,($B55/$B$44)*$B$41,IF(V$2&lt;=$A55+$B$44-1,$B55/$B$44,$B55-SUM($C55:U55))),0))</f>
        <v>0</v>
      </c>
      <c r="W55" s="4">
        <f>IF($B$44=0,0,IF(W$2&gt;=$A55,IF(W$2=$A55,($B55/$B$44)*$B$41,IF(W$2&lt;=$A55+$B$44-1,$B55/$B$44,$B55-SUM($C55:V55))),0))</f>
        <v>0</v>
      </c>
      <c r="X55" s="4">
        <f>IF($B$44=0,0,IF(X$2&gt;=$A55,IF(X$2=$A55,($B55/$B$44)*$B$41,IF(X$2&lt;=$A55+$B$44-1,$B55/$B$44,$B55-SUM($C55:W55))),0))</f>
        <v>0</v>
      </c>
      <c r="Y55" s="4">
        <f>IF($B$44=0,0,IF(Y$2&gt;=$A55,IF(Y$2=$A55,($B55/$B$44)*$B$41,IF(Y$2&lt;=$A55+$B$44-1,$B55/$B$44,$B55-SUM($C55:X55))),0))</f>
        <v>0</v>
      </c>
      <c r="Z55" s="4">
        <f>IF($B$44=0,0,IF(Z$2&gt;=$A55,IF(Z$2=$A55,($B55/$B$44)*$B$41,IF(Z$2&lt;=$A55+$B$44-1,$B55/$B$44,$B55-SUM($C55:Y55))),0))</f>
        <v>0</v>
      </c>
      <c r="AA55" s="4">
        <f>IF($B$44=0,0,IF(AA$2&gt;=$A55,IF(AA$2=$A55,($B55/$B$44)*$B$41,IF(AA$2&lt;=$A55+$B$44-1,$B55/$B$44,$B55-SUM($C55:Z55))),0))</f>
        <v>0</v>
      </c>
      <c r="AB55" s="4">
        <f>IF($B$44=0,0,IF(AB$2&gt;=$A55,IF(AB$2=$A55,($B55/$B$44)*$B$41,IF(AB$2&lt;=$A55+$B$44-1,$B55/$B$44,$B55-SUM($C55:AA55))),0))</f>
        <v>0</v>
      </c>
      <c r="AC55" s="4">
        <f>IF($B$44=0,0,IF(AC$2&gt;=$A55,IF(AC$2=$A55,($B55/$B$44)*$B$41,IF(AC$2&lt;=$A55+$B$44-1,$B55/$B$44,$B55-SUM($C55:AB55))),0))</f>
        <v>0</v>
      </c>
      <c r="AD55" s="4">
        <f>IF($B$44=0,0,IF(AD$2&gt;=$A55,IF(AD$2=$A55,($B55/$B$44)*$B$41,IF(AD$2&lt;=$A55+$B$44-1,$B55/$B$44,$B55-SUM($C55:AC55))),0))</f>
        <v>0</v>
      </c>
      <c r="AE55" s="4">
        <f>IF($B$44=0,0,IF(AE$2&gt;=$A55,IF(AE$2=$A55,($B55/$B$44)*$B$41,IF(AE$2&lt;=$A55+$B$44-1,$B55/$B$44,$B55-SUM($C55:AD55))),0))</f>
        <v>0</v>
      </c>
      <c r="AF55" s="4">
        <f>IF($B$44=0,0,IF(AF$2&gt;=$A55,IF(AF$2=$A55,($B55/$B$44)*$B$41,IF(AF$2&lt;=$A55+$B$44-1,$B55/$B$44,$B55-SUM($C55:AE55))),0))</f>
        <v>0</v>
      </c>
      <c r="AG55" s="4">
        <f t="shared" si="24"/>
        <v>0</v>
      </c>
    </row>
    <row r="56" spans="1:33">
      <c r="A56" s="6">
        <f t="shared" si="25"/>
        <v>2033</v>
      </c>
      <c r="B56" s="4">
        <f t="shared" si="23"/>
        <v>0</v>
      </c>
      <c r="C56" s="4">
        <f>IF($B$44=0,0,IF(C$2&gt;=$A56,IF(C$2=$A56,($B56/$B$44)*$B$41,IF(C$2&lt;=$A56+$B$44-1,$B56/$B$44,$B56-SUM(B56:$C56))),0))</f>
        <v>0</v>
      </c>
      <c r="D56" s="4">
        <f>IF($B$44=0,0,IF(D$2&gt;=$A56,IF(D$2=$A56,($B56/$B$44)*$B$41,IF(D$2&lt;=$A56+$B$44-1,$B56/$B$44,$B56-SUM(C56:$C56))),0))</f>
        <v>0</v>
      </c>
      <c r="E56" s="4">
        <f>IF($B$44=0,0,IF(E$2&gt;=$A56,IF(E$2=$A56,($B56/$B$44)*$B$41,IF(E$2&lt;=$A56+$B$44-1,$B56/$B$44,$B56-SUM($C56:D56))),0))</f>
        <v>0</v>
      </c>
      <c r="F56" s="4">
        <f>IF($B$44=0,0,IF(F$2&gt;=$A56,IF(F$2=$A56,($B56/$B$44)*$B$41,IF(F$2&lt;=$A56+$B$44-1,$B56/$B$44,$B56-SUM($C56:E56))),0))</f>
        <v>0</v>
      </c>
      <c r="G56" s="4">
        <f>IF($B$44=0,0,IF(G$2&gt;=$A56,IF(G$2=$A56,($B56/$B$44)*$B$41,IF(G$2&lt;=$A56+$B$44-1,$B56/$B$44,$B56-SUM($C56:F56))),0))</f>
        <v>0</v>
      </c>
      <c r="H56" s="4">
        <f>IF($B$44=0,0,IF(H$2&gt;=$A56,IF(H$2=$A56,($B56/$B$44)*$B$41,IF(H$2&lt;=$A56+$B$44-1,$B56/$B$44,$B56-SUM($C56:G56))),0))</f>
        <v>0</v>
      </c>
      <c r="I56" s="4">
        <f>IF($B$44=0,0,IF(I$2&gt;=$A56,IF(I$2=$A56,($B56/$B$44)*$B$41,IF(I$2&lt;=$A56+$B$44-1,$B56/$B$44,$B56-SUM($C56:H56))),0))</f>
        <v>0</v>
      </c>
      <c r="J56" s="4">
        <f>IF($B$44=0,0,IF(J$2&gt;=$A56,IF(J$2=$A56,($B56/$B$44)*$B$41,IF(J$2&lt;=$A56+$B$44-1,$B56/$B$44,$B56-SUM($C56:I56))),0))</f>
        <v>0</v>
      </c>
      <c r="K56" s="4">
        <f>IF($B$44=0,0,IF(K$2&gt;=$A56,IF(K$2=$A56,($B56/$B$44)*$B$41,IF(K$2&lt;=$A56+$B$44-1,$B56/$B$44,$B56-SUM($C56:J56))),0))</f>
        <v>0</v>
      </c>
      <c r="L56" s="4">
        <f>IF($B$44=0,0,IF(L$2&gt;=$A56,IF(L$2=$A56,($B56/$B$44)*$B$41,IF(L$2&lt;=$A56+$B$44-1,$B56/$B$44,$B56-SUM($C56:K56))),0))</f>
        <v>0</v>
      </c>
      <c r="M56" s="4">
        <f>IF($B$44=0,0,IF(M$2&gt;=$A56,IF(M$2=$A56,($B56/$B$44)*$B$41,IF(M$2&lt;=$A56+$B$44-1,$B56/$B$44,$B56-SUM($C56:L56))),0))</f>
        <v>0</v>
      </c>
      <c r="N56" s="4">
        <f>IF($B$44=0,0,IF(N$2&gt;=$A56,IF(N$2=$A56,($B56/$B$44)*$B$41,IF(N$2&lt;=$A56+$B$44-1,$B56/$B$44,$B56-SUM($C56:M56))),0))</f>
        <v>0</v>
      </c>
      <c r="O56" s="4">
        <f>IF($B$44=0,0,IF(O$2&gt;=$A56,IF(O$2=$A56,($B56/$B$44)*$B$41,IF(O$2&lt;=$A56+$B$44-1,$B56/$B$44,$B56-SUM($C56:N56))),0))</f>
        <v>0</v>
      </c>
      <c r="P56" s="4">
        <f>IF($B$44=0,0,IF(P$2&gt;=$A56,IF(P$2=$A56,($B56/$B$44)*$B$41,IF(P$2&lt;=$A56+$B$44-1,$B56/$B$44,$B56-SUM($C56:O56))),0))</f>
        <v>0</v>
      </c>
      <c r="Q56" s="4">
        <f>IF($B$44=0,0,IF(Q$2&gt;=$A56,IF(Q$2=$A56,($B56/$B$44)*$B$41,IF(Q$2&lt;=$A56+$B$44-1,$B56/$B$44,$B56-SUM($C56:P56))),0))</f>
        <v>0</v>
      </c>
      <c r="R56" s="4">
        <f>IF($B$44=0,0,IF(R$2&gt;=$A56,IF(R$2=$A56,($B56/$B$44)*$B$41,IF(R$2&lt;=$A56+$B$44-1,$B56/$B$44,$B56-SUM($C56:Q56))),0))</f>
        <v>0</v>
      </c>
      <c r="S56" s="4">
        <f>IF($B$44=0,0,IF(S$2&gt;=$A56,IF(S$2=$A56,($B56/$B$44)*$B$41,IF(S$2&lt;=$A56+$B$44-1,$B56/$B$44,$B56-SUM($C56:R56))),0))</f>
        <v>0</v>
      </c>
      <c r="T56" s="4">
        <f>IF($B$44=0,0,IF(T$2&gt;=$A56,IF(T$2=$A56,($B56/$B$44)*$B$41,IF(T$2&lt;=$A56+$B$44-1,$B56/$B$44,$B56-SUM($C56:S56))),0))</f>
        <v>0</v>
      </c>
      <c r="U56" s="4">
        <f>IF($B$44=0,0,IF(U$2&gt;=$A56,IF(U$2=$A56,($B56/$B$44)*$B$41,IF(U$2&lt;=$A56+$B$44-1,$B56/$B$44,$B56-SUM($C56:T56))),0))</f>
        <v>0</v>
      </c>
      <c r="V56" s="4">
        <f>IF($B$44=0,0,IF(V$2&gt;=$A56,IF(V$2=$A56,($B56/$B$44)*$B$41,IF(V$2&lt;=$A56+$B$44-1,$B56/$B$44,$B56-SUM($C56:U56))),0))</f>
        <v>0</v>
      </c>
      <c r="W56" s="4">
        <f>IF($B$44=0,0,IF(W$2&gt;=$A56,IF(W$2=$A56,($B56/$B$44)*$B$41,IF(W$2&lt;=$A56+$B$44-1,$B56/$B$44,$B56-SUM($C56:V56))),0))</f>
        <v>0</v>
      </c>
      <c r="X56" s="4">
        <f>IF($B$44=0,0,IF(X$2&gt;=$A56,IF(X$2=$A56,($B56/$B$44)*$B$41,IF(X$2&lt;=$A56+$B$44-1,$B56/$B$44,$B56-SUM($C56:W56))),0))</f>
        <v>0</v>
      </c>
      <c r="Y56" s="4">
        <f>IF($B$44=0,0,IF(Y$2&gt;=$A56,IF(Y$2=$A56,($B56/$B$44)*$B$41,IF(Y$2&lt;=$A56+$B$44-1,$B56/$B$44,$B56-SUM($C56:X56))),0))</f>
        <v>0</v>
      </c>
      <c r="Z56" s="4">
        <f>IF($B$44=0,0,IF(Z$2&gt;=$A56,IF(Z$2=$A56,($B56/$B$44)*$B$41,IF(Z$2&lt;=$A56+$B$44-1,$B56/$B$44,$B56-SUM($C56:Y56))),0))</f>
        <v>0</v>
      </c>
      <c r="AA56" s="4">
        <f>IF($B$44=0,0,IF(AA$2&gt;=$A56,IF(AA$2=$A56,($B56/$B$44)*$B$41,IF(AA$2&lt;=$A56+$B$44-1,$B56/$B$44,$B56-SUM($C56:Z56))),0))</f>
        <v>0</v>
      </c>
      <c r="AB56" s="4">
        <f>IF($B$44=0,0,IF(AB$2&gt;=$A56,IF(AB$2=$A56,($B56/$B$44)*$B$41,IF(AB$2&lt;=$A56+$B$44-1,$B56/$B$44,$B56-SUM($C56:AA56))),0))</f>
        <v>0</v>
      </c>
      <c r="AC56" s="4">
        <f>IF($B$44=0,0,IF(AC$2&gt;=$A56,IF(AC$2=$A56,($B56/$B$44)*$B$41,IF(AC$2&lt;=$A56+$B$44-1,$B56/$B$44,$B56-SUM($C56:AB56))),0))</f>
        <v>0</v>
      </c>
      <c r="AD56" s="4">
        <f>IF($B$44=0,0,IF(AD$2&gt;=$A56,IF(AD$2=$A56,($B56/$B$44)*$B$41,IF(AD$2&lt;=$A56+$B$44-1,$B56/$B$44,$B56-SUM($C56:AC56))),0))</f>
        <v>0</v>
      </c>
      <c r="AE56" s="4">
        <f>IF($B$44=0,0,IF(AE$2&gt;=$A56,IF(AE$2=$A56,($B56/$B$44)*$B$41,IF(AE$2&lt;=$A56+$B$44-1,$B56/$B$44,$B56-SUM($C56:AD56))),0))</f>
        <v>0</v>
      </c>
      <c r="AF56" s="4">
        <f>IF($B$44=0,0,IF(AF$2&gt;=$A56,IF(AF$2=$A56,($B56/$B$44)*$B$41,IF(AF$2&lt;=$A56+$B$44-1,$B56/$B$44,$B56-SUM($C56:AE56))),0))</f>
        <v>0</v>
      </c>
      <c r="AG56" s="4">
        <f t="shared" si="24"/>
        <v>0</v>
      </c>
    </row>
    <row r="57" spans="1:33">
      <c r="A57" s="6">
        <f t="shared" si="25"/>
        <v>2034</v>
      </c>
      <c r="B57" s="4">
        <f t="shared" si="23"/>
        <v>0</v>
      </c>
      <c r="C57" s="4">
        <f>IF($B$44=0,0,IF(C$2&gt;=$A57,IF(C$2=$A57,($B57/$B$44)*$B$41,IF(C$2&lt;=$A57+$B$44-1,$B57/$B$44,$B57-SUM(B57:$C57))),0))</f>
        <v>0</v>
      </c>
      <c r="D57" s="4">
        <f>IF($B$44=0,0,IF(D$2&gt;=$A57,IF(D$2=$A57,($B57/$B$44)*$B$41,IF(D$2&lt;=$A57+$B$44-1,$B57/$B$44,$B57-SUM(C57:$C57))),0))</f>
        <v>0</v>
      </c>
      <c r="E57" s="4">
        <f>IF($B$44=0,0,IF(E$2&gt;=$A57,IF(E$2=$A57,($B57/$B$44)*$B$41,IF(E$2&lt;=$A57+$B$44-1,$B57/$B$44,$B57-SUM($C57:D57))),0))</f>
        <v>0</v>
      </c>
      <c r="F57" s="4">
        <f>IF($B$44=0,0,IF(F$2&gt;=$A57,IF(F$2=$A57,($B57/$B$44)*$B$41,IF(F$2&lt;=$A57+$B$44-1,$B57/$B$44,$B57-SUM($C57:E57))),0))</f>
        <v>0</v>
      </c>
      <c r="G57" s="4">
        <f>IF($B$44=0,0,IF(G$2&gt;=$A57,IF(G$2=$A57,($B57/$B$44)*$B$41,IF(G$2&lt;=$A57+$B$44-1,$B57/$B$44,$B57-SUM($C57:F57))),0))</f>
        <v>0</v>
      </c>
      <c r="H57" s="4">
        <f>IF($B$44=0,0,IF(H$2&gt;=$A57,IF(H$2=$A57,($B57/$B$44)*$B$41,IF(H$2&lt;=$A57+$B$44-1,$B57/$B$44,$B57-SUM($C57:G57))),0))</f>
        <v>0</v>
      </c>
      <c r="I57" s="4">
        <f>IF($B$44=0,0,IF(I$2&gt;=$A57,IF(I$2=$A57,($B57/$B$44)*$B$41,IF(I$2&lt;=$A57+$B$44-1,$B57/$B$44,$B57-SUM($C57:H57))),0))</f>
        <v>0</v>
      </c>
      <c r="J57" s="4">
        <f>IF($B$44=0,0,IF(J$2&gt;=$A57,IF(J$2=$A57,($B57/$B$44)*$B$41,IF(J$2&lt;=$A57+$B$44-1,$B57/$B$44,$B57-SUM($C57:I57))),0))</f>
        <v>0</v>
      </c>
      <c r="K57" s="4">
        <f>IF($B$44=0,0,IF(K$2&gt;=$A57,IF(K$2=$A57,($B57/$B$44)*$B$41,IF(K$2&lt;=$A57+$B$44-1,$B57/$B$44,$B57-SUM($C57:J57))),0))</f>
        <v>0</v>
      </c>
      <c r="L57" s="4">
        <f>IF($B$44=0,0,IF(L$2&gt;=$A57,IF(L$2=$A57,($B57/$B$44)*$B$41,IF(L$2&lt;=$A57+$B$44-1,$B57/$B$44,$B57-SUM($C57:K57))),0))</f>
        <v>0</v>
      </c>
      <c r="M57" s="4">
        <f>IF($B$44=0,0,IF(M$2&gt;=$A57,IF(M$2=$A57,($B57/$B$44)*$B$41,IF(M$2&lt;=$A57+$B$44-1,$B57/$B$44,$B57-SUM($C57:L57))),0))</f>
        <v>0</v>
      </c>
      <c r="N57" s="4">
        <f>IF($B$44=0,0,IF(N$2&gt;=$A57,IF(N$2=$A57,($B57/$B$44)*$B$41,IF(N$2&lt;=$A57+$B$44-1,$B57/$B$44,$B57-SUM($C57:M57))),0))</f>
        <v>0</v>
      </c>
      <c r="O57" s="4">
        <f>IF($B$44=0,0,IF(O$2&gt;=$A57,IF(O$2=$A57,($B57/$B$44)*$B$41,IF(O$2&lt;=$A57+$B$44-1,$B57/$B$44,$B57-SUM($C57:N57))),0))</f>
        <v>0</v>
      </c>
      <c r="P57" s="4">
        <f>IF($B$44=0,0,IF(P$2&gt;=$A57,IF(P$2=$A57,($B57/$B$44)*$B$41,IF(P$2&lt;=$A57+$B$44-1,$B57/$B$44,$B57-SUM($C57:O57))),0))</f>
        <v>0</v>
      </c>
      <c r="Q57" s="4">
        <f>IF($B$44=0,0,IF(Q$2&gt;=$A57,IF(Q$2=$A57,($B57/$B$44)*$B$41,IF(Q$2&lt;=$A57+$B$44-1,$B57/$B$44,$B57-SUM($C57:P57))),0))</f>
        <v>0</v>
      </c>
      <c r="R57" s="4">
        <f>IF($B$44=0,0,IF(R$2&gt;=$A57,IF(R$2=$A57,($B57/$B$44)*$B$41,IF(R$2&lt;=$A57+$B$44-1,$B57/$B$44,$B57-SUM($C57:Q57))),0))</f>
        <v>0</v>
      </c>
      <c r="S57" s="4">
        <f>IF($B$44=0,0,IF(S$2&gt;=$A57,IF(S$2=$A57,($B57/$B$44)*$B$41,IF(S$2&lt;=$A57+$B$44-1,$B57/$B$44,$B57-SUM($C57:R57))),0))</f>
        <v>0</v>
      </c>
      <c r="T57" s="4">
        <f>IF($B$44=0,0,IF(T$2&gt;=$A57,IF(T$2=$A57,($B57/$B$44)*$B$41,IF(T$2&lt;=$A57+$B$44-1,$B57/$B$44,$B57-SUM($C57:S57))),0))</f>
        <v>0</v>
      </c>
      <c r="U57" s="4">
        <f>IF($B$44=0,0,IF(U$2&gt;=$A57,IF(U$2=$A57,($B57/$B$44)*$B$41,IF(U$2&lt;=$A57+$B$44-1,$B57/$B$44,$B57-SUM($C57:T57))),0))</f>
        <v>0</v>
      </c>
      <c r="V57" s="4">
        <f>IF($B$44=0,0,IF(V$2&gt;=$A57,IF(V$2=$A57,($B57/$B$44)*$B$41,IF(V$2&lt;=$A57+$B$44-1,$B57/$B$44,$B57-SUM($C57:U57))),0))</f>
        <v>0</v>
      </c>
      <c r="W57" s="4">
        <f>IF($B$44=0,0,IF(W$2&gt;=$A57,IF(W$2=$A57,($B57/$B$44)*$B$41,IF(W$2&lt;=$A57+$B$44-1,$B57/$B$44,$B57-SUM($C57:V57))),0))</f>
        <v>0</v>
      </c>
      <c r="X57" s="4">
        <f>IF($B$44=0,0,IF(X$2&gt;=$A57,IF(X$2=$A57,($B57/$B$44)*$B$41,IF(X$2&lt;=$A57+$B$44-1,$B57/$B$44,$B57-SUM($C57:W57))),0))</f>
        <v>0</v>
      </c>
      <c r="Y57" s="4">
        <f>IF($B$44=0,0,IF(Y$2&gt;=$A57,IF(Y$2=$A57,($B57/$B$44)*$B$41,IF(Y$2&lt;=$A57+$B$44-1,$B57/$B$44,$B57-SUM($C57:X57))),0))</f>
        <v>0</v>
      </c>
      <c r="Z57" s="4">
        <f>IF($B$44=0,0,IF(Z$2&gt;=$A57,IF(Z$2=$A57,($B57/$B$44)*$B$41,IF(Z$2&lt;=$A57+$B$44-1,$B57/$B$44,$B57-SUM($C57:Y57))),0))</f>
        <v>0</v>
      </c>
      <c r="AA57" s="4">
        <f>IF($B$44=0,0,IF(AA$2&gt;=$A57,IF(AA$2=$A57,($B57/$B$44)*$B$41,IF(AA$2&lt;=$A57+$B$44-1,$B57/$B$44,$B57-SUM($C57:Z57))),0))</f>
        <v>0</v>
      </c>
      <c r="AB57" s="4">
        <f>IF($B$44=0,0,IF(AB$2&gt;=$A57,IF(AB$2=$A57,($B57/$B$44)*$B$41,IF(AB$2&lt;=$A57+$B$44-1,$B57/$B$44,$B57-SUM($C57:AA57))),0))</f>
        <v>0</v>
      </c>
      <c r="AC57" s="4">
        <f>IF($B$44=0,0,IF(AC$2&gt;=$A57,IF(AC$2=$A57,($B57/$B$44)*$B$41,IF(AC$2&lt;=$A57+$B$44-1,$B57/$B$44,$B57-SUM($C57:AB57))),0))</f>
        <v>0</v>
      </c>
      <c r="AD57" s="4">
        <f>IF($B$44=0,0,IF(AD$2&gt;=$A57,IF(AD$2=$A57,($B57/$B$44)*$B$41,IF(AD$2&lt;=$A57+$B$44-1,$B57/$B$44,$B57-SUM($C57:AC57))),0))</f>
        <v>0</v>
      </c>
      <c r="AE57" s="4">
        <f>IF($B$44=0,0,IF(AE$2&gt;=$A57,IF(AE$2=$A57,($B57/$B$44)*$B$41,IF(AE$2&lt;=$A57+$B$44-1,$B57/$B$44,$B57-SUM($C57:AD57))),0))</f>
        <v>0</v>
      </c>
      <c r="AF57" s="4">
        <f>IF($B$44=0,0,IF(AF$2&gt;=$A57,IF(AF$2=$A57,($B57/$B$44)*$B$41,IF(AF$2&lt;=$A57+$B$44-1,$B57/$B$44,$B57-SUM($C57:AE57))),0))</f>
        <v>0</v>
      </c>
      <c r="AG57" s="4">
        <f t="shared" si="24"/>
        <v>0</v>
      </c>
    </row>
    <row r="58" spans="1:33">
      <c r="A58" s="6">
        <f t="shared" si="25"/>
        <v>2035</v>
      </c>
      <c r="B58" s="4">
        <f t="shared" si="23"/>
        <v>0</v>
      </c>
      <c r="C58" s="4">
        <f>IF($B$44=0,0,IF(C$2&gt;=$A58,IF(C$2=$A58,($B58/$B$44)*$B$41,IF(C$2&lt;=$A58+$B$44-1,$B58/$B$44,$B58-SUM(B58:$C58))),0))</f>
        <v>0</v>
      </c>
      <c r="D58" s="4">
        <f>IF($B$44=0,0,IF(D$2&gt;=$A58,IF(D$2=$A58,($B58/$B$44)*$B$41,IF(D$2&lt;=$A58+$B$44-1,$B58/$B$44,$B58-SUM(C58:$C58))),0))</f>
        <v>0</v>
      </c>
      <c r="E58" s="4">
        <f>IF($B$44=0,0,IF(E$2&gt;=$A58,IF(E$2=$A58,($B58/$B$44)*$B$41,IF(E$2&lt;=$A58+$B$44-1,$B58/$B$44,$B58-SUM($C58:D58))),0))</f>
        <v>0</v>
      </c>
      <c r="F58" s="4">
        <f>IF($B$44=0,0,IF(F$2&gt;=$A58,IF(F$2=$A58,($B58/$B$44)*$B$41,IF(F$2&lt;=$A58+$B$44-1,$B58/$B$44,$B58-SUM($C58:E58))),0))</f>
        <v>0</v>
      </c>
      <c r="G58" s="4">
        <f>IF($B$44=0,0,IF(G$2&gt;=$A58,IF(G$2=$A58,($B58/$B$44)*$B$41,IF(G$2&lt;=$A58+$B$44-1,$B58/$B$44,$B58-SUM($C58:F58))),0))</f>
        <v>0</v>
      </c>
      <c r="H58" s="4">
        <f>IF($B$44=0,0,IF(H$2&gt;=$A58,IF(H$2=$A58,($B58/$B$44)*$B$41,IF(H$2&lt;=$A58+$B$44-1,$B58/$B$44,$B58-SUM($C58:G58))),0))</f>
        <v>0</v>
      </c>
      <c r="I58" s="4">
        <f>IF($B$44=0,0,IF(I$2&gt;=$A58,IF(I$2=$A58,($B58/$B$44)*$B$41,IF(I$2&lt;=$A58+$B$44-1,$B58/$B$44,$B58-SUM($C58:H58))),0))</f>
        <v>0</v>
      </c>
      <c r="J58" s="4">
        <f>IF($B$44=0,0,IF(J$2&gt;=$A58,IF(J$2=$A58,($B58/$B$44)*$B$41,IF(J$2&lt;=$A58+$B$44-1,$B58/$B$44,$B58-SUM($C58:I58))),0))</f>
        <v>0</v>
      </c>
      <c r="K58" s="4">
        <f>IF($B$44=0,0,IF(K$2&gt;=$A58,IF(K$2=$A58,($B58/$B$44)*$B$41,IF(K$2&lt;=$A58+$B$44-1,$B58/$B$44,$B58-SUM($C58:J58))),0))</f>
        <v>0</v>
      </c>
      <c r="L58" s="4">
        <f>IF($B$44=0,0,IF(L$2&gt;=$A58,IF(L$2=$A58,($B58/$B$44)*$B$41,IF(L$2&lt;=$A58+$B$44-1,$B58/$B$44,$B58-SUM($C58:K58))),0))</f>
        <v>0</v>
      </c>
      <c r="M58" s="4">
        <f>IF($B$44=0,0,IF(M$2&gt;=$A58,IF(M$2=$A58,($B58/$B$44)*$B$41,IF(M$2&lt;=$A58+$B$44-1,$B58/$B$44,$B58-SUM($C58:L58))),0))</f>
        <v>0</v>
      </c>
      <c r="N58" s="4">
        <f>IF($B$44=0,0,IF(N$2&gt;=$A58,IF(N$2=$A58,($B58/$B$44)*$B$41,IF(N$2&lt;=$A58+$B$44-1,$B58/$B$44,$B58-SUM($C58:M58))),0))</f>
        <v>0</v>
      </c>
      <c r="O58" s="4">
        <f>IF($B$44=0,0,IF(O$2&gt;=$A58,IF(O$2=$A58,($B58/$B$44)*$B$41,IF(O$2&lt;=$A58+$B$44-1,$B58/$B$44,$B58-SUM($C58:N58))),0))</f>
        <v>0</v>
      </c>
      <c r="P58" s="4">
        <f>IF($B$44=0,0,IF(P$2&gt;=$A58,IF(P$2=$A58,($B58/$B$44)*$B$41,IF(P$2&lt;=$A58+$B$44-1,$B58/$B$44,$B58-SUM($C58:O58))),0))</f>
        <v>0</v>
      </c>
      <c r="Q58" s="4">
        <f>IF($B$44=0,0,IF(Q$2&gt;=$A58,IF(Q$2=$A58,($B58/$B$44)*$B$41,IF(Q$2&lt;=$A58+$B$44-1,$B58/$B$44,$B58-SUM($C58:P58))),0))</f>
        <v>0</v>
      </c>
      <c r="R58" s="4">
        <f>IF($B$44=0,0,IF(R$2&gt;=$A58,IF(R$2=$A58,($B58/$B$44)*$B$41,IF(R$2&lt;=$A58+$B$44-1,$B58/$B$44,$B58-SUM($C58:Q58))),0))</f>
        <v>0</v>
      </c>
      <c r="S58" s="4">
        <f>IF($B$44=0,0,IF(S$2&gt;=$A58,IF(S$2=$A58,($B58/$B$44)*$B$41,IF(S$2&lt;=$A58+$B$44-1,$B58/$B$44,$B58-SUM($C58:R58))),0))</f>
        <v>0</v>
      </c>
      <c r="T58" s="4">
        <f>IF($B$44=0,0,IF(T$2&gt;=$A58,IF(T$2=$A58,($B58/$B$44)*$B$41,IF(T$2&lt;=$A58+$B$44-1,$B58/$B$44,$B58-SUM($C58:S58))),0))</f>
        <v>0</v>
      </c>
      <c r="U58" s="4">
        <f>IF($B$44=0,0,IF(U$2&gt;=$A58,IF(U$2=$A58,($B58/$B$44)*$B$41,IF(U$2&lt;=$A58+$B$44-1,$B58/$B$44,$B58-SUM($C58:T58))),0))</f>
        <v>0</v>
      </c>
      <c r="V58" s="4">
        <f>IF($B$44=0,0,IF(V$2&gt;=$A58,IF(V$2=$A58,($B58/$B$44)*$B$41,IF(V$2&lt;=$A58+$B$44-1,$B58/$B$44,$B58-SUM($C58:U58))),0))</f>
        <v>0</v>
      </c>
      <c r="W58" s="4">
        <f>IF($B$44=0,0,IF(W$2&gt;=$A58,IF(W$2=$A58,($B58/$B$44)*$B$41,IF(W$2&lt;=$A58+$B$44-1,$B58/$B$44,$B58-SUM($C58:V58))),0))</f>
        <v>0</v>
      </c>
      <c r="X58" s="4">
        <f>IF($B$44=0,0,IF(X$2&gt;=$A58,IF(X$2=$A58,($B58/$B$44)*$B$41,IF(X$2&lt;=$A58+$B$44-1,$B58/$B$44,$B58-SUM($C58:W58))),0))</f>
        <v>0</v>
      </c>
      <c r="Y58" s="4">
        <f>IF($B$44=0,0,IF(Y$2&gt;=$A58,IF(Y$2=$A58,($B58/$B$44)*$B$41,IF(Y$2&lt;=$A58+$B$44-1,$B58/$B$44,$B58-SUM($C58:X58))),0))</f>
        <v>0</v>
      </c>
      <c r="Z58" s="4">
        <f>IF($B$44=0,0,IF(Z$2&gt;=$A58,IF(Z$2=$A58,($B58/$B$44)*$B$41,IF(Z$2&lt;=$A58+$B$44-1,$B58/$B$44,$B58-SUM($C58:Y58))),0))</f>
        <v>0</v>
      </c>
      <c r="AA58" s="4">
        <f>IF($B$44=0,0,IF(AA$2&gt;=$A58,IF(AA$2=$A58,($B58/$B$44)*$B$41,IF(AA$2&lt;=$A58+$B$44-1,$B58/$B$44,$B58-SUM($C58:Z58))),0))</f>
        <v>0</v>
      </c>
      <c r="AB58" s="4">
        <f>IF($B$44=0,0,IF(AB$2&gt;=$A58,IF(AB$2=$A58,($B58/$B$44)*$B$41,IF(AB$2&lt;=$A58+$B$44-1,$B58/$B$44,$B58-SUM($C58:AA58))),0))</f>
        <v>0</v>
      </c>
      <c r="AC58" s="4">
        <f>IF($B$44=0,0,IF(AC$2&gt;=$A58,IF(AC$2=$A58,($B58/$B$44)*$B$41,IF(AC$2&lt;=$A58+$B$44-1,$B58/$B$44,$B58-SUM($C58:AB58))),0))</f>
        <v>0</v>
      </c>
      <c r="AD58" s="4">
        <f>IF($B$44=0,0,IF(AD$2&gt;=$A58,IF(AD$2=$A58,($B58/$B$44)*$B$41,IF(AD$2&lt;=$A58+$B$44-1,$B58/$B$44,$B58-SUM($C58:AC58))),0))</f>
        <v>0</v>
      </c>
      <c r="AE58" s="4">
        <f>IF($B$44=0,0,IF(AE$2&gt;=$A58,IF(AE$2=$A58,($B58/$B$44)*$B$41,IF(AE$2&lt;=$A58+$B$44-1,$B58/$B$44,$B58-SUM($C58:AD58))),0))</f>
        <v>0</v>
      </c>
      <c r="AF58" s="4">
        <f>IF($B$44=0,0,IF(AF$2&gt;=$A58,IF(AF$2=$A58,($B58/$B$44)*$B$41,IF(AF$2&lt;=$A58+$B$44-1,$B58/$B$44,$B58-SUM($C58:AE58))),0))</f>
        <v>0</v>
      </c>
      <c r="AG58" s="4">
        <f t="shared" si="24"/>
        <v>0</v>
      </c>
    </row>
    <row r="59" spans="1:33">
      <c r="A59" s="6">
        <f t="shared" si="25"/>
        <v>2036</v>
      </c>
      <c r="B59" s="4">
        <f t="shared" si="23"/>
        <v>0</v>
      </c>
      <c r="C59" s="4">
        <f>IF($B$44=0,0,IF(C$2&gt;=$A59,IF(C$2=$A59,($B59/$B$44)*$B$41,IF(C$2&lt;=$A59+$B$44-1,$B59/$B$44,$B59-SUM(B59:$C59))),0))</f>
        <v>0</v>
      </c>
      <c r="D59" s="4">
        <f>IF($B$44=0,0,IF(D$2&gt;=$A59,IF(D$2=$A59,($B59/$B$44)*$B$41,IF(D$2&lt;=$A59+$B$44-1,$B59/$B$44,$B59-SUM(C59:$C59))),0))</f>
        <v>0</v>
      </c>
      <c r="E59" s="4">
        <f>IF($B$44=0,0,IF(E$2&gt;=$A59,IF(E$2=$A59,($B59/$B$44)*$B$41,IF(E$2&lt;=$A59+$B$44-1,$B59/$B$44,$B59-SUM($C59:D59))),0))</f>
        <v>0</v>
      </c>
      <c r="F59" s="4">
        <f>IF($B$44=0,0,IF(F$2&gt;=$A59,IF(F$2=$A59,($B59/$B$44)*$B$41,IF(F$2&lt;=$A59+$B$44-1,$B59/$B$44,$B59-SUM($C59:E59))),0))</f>
        <v>0</v>
      </c>
      <c r="G59" s="4">
        <f>IF($B$44=0,0,IF(G$2&gt;=$A59,IF(G$2=$A59,($B59/$B$44)*$B$41,IF(G$2&lt;=$A59+$B$44-1,$B59/$B$44,$B59-SUM($C59:F59))),0))</f>
        <v>0</v>
      </c>
      <c r="H59" s="4">
        <f>IF($B$44=0,0,IF(H$2&gt;=$A59,IF(H$2=$A59,($B59/$B$44)*$B$41,IF(H$2&lt;=$A59+$B$44-1,$B59/$B$44,$B59-SUM($C59:G59))),0))</f>
        <v>0</v>
      </c>
      <c r="I59" s="4">
        <f>IF($B$44=0,0,IF(I$2&gt;=$A59,IF(I$2=$A59,($B59/$B$44)*$B$41,IF(I$2&lt;=$A59+$B$44-1,$B59/$B$44,$B59-SUM($C59:H59))),0))</f>
        <v>0</v>
      </c>
      <c r="J59" s="4">
        <f>IF($B$44=0,0,IF(J$2&gt;=$A59,IF(J$2=$A59,($B59/$B$44)*$B$41,IF(J$2&lt;=$A59+$B$44-1,$B59/$B$44,$B59-SUM($C59:I59))),0))</f>
        <v>0</v>
      </c>
      <c r="K59" s="4">
        <f>IF($B$44=0,0,IF(K$2&gt;=$A59,IF(K$2=$A59,($B59/$B$44)*$B$41,IF(K$2&lt;=$A59+$B$44-1,$B59/$B$44,$B59-SUM($C59:J59))),0))</f>
        <v>0</v>
      </c>
      <c r="L59" s="4">
        <f>IF($B$44=0,0,IF(L$2&gt;=$A59,IF(L$2=$A59,($B59/$B$44)*$B$41,IF(L$2&lt;=$A59+$B$44-1,$B59/$B$44,$B59-SUM($C59:K59))),0))</f>
        <v>0</v>
      </c>
      <c r="M59" s="4">
        <f>IF($B$44=0,0,IF(M$2&gt;=$A59,IF(M$2=$A59,($B59/$B$44)*$B$41,IF(M$2&lt;=$A59+$B$44-1,$B59/$B$44,$B59-SUM($C59:L59))),0))</f>
        <v>0</v>
      </c>
      <c r="N59" s="4">
        <f>IF($B$44=0,0,IF(N$2&gt;=$A59,IF(N$2=$A59,($B59/$B$44)*$B$41,IF(N$2&lt;=$A59+$B$44-1,$B59/$B$44,$B59-SUM($C59:M59))),0))</f>
        <v>0</v>
      </c>
      <c r="O59" s="4">
        <f>IF($B$44=0,0,IF(O$2&gt;=$A59,IF(O$2=$A59,($B59/$B$44)*$B$41,IF(O$2&lt;=$A59+$B$44-1,$B59/$B$44,$B59-SUM($C59:N59))),0))</f>
        <v>0</v>
      </c>
      <c r="P59" s="4">
        <f>IF($B$44=0,0,IF(P$2&gt;=$A59,IF(P$2=$A59,($B59/$B$44)*$B$41,IF(P$2&lt;=$A59+$B$44-1,$B59/$B$44,$B59-SUM($C59:O59))),0))</f>
        <v>0</v>
      </c>
      <c r="Q59" s="4">
        <f>IF($B$44=0,0,IF(Q$2&gt;=$A59,IF(Q$2=$A59,($B59/$B$44)*$B$41,IF(Q$2&lt;=$A59+$B$44-1,$B59/$B$44,$B59-SUM($C59:P59))),0))</f>
        <v>0</v>
      </c>
      <c r="R59" s="4">
        <f>IF($B$44=0,0,IF(R$2&gt;=$A59,IF(R$2=$A59,($B59/$B$44)*$B$41,IF(R$2&lt;=$A59+$B$44-1,$B59/$B$44,$B59-SUM($C59:Q59))),0))</f>
        <v>0</v>
      </c>
      <c r="S59" s="4">
        <f>IF($B$44=0,0,IF(S$2&gt;=$A59,IF(S$2=$A59,($B59/$B$44)*$B$41,IF(S$2&lt;=$A59+$B$44-1,$B59/$B$44,$B59-SUM($C59:R59))),0))</f>
        <v>0</v>
      </c>
      <c r="T59" s="4">
        <f>IF($B$44=0,0,IF(T$2&gt;=$A59,IF(T$2=$A59,($B59/$B$44)*$B$41,IF(T$2&lt;=$A59+$B$44-1,$B59/$B$44,$B59-SUM($C59:S59))),0))</f>
        <v>0</v>
      </c>
      <c r="U59" s="4">
        <f>IF($B$44=0,0,IF(U$2&gt;=$A59,IF(U$2=$A59,($B59/$B$44)*$B$41,IF(U$2&lt;=$A59+$B$44-1,$B59/$B$44,$B59-SUM($C59:T59))),0))</f>
        <v>0</v>
      </c>
      <c r="V59" s="4">
        <f>IF($B$44=0,0,IF(V$2&gt;=$A59,IF(V$2=$A59,($B59/$B$44)*$B$41,IF(V$2&lt;=$A59+$B$44-1,$B59/$B$44,$B59-SUM($C59:U59))),0))</f>
        <v>0</v>
      </c>
      <c r="W59" s="4">
        <f>IF($B$44=0,0,IF(W$2&gt;=$A59,IF(W$2=$A59,($B59/$B$44)*$B$41,IF(W$2&lt;=$A59+$B$44-1,$B59/$B$44,$B59-SUM($C59:V59))),0))</f>
        <v>0</v>
      </c>
      <c r="X59" s="4">
        <f>IF($B$44=0,0,IF(X$2&gt;=$A59,IF(X$2=$A59,($B59/$B$44)*$B$41,IF(X$2&lt;=$A59+$B$44-1,$B59/$B$44,$B59-SUM($C59:W59))),0))</f>
        <v>0</v>
      </c>
      <c r="Y59" s="4">
        <f>IF($B$44=0,0,IF(Y$2&gt;=$A59,IF(Y$2=$A59,($B59/$B$44)*$B$41,IF(Y$2&lt;=$A59+$B$44-1,$B59/$B$44,$B59-SUM($C59:X59))),0))</f>
        <v>0</v>
      </c>
      <c r="Z59" s="4">
        <f>IF($B$44=0,0,IF(Z$2&gt;=$A59,IF(Z$2=$A59,($B59/$B$44)*$B$41,IF(Z$2&lt;=$A59+$B$44-1,$B59/$B$44,$B59-SUM($C59:Y59))),0))</f>
        <v>0</v>
      </c>
      <c r="AA59" s="4">
        <f>IF($B$44=0,0,IF(AA$2&gt;=$A59,IF(AA$2=$A59,($B59/$B$44)*$B$41,IF(AA$2&lt;=$A59+$B$44-1,$B59/$B$44,$B59-SUM($C59:Z59))),0))</f>
        <v>0</v>
      </c>
      <c r="AB59" s="4">
        <f>IF($B$44=0,0,IF(AB$2&gt;=$A59,IF(AB$2=$A59,($B59/$B$44)*$B$41,IF(AB$2&lt;=$A59+$B$44-1,$B59/$B$44,$B59-SUM($C59:AA59))),0))</f>
        <v>0</v>
      </c>
      <c r="AC59" s="4">
        <f>IF($B$44=0,0,IF(AC$2&gt;=$A59,IF(AC$2=$A59,($B59/$B$44)*$B$41,IF(AC$2&lt;=$A59+$B$44-1,$B59/$B$44,$B59-SUM($C59:AB59))),0))</f>
        <v>0</v>
      </c>
      <c r="AD59" s="4">
        <f>IF($B$44=0,0,IF(AD$2&gt;=$A59,IF(AD$2=$A59,($B59/$B$44)*$B$41,IF(AD$2&lt;=$A59+$B$44-1,$B59/$B$44,$B59-SUM($C59:AC59))),0))</f>
        <v>0</v>
      </c>
      <c r="AE59" s="4">
        <f>IF($B$44=0,0,IF(AE$2&gt;=$A59,IF(AE$2=$A59,($B59/$B$44)*$B$41,IF(AE$2&lt;=$A59+$B$44-1,$B59/$B$44,$B59-SUM($C59:AD59))),0))</f>
        <v>0</v>
      </c>
      <c r="AF59" s="4">
        <f>IF($B$44=0,0,IF(AF$2&gt;=$A59,IF(AF$2=$A59,($B59/$B$44)*$B$41,IF(AF$2&lt;=$A59+$B$44-1,$B59/$B$44,$B59-SUM($C59:AE59))),0))</f>
        <v>0</v>
      </c>
      <c r="AG59" s="4">
        <f t="shared" si="24"/>
        <v>0</v>
      </c>
    </row>
    <row r="60" spans="1:33">
      <c r="A60" s="6">
        <f t="shared" si="25"/>
        <v>2037</v>
      </c>
      <c r="B60" s="4">
        <f t="shared" si="23"/>
        <v>0</v>
      </c>
      <c r="C60" s="4">
        <f>IF($B$44=0,0,IF(C$2&gt;=$A60,IF(C$2=$A60,($B60/$B$44)*$B$41,IF(C$2&lt;=$A60+$B$44-1,$B60/$B$44,$B60-SUM(B60:$C60))),0))</f>
        <v>0</v>
      </c>
      <c r="D60" s="4">
        <f>IF($B$44=0,0,IF(D$2&gt;=$A60,IF(D$2=$A60,($B60/$B$44)*$B$41,IF(D$2&lt;=$A60+$B$44-1,$B60/$B$44,$B60-SUM(C60:$C60))),0))</f>
        <v>0</v>
      </c>
      <c r="E60" s="4">
        <f>IF($B$44=0,0,IF(E$2&gt;=$A60,IF(E$2=$A60,($B60/$B$44)*$B$41,IF(E$2&lt;=$A60+$B$44-1,$B60/$B$44,$B60-SUM($C60:D60))),0))</f>
        <v>0</v>
      </c>
      <c r="F60" s="4">
        <f>IF($B$44=0,0,IF(F$2&gt;=$A60,IF(F$2=$A60,($B60/$B$44)*$B$41,IF(F$2&lt;=$A60+$B$44-1,$B60/$B$44,$B60-SUM($C60:E60))),0))</f>
        <v>0</v>
      </c>
      <c r="G60" s="4">
        <f>IF($B$44=0,0,IF(G$2&gt;=$A60,IF(G$2=$A60,($B60/$B$44)*$B$41,IF(G$2&lt;=$A60+$B$44-1,$B60/$B$44,$B60-SUM($C60:F60))),0))</f>
        <v>0</v>
      </c>
      <c r="H60" s="4">
        <f>IF($B$44=0,0,IF(H$2&gt;=$A60,IF(H$2=$A60,($B60/$B$44)*$B$41,IF(H$2&lt;=$A60+$B$44-1,$B60/$B$44,$B60-SUM($C60:G60))),0))</f>
        <v>0</v>
      </c>
      <c r="I60" s="4">
        <f>IF($B$44=0,0,IF(I$2&gt;=$A60,IF(I$2=$A60,($B60/$B$44)*$B$41,IF(I$2&lt;=$A60+$B$44-1,$B60/$B$44,$B60-SUM($C60:H60))),0))</f>
        <v>0</v>
      </c>
      <c r="J60" s="4">
        <f>IF($B$44=0,0,IF(J$2&gt;=$A60,IF(J$2=$A60,($B60/$B$44)*$B$41,IF(J$2&lt;=$A60+$B$44-1,$B60/$B$44,$B60-SUM($C60:I60))),0))</f>
        <v>0</v>
      </c>
      <c r="K60" s="4">
        <f>IF($B$44=0,0,IF(K$2&gt;=$A60,IF(K$2=$A60,($B60/$B$44)*$B$41,IF(K$2&lt;=$A60+$B$44-1,$B60/$B$44,$B60-SUM($C60:J60))),0))</f>
        <v>0</v>
      </c>
      <c r="L60" s="4">
        <f>IF($B$44=0,0,IF(L$2&gt;=$A60,IF(L$2=$A60,($B60/$B$44)*$B$41,IF(L$2&lt;=$A60+$B$44-1,$B60/$B$44,$B60-SUM($C60:K60))),0))</f>
        <v>0</v>
      </c>
      <c r="M60" s="4">
        <f>IF($B$44=0,0,IF(M$2&gt;=$A60,IF(M$2=$A60,($B60/$B$44)*$B$41,IF(M$2&lt;=$A60+$B$44-1,$B60/$B$44,$B60-SUM($C60:L60))),0))</f>
        <v>0</v>
      </c>
      <c r="N60" s="4">
        <f>IF($B$44=0,0,IF(N$2&gt;=$A60,IF(N$2=$A60,($B60/$B$44)*$B$41,IF(N$2&lt;=$A60+$B$44-1,$B60/$B$44,$B60-SUM($C60:M60))),0))</f>
        <v>0</v>
      </c>
      <c r="O60" s="4">
        <f>IF($B$44=0,0,IF(O$2&gt;=$A60,IF(O$2=$A60,($B60/$B$44)*$B$41,IF(O$2&lt;=$A60+$B$44-1,$B60/$B$44,$B60-SUM($C60:N60))),0))</f>
        <v>0</v>
      </c>
      <c r="P60" s="4">
        <f>IF($B$44=0,0,IF(P$2&gt;=$A60,IF(P$2=$A60,($B60/$B$44)*$B$41,IF(P$2&lt;=$A60+$B$44-1,$B60/$B$44,$B60-SUM($C60:O60))),0))</f>
        <v>0</v>
      </c>
      <c r="Q60" s="4">
        <f>IF($B$44=0,0,IF(Q$2&gt;=$A60,IF(Q$2=$A60,($B60/$B$44)*$B$41,IF(Q$2&lt;=$A60+$B$44-1,$B60/$B$44,$B60-SUM($C60:P60))),0))</f>
        <v>0</v>
      </c>
      <c r="R60" s="4">
        <f>IF($B$44=0,0,IF(R$2&gt;=$A60,IF(R$2=$A60,($B60/$B$44)*$B$41,IF(R$2&lt;=$A60+$B$44-1,$B60/$B$44,$B60-SUM($C60:Q60))),0))</f>
        <v>0</v>
      </c>
      <c r="S60" s="4">
        <f>IF($B$44=0,0,IF(S$2&gt;=$A60,IF(S$2=$A60,($B60/$B$44)*$B$41,IF(S$2&lt;=$A60+$B$44-1,$B60/$B$44,$B60-SUM($C60:R60))),0))</f>
        <v>0</v>
      </c>
      <c r="T60" s="4">
        <f>IF($B$44=0,0,IF(T$2&gt;=$A60,IF(T$2=$A60,($B60/$B$44)*$B$41,IF(T$2&lt;=$A60+$B$44-1,$B60/$B$44,$B60-SUM($C60:S60))),0))</f>
        <v>0</v>
      </c>
      <c r="U60" s="4">
        <f>IF($B$44=0,0,IF(U$2&gt;=$A60,IF(U$2=$A60,($B60/$B$44)*$B$41,IF(U$2&lt;=$A60+$B$44-1,$B60/$B$44,$B60-SUM($C60:T60))),0))</f>
        <v>0</v>
      </c>
      <c r="V60" s="4">
        <f>IF($B$44=0,0,IF(V$2&gt;=$A60,IF(V$2=$A60,($B60/$B$44)*$B$41,IF(V$2&lt;=$A60+$B$44-1,$B60/$B$44,$B60-SUM($C60:U60))),0))</f>
        <v>0</v>
      </c>
      <c r="W60" s="4">
        <f>IF($B$44=0,0,IF(W$2&gt;=$A60,IF(W$2=$A60,($B60/$B$44)*$B$41,IF(W$2&lt;=$A60+$B$44-1,$B60/$B$44,$B60-SUM($C60:V60))),0))</f>
        <v>0</v>
      </c>
      <c r="X60" s="4">
        <f>IF($B$44=0,0,IF(X$2&gt;=$A60,IF(X$2=$A60,($B60/$B$44)*$B$41,IF(X$2&lt;=$A60+$B$44-1,$B60/$B$44,$B60-SUM($C60:W60))),0))</f>
        <v>0</v>
      </c>
      <c r="Y60" s="4">
        <f>IF($B$44=0,0,IF(Y$2&gt;=$A60,IF(Y$2=$A60,($B60/$B$44)*$B$41,IF(Y$2&lt;=$A60+$B$44-1,$B60/$B$44,$B60-SUM($C60:X60))),0))</f>
        <v>0</v>
      </c>
      <c r="Z60" s="4">
        <f>IF($B$44=0,0,IF(Z$2&gt;=$A60,IF(Z$2=$A60,($B60/$B$44)*$B$41,IF(Z$2&lt;=$A60+$B$44-1,$B60/$B$44,$B60-SUM($C60:Y60))),0))</f>
        <v>0</v>
      </c>
      <c r="AA60" s="4">
        <f>IF($B$44=0,0,IF(AA$2&gt;=$A60,IF(AA$2=$A60,($B60/$B$44)*$B$41,IF(AA$2&lt;=$A60+$B$44-1,$B60/$B$44,$B60-SUM($C60:Z60))),0))</f>
        <v>0</v>
      </c>
      <c r="AB60" s="4">
        <f>IF($B$44=0,0,IF(AB$2&gt;=$A60,IF(AB$2=$A60,($B60/$B$44)*$B$41,IF(AB$2&lt;=$A60+$B$44-1,$B60/$B$44,$B60-SUM($C60:AA60))),0))</f>
        <v>0</v>
      </c>
      <c r="AC60" s="4">
        <f>IF($B$44=0,0,IF(AC$2&gt;=$A60,IF(AC$2=$A60,($B60/$B$44)*$B$41,IF(AC$2&lt;=$A60+$B$44-1,$B60/$B$44,$B60-SUM($C60:AB60))),0))</f>
        <v>0</v>
      </c>
      <c r="AD60" s="4">
        <f>IF($B$44=0,0,IF(AD$2&gt;=$A60,IF(AD$2=$A60,($B60/$B$44)*$B$41,IF(AD$2&lt;=$A60+$B$44-1,$B60/$B$44,$B60-SUM($C60:AC60))),0))</f>
        <v>0</v>
      </c>
      <c r="AE60" s="4">
        <f>IF($B$44=0,0,IF(AE$2&gt;=$A60,IF(AE$2=$A60,($B60/$B$44)*$B$41,IF(AE$2&lt;=$A60+$B$44-1,$B60/$B$44,$B60-SUM($C60:AD60))),0))</f>
        <v>0</v>
      </c>
      <c r="AF60" s="4">
        <f>IF($B$44=0,0,IF(AF$2&gt;=$A60,IF(AF$2=$A60,($B60/$B$44)*$B$41,IF(AF$2&lt;=$A60+$B$44-1,$B60/$B$44,$B60-SUM($C60:AE60))),0))</f>
        <v>0</v>
      </c>
      <c r="AG60" s="4">
        <f t="shared" si="24"/>
        <v>0</v>
      </c>
    </row>
    <row r="61" spans="1:33">
      <c r="A61" s="6">
        <f t="shared" si="25"/>
        <v>2038</v>
      </c>
      <c r="B61" s="4">
        <f t="shared" si="23"/>
        <v>0</v>
      </c>
      <c r="C61" s="4">
        <f>IF($B$44=0,0,IF(C$2&gt;=$A61,IF(C$2=$A61,($B61/$B$44)*$B$41,IF(C$2&lt;=$A61+$B$44-1,$B61/$B$44,$B61-SUM(B61:$C61))),0))</f>
        <v>0</v>
      </c>
      <c r="D61" s="4">
        <f>IF($B$44=0,0,IF(D$2&gt;=$A61,IF(D$2=$A61,($B61/$B$44)*$B$41,IF(D$2&lt;=$A61+$B$44-1,$B61/$B$44,$B61-SUM(C61:$C61))),0))</f>
        <v>0</v>
      </c>
      <c r="E61" s="4">
        <f>IF($B$44=0,0,IF(E$2&gt;=$A61,IF(E$2=$A61,($B61/$B$44)*$B$41,IF(E$2&lt;=$A61+$B$44-1,$B61/$B$44,$B61-SUM($C61:D61))),0))</f>
        <v>0</v>
      </c>
      <c r="F61" s="4">
        <f>IF($B$44=0,0,IF(F$2&gt;=$A61,IF(F$2=$A61,($B61/$B$44)*$B$41,IF(F$2&lt;=$A61+$B$44-1,$B61/$B$44,$B61-SUM($C61:E61))),0))</f>
        <v>0</v>
      </c>
      <c r="G61" s="4">
        <f>IF($B$44=0,0,IF(G$2&gt;=$A61,IF(G$2=$A61,($B61/$B$44)*$B$41,IF(G$2&lt;=$A61+$B$44-1,$B61/$B$44,$B61-SUM($C61:F61))),0))</f>
        <v>0</v>
      </c>
      <c r="H61" s="4">
        <f>IF($B$44=0,0,IF(H$2&gt;=$A61,IF(H$2=$A61,($B61/$B$44)*$B$41,IF(H$2&lt;=$A61+$B$44-1,$B61/$B$44,$B61-SUM($C61:G61))),0))</f>
        <v>0</v>
      </c>
      <c r="I61" s="4">
        <f>IF($B$44=0,0,IF(I$2&gt;=$A61,IF(I$2=$A61,($B61/$B$44)*$B$41,IF(I$2&lt;=$A61+$B$44-1,$B61/$B$44,$B61-SUM($C61:H61))),0))</f>
        <v>0</v>
      </c>
      <c r="J61" s="4">
        <f>IF($B$44=0,0,IF(J$2&gt;=$A61,IF(J$2=$A61,($B61/$B$44)*$B$41,IF(J$2&lt;=$A61+$B$44-1,$B61/$B$44,$B61-SUM($C61:I61))),0))</f>
        <v>0</v>
      </c>
      <c r="K61" s="4">
        <f>IF($B$44=0,0,IF(K$2&gt;=$A61,IF(K$2=$A61,($B61/$B$44)*$B$41,IF(K$2&lt;=$A61+$B$44-1,$B61/$B$44,$B61-SUM($C61:J61))),0))</f>
        <v>0</v>
      </c>
      <c r="L61" s="4">
        <f>IF($B$44=0,0,IF(L$2&gt;=$A61,IF(L$2=$A61,($B61/$B$44)*$B$41,IF(L$2&lt;=$A61+$B$44-1,$B61/$B$44,$B61-SUM($C61:K61))),0))</f>
        <v>0</v>
      </c>
      <c r="M61" s="4">
        <f>IF($B$44=0,0,IF(M$2&gt;=$A61,IF(M$2=$A61,($B61/$B$44)*$B$41,IF(M$2&lt;=$A61+$B$44-1,$B61/$B$44,$B61-SUM($C61:L61))),0))</f>
        <v>0</v>
      </c>
      <c r="N61" s="4">
        <f>IF($B$44=0,0,IF(N$2&gt;=$A61,IF(N$2=$A61,($B61/$B$44)*$B$41,IF(N$2&lt;=$A61+$B$44-1,$B61/$B$44,$B61-SUM($C61:M61))),0))</f>
        <v>0</v>
      </c>
      <c r="O61" s="4">
        <f>IF($B$44=0,0,IF(O$2&gt;=$A61,IF(O$2=$A61,($B61/$B$44)*$B$41,IF(O$2&lt;=$A61+$B$44-1,$B61/$B$44,$B61-SUM($C61:N61))),0))</f>
        <v>0</v>
      </c>
      <c r="P61" s="4">
        <f>IF($B$44=0,0,IF(P$2&gt;=$A61,IF(P$2=$A61,($B61/$B$44)*$B$41,IF(P$2&lt;=$A61+$B$44-1,$B61/$B$44,$B61-SUM($C61:O61))),0))</f>
        <v>0</v>
      </c>
      <c r="Q61" s="4">
        <f>IF($B$44=0,0,IF(Q$2&gt;=$A61,IF(Q$2=$A61,($B61/$B$44)*$B$41,IF(Q$2&lt;=$A61+$B$44-1,$B61/$B$44,$B61-SUM($C61:P61))),0))</f>
        <v>0</v>
      </c>
      <c r="R61" s="4">
        <f>IF($B$44=0,0,IF(R$2&gt;=$A61,IF(R$2=$A61,($B61/$B$44)*$B$41,IF(R$2&lt;=$A61+$B$44-1,$B61/$B$44,$B61-SUM($C61:Q61))),0))</f>
        <v>0</v>
      </c>
      <c r="S61" s="4">
        <f>IF($B$44=0,0,IF(S$2&gt;=$A61,IF(S$2=$A61,($B61/$B$44)*$B$41,IF(S$2&lt;=$A61+$B$44-1,$B61/$B$44,$B61-SUM($C61:R61))),0))</f>
        <v>0</v>
      </c>
      <c r="T61" s="4">
        <f>IF($B$44=0,0,IF(T$2&gt;=$A61,IF(T$2=$A61,($B61/$B$44)*$B$41,IF(T$2&lt;=$A61+$B$44-1,$B61/$B$44,$B61-SUM($C61:S61))),0))</f>
        <v>0</v>
      </c>
      <c r="U61" s="4">
        <f>IF($B$44=0,0,IF(U$2&gt;=$A61,IF(U$2=$A61,($B61/$B$44)*$B$41,IF(U$2&lt;=$A61+$B$44-1,$B61/$B$44,$B61-SUM($C61:T61))),0))</f>
        <v>0</v>
      </c>
      <c r="V61" s="4">
        <f>IF($B$44=0,0,IF(V$2&gt;=$A61,IF(V$2=$A61,($B61/$B$44)*$B$41,IF(V$2&lt;=$A61+$B$44-1,$B61/$B$44,$B61-SUM($C61:U61))),0))</f>
        <v>0</v>
      </c>
      <c r="W61" s="4">
        <f>IF($B$44=0,0,IF(W$2&gt;=$A61,IF(W$2=$A61,($B61/$B$44)*$B$41,IF(W$2&lt;=$A61+$B$44-1,$B61/$B$44,$B61-SUM($C61:V61))),0))</f>
        <v>0</v>
      </c>
      <c r="X61" s="4">
        <f>IF($B$44=0,0,IF(X$2&gt;=$A61,IF(X$2=$A61,($B61/$B$44)*$B$41,IF(X$2&lt;=$A61+$B$44-1,$B61/$B$44,$B61-SUM($C61:W61))),0))</f>
        <v>0</v>
      </c>
      <c r="Y61" s="4">
        <f>IF($B$44=0,0,IF(Y$2&gt;=$A61,IF(Y$2=$A61,($B61/$B$44)*$B$41,IF(Y$2&lt;=$A61+$B$44-1,$B61/$B$44,$B61-SUM($C61:X61))),0))</f>
        <v>0</v>
      </c>
      <c r="Z61" s="4">
        <f>IF($B$44=0,0,IF(Z$2&gt;=$A61,IF(Z$2=$A61,($B61/$B$44)*$B$41,IF(Z$2&lt;=$A61+$B$44-1,$B61/$B$44,$B61-SUM($C61:Y61))),0))</f>
        <v>0</v>
      </c>
      <c r="AA61" s="4">
        <f>IF($B$44=0,0,IF(AA$2&gt;=$A61,IF(AA$2=$A61,($B61/$B$44)*$B$41,IF(AA$2&lt;=$A61+$B$44-1,$B61/$B$44,$B61-SUM($C61:Z61))),0))</f>
        <v>0</v>
      </c>
      <c r="AB61" s="4">
        <f>IF($B$44=0,0,IF(AB$2&gt;=$A61,IF(AB$2=$A61,($B61/$B$44)*$B$41,IF(AB$2&lt;=$A61+$B$44-1,$B61/$B$44,$B61-SUM($C61:AA61))),0))</f>
        <v>0</v>
      </c>
      <c r="AC61" s="4">
        <f>IF($B$44=0,0,IF(AC$2&gt;=$A61,IF(AC$2=$A61,($B61/$B$44)*$B$41,IF(AC$2&lt;=$A61+$B$44-1,$B61/$B$44,$B61-SUM($C61:AB61))),0))</f>
        <v>0</v>
      </c>
      <c r="AD61" s="4">
        <f>IF($B$44=0,0,IF(AD$2&gt;=$A61,IF(AD$2=$A61,($B61/$B$44)*$B$41,IF(AD$2&lt;=$A61+$B$44-1,$B61/$B$44,$B61-SUM($C61:AC61))),0))</f>
        <v>0</v>
      </c>
      <c r="AE61" s="4">
        <f>IF($B$44=0,0,IF(AE$2&gt;=$A61,IF(AE$2=$A61,($B61/$B$44)*$B$41,IF(AE$2&lt;=$A61+$B$44-1,$B61/$B$44,$B61-SUM($C61:AD61))),0))</f>
        <v>0</v>
      </c>
      <c r="AF61" s="4">
        <f>IF($B$44=0,0,IF(AF$2&gt;=$A61,IF(AF$2=$A61,($B61/$B$44)*$B$41,IF(AF$2&lt;=$A61+$B$44-1,$B61/$B$44,$B61-SUM($C61:AE61))),0))</f>
        <v>0</v>
      </c>
      <c r="AG61" s="4">
        <f t="shared" si="24"/>
        <v>0</v>
      </c>
    </row>
    <row r="62" spans="1:33">
      <c r="A62" s="6">
        <f t="shared" si="25"/>
        <v>2039</v>
      </c>
      <c r="B62" s="4">
        <f t="shared" si="23"/>
        <v>0</v>
      </c>
      <c r="C62" s="4">
        <f>IF($B$44=0,0,IF(C$2&gt;=$A62,IF(C$2=$A62,($B62/$B$44)*$B$41,IF(C$2&lt;=$A62+$B$44-1,$B62/$B$44,$B62-SUM(B62:$C62))),0))</f>
        <v>0</v>
      </c>
      <c r="D62" s="4">
        <f>IF($B$44=0,0,IF(D$2&gt;=$A62,IF(D$2=$A62,($B62/$B$44)*$B$41,IF(D$2&lt;=$A62+$B$44-1,$B62/$B$44,$B62-SUM(C62:$C62))),0))</f>
        <v>0</v>
      </c>
      <c r="E62" s="4">
        <f>IF($B$44=0,0,IF(E$2&gt;=$A62,IF(E$2=$A62,($B62/$B$44)*$B$41,IF(E$2&lt;=$A62+$B$44-1,$B62/$B$44,$B62-SUM($C62:D62))),0))</f>
        <v>0</v>
      </c>
      <c r="F62" s="4">
        <f>IF($B$44=0,0,IF(F$2&gt;=$A62,IF(F$2=$A62,($B62/$B$44)*$B$41,IF(F$2&lt;=$A62+$B$44-1,$B62/$B$44,$B62-SUM($C62:E62))),0))</f>
        <v>0</v>
      </c>
      <c r="G62" s="4">
        <f>IF($B$44=0,0,IF(G$2&gt;=$A62,IF(G$2=$A62,($B62/$B$44)*$B$41,IF(G$2&lt;=$A62+$B$44-1,$B62/$B$44,$B62-SUM($C62:F62))),0))</f>
        <v>0</v>
      </c>
      <c r="H62" s="4">
        <f>IF($B$44=0,0,IF(H$2&gt;=$A62,IF(H$2=$A62,($B62/$B$44)*$B$41,IF(H$2&lt;=$A62+$B$44-1,$B62/$B$44,$B62-SUM($C62:G62))),0))</f>
        <v>0</v>
      </c>
      <c r="I62" s="4">
        <f>IF($B$44=0,0,IF(I$2&gt;=$A62,IF(I$2=$A62,($B62/$B$44)*$B$41,IF(I$2&lt;=$A62+$B$44-1,$B62/$B$44,$B62-SUM($C62:H62))),0))</f>
        <v>0</v>
      </c>
      <c r="J62" s="4">
        <f>IF($B$44=0,0,IF(J$2&gt;=$A62,IF(J$2=$A62,($B62/$B$44)*$B$41,IF(J$2&lt;=$A62+$B$44-1,$B62/$B$44,$B62-SUM($C62:I62))),0))</f>
        <v>0</v>
      </c>
      <c r="K62" s="4">
        <f>IF($B$44=0,0,IF(K$2&gt;=$A62,IF(K$2=$A62,($B62/$B$44)*$B$41,IF(K$2&lt;=$A62+$B$44-1,$B62/$B$44,$B62-SUM($C62:J62))),0))</f>
        <v>0</v>
      </c>
      <c r="L62" s="4">
        <f>IF($B$44=0,0,IF(L$2&gt;=$A62,IF(L$2=$A62,($B62/$B$44)*$B$41,IF(L$2&lt;=$A62+$B$44-1,$B62/$B$44,$B62-SUM($C62:K62))),0))</f>
        <v>0</v>
      </c>
      <c r="M62" s="4">
        <f>IF($B$44=0,0,IF(M$2&gt;=$A62,IF(M$2=$A62,($B62/$B$44)*$B$41,IF(M$2&lt;=$A62+$B$44-1,$B62/$B$44,$B62-SUM($C62:L62))),0))</f>
        <v>0</v>
      </c>
      <c r="N62" s="4">
        <f>IF($B$44=0,0,IF(N$2&gt;=$A62,IF(N$2=$A62,($B62/$B$44)*$B$41,IF(N$2&lt;=$A62+$B$44-1,$B62/$B$44,$B62-SUM($C62:M62))),0))</f>
        <v>0</v>
      </c>
      <c r="O62" s="4">
        <f>IF($B$44=0,0,IF(O$2&gt;=$A62,IF(O$2=$A62,($B62/$B$44)*$B$41,IF(O$2&lt;=$A62+$B$44-1,$B62/$B$44,$B62-SUM($C62:N62))),0))</f>
        <v>0</v>
      </c>
      <c r="P62" s="4">
        <f>IF($B$44=0,0,IF(P$2&gt;=$A62,IF(P$2=$A62,($B62/$B$44)*$B$41,IF(P$2&lt;=$A62+$B$44-1,$B62/$B$44,$B62-SUM($C62:O62))),0))</f>
        <v>0</v>
      </c>
      <c r="Q62" s="4">
        <f>IF($B$44=0,0,IF(Q$2&gt;=$A62,IF(Q$2=$A62,($B62/$B$44)*$B$41,IF(Q$2&lt;=$A62+$B$44-1,$B62/$B$44,$B62-SUM($C62:P62))),0))</f>
        <v>0</v>
      </c>
      <c r="R62" s="4">
        <f>IF($B$44=0,0,IF(R$2&gt;=$A62,IF(R$2=$A62,($B62/$B$44)*$B$41,IF(R$2&lt;=$A62+$B$44-1,$B62/$B$44,$B62-SUM($C62:Q62))),0))</f>
        <v>0</v>
      </c>
      <c r="S62" s="4">
        <f>IF($B$44=0,0,IF(S$2&gt;=$A62,IF(S$2=$A62,($B62/$B$44)*$B$41,IF(S$2&lt;=$A62+$B$44-1,$B62/$B$44,$B62-SUM($C62:R62))),0))</f>
        <v>0</v>
      </c>
      <c r="T62" s="4">
        <f>IF($B$44=0,0,IF(T$2&gt;=$A62,IF(T$2=$A62,($B62/$B$44)*$B$41,IF(T$2&lt;=$A62+$B$44-1,$B62/$B$44,$B62-SUM($C62:S62))),0))</f>
        <v>0</v>
      </c>
      <c r="U62" s="4">
        <f>IF($B$44=0,0,IF(U$2&gt;=$A62,IF(U$2=$A62,($B62/$B$44)*$B$41,IF(U$2&lt;=$A62+$B$44-1,$B62/$B$44,$B62-SUM($C62:T62))),0))</f>
        <v>0</v>
      </c>
      <c r="V62" s="4">
        <f>IF($B$44=0,0,IF(V$2&gt;=$A62,IF(V$2=$A62,($B62/$B$44)*$B$41,IF(V$2&lt;=$A62+$B$44-1,$B62/$B$44,$B62-SUM($C62:U62))),0))</f>
        <v>0</v>
      </c>
      <c r="W62" s="4">
        <f>IF($B$44=0,0,IF(W$2&gt;=$A62,IF(W$2=$A62,($B62/$B$44)*$B$41,IF(W$2&lt;=$A62+$B$44-1,$B62/$B$44,$B62-SUM($C62:V62))),0))</f>
        <v>0</v>
      </c>
      <c r="X62" s="4">
        <f>IF($B$44=0,0,IF(X$2&gt;=$A62,IF(X$2=$A62,($B62/$B$44)*$B$41,IF(X$2&lt;=$A62+$B$44-1,$B62/$B$44,$B62-SUM($C62:W62))),0))</f>
        <v>0</v>
      </c>
      <c r="Y62" s="4">
        <f>IF($B$44=0,0,IF(Y$2&gt;=$A62,IF(Y$2=$A62,($B62/$B$44)*$B$41,IF(Y$2&lt;=$A62+$B$44-1,$B62/$B$44,$B62-SUM($C62:X62))),0))</f>
        <v>0</v>
      </c>
      <c r="Z62" s="4">
        <f>IF($B$44=0,0,IF(Z$2&gt;=$A62,IF(Z$2=$A62,($B62/$B$44)*$B$41,IF(Z$2&lt;=$A62+$B$44-1,$B62/$B$44,$B62-SUM($C62:Y62))),0))</f>
        <v>0</v>
      </c>
      <c r="AA62" s="4">
        <f>IF($B$44=0,0,IF(AA$2&gt;=$A62,IF(AA$2=$A62,($B62/$B$44)*$B$41,IF(AA$2&lt;=$A62+$B$44-1,$B62/$B$44,$B62-SUM($C62:Z62))),0))</f>
        <v>0</v>
      </c>
      <c r="AB62" s="4">
        <f>IF($B$44=0,0,IF(AB$2&gt;=$A62,IF(AB$2=$A62,($B62/$B$44)*$B$41,IF(AB$2&lt;=$A62+$B$44-1,$B62/$B$44,$B62-SUM($C62:AA62))),0))</f>
        <v>0</v>
      </c>
      <c r="AC62" s="4">
        <f>IF($B$44=0,0,IF(AC$2&gt;=$A62,IF(AC$2=$A62,($B62/$B$44)*$B$41,IF(AC$2&lt;=$A62+$B$44-1,$B62/$B$44,$B62-SUM($C62:AB62))),0))</f>
        <v>0</v>
      </c>
      <c r="AD62" s="4">
        <f>IF($B$44=0,0,IF(AD$2&gt;=$A62,IF(AD$2=$A62,($B62/$B$44)*$B$41,IF(AD$2&lt;=$A62+$B$44-1,$B62/$B$44,$B62-SUM($C62:AC62))),0))</f>
        <v>0</v>
      </c>
      <c r="AE62" s="4">
        <f>IF($B$44=0,0,IF(AE$2&gt;=$A62,IF(AE$2=$A62,($B62/$B$44)*$B$41,IF(AE$2&lt;=$A62+$B$44-1,$B62/$B$44,$B62-SUM($C62:AD62))),0))</f>
        <v>0</v>
      </c>
      <c r="AF62" s="4">
        <f>IF($B$44=0,0,IF(AF$2&gt;=$A62,IF(AF$2=$A62,($B62/$B$44)*$B$41,IF(AF$2&lt;=$A62+$B$44-1,$B62/$B$44,$B62-SUM($C62:AE62))),0))</f>
        <v>0</v>
      </c>
      <c r="AG62" s="4">
        <f t="shared" si="24"/>
        <v>0</v>
      </c>
    </row>
    <row r="63" spans="1:33">
      <c r="A63" s="6">
        <f t="shared" si="25"/>
        <v>2040</v>
      </c>
      <c r="B63" s="4">
        <f t="shared" si="23"/>
        <v>0</v>
      </c>
      <c r="C63" s="4">
        <f>IF($B$44=0,0,IF(C$2&gt;=$A63,IF(C$2=$A63,($B63/$B$44)*$B$41,IF(C$2&lt;=$A63+$B$44-1,$B63/$B$44,$B63-SUM(B63:$C63))),0))</f>
        <v>0</v>
      </c>
      <c r="D63" s="4">
        <f>IF($B$44=0,0,IF(D$2&gt;=$A63,IF(D$2=$A63,($B63/$B$44)*$B$41,IF(D$2&lt;=$A63+$B$44-1,$B63/$B$44,$B63-SUM(C63:$C63))),0))</f>
        <v>0</v>
      </c>
      <c r="E63" s="4">
        <f>IF($B$44=0,0,IF(E$2&gt;=$A63,IF(E$2=$A63,($B63/$B$44)*$B$41,IF(E$2&lt;=$A63+$B$44-1,$B63/$B$44,$B63-SUM($C63:D63))),0))</f>
        <v>0</v>
      </c>
      <c r="F63" s="4">
        <f>IF($B$44=0,0,IF(F$2&gt;=$A63,IF(F$2=$A63,($B63/$B$44)*$B$41,IF(F$2&lt;=$A63+$B$44-1,$B63/$B$44,$B63-SUM($C63:E63))),0))</f>
        <v>0</v>
      </c>
      <c r="G63" s="4">
        <f>IF($B$44=0,0,IF(G$2&gt;=$A63,IF(G$2=$A63,($B63/$B$44)*$B$41,IF(G$2&lt;=$A63+$B$44-1,$B63/$B$44,$B63-SUM($C63:F63))),0))</f>
        <v>0</v>
      </c>
      <c r="H63" s="4">
        <f>IF($B$44=0,0,IF(H$2&gt;=$A63,IF(H$2=$A63,($B63/$B$44)*$B$41,IF(H$2&lt;=$A63+$B$44-1,$B63/$B$44,$B63-SUM($C63:G63))),0))</f>
        <v>0</v>
      </c>
      <c r="I63" s="4">
        <f>IF($B$44=0,0,IF(I$2&gt;=$A63,IF(I$2=$A63,($B63/$B$44)*$B$41,IF(I$2&lt;=$A63+$B$44-1,$B63/$B$44,$B63-SUM($C63:H63))),0))</f>
        <v>0</v>
      </c>
      <c r="J63" s="4">
        <f>IF($B$44=0,0,IF(J$2&gt;=$A63,IF(J$2=$A63,($B63/$B$44)*$B$41,IF(J$2&lt;=$A63+$B$44-1,$B63/$B$44,$B63-SUM($C63:I63))),0))</f>
        <v>0</v>
      </c>
      <c r="K63" s="4">
        <f>IF($B$44=0,0,IF(K$2&gt;=$A63,IF(K$2=$A63,($B63/$B$44)*$B$41,IF(K$2&lt;=$A63+$B$44-1,$B63/$B$44,$B63-SUM($C63:J63))),0))</f>
        <v>0</v>
      </c>
      <c r="L63" s="4">
        <f>IF($B$44=0,0,IF(L$2&gt;=$A63,IF(L$2=$A63,($B63/$B$44)*$B$41,IF(L$2&lt;=$A63+$B$44-1,$B63/$B$44,$B63-SUM($C63:K63))),0))</f>
        <v>0</v>
      </c>
      <c r="M63" s="4">
        <f>IF($B$44=0,0,IF(M$2&gt;=$A63,IF(M$2=$A63,($B63/$B$44)*$B$41,IF(M$2&lt;=$A63+$B$44-1,$B63/$B$44,$B63-SUM($C63:L63))),0))</f>
        <v>0</v>
      </c>
      <c r="N63" s="4">
        <f>IF($B$44=0,0,IF(N$2&gt;=$A63,IF(N$2=$A63,($B63/$B$44)*$B$41,IF(N$2&lt;=$A63+$B$44-1,$B63/$B$44,$B63-SUM($C63:M63))),0))</f>
        <v>0</v>
      </c>
      <c r="O63" s="4">
        <f>IF($B$44=0,0,IF(O$2&gt;=$A63,IF(O$2=$A63,($B63/$B$44)*$B$41,IF(O$2&lt;=$A63+$B$44-1,$B63/$B$44,$B63-SUM($C63:N63))),0))</f>
        <v>0</v>
      </c>
      <c r="P63" s="4">
        <f>IF($B$44=0,0,IF(P$2&gt;=$A63,IF(P$2=$A63,($B63/$B$44)*$B$41,IF(P$2&lt;=$A63+$B$44-1,$B63/$B$44,$B63-SUM($C63:O63))),0))</f>
        <v>0</v>
      </c>
      <c r="Q63" s="4">
        <f>IF($B$44=0,0,IF(Q$2&gt;=$A63,IF(Q$2=$A63,($B63/$B$44)*$B$41,IF(Q$2&lt;=$A63+$B$44-1,$B63/$B$44,$B63-SUM($C63:P63))),0))</f>
        <v>0</v>
      </c>
      <c r="R63" s="4">
        <f>IF($B$44=0,0,IF(R$2&gt;=$A63,IF(R$2=$A63,($B63/$B$44)*$B$41,IF(R$2&lt;=$A63+$B$44-1,$B63/$B$44,$B63-SUM($C63:Q63))),0))</f>
        <v>0</v>
      </c>
      <c r="S63" s="4">
        <f>IF($B$44=0,0,IF(S$2&gt;=$A63,IF(S$2=$A63,($B63/$B$44)*$B$41,IF(S$2&lt;=$A63+$B$44-1,$B63/$B$44,$B63-SUM($C63:R63))),0))</f>
        <v>0</v>
      </c>
      <c r="T63" s="4">
        <f>IF($B$44=0,0,IF(T$2&gt;=$A63,IF(T$2=$A63,($B63/$B$44)*$B$41,IF(T$2&lt;=$A63+$B$44-1,$B63/$B$44,$B63-SUM($C63:S63))),0))</f>
        <v>0</v>
      </c>
      <c r="U63" s="4">
        <f>IF($B$44=0,0,IF(U$2&gt;=$A63,IF(U$2=$A63,($B63/$B$44)*$B$41,IF(U$2&lt;=$A63+$B$44-1,$B63/$B$44,$B63-SUM($C63:T63))),0))</f>
        <v>0</v>
      </c>
      <c r="V63" s="4">
        <f>IF($B$44=0,0,IF(V$2&gt;=$A63,IF(V$2=$A63,($B63/$B$44)*$B$41,IF(V$2&lt;=$A63+$B$44-1,$B63/$B$44,$B63-SUM($C63:U63))),0))</f>
        <v>0</v>
      </c>
      <c r="W63" s="4">
        <f>IF($B$44=0,0,IF(W$2&gt;=$A63,IF(W$2=$A63,($B63/$B$44)*$B$41,IF(W$2&lt;=$A63+$B$44-1,$B63/$B$44,$B63-SUM($C63:V63))),0))</f>
        <v>0</v>
      </c>
      <c r="X63" s="4">
        <f>IF($B$44=0,0,IF(X$2&gt;=$A63,IF(X$2=$A63,($B63/$B$44)*$B$41,IF(X$2&lt;=$A63+$B$44-1,$B63/$B$44,$B63-SUM($C63:W63))),0))</f>
        <v>0</v>
      </c>
      <c r="Y63" s="4">
        <f>IF($B$44=0,0,IF(Y$2&gt;=$A63,IF(Y$2=$A63,($B63/$B$44)*$B$41,IF(Y$2&lt;=$A63+$B$44-1,$B63/$B$44,$B63-SUM($C63:X63))),0))</f>
        <v>0</v>
      </c>
      <c r="Z63" s="4">
        <f>IF($B$44=0,0,IF(Z$2&gt;=$A63,IF(Z$2=$A63,($B63/$B$44)*$B$41,IF(Z$2&lt;=$A63+$B$44-1,$B63/$B$44,$B63-SUM($C63:Y63))),0))</f>
        <v>0</v>
      </c>
      <c r="AA63" s="4">
        <f>IF($B$44=0,0,IF(AA$2&gt;=$A63,IF(AA$2=$A63,($B63/$B$44)*$B$41,IF(AA$2&lt;=$A63+$B$44-1,$B63/$B$44,$B63-SUM($C63:Z63))),0))</f>
        <v>0</v>
      </c>
      <c r="AB63" s="4">
        <f>IF($B$44=0,0,IF(AB$2&gt;=$A63,IF(AB$2=$A63,($B63/$B$44)*$B$41,IF(AB$2&lt;=$A63+$B$44-1,$B63/$B$44,$B63-SUM($C63:AA63))),0))</f>
        <v>0</v>
      </c>
      <c r="AC63" s="4">
        <f>IF($B$44=0,0,IF(AC$2&gt;=$A63,IF(AC$2=$A63,($B63/$B$44)*$B$41,IF(AC$2&lt;=$A63+$B$44-1,$B63/$B$44,$B63-SUM($C63:AB63))),0))</f>
        <v>0</v>
      </c>
      <c r="AD63" s="4">
        <f>IF($B$44=0,0,IF(AD$2&gt;=$A63,IF(AD$2=$A63,($B63/$B$44)*$B$41,IF(AD$2&lt;=$A63+$B$44-1,$B63/$B$44,$B63-SUM($C63:AC63))),0))</f>
        <v>0</v>
      </c>
      <c r="AE63" s="4">
        <f>IF($B$44=0,0,IF(AE$2&gt;=$A63,IF(AE$2=$A63,($B63/$B$44)*$B$41,IF(AE$2&lt;=$A63+$B$44-1,$B63/$B$44,$B63-SUM($C63:AD63))),0))</f>
        <v>0</v>
      </c>
      <c r="AF63" s="4">
        <f>IF($B$44=0,0,IF(AF$2&gt;=$A63,IF(AF$2=$A63,($B63/$B$44)*$B$41,IF(AF$2&lt;=$A63+$B$44-1,$B63/$B$44,$B63-SUM($C63:AE63))),0))</f>
        <v>0</v>
      </c>
      <c r="AG63" s="4">
        <f t="shared" si="24"/>
        <v>0</v>
      </c>
    </row>
    <row r="64" spans="1:33">
      <c r="A64" s="6">
        <f t="shared" si="25"/>
        <v>2041</v>
      </c>
      <c r="B64" s="4">
        <f t="shared" si="23"/>
        <v>0</v>
      </c>
      <c r="C64" s="4">
        <f>IF($B$44=0,0,IF(C$2&gt;=$A64,IF(C$2=$A64,($B64/$B$44)*$B$41,IF(C$2&lt;=$A64+$B$44-1,$B64/$B$44,$B64-SUM(B64:$C64))),0))</f>
        <v>0</v>
      </c>
      <c r="D64" s="4">
        <f>IF($B$44=0,0,IF(D$2&gt;=$A64,IF(D$2=$A64,($B64/$B$44)*$B$41,IF(D$2&lt;=$A64+$B$44-1,$B64/$B$44,$B64-SUM(C64:$C64))),0))</f>
        <v>0</v>
      </c>
      <c r="E64" s="4">
        <f>IF($B$44=0,0,IF(E$2&gt;=$A64,IF(E$2=$A64,($B64/$B$44)*$B$41,IF(E$2&lt;=$A64+$B$44-1,$B64/$B$44,$B64-SUM($C64:D64))),0))</f>
        <v>0</v>
      </c>
      <c r="F64" s="4">
        <f>IF($B$44=0,0,IF(F$2&gt;=$A64,IF(F$2=$A64,($B64/$B$44)*$B$41,IF(F$2&lt;=$A64+$B$44-1,$B64/$B$44,$B64-SUM($C64:E64))),0))</f>
        <v>0</v>
      </c>
      <c r="G64" s="4">
        <f>IF($B$44=0,0,IF(G$2&gt;=$A64,IF(G$2=$A64,($B64/$B$44)*$B$41,IF(G$2&lt;=$A64+$B$44-1,$B64/$B$44,$B64-SUM($C64:F64))),0))</f>
        <v>0</v>
      </c>
      <c r="H64" s="4">
        <f>IF($B$44=0,0,IF(H$2&gt;=$A64,IF(H$2=$A64,($B64/$B$44)*$B$41,IF(H$2&lt;=$A64+$B$44-1,$B64/$B$44,$B64-SUM($C64:G64))),0))</f>
        <v>0</v>
      </c>
      <c r="I64" s="4">
        <f>IF($B$44=0,0,IF(I$2&gt;=$A64,IF(I$2=$A64,($B64/$B$44)*$B$41,IF(I$2&lt;=$A64+$B$44-1,$B64/$B$44,$B64-SUM($C64:H64))),0))</f>
        <v>0</v>
      </c>
      <c r="J64" s="4">
        <f>IF($B$44=0,0,IF(J$2&gt;=$A64,IF(J$2=$A64,($B64/$B$44)*$B$41,IF(J$2&lt;=$A64+$B$44-1,$B64/$B$44,$B64-SUM($C64:I64))),0))</f>
        <v>0</v>
      </c>
      <c r="K64" s="4">
        <f>IF($B$44=0,0,IF(K$2&gt;=$A64,IF(K$2=$A64,($B64/$B$44)*$B$41,IF(K$2&lt;=$A64+$B$44-1,$B64/$B$44,$B64-SUM($C64:J64))),0))</f>
        <v>0</v>
      </c>
      <c r="L64" s="4">
        <f>IF($B$44=0,0,IF(L$2&gt;=$A64,IF(L$2=$A64,($B64/$B$44)*$B$41,IF(L$2&lt;=$A64+$B$44-1,$B64/$B$44,$B64-SUM($C64:K64))),0))</f>
        <v>0</v>
      </c>
      <c r="M64" s="4">
        <f>IF($B$44=0,0,IF(M$2&gt;=$A64,IF(M$2=$A64,($B64/$B$44)*$B$41,IF(M$2&lt;=$A64+$B$44-1,$B64/$B$44,$B64-SUM($C64:L64))),0))</f>
        <v>0</v>
      </c>
      <c r="N64" s="4">
        <f>IF($B$44=0,0,IF(N$2&gt;=$A64,IF(N$2=$A64,($B64/$B$44)*$B$41,IF(N$2&lt;=$A64+$B$44-1,$B64/$B$44,$B64-SUM($C64:M64))),0))</f>
        <v>0</v>
      </c>
      <c r="O64" s="4">
        <f>IF($B$44=0,0,IF(O$2&gt;=$A64,IF(O$2=$A64,($B64/$B$44)*$B$41,IF(O$2&lt;=$A64+$B$44-1,$B64/$B$44,$B64-SUM($C64:N64))),0))</f>
        <v>0</v>
      </c>
      <c r="P64" s="4">
        <f>IF($B$44=0,0,IF(P$2&gt;=$A64,IF(P$2=$A64,($B64/$B$44)*$B$41,IF(P$2&lt;=$A64+$B$44-1,$B64/$B$44,$B64-SUM($C64:O64))),0))</f>
        <v>0</v>
      </c>
      <c r="Q64" s="4">
        <f>IF($B$44=0,0,IF(Q$2&gt;=$A64,IF(Q$2=$A64,($B64/$B$44)*$B$41,IF(Q$2&lt;=$A64+$B$44-1,$B64/$B$44,$B64-SUM($C64:P64))),0))</f>
        <v>0</v>
      </c>
      <c r="R64" s="4">
        <f>IF($B$44=0,0,IF(R$2&gt;=$A64,IF(R$2=$A64,($B64/$B$44)*$B$41,IF(R$2&lt;=$A64+$B$44-1,$B64/$B$44,$B64-SUM($C64:Q64))),0))</f>
        <v>0</v>
      </c>
      <c r="S64" s="4">
        <f>IF($B$44=0,0,IF(S$2&gt;=$A64,IF(S$2=$A64,($B64/$B$44)*$B$41,IF(S$2&lt;=$A64+$B$44-1,$B64/$B$44,$B64-SUM($C64:R64))),0))</f>
        <v>0</v>
      </c>
      <c r="T64" s="4">
        <f>IF($B$44=0,0,IF(T$2&gt;=$A64,IF(T$2=$A64,($B64/$B$44)*$B$41,IF(T$2&lt;=$A64+$B$44-1,$B64/$B$44,$B64-SUM($C64:S64))),0))</f>
        <v>0</v>
      </c>
      <c r="U64" s="4">
        <f>IF($B$44=0,0,IF(U$2&gt;=$A64,IF(U$2=$A64,($B64/$B$44)*$B$41,IF(U$2&lt;=$A64+$B$44-1,$B64/$B$44,$B64-SUM($C64:T64))),0))</f>
        <v>0</v>
      </c>
      <c r="V64" s="4">
        <f>IF($B$44=0,0,IF(V$2&gt;=$A64,IF(V$2=$A64,($B64/$B$44)*$B$41,IF(V$2&lt;=$A64+$B$44-1,$B64/$B$44,$B64-SUM($C64:U64))),0))</f>
        <v>0</v>
      </c>
      <c r="W64" s="4">
        <f>IF($B$44=0,0,IF(W$2&gt;=$A64,IF(W$2=$A64,($B64/$B$44)*$B$41,IF(W$2&lt;=$A64+$B$44-1,$B64/$B$44,$B64-SUM($C64:V64))),0))</f>
        <v>0</v>
      </c>
      <c r="X64" s="4">
        <f>IF($B$44=0,0,IF(X$2&gt;=$A64,IF(X$2=$A64,($B64/$B$44)*$B$41,IF(X$2&lt;=$A64+$B$44-1,$B64/$B$44,$B64-SUM($C64:W64))),0))</f>
        <v>0</v>
      </c>
      <c r="Y64" s="4">
        <f>IF($B$44=0,0,IF(Y$2&gt;=$A64,IF(Y$2=$A64,($B64/$B$44)*$B$41,IF(Y$2&lt;=$A64+$B$44-1,$B64/$B$44,$B64-SUM($C64:X64))),0))</f>
        <v>0</v>
      </c>
      <c r="Z64" s="4">
        <f>IF($B$44=0,0,IF(Z$2&gt;=$A64,IF(Z$2=$A64,($B64/$B$44)*$B$41,IF(Z$2&lt;=$A64+$B$44-1,$B64/$B$44,$B64-SUM($C64:Y64))),0))</f>
        <v>0</v>
      </c>
      <c r="AA64" s="4">
        <f>IF($B$44=0,0,IF(AA$2&gt;=$A64,IF(AA$2=$A64,($B64/$B$44)*$B$41,IF(AA$2&lt;=$A64+$B$44-1,$B64/$B$44,$B64-SUM($C64:Z64))),0))</f>
        <v>0</v>
      </c>
      <c r="AB64" s="4">
        <f>IF($B$44=0,0,IF(AB$2&gt;=$A64,IF(AB$2=$A64,($B64/$B$44)*$B$41,IF(AB$2&lt;=$A64+$B$44-1,$B64/$B$44,$B64-SUM($C64:AA64))),0))</f>
        <v>0</v>
      </c>
      <c r="AC64" s="4">
        <f>IF($B$44=0,0,IF(AC$2&gt;=$A64,IF(AC$2=$A64,($B64/$B$44)*$B$41,IF(AC$2&lt;=$A64+$B$44-1,$B64/$B$44,$B64-SUM($C64:AB64))),0))</f>
        <v>0</v>
      </c>
      <c r="AD64" s="4">
        <f>IF($B$44=0,0,IF(AD$2&gt;=$A64,IF(AD$2=$A64,($B64/$B$44)*$B$41,IF(AD$2&lt;=$A64+$B$44-1,$B64/$B$44,$B64-SUM($C64:AC64))),0))</f>
        <v>0</v>
      </c>
      <c r="AE64" s="4">
        <f>IF($B$44=0,0,IF(AE$2&gt;=$A64,IF(AE$2=$A64,($B64/$B$44)*$B$41,IF(AE$2&lt;=$A64+$B$44-1,$B64/$B$44,$B64-SUM($C64:AD64))),0))</f>
        <v>0</v>
      </c>
      <c r="AF64" s="4">
        <f>IF($B$44=0,0,IF(AF$2&gt;=$A64,IF(AF$2=$A64,($B64/$B$44)*$B$41,IF(AF$2&lt;=$A64+$B$44-1,$B64/$B$44,$B64-SUM($C64:AE64))),0))</f>
        <v>0</v>
      </c>
      <c r="AG64" s="4">
        <f t="shared" si="24"/>
        <v>0</v>
      </c>
    </row>
    <row r="65" spans="1:33">
      <c r="A65" s="6">
        <f t="shared" si="25"/>
        <v>2042</v>
      </c>
      <c r="B65" s="4">
        <f t="shared" si="23"/>
        <v>0</v>
      </c>
      <c r="C65" s="4">
        <f>IF($B$44=0,0,IF(C$2&gt;=$A65,IF(C$2=$A65,($B65/$B$44)*$B$41,IF(C$2&lt;=$A65+$B$44-1,$B65/$B$44,$B65-SUM(B65:$C65))),0))</f>
        <v>0</v>
      </c>
      <c r="D65" s="4">
        <f>IF($B$44=0,0,IF(D$2&gt;=$A65,IF(D$2=$A65,($B65/$B$44)*$B$41,IF(D$2&lt;=$A65+$B$44-1,$B65/$B$44,$B65-SUM(C65:$C65))),0))</f>
        <v>0</v>
      </c>
      <c r="E65" s="4">
        <f>IF($B$44=0,0,IF(E$2&gt;=$A65,IF(E$2=$A65,($B65/$B$44)*$B$41,IF(E$2&lt;=$A65+$B$44-1,$B65/$B$44,$B65-SUM($C65:D65))),0))</f>
        <v>0</v>
      </c>
      <c r="F65" s="4">
        <f>IF($B$44=0,0,IF(F$2&gt;=$A65,IF(F$2=$A65,($B65/$B$44)*$B$41,IF(F$2&lt;=$A65+$B$44-1,$B65/$B$44,$B65-SUM($C65:E65))),0))</f>
        <v>0</v>
      </c>
      <c r="G65" s="4">
        <f>IF($B$44=0,0,IF(G$2&gt;=$A65,IF(G$2=$A65,($B65/$B$44)*$B$41,IF(G$2&lt;=$A65+$B$44-1,$B65/$B$44,$B65-SUM($C65:F65))),0))</f>
        <v>0</v>
      </c>
      <c r="H65" s="4">
        <f>IF($B$44=0,0,IF(H$2&gt;=$A65,IF(H$2=$A65,($B65/$B$44)*$B$41,IF(H$2&lt;=$A65+$B$44-1,$B65/$B$44,$B65-SUM($C65:G65))),0))</f>
        <v>0</v>
      </c>
      <c r="I65" s="4">
        <f>IF($B$44=0,0,IF(I$2&gt;=$A65,IF(I$2=$A65,($B65/$B$44)*$B$41,IF(I$2&lt;=$A65+$B$44-1,$B65/$B$44,$B65-SUM($C65:H65))),0))</f>
        <v>0</v>
      </c>
      <c r="J65" s="4">
        <f>IF($B$44=0,0,IF(J$2&gt;=$A65,IF(J$2=$A65,($B65/$B$44)*$B$41,IF(J$2&lt;=$A65+$B$44-1,$B65/$B$44,$B65-SUM($C65:I65))),0))</f>
        <v>0</v>
      </c>
      <c r="K65" s="4">
        <f>IF($B$44=0,0,IF(K$2&gt;=$A65,IF(K$2=$A65,($B65/$B$44)*$B$41,IF(K$2&lt;=$A65+$B$44-1,$B65/$B$44,$B65-SUM($C65:J65))),0))</f>
        <v>0</v>
      </c>
      <c r="L65" s="4">
        <f>IF($B$44=0,0,IF(L$2&gt;=$A65,IF(L$2=$A65,($B65/$B$44)*$B$41,IF(L$2&lt;=$A65+$B$44-1,$B65/$B$44,$B65-SUM($C65:K65))),0))</f>
        <v>0</v>
      </c>
      <c r="M65" s="4">
        <f>IF($B$44=0,0,IF(M$2&gt;=$A65,IF(M$2=$A65,($B65/$B$44)*$B$41,IF(M$2&lt;=$A65+$B$44-1,$B65/$B$44,$B65-SUM($C65:L65))),0))</f>
        <v>0</v>
      </c>
      <c r="N65" s="4">
        <f>IF($B$44=0,0,IF(N$2&gt;=$A65,IF(N$2=$A65,($B65/$B$44)*$B$41,IF(N$2&lt;=$A65+$B$44-1,$B65/$B$44,$B65-SUM($C65:M65))),0))</f>
        <v>0</v>
      </c>
      <c r="O65" s="4">
        <f>IF($B$44=0,0,IF(O$2&gt;=$A65,IF(O$2=$A65,($B65/$B$44)*$B$41,IF(O$2&lt;=$A65+$B$44-1,$B65/$B$44,$B65-SUM($C65:N65))),0))</f>
        <v>0</v>
      </c>
      <c r="P65" s="4">
        <f>IF($B$44=0,0,IF(P$2&gt;=$A65,IF(P$2=$A65,($B65/$B$44)*$B$41,IF(P$2&lt;=$A65+$B$44-1,$B65/$B$44,$B65-SUM($C65:O65))),0))</f>
        <v>0</v>
      </c>
      <c r="Q65" s="4">
        <f>IF($B$44=0,0,IF(Q$2&gt;=$A65,IF(Q$2=$A65,($B65/$B$44)*$B$41,IF(Q$2&lt;=$A65+$B$44-1,$B65/$B$44,$B65-SUM($C65:P65))),0))</f>
        <v>0</v>
      </c>
      <c r="R65" s="4">
        <f>IF($B$44=0,0,IF(R$2&gt;=$A65,IF(R$2=$A65,($B65/$B$44)*$B$41,IF(R$2&lt;=$A65+$B$44-1,$B65/$B$44,$B65-SUM($C65:Q65))),0))</f>
        <v>0</v>
      </c>
      <c r="S65" s="4">
        <f>IF($B$44=0,0,IF(S$2&gt;=$A65,IF(S$2=$A65,($B65/$B$44)*$B$41,IF(S$2&lt;=$A65+$B$44-1,$B65/$B$44,$B65-SUM($C65:R65))),0))</f>
        <v>0</v>
      </c>
      <c r="T65" s="4">
        <f>IF($B$44=0,0,IF(T$2&gt;=$A65,IF(T$2=$A65,($B65/$B$44)*$B$41,IF(T$2&lt;=$A65+$B$44-1,$B65/$B$44,$B65-SUM($C65:S65))),0))</f>
        <v>0</v>
      </c>
      <c r="U65" s="4">
        <f>IF($B$44=0,0,IF(U$2&gt;=$A65,IF(U$2=$A65,($B65/$B$44)*$B$41,IF(U$2&lt;=$A65+$B$44-1,$B65/$B$44,$B65-SUM($C65:T65))),0))</f>
        <v>0</v>
      </c>
      <c r="V65" s="4">
        <f>IF($B$44=0,0,IF(V$2&gt;=$A65,IF(V$2=$A65,($B65/$B$44)*$B$41,IF(V$2&lt;=$A65+$B$44-1,$B65/$B$44,$B65-SUM($C65:U65))),0))</f>
        <v>0</v>
      </c>
      <c r="W65" s="4">
        <f>IF($B$44=0,0,IF(W$2&gt;=$A65,IF(W$2=$A65,($B65/$B$44)*$B$41,IF(W$2&lt;=$A65+$B$44-1,$B65/$B$44,$B65-SUM($C65:V65))),0))</f>
        <v>0</v>
      </c>
      <c r="X65" s="4">
        <f>IF($B$44=0,0,IF(X$2&gt;=$A65,IF(X$2=$A65,($B65/$B$44)*$B$41,IF(X$2&lt;=$A65+$B$44-1,$B65/$B$44,$B65-SUM($C65:W65))),0))</f>
        <v>0</v>
      </c>
      <c r="Y65" s="4">
        <f>IF($B$44=0,0,IF(Y$2&gt;=$A65,IF(Y$2=$A65,($B65/$B$44)*$B$41,IF(Y$2&lt;=$A65+$B$44-1,$B65/$B$44,$B65-SUM($C65:X65))),0))</f>
        <v>0</v>
      </c>
      <c r="Z65" s="4">
        <f>IF($B$44=0,0,IF(Z$2&gt;=$A65,IF(Z$2=$A65,($B65/$B$44)*$B$41,IF(Z$2&lt;=$A65+$B$44-1,$B65/$B$44,$B65-SUM($C65:Y65))),0))</f>
        <v>0</v>
      </c>
      <c r="AA65" s="4">
        <f>IF($B$44=0,0,IF(AA$2&gt;=$A65,IF(AA$2=$A65,($B65/$B$44)*$B$41,IF(AA$2&lt;=$A65+$B$44-1,$B65/$B$44,$B65-SUM($C65:Z65))),0))</f>
        <v>0</v>
      </c>
      <c r="AB65" s="4">
        <f>IF($B$44=0,0,IF(AB$2&gt;=$A65,IF(AB$2=$A65,($B65/$B$44)*$B$41,IF(AB$2&lt;=$A65+$B$44-1,$B65/$B$44,$B65-SUM($C65:AA65))),0))</f>
        <v>0</v>
      </c>
      <c r="AC65" s="4">
        <f>IF($B$44=0,0,IF(AC$2&gt;=$A65,IF(AC$2=$A65,($B65/$B$44)*$B$41,IF(AC$2&lt;=$A65+$B$44-1,$B65/$B$44,$B65-SUM($C65:AB65))),0))</f>
        <v>0</v>
      </c>
      <c r="AD65" s="4">
        <f>IF($B$44=0,0,IF(AD$2&gt;=$A65,IF(AD$2=$A65,($B65/$B$44)*$B$41,IF(AD$2&lt;=$A65+$B$44-1,$B65/$B$44,$B65-SUM($C65:AC65))),0))</f>
        <v>0</v>
      </c>
      <c r="AE65" s="4">
        <f>IF($B$44=0,0,IF(AE$2&gt;=$A65,IF(AE$2=$A65,($B65/$B$44)*$B$41,IF(AE$2&lt;=$A65+$B$44-1,$B65/$B$44,$B65-SUM($C65:AD65))),0))</f>
        <v>0</v>
      </c>
      <c r="AF65" s="4">
        <f>IF($B$44=0,0,IF(AF$2&gt;=$A65,IF(AF$2=$A65,($B65/$B$44)*$B$41,IF(AF$2&lt;=$A65+$B$44-1,$B65/$B$44,$B65-SUM($C65:AE65))),0))</f>
        <v>0</v>
      </c>
      <c r="AG65" s="4">
        <f t="shared" si="24"/>
        <v>0</v>
      </c>
    </row>
    <row r="66" spans="1:33">
      <c r="A66" s="6">
        <f t="shared" si="25"/>
        <v>2043</v>
      </c>
      <c r="B66" s="4">
        <f t="shared" si="23"/>
        <v>0</v>
      </c>
      <c r="C66" s="4">
        <f>IF($B$44=0,0,IF(C$2&gt;=$A66,IF(C$2=$A66,($B66/$B$44)*$B$41,IF(C$2&lt;=$A66+$B$44-1,$B66/$B$44,$B66-SUM(B66:$C66))),0))</f>
        <v>0</v>
      </c>
      <c r="D66" s="4">
        <f>IF($B$44=0,0,IF(D$2&gt;=$A66,IF(D$2=$A66,($B66/$B$44)*$B$41,IF(D$2&lt;=$A66+$B$44-1,$B66/$B$44,$B66-SUM(C66:$C66))),0))</f>
        <v>0</v>
      </c>
      <c r="E66" s="4">
        <f>IF($B$44=0,0,IF(E$2&gt;=$A66,IF(E$2=$A66,($B66/$B$44)*$B$41,IF(E$2&lt;=$A66+$B$44-1,$B66/$B$44,$B66-SUM($C66:D66))),0))</f>
        <v>0</v>
      </c>
      <c r="F66" s="4">
        <f>IF($B$44=0,0,IF(F$2&gt;=$A66,IF(F$2=$A66,($B66/$B$44)*$B$41,IF(F$2&lt;=$A66+$B$44-1,$B66/$B$44,$B66-SUM($C66:E66))),0))</f>
        <v>0</v>
      </c>
      <c r="G66" s="4">
        <f>IF($B$44=0,0,IF(G$2&gt;=$A66,IF(G$2=$A66,($B66/$B$44)*$B$41,IF(G$2&lt;=$A66+$B$44-1,$B66/$B$44,$B66-SUM($C66:F66))),0))</f>
        <v>0</v>
      </c>
      <c r="H66" s="4">
        <f>IF($B$44=0,0,IF(H$2&gt;=$A66,IF(H$2=$A66,($B66/$B$44)*$B$41,IF(H$2&lt;=$A66+$B$44-1,$B66/$B$44,$B66-SUM($C66:G66))),0))</f>
        <v>0</v>
      </c>
      <c r="I66" s="4">
        <f>IF($B$44=0,0,IF(I$2&gt;=$A66,IF(I$2=$A66,($B66/$B$44)*$B$41,IF(I$2&lt;=$A66+$B$44-1,$B66/$B$44,$B66-SUM($C66:H66))),0))</f>
        <v>0</v>
      </c>
      <c r="J66" s="4">
        <f>IF($B$44=0,0,IF(J$2&gt;=$A66,IF(J$2=$A66,($B66/$B$44)*$B$41,IF(J$2&lt;=$A66+$B$44-1,$B66/$B$44,$B66-SUM($C66:I66))),0))</f>
        <v>0</v>
      </c>
      <c r="K66" s="4">
        <f>IF($B$44=0,0,IF(K$2&gt;=$A66,IF(K$2=$A66,($B66/$B$44)*$B$41,IF(K$2&lt;=$A66+$B$44-1,$B66/$B$44,$B66-SUM($C66:J66))),0))</f>
        <v>0</v>
      </c>
      <c r="L66" s="4">
        <f>IF($B$44=0,0,IF(L$2&gt;=$A66,IF(L$2=$A66,($B66/$B$44)*$B$41,IF(L$2&lt;=$A66+$B$44-1,$B66/$B$44,$B66-SUM($C66:K66))),0))</f>
        <v>0</v>
      </c>
      <c r="M66" s="4">
        <f>IF($B$44=0,0,IF(M$2&gt;=$A66,IF(M$2=$A66,($B66/$B$44)*$B$41,IF(M$2&lt;=$A66+$B$44-1,$B66/$B$44,$B66-SUM($C66:L66))),0))</f>
        <v>0</v>
      </c>
      <c r="N66" s="4">
        <f>IF($B$44=0,0,IF(N$2&gt;=$A66,IF(N$2=$A66,($B66/$B$44)*$B$41,IF(N$2&lt;=$A66+$B$44-1,$B66/$B$44,$B66-SUM($C66:M66))),0))</f>
        <v>0</v>
      </c>
      <c r="O66" s="4">
        <f>IF($B$44=0,0,IF(O$2&gt;=$A66,IF(O$2=$A66,($B66/$B$44)*$B$41,IF(O$2&lt;=$A66+$B$44-1,$B66/$B$44,$B66-SUM($C66:N66))),0))</f>
        <v>0</v>
      </c>
      <c r="P66" s="4">
        <f>IF($B$44=0,0,IF(P$2&gt;=$A66,IF(P$2=$A66,($B66/$B$44)*$B$41,IF(P$2&lt;=$A66+$B$44-1,$B66/$B$44,$B66-SUM($C66:O66))),0))</f>
        <v>0</v>
      </c>
      <c r="Q66" s="4">
        <f>IF($B$44=0,0,IF(Q$2&gt;=$A66,IF(Q$2=$A66,($B66/$B$44)*$B$41,IF(Q$2&lt;=$A66+$B$44-1,$B66/$B$44,$B66-SUM($C66:P66))),0))</f>
        <v>0</v>
      </c>
      <c r="R66" s="4">
        <f>IF($B$44=0,0,IF(R$2&gt;=$A66,IF(R$2=$A66,($B66/$B$44)*$B$41,IF(R$2&lt;=$A66+$B$44-1,$B66/$B$44,$B66-SUM($C66:Q66))),0))</f>
        <v>0</v>
      </c>
      <c r="S66" s="4">
        <f>IF($B$44=0,0,IF(S$2&gt;=$A66,IF(S$2=$A66,($B66/$B$44)*$B$41,IF(S$2&lt;=$A66+$B$44-1,$B66/$B$44,$B66-SUM($C66:R66))),0))</f>
        <v>0</v>
      </c>
      <c r="T66" s="4">
        <f>IF($B$44=0,0,IF(T$2&gt;=$A66,IF(T$2=$A66,($B66/$B$44)*$B$41,IF(T$2&lt;=$A66+$B$44-1,$B66/$B$44,$B66-SUM($C66:S66))),0))</f>
        <v>0</v>
      </c>
      <c r="U66" s="4">
        <f>IF($B$44=0,0,IF(U$2&gt;=$A66,IF(U$2=$A66,($B66/$B$44)*$B$41,IF(U$2&lt;=$A66+$B$44-1,$B66/$B$44,$B66-SUM($C66:T66))),0))</f>
        <v>0</v>
      </c>
      <c r="V66" s="4">
        <f>IF($B$44=0,0,IF(V$2&gt;=$A66,IF(V$2=$A66,($B66/$B$44)*$B$41,IF(V$2&lt;=$A66+$B$44-1,$B66/$B$44,$B66-SUM($C66:U66))),0))</f>
        <v>0</v>
      </c>
      <c r="W66" s="4">
        <f>IF($B$44=0,0,IF(W$2&gt;=$A66,IF(W$2=$A66,($B66/$B$44)*$B$41,IF(W$2&lt;=$A66+$B$44-1,$B66/$B$44,$B66-SUM($C66:V66))),0))</f>
        <v>0</v>
      </c>
      <c r="X66" s="4">
        <f>IF($B$44=0,0,IF(X$2&gt;=$A66,IF(X$2=$A66,($B66/$B$44)*$B$41,IF(X$2&lt;=$A66+$B$44-1,$B66/$B$44,$B66-SUM($C66:W66))),0))</f>
        <v>0</v>
      </c>
      <c r="Y66" s="4">
        <f>IF($B$44=0,0,IF(Y$2&gt;=$A66,IF(Y$2=$A66,($B66/$B$44)*$B$41,IF(Y$2&lt;=$A66+$B$44-1,$B66/$B$44,$B66-SUM($C66:X66))),0))</f>
        <v>0</v>
      </c>
      <c r="Z66" s="4">
        <f>IF($B$44=0,0,IF(Z$2&gt;=$A66,IF(Z$2=$A66,($B66/$B$44)*$B$41,IF(Z$2&lt;=$A66+$B$44-1,$B66/$B$44,$B66-SUM($C66:Y66))),0))</f>
        <v>0</v>
      </c>
      <c r="AA66" s="4">
        <f>IF($B$44=0,0,IF(AA$2&gt;=$A66,IF(AA$2=$A66,($B66/$B$44)*$B$41,IF(AA$2&lt;=$A66+$B$44-1,$B66/$B$44,$B66-SUM($C66:Z66))),0))</f>
        <v>0</v>
      </c>
      <c r="AB66" s="4">
        <f>IF($B$44=0,0,IF(AB$2&gt;=$A66,IF(AB$2=$A66,($B66/$B$44)*$B$41,IF(AB$2&lt;=$A66+$B$44-1,$B66/$B$44,$B66-SUM($C66:AA66))),0))</f>
        <v>0</v>
      </c>
      <c r="AC66" s="4">
        <f>IF($B$44=0,0,IF(AC$2&gt;=$A66,IF(AC$2=$A66,($B66/$B$44)*$B$41,IF(AC$2&lt;=$A66+$B$44-1,$B66/$B$44,$B66-SUM($C66:AB66))),0))</f>
        <v>0</v>
      </c>
      <c r="AD66" s="4">
        <f>IF($B$44=0,0,IF(AD$2&gt;=$A66,IF(AD$2=$A66,($B66/$B$44)*$B$41,IF(AD$2&lt;=$A66+$B$44-1,$B66/$B$44,$B66-SUM($C66:AC66))),0))</f>
        <v>0</v>
      </c>
      <c r="AE66" s="4">
        <f>IF($B$44=0,0,IF(AE$2&gt;=$A66,IF(AE$2=$A66,($B66/$B$44)*$B$41,IF(AE$2&lt;=$A66+$B$44-1,$B66/$B$44,$B66-SUM($C66:AD66))),0))</f>
        <v>0</v>
      </c>
      <c r="AF66" s="4">
        <f>IF($B$44=0,0,IF(AF$2&gt;=$A66,IF(AF$2=$A66,($B66/$B$44)*$B$41,IF(AF$2&lt;=$A66+$B$44-1,$B66/$B$44,$B66-SUM($C66:AE66))),0))</f>
        <v>0</v>
      </c>
      <c r="AG66" s="4">
        <f t="shared" si="24"/>
        <v>0</v>
      </c>
    </row>
    <row r="67" spans="1:33">
      <c r="A67" s="6">
        <f t="shared" si="25"/>
        <v>2044</v>
      </c>
      <c r="B67" s="4">
        <f t="shared" si="23"/>
        <v>0</v>
      </c>
      <c r="C67" s="4">
        <f>IF($B$44=0,0,IF(C$2&gt;=$A67,IF(C$2=$A67,($B67/$B$44)*$B$41,IF(C$2&lt;=$A67+$B$44-1,$B67/$B$44,$B67-SUM(B67:$C67))),0))</f>
        <v>0</v>
      </c>
      <c r="D67" s="4">
        <f>IF($B$44=0,0,IF(D$2&gt;=$A67,IF(D$2=$A67,($B67/$B$44)*$B$41,IF(D$2&lt;=$A67+$B$44-1,$B67/$B$44,$B67-SUM(C67:$C67))),0))</f>
        <v>0</v>
      </c>
      <c r="E67" s="4">
        <f>IF($B$44=0,0,IF(E$2&gt;=$A67,IF(E$2=$A67,($B67/$B$44)*$B$41,IF(E$2&lt;=$A67+$B$44-1,$B67/$B$44,$B67-SUM($C67:D67))),0))</f>
        <v>0</v>
      </c>
      <c r="F67" s="4">
        <f>IF($B$44=0,0,IF(F$2&gt;=$A67,IF(F$2=$A67,($B67/$B$44)*$B$41,IF(F$2&lt;=$A67+$B$44-1,$B67/$B$44,$B67-SUM($C67:E67))),0))</f>
        <v>0</v>
      </c>
      <c r="G67" s="4">
        <f>IF($B$44=0,0,IF(G$2&gt;=$A67,IF(G$2=$A67,($B67/$B$44)*$B$41,IF(G$2&lt;=$A67+$B$44-1,$B67/$B$44,$B67-SUM($C67:F67))),0))</f>
        <v>0</v>
      </c>
      <c r="H67" s="4">
        <f>IF($B$44=0,0,IF(H$2&gt;=$A67,IF(H$2=$A67,($B67/$B$44)*$B$41,IF(H$2&lt;=$A67+$B$44-1,$B67/$B$44,$B67-SUM($C67:G67))),0))</f>
        <v>0</v>
      </c>
      <c r="I67" s="4">
        <f>IF($B$44=0,0,IF(I$2&gt;=$A67,IF(I$2=$A67,($B67/$B$44)*$B$41,IF(I$2&lt;=$A67+$B$44-1,$B67/$B$44,$B67-SUM($C67:H67))),0))</f>
        <v>0</v>
      </c>
      <c r="J67" s="4">
        <f>IF($B$44=0,0,IF(J$2&gt;=$A67,IF(J$2=$A67,($B67/$B$44)*$B$41,IF(J$2&lt;=$A67+$B$44-1,$B67/$B$44,$B67-SUM($C67:I67))),0))</f>
        <v>0</v>
      </c>
      <c r="K67" s="4">
        <f>IF($B$44=0,0,IF(K$2&gt;=$A67,IF(K$2=$A67,($B67/$B$44)*$B$41,IF(K$2&lt;=$A67+$B$44-1,$B67/$B$44,$B67-SUM($C67:J67))),0))</f>
        <v>0</v>
      </c>
      <c r="L67" s="4">
        <f>IF($B$44=0,0,IF(L$2&gt;=$A67,IF(L$2=$A67,($B67/$B$44)*$B$41,IF(L$2&lt;=$A67+$B$44-1,$B67/$B$44,$B67-SUM($C67:K67))),0))</f>
        <v>0</v>
      </c>
      <c r="M67" s="4">
        <f>IF($B$44=0,0,IF(M$2&gt;=$A67,IF(M$2=$A67,($B67/$B$44)*$B$41,IF(M$2&lt;=$A67+$B$44-1,$B67/$B$44,$B67-SUM($C67:L67))),0))</f>
        <v>0</v>
      </c>
      <c r="N67" s="4">
        <f>IF($B$44=0,0,IF(N$2&gt;=$A67,IF(N$2=$A67,($B67/$B$44)*$B$41,IF(N$2&lt;=$A67+$B$44-1,$B67/$B$44,$B67-SUM($C67:M67))),0))</f>
        <v>0</v>
      </c>
      <c r="O67" s="4">
        <f>IF($B$44=0,0,IF(O$2&gt;=$A67,IF(O$2=$A67,($B67/$B$44)*$B$41,IF(O$2&lt;=$A67+$B$44-1,$B67/$B$44,$B67-SUM($C67:N67))),0))</f>
        <v>0</v>
      </c>
      <c r="P67" s="4">
        <f>IF($B$44=0,0,IF(P$2&gt;=$A67,IF(P$2=$A67,($B67/$B$44)*$B$41,IF(P$2&lt;=$A67+$B$44-1,$B67/$B$44,$B67-SUM($C67:O67))),0))</f>
        <v>0</v>
      </c>
      <c r="Q67" s="4">
        <f>IF($B$44=0,0,IF(Q$2&gt;=$A67,IF(Q$2=$A67,($B67/$B$44)*$B$41,IF(Q$2&lt;=$A67+$B$44-1,$B67/$B$44,$B67-SUM($C67:P67))),0))</f>
        <v>0</v>
      </c>
      <c r="R67" s="4">
        <f>IF($B$44=0,0,IF(R$2&gt;=$A67,IF(R$2=$A67,($B67/$B$44)*$B$41,IF(R$2&lt;=$A67+$B$44-1,$B67/$B$44,$B67-SUM($C67:Q67))),0))</f>
        <v>0</v>
      </c>
      <c r="S67" s="4">
        <f>IF($B$44=0,0,IF(S$2&gt;=$A67,IF(S$2=$A67,($B67/$B$44)*$B$41,IF(S$2&lt;=$A67+$B$44-1,$B67/$B$44,$B67-SUM($C67:R67))),0))</f>
        <v>0</v>
      </c>
      <c r="T67" s="4">
        <f>IF($B$44=0,0,IF(T$2&gt;=$A67,IF(T$2=$A67,($B67/$B$44)*$B$41,IF(T$2&lt;=$A67+$B$44-1,$B67/$B$44,$B67-SUM($C67:S67))),0))</f>
        <v>0</v>
      </c>
      <c r="U67" s="4">
        <f>IF($B$44=0,0,IF(U$2&gt;=$A67,IF(U$2=$A67,($B67/$B$44)*$B$41,IF(U$2&lt;=$A67+$B$44-1,$B67/$B$44,$B67-SUM($C67:T67))),0))</f>
        <v>0</v>
      </c>
      <c r="V67" s="4">
        <f>IF($B$44=0,0,IF(V$2&gt;=$A67,IF(V$2=$A67,($B67/$B$44)*$B$41,IF(V$2&lt;=$A67+$B$44-1,$B67/$B$44,$B67-SUM($C67:U67))),0))</f>
        <v>0</v>
      </c>
      <c r="W67" s="4">
        <f>IF($B$44=0,0,IF(W$2&gt;=$A67,IF(W$2=$A67,($B67/$B$44)*$B$41,IF(W$2&lt;=$A67+$B$44-1,$B67/$B$44,$B67-SUM($C67:V67))),0))</f>
        <v>0</v>
      </c>
      <c r="X67" s="4">
        <f>IF($B$44=0,0,IF(X$2&gt;=$A67,IF(X$2=$A67,($B67/$B$44)*$B$41,IF(X$2&lt;=$A67+$B$44-1,$B67/$B$44,$B67-SUM($C67:W67))),0))</f>
        <v>0</v>
      </c>
      <c r="Y67" s="4">
        <f>IF($B$44=0,0,IF(Y$2&gt;=$A67,IF(Y$2=$A67,($B67/$B$44)*$B$41,IF(Y$2&lt;=$A67+$B$44-1,$B67/$B$44,$B67-SUM($C67:X67))),0))</f>
        <v>0</v>
      </c>
      <c r="Z67" s="4">
        <f>IF($B$44=0,0,IF(Z$2&gt;=$A67,IF(Z$2=$A67,($B67/$B$44)*$B$41,IF(Z$2&lt;=$A67+$B$44-1,$B67/$B$44,$B67-SUM($C67:Y67))),0))</f>
        <v>0</v>
      </c>
      <c r="AA67" s="4">
        <f>IF($B$44=0,0,IF(AA$2&gt;=$A67,IF(AA$2=$A67,($B67/$B$44)*$B$41,IF(AA$2&lt;=$A67+$B$44-1,$B67/$B$44,$B67-SUM($C67:Z67))),0))</f>
        <v>0</v>
      </c>
      <c r="AB67" s="4">
        <f>IF($B$44=0,0,IF(AB$2&gt;=$A67,IF(AB$2=$A67,($B67/$B$44)*$B$41,IF(AB$2&lt;=$A67+$B$44-1,$B67/$B$44,$B67-SUM($C67:AA67))),0))</f>
        <v>0</v>
      </c>
      <c r="AC67" s="4">
        <f>IF($B$44=0,0,IF(AC$2&gt;=$A67,IF(AC$2=$A67,($B67/$B$44)*$B$41,IF(AC$2&lt;=$A67+$B$44-1,$B67/$B$44,$B67-SUM($C67:AB67))),0))</f>
        <v>0</v>
      </c>
      <c r="AD67" s="4">
        <f>IF($B$44=0,0,IF(AD$2&gt;=$A67,IF(AD$2=$A67,($B67/$B$44)*$B$41,IF(AD$2&lt;=$A67+$B$44-1,$B67/$B$44,$B67-SUM($C67:AC67))),0))</f>
        <v>0</v>
      </c>
      <c r="AE67" s="4">
        <f>IF($B$44=0,0,IF(AE$2&gt;=$A67,IF(AE$2=$A67,($B67/$B$44)*$B$41,IF(AE$2&lt;=$A67+$B$44-1,$B67/$B$44,$B67-SUM($C67:AD67))),0))</f>
        <v>0</v>
      </c>
      <c r="AF67" s="4">
        <f>IF($B$44=0,0,IF(AF$2&gt;=$A67,IF(AF$2=$A67,($B67/$B$44)*$B$41,IF(AF$2&lt;=$A67+$B$44-1,$B67/$B$44,$B67-SUM($C67:AE67))),0))</f>
        <v>0</v>
      </c>
      <c r="AG67" s="4">
        <f t="shared" si="24"/>
        <v>0</v>
      </c>
    </row>
    <row r="68" spans="1:33">
      <c r="A68" s="6">
        <f t="shared" si="25"/>
        <v>2045</v>
      </c>
      <c r="B68" s="4">
        <f t="shared" si="23"/>
        <v>0</v>
      </c>
      <c r="C68" s="4">
        <f>IF($B$44=0,0,IF(C$2&gt;=$A68,IF(C$2=$A68,($B68/$B$44)*$B$41,IF(C$2&lt;=$A68+$B$44-1,$B68/$B$44,$B68-SUM(B68:$C68))),0))</f>
        <v>0</v>
      </c>
      <c r="D68" s="4">
        <f>IF($B$44=0,0,IF(D$2&gt;=$A68,IF(D$2=$A68,($B68/$B$44)*$B$41,IF(D$2&lt;=$A68+$B$44-1,$B68/$B$44,$B68-SUM(C68:$C68))),0))</f>
        <v>0</v>
      </c>
      <c r="E68" s="4">
        <f>IF($B$44=0,0,IF(E$2&gt;=$A68,IF(E$2=$A68,($B68/$B$44)*$B$41,IF(E$2&lt;=$A68+$B$44-1,$B68/$B$44,$B68-SUM($C68:D68))),0))</f>
        <v>0</v>
      </c>
      <c r="F68" s="4">
        <f>IF($B$44=0,0,IF(F$2&gt;=$A68,IF(F$2=$A68,($B68/$B$44)*$B$41,IF(F$2&lt;=$A68+$B$44-1,$B68/$B$44,$B68-SUM($C68:E68))),0))</f>
        <v>0</v>
      </c>
      <c r="G68" s="4">
        <f>IF($B$44=0,0,IF(G$2&gt;=$A68,IF(G$2=$A68,($B68/$B$44)*$B$41,IF(G$2&lt;=$A68+$B$44-1,$B68/$B$44,$B68-SUM($C68:F68))),0))</f>
        <v>0</v>
      </c>
      <c r="H68" s="4">
        <f>IF($B$44=0,0,IF(H$2&gt;=$A68,IF(H$2=$A68,($B68/$B$44)*$B$41,IF(H$2&lt;=$A68+$B$44-1,$B68/$B$44,$B68-SUM($C68:G68))),0))</f>
        <v>0</v>
      </c>
      <c r="I68" s="4">
        <f>IF($B$44=0,0,IF(I$2&gt;=$A68,IF(I$2=$A68,($B68/$B$44)*$B$41,IF(I$2&lt;=$A68+$B$44-1,$B68/$B$44,$B68-SUM($C68:H68))),0))</f>
        <v>0</v>
      </c>
      <c r="J68" s="4">
        <f>IF($B$44=0,0,IF(J$2&gt;=$A68,IF(J$2=$A68,($B68/$B$44)*$B$41,IF(J$2&lt;=$A68+$B$44-1,$B68/$B$44,$B68-SUM($C68:I68))),0))</f>
        <v>0</v>
      </c>
      <c r="K68" s="4">
        <f>IF($B$44=0,0,IF(K$2&gt;=$A68,IF(K$2=$A68,($B68/$B$44)*$B$41,IF(K$2&lt;=$A68+$B$44-1,$B68/$B$44,$B68-SUM($C68:J68))),0))</f>
        <v>0</v>
      </c>
      <c r="L68" s="4">
        <f>IF($B$44=0,0,IF(L$2&gt;=$A68,IF(L$2=$A68,($B68/$B$44)*$B$41,IF(L$2&lt;=$A68+$B$44-1,$B68/$B$44,$B68-SUM($C68:K68))),0))</f>
        <v>0</v>
      </c>
      <c r="M68" s="4">
        <f>IF($B$44=0,0,IF(M$2&gt;=$A68,IF(M$2=$A68,($B68/$B$44)*$B$41,IF(M$2&lt;=$A68+$B$44-1,$B68/$B$44,$B68-SUM($C68:L68))),0))</f>
        <v>0</v>
      </c>
      <c r="N68" s="4">
        <f>IF($B$44=0,0,IF(N$2&gt;=$A68,IF(N$2=$A68,($B68/$B$44)*$B$41,IF(N$2&lt;=$A68+$B$44-1,$B68/$B$44,$B68-SUM($C68:M68))),0))</f>
        <v>0</v>
      </c>
      <c r="O68" s="4">
        <f>IF($B$44=0,0,IF(O$2&gt;=$A68,IF(O$2=$A68,($B68/$B$44)*$B$41,IF(O$2&lt;=$A68+$B$44-1,$B68/$B$44,$B68-SUM($C68:N68))),0))</f>
        <v>0</v>
      </c>
      <c r="P68" s="4">
        <f>IF($B$44=0,0,IF(P$2&gt;=$A68,IF(P$2=$A68,($B68/$B$44)*$B$41,IF(P$2&lt;=$A68+$B$44-1,$B68/$B$44,$B68-SUM($C68:O68))),0))</f>
        <v>0</v>
      </c>
      <c r="Q68" s="4">
        <f>IF($B$44=0,0,IF(Q$2&gt;=$A68,IF(Q$2=$A68,($B68/$B$44)*$B$41,IF(Q$2&lt;=$A68+$B$44-1,$B68/$B$44,$B68-SUM($C68:P68))),0))</f>
        <v>0</v>
      </c>
      <c r="R68" s="4">
        <f>IF($B$44=0,0,IF(R$2&gt;=$A68,IF(R$2=$A68,($B68/$B$44)*$B$41,IF(R$2&lt;=$A68+$B$44-1,$B68/$B$44,$B68-SUM($C68:Q68))),0))</f>
        <v>0</v>
      </c>
      <c r="S68" s="4">
        <f>IF($B$44=0,0,IF(S$2&gt;=$A68,IF(S$2=$A68,($B68/$B$44)*$B$41,IF(S$2&lt;=$A68+$B$44-1,$B68/$B$44,$B68-SUM($C68:R68))),0))</f>
        <v>0</v>
      </c>
      <c r="T68" s="4">
        <f>IF($B$44=0,0,IF(T$2&gt;=$A68,IF(T$2=$A68,($B68/$B$44)*$B$41,IF(T$2&lt;=$A68+$B$44-1,$B68/$B$44,$B68-SUM($C68:S68))),0))</f>
        <v>0</v>
      </c>
      <c r="U68" s="4">
        <f>IF($B$44=0,0,IF(U$2&gt;=$A68,IF(U$2=$A68,($B68/$B$44)*$B$41,IF(U$2&lt;=$A68+$B$44-1,$B68/$B$44,$B68-SUM($C68:T68))),0))</f>
        <v>0</v>
      </c>
      <c r="V68" s="4">
        <f>IF($B$44=0,0,IF(V$2&gt;=$A68,IF(V$2=$A68,($B68/$B$44)*$B$41,IF(V$2&lt;=$A68+$B$44-1,$B68/$B$44,$B68-SUM($C68:U68))),0))</f>
        <v>0</v>
      </c>
      <c r="W68" s="4">
        <f>IF($B$44=0,0,IF(W$2&gt;=$A68,IF(W$2=$A68,($B68/$B$44)*$B$41,IF(W$2&lt;=$A68+$B$44-1,$B68/$B$44,$B68-SUM($C68:V68))),0))</f>
        <v>0</v>
      </c>
      <c r="X68" s="4">
        <f>IF($B$44=0,0,IF(X$2&gt;=$A68,IF(X$2=$A68,($B68/$B$44)*$B$41,IF(X$2&lt;=$A68+$B$44-1,$B68/$B$44,$B68-SUM($C68:W68))),0))</f>
        <v>0</v>
      </c>
      <c r="Y68" s="4">
        <f>IF($B$44=0,0,IF(Y$2&gt;=$A68,IF(Y$2=$A68,($B68/$B$44)*$B$41,IF(Y$2&lt;=$A68+$B$44-1,$B68/$B$44,$B68-SUM($C68:X68))),0))</f>
        <v>0</v>
      </c>
      <c r="Z68" s="4">
        <f>IF($B$44=0,0,IF(Z$2&gt;=$A68,IF(Z$2=$A68,($B68/$B$44)*$B$41,IF(Z$2&lt;=$A68+$B$44-1,$B68/$B$44,$B68-SUM($C68:Y68))),0))</f>
        <v>0</v>
      </c>
      <c r="AA68" s="4">
        <f>IF($B$44=0,0,IF(AA$2&gt;=$A68,IF(AA$2=$A68,($B68/$B$44)*$B$41,IF(AA$2&lt;=$A68+$B$44-1,$B68/$B$44,$B68-SUM($C68:Z68))),0))</f>
        <v>0</v>
      </c>
      <c r="AB68" s="4">
        <f>IF($B$44=0,0,IF(AB$2&gt;=$A68,IF(AB$2=$A68,($B68/$B$44)*$B$41,IF(AB$2&lt;=$A68+$B$44-1,$B68/$B$44,$B68-SUM($C68:AA68))),0))</f>
        <v>0</v>
      </c>
      <c r="AC68" s="4">
        <f>IF($B$44=0,0,IF(AC$2&gt;=$A68,IF(AC$2=$A68,($B68/$B$44)*$B$41,IF(AC$2&lt;=$A68+$B$44-1,$B68/$B$44,$B68-SUM($C68:AB68))),0))</f>
        <v>0</v>
      </c>
      <c r="AD68" s="4">
        <f>IF($B$44=0,0,IF(AD$2&gt;=$A68,IF(AD$2=$A68,($B68/$B$44)*$B$41,IF(AD$2&lt;=$A68+$B$44-1,$B68/$B$44,$B68-SUM($C68:AC68))),0))</f>
        <v>0</v>
      </c>
      <c r="AE68" s="4">
        <f>IF($B$44=0,0,IF(AE$2&gt;=$A68,IF(AE$2=$A68,($B68/$B$44)*$B$41,IF(AE$2&lt;=$A68+$B$44-1,$B68/$B$44,$B68-SUM($C68:AD68))),0))</f>
        <v>0</v>
      </c>
      <c r="AF68" s="4">
        <f>IF($B$44=0,0,IF(AF$2&gt;=$A68,IF(AF$2=$A68,($B68/$B$44)*$B$41,IF(AF$2&lt;=$A68+$B$44-1,$B68/$B$44,$B68-SUM($C68:AE68))),0))</f>
        <v>0</v>
      </c>
      <c r="AG68" s="4">
        <f t="shared" si="24"/>
        <v>0</v>
      </c>
    </row>
    <row r="69" spans="1:33">
      <c r="A69" s="6">
        <f t="shared" si="25"/>
        <v>2046</v>
      </c>
      <c r="B69" s="4">
        <f t="shared" si="23"/>
        <v>0</v>
      </c>
      <c r="C69" s="4">
        <f>IF($B$44=0,0,IF(C$2&gt;=$A69,IF(C$2=$A69,($B69/$B$44)*$B$41,IF(C$2&lt;=$A69+$B$44-1,$B69/$B$44,$B69-SUM(B69:$C69))),0))</f>
        <v>0</v>
      </c>
      <c r="D69" s="4">
        <f>IF($B$44=0,0,IF(D$2&gt;=$A69,IF(D$2=$A69,($B69/$B$44)*$B$41,IF(D$2&lt;=$A69+$B$44-1,$B69/$B$44,$B69-SUM(C69:$C69))),0))</f>
        <v>0</v>
      </c>
      <c r="E69" s="4">
        <f>IF($B$44=0,0,IF(E$2&gt;=$A69,IF(E$2=$A69,($B69/$B$44)*$B$41,IF(E$2&lt;=$A69+$B$44-1,$B69/$B$44,$B69-SUM($C69:D69))),0))</f>
        <v>0</v>
      </c>
      <c r="F69" s="4">
        <f>IF($B$44=0,0,IF(F$2&gt;=$A69,IF(F$2=$A69,($B69/$B$44)*$B$41,IF(F$2&lt;=$A69+$B$44-1,$B69/$B$44,$B69-SUM($C69:E69))),0))</f>
        <v>0</v>
      </c>
      <c r="G69" s="4">
        <f>IF($B$44=0,0,IF(G$2&gt;=$A69,IF(G$2=$A69,($B69/$B$44)*$B$41,IF(G$2&lt;=$A69+$B$44-1,$B69/$B$44,$B69-SUM($C69:F69))),0))</f>
        <v>0</v>
      </c>
      <c r="H69" s="4">
        <f>IF($B$44=0,0,IF(H$2&gt;=$A69,IF(H$2=$A69,($B69/$B$44)*$B$41,IF(H$2&lt;=$A69+$B$44-1,$B69/$B$44,$B69-SUM($C69:G69))),0))</f>
        <v>0</v>
      </c>
      <c r="I69" s="4">
        <f>IF($B$44=0,0,IF(I$2&gt;=$A69,IF(I$2=$A69,($B69/$B$44)*$B$41,IF(I$2&lt;=$A69+$B$44-1,$B69/$B$44,$B69-SUM($C69:H69))),0))</f>
        <v>0</v>
      </c>
      <c r="J69" s="4">
        <f>IF($B$44=0,0,IF(J$2&gt;=$A69,IF(J$2=$A69,($B69/$B$44)*$B$41,IF(J$2&lt;=$A69+$B$44-1,$B69/$B$44,$B69-SUM($C69:I69))),0))</f>
        <v>0</v>
      </c>
      <c r="K69" s="4">
        <f>IF($B$44=0,0,IF(K$2&gt;=$A69,IF(K$2=$A69,($B69/$B$44)*$B$41,IF(K$2&lt;=$A69+$B$44-1,$B69/$B$44,$B69-SUM($C69:J69))),0))</f>
        <v>0</v>
      </c>
      <c r="L69" s="4">
        <f>IF($B$44=0,0,IF(L$2&gt;=$A69,IF(L$2=$A69,($B69/$B$44)*$B$41,IF(L$2&lt;=$A69+$B$44-1,$B69/$B$44,$B69-SUM($C69:K69))),0))</f>
        <v>0</v>
      </c>
      <c r="M69" s="4">
        <f>IF($B$44=0,0,IF(M$2&gt;=$A69,IF(M$2=$A69,($B69/$B$44)*$B$41,IF(M$2&lt;=$A69+$B$44-1,$B69/$B$44,$B69-SUM($C69:L69))),0))</f>
        <v>0</v>
      </c>
      <c r="N69" s="4">
        <f>IF($B$44=0,0,IF(N$2&gt;=$A69,IF(N$2=$A69,($B69/$B$44)*$B$41,IF(N$2&lt;=$A69+$B$44-1,$B69/$B$44,$B69-SUM($C69:M69))),0))</f>
        <v>0</v>
      </c>
      <c r="O69" s="4">
        <f>IF($B$44=0,0,IF(O$2&gt;=$A69,IF(O$2=$A69,($B69/$B$44)*$B$41,IF(O$2&lt;=$A69+$B$44-1,$B69/$B$44,$B69-SUM($C69:N69))),0))</f>
        <v>0</v>
      </c>
      <c r="P69" s="4">
        <f>IF($B$44=0,0,IF(P$2&gt;=$A69,IF(P$2=$A69,($B69/$B$44)*$B$41,IF(P$2&lt;=$A69+$B$44-1,$B69/$B$44,$B69-SUM($C69:O69))),0))</f>
        <v>0</v>
      </c>
      <c r="Q69" s="4">
        <f>IF($B$44=0,0,IF(Q$2&gt;=$A69,IF(Q$2=$A69,($B69/$B$44)*$B$41,IF(Q$2&lt;=$A69+$B$44-1,$B69/$B$44,$B69-SUM($C69:P69))),0))</f>
        <v>0</v>
      </c>
      <c r="R69" s="4">
        <f>IF($B$44=0,0,IF(R$2&gt;=$A69,IF(R$2=$A69,($B69/$B$44)*$B$41,IF(R$2&lt;=$A69+$B$44-1,$B69/$B$44,$B69-SUM($C69:Q69))),0))</f>
        <v>0</v>
      </c>
      <c r="S69" s="4">
        <f>IF($B$44=0,0,IF(S$2&gt;=$A69,IF(S$2=$A69,($B69/$B$44)*$B$41,IF(S$2&lt;=$A69+$B$44-1,$B69/$B$44,$B69-SUM($C69:R69))),0))</f>
        <v>0</v>
      </c>
      <c r="T69" s="4">
        <f>IF($B$44=0,0,IF(T$2&gt;=$A69,IF(T$2=$A69,($B69/$B$44)*$B$41,IF(T$2&lt;=$A69+$B$44-1,$B69/$B$44,$B69-SUM($C69:S69))),0))</f>
        <v>0</v>
      </c>
      <c r="U69" s="4">
        <f>IF($B$44=0,0,IF(U$2&gt;=$A69,IF(U$2=$A69,($B69/$B$44)*$B$41,IF(U$2&lt;=$A69+$B$44-1,$B69/$B$44,$B69-SUM($C69:T69))),0))</f>
        <v>0</v>
      </c>
      <c r="V69" s="4">
        <f>IF($B$44=0,0,IF(V$2&gt;=$A69,IF(V$2=$A69,($B69/$B$44)*$B$41,IF(V$2&lt;=$A69+$B$44-1,$B69/$B$44,$B69-SUM($C69:U69))),0))</f>
        <v>0</v>
      </c>
      <c r="W69" s="4">
        <f>IF($B$44=0,0,IF(W$2&gt;=$A69,IF(W$2=$A69,($B69/$B$44)*$B$41,IF(W$2&lt;=$A69+$B$44-1,$B69/$B$44,$B69-SUM($C69:V69))),0))</f>
        <v>0</v>
      </c>
      <c r="X69" s="4">
        <f>IF($B$44=0,0,IF(X$2&gt;=$A69,IF(X$2=$A69,($B69/$B$44)*$B$41,IF(X$2&lt;=$A69+$B$44-1,$B69/$B$44,$B69-SUM($C69:W69))),0))</f>
        <v>0</v>
      </c>
      <c r="Y69" s="4">
        <f>IF($B$44=0,0,IF(Y$2&gt;=$A69,IF(Y$2=$A69,($B69/$B$44)*$B$41,IF(Y$2&lt;=$A69+$B$44-1,$B69/$B$44,$B69-SUM($C69:X69))),0))</f>
        <v>0</v>
      </c>
      <c r="Z69" s="4">
        <f>IF($B$44=0,0,IF(Z$2&gt;=$A69,IF(Z$2=$A69,($B69/$B$44)*$B$41,IF(Z$2&lt;=$A69+$B$44-1,$B69/$B$44,$B69-SUM($C69:Y69))),0))</f>
        <v>0</v>
      </c>
      <c r="AA69" s="4">
        <f>IF($B$44=0,0,IF(AA$2&gt;=$A69,IF(AA$2=$A69,($B69/$B$44)*$B$41,IF(AA$2&lt;=$A69+$B$44-1,$B69/$B$44,$B69-SUM($C69:Z69))),0))</f>
        <v>0</v>
      </c>
      <c r="AB69" s="4">
        <f>IF($B$44=0,0,IF(AB$2&gt;=$A69,IF(AB$2=$A69,($B69/$B$44)*$B$41,IF(AB$2&lt;=$A69+$B$44-1,$B69/$B$44,$B69-SUM($C69:AA69))),0))</f>
        <v>0</v>
      </c>
      <c r="AC69" s="4">
        <f>IF($B$44=0,0,IF(AC$2&gt;=$A69,IF(AC$2=$A69,($B69/$B$44)*$B$41,IF(AC$2&lt;=$A69+$B$44-1,$B69/$B$44,$B69-SUM($C69:AB69))),0))</f>
        <v>0</v>
      </c>
      <c r="AD69" s="4">
        <f>IF($B$44=0,0,IF(AD$2&gt;=$A69,IF(AD$2=$A69,($B69/$B$44)*$B$41,IF(AD$2&lt;=$A69+$B$44-1,$B69/$B$44,$B69-SUM($C69:AC69))),0))</f>
        <v>0</v>
      </c>
      <c r="AE69" s="4">
        <f>IF($B$44=0,0,IF(AE$2&gt;=$A69,IF(AE$2=$A69,($B69/$B$44)*$B$41,IF(AE$2&lt;=$A69+$B$44-1,$B69/$B$44,$B69-SUM($C69:AD69))),0))</f>
        <v>0</v>
      </c>
      <c r="AF69" s="4">
        <f>IF($B$44=0,0,IF(AF$2&gt;=$A69,IF(AF$2=$A69,($B69/$B$44)*$B$41,IF(AF$2&lt;=$A69+$B$44-1,$B69/$B$44,$B69-SUM($C69:AE69))),0))</f>
        <v>0</v>
      </c>
      <c r="AG69" s="4">
        <f t="shared" si="24"/>
        <v>0</v>
      </c>
    </row>
    <row r="70" spans="1:33">
      <c r="A70" s="6">
        <f t="shared" si="25"/>
        <v>2047</v>
      </c>
      <c r="B70" s="4">
        <f t="shared" si="23"/>
        <v>0</v>
      </c>
      <c r="C70" s="4">
        <f>IF($B$44=0,0,IF(C$2&gt;=$A70,IF(C$2=$A70,($B70/$B$44)*$B$41,IF(C$2&lt;=$A70+$B$44-1,$B70/$B$44,$B70-SUM(B70:$C70))),0))</f>
        <v>0</v>
      </c>
      <c r="D70" s="4">
        <f>IF($B$44=0,0,IF(D$2&gt;=$A70,IF(D$2=$A70,($B70/$B$44)*$B$41,IF(D$2&lt;=$A70+$B$44-1,$B70/$B$44,$B70-SUM(C70:$C70))),0))</f>
        <v>0</v>
      </c>
      <c r="E70" s="4">
        <f>IF($B$44=0,0,IF(E$2&gt;=$A70,IF(E$2=$A70,($B70/$B$44)*$B$41,IF(E$2&lt;=$A70+$B$44-1,$B70/$B$44,$B70-SUM($C70:D70))),0))</f>
        <v>0</v>
      </c>
      <c r="F70" s="4">
        <f>IF($B$44=0,0,IF(F$2&gt;=$A70,IF(F$2=$A70,($B70/$B$44)*$B$41,IF(F$2&lt;=$A70+$B$44-1,$B70/$B$44,$B70-SUM($C70:E70))),0))</f>
        <v>0</v>
      </c>
      <c r="G70" s="4">
        <f>IF($B$44=0,0,IF(G$2&gt;=$A70,IF(G$2=$A70,($B70/$B$44)*$B$41,IF(G$2&lt;=$A70+$B$44-1,$B70/$B$44,$B70-SUM($C70:F70))),0))</f>
        <v>0</v>
      </c>
      <c r="H70" s="4">
        <f>IF($B$44=0,0,IF(H$2&gt;=$A70,IF(H$2=$A70,($B70/$B$44)*$B$41,IF(H$2&lt;=$A70+$B$44-1,$B70/$B$44,$B70-SUM($C70:G70))),0))</f>
        <v>0</v>
      </c>
      <c r="I70" s="4">
        <f>IF($B$44=0,0,IF(I$2&gt;=$A70,IF(I$2=$A70,($B70/$B$44)*$B$41,IF(I$2&lt;=$A70+$B$44-1,$B70/$B$44,$B70-SUM($C70:H70))),0))</f>
        <v>0</v>
      </c>
      <c r="J70" s="4">
        <f>IF($B$44=0,0,IF(J$2&gt;=$A70,IF(J$2=$A70,($B70/$B$44)*$B$41,IF(J$2&lt;=$A70+$B$44-1,$B70/$B$44,$B70-SUM($C70:I70))),0))</f>
        <v>0</v>
      </c>
      <c r="K70" s="4">
        <f>IF($B$44=0,0,IF(K$2&gt;=$A70,IF(K$2=$A70,($B70/$B$44)*$B$41,IF(K$2&lt;=$A70+$B$44-1,$B70/$B$44,$B70-SUM($C70:J70))),0))</f>
        <v>0</v>
      </c>
      <c r="L70" s="4">
        <f>IF($B$44=0,0,IF(L$2&gt;=$A70,IF(L$2=$A70,($B70/$B$44)*$B$41,IF(L$2&lt;=$A70+$B$44-1,$B70/$B$44,$B70-SUM($C70:K70))),0))</f>
        <v>0</v>
      </c>
      <c r="M70" s="4">
        <f>IF($B$44=0,0,IF(M$2&gt;=$A70,IF(M$2=$A70,($B70/$B$44)*$B$41,IF(M$2&lt;=$A70+$B$44-1,$B70/$B$44,$B70-SUM($C70:L70))),0))</f>
        <v>0</v>
      </c>
      <c r="N70" s="4">
        <f>IF($B$44=0,0,IF(N$2&gt;=$A70,IF(N$2=$A70,($B70/$B$44)*$B$41,IF(N$2&lt;=$A70+$B$44-1,$B70/$B$44,$B70-SUM($C70:M70))),0))</f>
        <v>0</v>
      </c>
      <c r="O70" s="4">
        <f>IF($B$44=0,0,IF(O$2&gt;=$A70,IF(O$2=$A70,($B70/$B$44)*$B$41,IF(O$2&lt;=$A70+$B$44-1,$B70/$B$44,$B70-SUM($C70:N70))),0))</f>
        <v>0</v>
      </c>
      <c r="P70" s="4">
        <f>IF($B$44=0,0,IF(P$2&gt;=$A70,IF(P$2=$A70,($B70/$B$44)*$B$41,IF(P$2&lt;=$A70+$B$44-1,$B70/$B$44,$B70-SUM($C70:O70))),0))</f>
        <v>0</v>
      </c>
      <c r="Q70" s="4">
        <f>IF($B$44=0,0,IF(Q$2&gt;=$A70,IF(Q$2=$A70,($B70/$B$44)*$B$41,IF(Q$2&lt;=$A70+$B$44-1,$B70/$B$44,$B70-SUM($C70:P70))),0))</f>
        <v>0</v>
      </c>
      <c r="R70" s="4">
        <f>IF($B$44=0,0,IF(R$2&gt;=$A70,IF(R$2=$A70,($B70/$B$44)*$B$41,IF(R$2&lt;=$A70+$B$44-1,$B70/$B$44,$B70-SUM($C70:Q70))),0))</f>
        <v>0</v>
      </c>
      <c r="S70" s="4">
        <f>IF($B$44=0,0,IF(S$2&gt;=$A70,IF(S$2=$A70,($B70/$B$44)*$B$41,IF(S$2&lt;=$A70+$B$44-1,$B70/$B$44,$B70-SUM($C70:R70))),0))</f>
        <v>0</v>
      </c>
      <c r="T70" s="4">
        <f>IF($B$44=0,0,IF(T$2&gt;=$A70,IF(T$2=$A70,($B70/$B$44)*$B$41,IF(T$2&lt;=$A70+$B$44-1,$B70/$B$44,$B70-SUM($C70:S70))),0))</f>
        <v>0</v>
      </c>
      <c r="U70" s="4">
        <f>IF($B$44=0,0,IF(U$2&gt;=$A70,IF(U$2=$A70,($B70/$B$44)*$B$41,IF(U$2&lt;=$A70+$B$44-1,$B70/$B$44,$B70-SUM($C70:T70))),0))</f>
        <v>0</v>
      </c>
      <c r="V70" s="4">
        <f>IF($B$44=0,0,IF(V$2&gt;=$A70,IF(V$2=$A70,($B70/$B$44)*$B$41,IF(V$2&lt;=$A70+$B$44-1,$B70/$B$44,$B70-SUM($C70:U70))),0))</f>
        <v>0</v>
      </c>
      <c r="W70" s="4">
        <f>IF($B$44=0,0,IF(W$2&gt;=$A70,IF(W$2=$A70,($B70/$B$44)*$B$41,IF(W$2&lt;=$A70+$B$44-1,$B70/$B$44,$B70-SUM($C70:V70))),0))</f>
        <v>0</v>
      </c>
      <c r="X70" s="4">
        <f>IF($B$44=0,0,IF(X$2&gt;=$A70,IF(X$2=$A70,($B70/$B$44)*$B$41,IF(X$2&lt;=$A70+$B$44-1,$B70/$B$44,$B70-SUM($C70:W70))),0))</f>
        <v>0</v>
      </c>
      <c r="Y70" s="4">
        <f>IF($B$44=0,0,IF(Y$2&gt;=$A70,IF(Y$2=$A70,($B70/$B$44)*$B$41,IF(Y$2&lt;=$A70+$B$44-1,$B70/$B$44,$B70-SUM($C70:X70))),0))</f>
        <v>0</v>
      </c>
      <c r="Z70" s="4">
        <f>IF($B$44=0,0,IF(Z$2&gt;=$A70,IF(Z$2=$A70,($B70/$B$44)*$B$41,IF(Z$2&lt;=$A70+$B$44-1,$B70/$B$44,$B70-SUM($C70:Y70))),0))</f>
        <v>0</v>
      </c>
      <c r="AA70" s="4">
        <f>IF($B$44=0,0,IF(AA$2&gt;=$A70,IF(AA$2=$A70,($B70/$B$44)*$B$41,IF(AA$2&lt;=$A70+$B$44-1,$B70/$B$44,$B70-SUM($C70:Z70))),0))</f>
        <v>0</v>
      </c>
      <c r="AB70" s="4">
        <f>IF($B$44=0,0,IF(AB$2&gt;=$A70,IF(AB$2=$A70,($B70/$B$44)*$B$41,IF(AB$2&lt;=$A70+$B$44-1,$B70/$B$44,$B70-SUM($C70:AA70))),0))</f>
        <v>0</v>
      </c>
      <c r="AC70" s="4">
        <f>IF($B$44=0,0,IF(AC$2&gt;=$A70,IF(AC$2=$A70,($B70/$B$44)*$B$41,IF(AC$2&lt;=$A70+$B$44-1,$B70/$B$44,$B70-SUM($C70:AB70))),0))</f>
        <v>0</v>
      </c>
      <c r="AD70" s="4">
        <f>IF($B$44=0,0,IF(AD$2&gt;=$A70,IF(AD$2=$A70,($B70/$B$44)*$B$41,IF(AD$2&lt;=$A70+$B$44-1,$B70/$B$44,$B70-SUM($C70:AC70))),0))</f>
        <v>0</v>
      </c>
      <c r="AE70" s="4">
        <f>IF($B$44=0,0,IF(AE$2&gt;=$A70,IF(AE$2=$A70,($B70/$B$44)*$B$41,IF(AE$2&lt;=$A70+$B$44-1,$B70/$B$44,$B70-SUM($C70:AD70))),0))</f>
        <v>0</v>
      </c>
      <c r="AF70" s="4">
        <f>IF($B$44=0,0,IF(AF$2&gt;=$A70,IF(AF$2=$A70,($B70/$B$44)*$B$41,IF(AF$2&lt;=$A70+$B$44-1,$B70/$B$44,$B70-SUM($C70:AE70))),0))</f>
        <v>0</v>
      </c>
      <c r="AG70" s="4">
        <f t="shared" ref="AG70:AG74" si="26">SUM(C70:AF70)</f>
        <v>0</v>
      </c>
    </row>
    <row r="71" spans="1:33">
      <c r="A71" s="6">
        <f t="shared" si="25"/>
        <v>2048</v>
      </c>
      <c r="B71" s="4">
        <f t="shared" si="23"/>
        <v>0</v>
      </c>
      <c r="C71" s="4">
        <f>IF($B$44=0,0,IF(C$2&gt;=$A71,IF(C$2=$A71,($B71/$B$44)*$B$41,IF(C$2&lt;=$A71+$B$44-1,$B71/$B$44,$B71-SUM(B71:$C71))),0))</f>
        <v>0</v>
      </c>
      <c r="D71" s="4">
        <f>IF($B$44=0,0,IF(D$2&gt;=$A71,IF(D$2=$A71,($B71/$B$44)*$B$41,IF(D$2&lt;=$A71+$B$44-1,$B71/$B$44,$B71-SUM(C71:$C71))),0))</f>
        <v>0</v>
      </c>
      <c r="E71" s="4">
        <f>IF($B$44=0,0,IF(E$2&gt;=$A71,IF(E$2=$A71,($B71/$B$44)*$B$41,IF(E$2&lt;=$A71+$B$44-1,$B71/$B$44,$B71-SUM($C71:D71))),0))</f>
        <v>0</v>
      </c>
      <c r="F71" s="4">
        <f>IF($B$44=0,0,IF(F$2&gt;=$A71,IF(F$2=$A71,($B71/$B$44)*$B$41,IF(F$2&lt;=$A71+$B$44-1,$B71/$B$44,$B71-SUM($C71:E71))),0))</f>
        <v>0</v>
      </c>
      <c r="G71" s="4">
        <f>IF($B$44=0,0,IF(G$2&gt;=$A71,IF(G$2=$A71,($B71/$B$44)*$B$41,IF(G$2&lt;=$A71+$B$44-1,$B71/$B$44,$B71-SUM($C71:F71))),0))</f>
        <v>0</v>
      </c>
      <c r="H71" s="4">
        <f>IF($B$44=0,0,IF(H$2&gt;=$A71,IF(H$2=$A71,($B71/$B$44)*$B$41,IF(H$2&lt;=$A71+$B$44-1,$B71/$B$44,$B71-SUM($C71:G71))),0))</f>
        <v>0</v>
      </c>
      <c r="I71" s="4">
        <f>IF($B$44=0,0,IF(I$2&gt;=$A71,IF(I$2=$A71,($B71/$B$44)*$B$41,IF(I$2&lt;=$A71+$B$44-1,$B71/$B$44,$B71-SUM($C71:H71))),0))</f>
        <v>0</v>
      </c>
      <c r="J71" s="4">
        <f>IF($B$44=0,0,IF(J$2&gt;=$A71,IF(J$2=$A71,($B71/$B$44)*$B$41,IF(J$2&lt;=$A71+$B$44-1,$B71/$B$44,$B71-SUM($C71:I71))),0))</f>
        <v>0</v>
      </c>
      <c r="K71" s="4">
        <f>IF($B$44=0,0,IF(K$2&gt;=$A71,IF(K$2=$A71,($B71/$B$44)*$B$41,IF(K$2&lt;=$A71+$B$44-1,$B71/$B$44,$B71-SUM($C71:J71))),0))</f>
        <v>0</v>
      </c>
      <c r="L71" s="4">
        <f>IF($B$44=0,0,IF(L$2&gt;=$A71,IF(L$2=$A71,($B71/$B$44)*$B$41,IF(L$2&lt;=$A71+$B$44-1,$B71/$B$44,$B71-SUM($C71:K71))),0))</f>
        <v>0</v>
      </c>
      <c r="M71" s="4">
        <f>IF($B$44=0,0,IF(M$2&gt;=$A71,IF(M$2=$A71,($B71/$B$44)*$B$41,IF(M$2&lt;=$A71+$B$44-1,$B71/$B$44,$B71-SUM($C71:L71))),0))</f>
        <v>0</v>
      </c>
      <c r="N71" s="4">
        <f>IF($B$44=0,0,IF(N$2&gt;=$A71,IF(N$2=$A71,($B71/$B$44)*$B$41,IF(N$2&lt;=$A71+$B$44-1,$B71/$B$44,$B71-SUM($C71:M71))),0))</f>
        <v>0</v>
      </c>
      <c r="O71" s="4">
        <f>IF($B$44=0,0,IF(O$2&gt;=$A71,IF(O$2=$A71,($B71/$B$44)*$B$41,IF(O$2&lt;=$A71+$B$44-1,$B71/$B$44,$B71-SUM($C71:N71))),0))</f>
        <v>0</v>
      </c>
      <c r="P71" s="4">
        <f>IF($B$44=0,0,IF(P$2&gt;=$A71,IF(P$2=$A71,($B71/$B$44)*$B$41,IF(P$2&lt;=$A71+$B$44-1,$B71/$B$44,$B71-SUM($C71:O71))),0))</f>
        <v>0</v>
      </c>
      <c r="Q71" s="4">
        <f>IF($B$44=0,0,IF(Q$2&gt;=$A71,IF(Q$2=$A71,($B71/$B$44)*$B$41,IF(Q$2&lt;=$A71+$B$44-1,$B71/$B$44,$B71-SUM($C71:P71))),0))</f>
        <v>0</v>
      </c>
      <c r="R71" s="4">
        <f>IF($B$44=0,0,IF(R$2&gt;=$A71,IF(R$2=$A71,($B71/$B$44)*$B$41,IF(R$2&lt;=$A71+$B$44-1,$B71/$B$44,$B71-SUM($C71:Q71))),0))</f>
        <v>0</v>
      </c>
      <c r="S71" s="4">
        <f>IF($B$44=0,0,IF(S$2&gt;=$A71,IF(S$2=$A71,($B71/$B$44)*$B$41,IF(S$2&lt;=$A71+$B$44-1,$B71/$B$44,$B71-SUM($C71:R71))),0))</f>
        <v>0</v>
      </c>
      <c r="T71" s="4">
        <f>IF($B$44=0,0,IF(T$2&gt;=$A71,IF(T$2=$A71,($B71/$B$44)*$B$41,IF(T$2&lt;=$A71+$B$44-1,$B71/$B$44,$B71-SUM($C71:S71))),0))</f>
        <v>0</v>
      </c>
      <c r="U71" s="4">
        <f>IF($B$44=0,0,IF(U$2&gt;=$A71,IF(U$2=$A71,($B71/$B$44)*$B$41,IF(U$2&lt;=$A71+$B$44-1,$B71/$B$44,$B71-SUM($C71:T71))),0))</f>
        <v>0</v>
      </c>
      <c r="V71" s="4">
        <f>IF($B$44=0,0,IF(V$2&gt;=$A71,IF(V$2=$A71,($B71/$B$44)*$B$41,IF(V$2&lt;=$A71+$B$44-1,$B71/$B$44,$B71-SUM($C71:U71))),0))</f>
        <v>0</v>
      </c>
      <c r="W71" s="4">
        <f>IF($B$44=0,0,IF(W$2&gt;=$A71,IF(W$2=$A71,($B71/$B$44)*$B$41,IF(W$2&lt;=$A71+$B$44-1,$B71/$B$44,$B71-SUM($C71:V71))),0))</f>
        <v>0</v>
      </c>
      <c r="X71" s="4">
        <f>IF($B$44=0,0,IF(X$2&gt;=$A71,IF(X$2=$A71,($B71/$B$44)*$B$41,IF(X$2&lt;=$A71+$B$44-1,$B71/$B$44,$B71-SUM($C71:W71))),0))</f>
        <v>0</v>
      </c>
      <c r="Y71" s="4">
        <f>IF($B$44=0,0,IF(Y$2&gt;=$A71,IF(Y$2=$A71,($B71/$B$44)*$B$41,IF(Y$2&lt;=$A71+$B$44-1,$B71/$B$44,$B71-SUM($C71:X71))),0))</f>
        <v>0</v>
      </c>
      <c r="Z71" s="4">
        <f>IF($B$44=0,0,IF(Z$2&gt;=$A71,IF(Z$2=$A71,($B71/$B$44)*$B$41,IF(Z$2&lt;=$A71+$B$44-1,$B71/$B$44,$B71-SUM($C71:Y71))),0))</f>
        <v>0</v>
      </c>
      <c r="AA71" s="4">
        <f>IF($B$44=0,0,IF(AA$2&gt;=$A71,IF(AA$2=$A71,($B71/$B$44)*$B$41,IF(AA$2&lt;=$A71+$B$44-1,$B71/$B$44,$B71-SUM($C71:Z71))),0))</f>
        <v>0</v>
      </c>
      <c r="AB71" s="4">
        <f>IF($B$44=0,0,IF(AB$2&gt;=$A71,IF(AB$2=$A71,($B71/$B$44)*$B$41,IF(AB$2&lt;=$A71+$B$44-1,$B71/$B$44,$B71-SUM($C71:AA71))),0))</f>
        <v>0</v>
      </c>
      <c r="AC71" s="4">
        <f>IF($B$44=0,0,IF(AC$2&gt;=$A71,IF(AC$2=$A71,($B71/$B$44)*$B$41,IF(AC$2&lt;=$A71+$B$44-1,$B71/$B$44,$B71-SUM($C71:AB71))),0))</f>
        <v>0</v>
      </c>
      <c r="AD71" s="4">
        <f>IF($B$44=0,0,IF(AD$2&gt;=$A71,IF(AD$2=$A71,($B71/$B$44)*$B$41,IF(AD$2&lt;=$A71+$B$44-1,$B71/$B$44,$B71-SUM($C71:AC71))),0))</f>
        <v>0</v>
      </c>
      <c r="AE71" s="4">
        <f>IF($B$44=0,0,IF(AE$2&gt;=$A71,IF(AE$2=$A71,($B71/$B$44)*$B$41,IF(AE$2&lt;=$A71+$B$44-1,$B71/$B$44,$B71-SUM($C71:AD71))),0))</f>
        <v>0</v>
      </c>
      <c r="AF71" s="4">
        <f>IF($B$44=0,0,IF(AF$2&gt;=$A71,IF(AF$2=$A71,($B71/$B$44)*$B$41,IF(AF$2&lt;=$A71+$B$44-1,$B71/$B$44,$B71-SUM($C71:AE71))),0))</f>
        <v>0</v>
      </c>
      <c r="AG71" s="4">
        <f t="shared" si="26"/>
        <v>0</v>
      </c>
    </row>
    <row r="72" spans="1:33">
      <c r="A72" s="6">
        <f t="shared" si="25"/>
        <v>2049</v>
      </c>
      <c r="B72" s="4">
        <f t="shared" si="23"/>
        <v>0</v>
      </c>
      <c r="C72" s="4">
        <f>IF($B$44=0,0,IF(C$2&gt;=$A72,IF(C$2=$A72,($B72/$B$44)*$B$41,IF(C$2&lt;=$A72+$B$44-1,$B72/$B$44,$B72-SUM(B72:$C72))),0))</f>
        <v>0</v>
      </c>
      <c r="D72" s="4">
        <f>IF($B$44=0,0,IF(D$2&gt;=$A72,IF(D$2=$A72,($B72/$B$44)*$B$41,IF(D$2&lt;=$A72+$B$44-1,$B72/$B$44,$B72-SUM(C72:$C72))),0))</f>
        <v>0</v>
      </c>
      <c r="E72" s="4">
        <f>IF($B$44=0,0,IF(E$2&gt;=$A72,IF(E$2=$A72,($B72/$B$44)*$B$41,IF(E$2&lt;=$A72+$B$44-1,$B72/$B$44,$B72-SUM($C72:D72))),0))</f>
        <v>0</v>
      </c>
      <c r="F72" s="4">
        <f>IF($B$44=0,0,IF(F$2&gt;=$A72,IF(F$2=$A72,($B72/$B$44)*$B$41,IF(F$2&lt;=$A72+$B$44-1,$B72/$B$44,$B72-SUM($C72:E72))),0))</f>
        <v>0</v>
      </c>
      <c r="G72" s="4">
        <f>IF($B$44=0,0,IF(G$2&gt;=$A72,IF(G$2=$A72,($B72/$B$44)*$B$41,IF(G$2&lt;=$A72+$B$44-1,$B72/$B$44,$B72-SUM($C72:F72))),0))</f>
        <v>0</v>
      </c>
      <c r="H72" s="4">
        <f>IF($B$44=0,0,IF(H$2&gt;=$A72,IF(H$2=$A72,($B72/$B$44)*$B$41,IF(H$2&lt;=$A72+$B$44-1,$B72/$B$44,$B72-SUM($C72:G72))),0))</f>
        <v>0</v>
      </c>
      <c r="I72" s="4">
        <f>IF($B$44=0,0,IF(I$2&gt;=$A72,IF(I$2=$A72,($B72/$B$44)*$B$41,IF(I$2&lt;=$A72+$B$44-1,$B72/$B$44,$B72-SUM($C72:H72))),0))</f>
        <v>0</v>
      </c>
      <c r="J72" s="4">
        <f>IF($B$44=0,0,IF(J$2&gt;=$A72,IF(J$2=$A72,($B72/$B$44)*$B$41,IF(J$2&lt;=$A72+$B$44-1,$B72/$B$44,$B72-SUM($C72:I72))),0))</f>
        <v>0</v>
      </c>
      <c r="K72" s="4">
        <f>IF($B$44=0,0,IF(K$2&gt;=$A72,IF(K$2=$A72,($B72/$B$44)*$B$41,IF(K$2&lt;=$A72+$B$44-1,$B72/$B$44,$B72-SUM($C72:J72))),0))</f>
        <v>0</v>
      </c>
      <c r="L72" s="4">
        <f>IF($B$44=0,0,IF(L$2&gt;=$A72,IF(L$2=$A72,($B72/$B$44)*$B$41,IF(L$2&lt;=$A72+$B$44-1,$B72/$B$44,$B72-SUM($C72:K72))),0))</f>
        <v>0</v>
      </c>
      <c r="M72" s="4">
        <f>IF($B$44=0,0,IF(M$2&gt;=$A72,IF(M$2=$A72,($B72/$B$44)*$B$41,IF(M$2&lt;=$A72+$B$44-1,$B72/$B$44,$B72-SUM($C72:L72))),0))</f>
        <v>0</v>
      </c>
      <c r="N72" s="4">
        <f>IF($B$44=0,0,IF(N$2&gt;=$A72,IF(N$2=$A72,($B72/$B$44)*$B$41,IF(N$2&lt;=$A72+$B$44-1,$B72/$B$44,$B72-SUM($C72:M72))),0))</f>
        <v>0</v>
      </c>
      <c r="O72" s="4">
        <f>IF($B$44=0,0,IF(O$2&gt;=$A72,IF(O$2=$A72,($B72/$B$44)*$B$41,IF(O$2&lt;=$A72+$B$44-1,$B72/$B$44,$B72-SUM($C72:N72))),0))</f>
        <v>0</v>
      </c>
      <c r="P72" s="4">
        <f>IF($B$44=0,0,IF(P$2&gt;=$A72,IF(P$2=$A72,($B72/$B$44)*$B$41,IF(P$2&lt;=$A72+$B$44-1,$B72/$B$44,$B72-SUM($C72:O72))),0))</f>
        <v>0</v>
      </c>
      <c r="Q72" s="4">
        <f>IF($B$44=0,0,IF(Q$2&gt;=$A72,IF(Q$2=$A72,($B72/$B$44)*$B$41,IF(Q$2&lt;=$A72+$B$44-1,$B72/$B$44,$B72-SUM($C72:P72))),0))</f>
        <v>0</v>
      </c>
      <c r="R72" s="4">
        <f>IF($B$44=0,0,IF(R$2&gt;=$A72,IF(R$2=$A72,($B72/$B$44)*$B$41,IF(R$2&lt;=$A72+$B$44-1,$B72/$B$44,$B72-SUM($C72:Q72))),0))</f>
        <v>0</v>
      </c>
      <c r="S72" s="4">
        <f>IF($B$44=0,0,IF(S$2&gt;=$A72,IF(S$2=$A72,($B72/$B$44)*$B$41,IF(S$2&lt;=$A72+$B$44-1,$B72/$B$44,$B72-SUM($C72:R72))),0))</f>
        <v>0</v>
      </c>
      <c r="T72" s="4">
        <f>IF($B$44=0,0,IF(T$2&gt;=$A72,IF(T$2=$A72,($B72/$B$44)*$B$41,IF(T$2&lt;=$A72+$B$44-1,$B72/$B$44,$B72-SUM($C72:S72))),0))</f>
        <v>0</v>
      </c>
      <c r="U72" s="4">
        <f>IF($B$44=0,0,IF(U$2&gt;=$A72,IF(U$2=$A72,($B72/$B$44)*$B$41,IF(U$2&lt;=$A72+$B$44-1,$B72/$B$44,$B72-SUM($C72:T72))),0))</f>
        <v>0</v>
      </c>
      <c r="V72" s="4">
        <f>IF($B$44=0,0,IF(V$2&gt;=$A72,IF(V$2=$A72,($B72/$B$44)*$B$41,IF(V$2&lt;=$A72+$B$44-1,$B72/$B$44,$B72-SUM($C72:U72))),0))</f>
        <v>0</v>
      </c>
      <c r="W72" s="4">
        <f>IF($B$44=0,0,IF(W$2&gt;=$A72,IF(W$2=$A72,($B72/$B$44)*$B$41,IF(W$2&lt;=$A72+$B$44-1,$B72/$B$44,$B72-SUM($C72:V72))),0))</f>
        <v>0</v>
      </c>
      <c r="X72" s="4">
        <f>IF($B$44=0,0,IF(X$2&gt;=$A72,IF(X$2=$A72,($B72/$B$44)*$B$41,IF(X$2&lt;=$A72+$B$44-1,$B72/$B$44,$B72-SUM($C72:W72))),0))</f>
        <v>0</v>
      </c>
      <c r="Y72" s="4">
        <f>IF($B$44=0,0,IF(Y$2&gt;=$A72,IF(Y$2=$A72,($B72/$B$44)*$B$41,IF(Y$2&lt;=$A72+$B$44-1,$B72/$B$44,$B72-SUM($C72:X72))),0))</f>
        <v>0</v>
      </c>
      <c r="Z72" s="4">
        <f>IF($B$44=0,0,IF(Z$2&gt;=$A72,IF(Z$2=$A72,($B72/$B$44)*$B$41,IF(Z$2&lt;=$A72+$B$44-1,$B72/$B$44,$B72-SUM($C72:Y72))),0))</f>
        <v>0</v>
      </c>
      <c r="AA72" s="4">
        <f>IF($B$44=0,0,IF(AA$2&gt;=$A72,IF(AA$2=$A72,($B72/$B$44)*$B$41,IF(AA$2&lt;=$A72+$B$44-1,$B72/$B$44,$B72-SUM($C72:Z72))),0))</f>
        <v>0</v>
      </c>
      <c r="AB72" s="4">
        <f>IF($B$44=0,0,IF(AB$2&gt;=$A72,IF(AB$2=$A72,($B72/$B$44)*$B$41,IF(AB$2&lt;=$A72+$B$44-1,$B72/$B$44,$B72-SUM($C72:AA72))),0))</f>
        <v>0</v>
      </c>
      <c r="AC72" s="4">
        <f>IF($B$44=0,0,IF(AC$2&gt;=$A72,IF(AC$2=$A72,($B72/$B$44)*$B$41,IF(AC$2&lt;=$A72+$B$44-1,$B72/$B$44,$B72-SUM($C72:AB72))),0))</f>
        <v>0</v>
      </c>
      <c r="AD72" s="4">
        <f>IF($B$44=0,0,IF(AD$2&gt;=$A72,IF(AD$2=$A72,($B72/$B$44)*$B$41,IF(AD$2&lt;=$A72+$B$44-1,$B72/$B$44,$B72-SUM($C72:AC72))),0))</f>
        <v>0</v>
      </c>
      <c r="AE72" s="4">
        <f>IF($B$44=0,0,IF(AE$2&gt;=$A72,IF(AE$2=$A72,($B72/$B$44)*$B$41,IF(AE$2&lt;=$A72+$B$44-1,$B72/$B$44,$B72-SUM($C72:AD72))),0))</f>
        <v>0</v>
      </c>
      <c r="AF72" s="4">
        <f>IF($B$44=0,0,IF(AF$2&gt;=$A72,IF(AF$2=$A72,($B72/$B$44)*$B$41,IF(AF$2&lt;=$A72+$B$44-1,$B72/$B$44,$B72-SUM($C72:AE72))),0))</f>
        <v>0</v>
      </c>
      <c r="AG72" s="4">
        <f t="shared" si="26"/>
        <v>0</v>
      </c>
    </row>
    <row r="73" spans="1:33">
      <c r="A73" s="6">
        <f t="shared" si="25"/>
        <v>2050</v>
      </c>
      <c r="B73" s="4">
        <f t="shared" si="23"/>
        <v>0</v>
      </c>
      <c r="C73" s="4">
        <f>IF($B$44=0,0,IF(C$2&gt;=$A73,IF(C$2=$A73,($B73/$B$44)*$B$41,IF(C$2&lt;=$A73+$B$44-1,$B73/$B$44,$B73-SUM(B73:$C73))),0))</f>
        <v>0</v>
      </c>
      <c r="D73" s="4">
        <f>IF($B$44=0,0,IF(D$2&gt;=$A73,IF(D$2=$A73,($B73/$B$44)*$B$41,IF(D$2&lt;=$A73+$B$44-1,$B73/$B$44,$B73-SUM(C73:$C73))),0))</f>
        <v>0</v>
      </c>
      <c r="E73" s="4">
        <f>IF($B$44=0,0,IF(E$2&gt;=$A73,IF(E$2=$A73,($B73/$B$44)*$B$41,IF(E$2&lt;=$A73+$B$44-1,$B73/$B$44,$B73-SUM($C73:D73))),0))</f>
        <v>0</v>
      </c>
      <c r="F73" s="4">
        <f>IF($B$44=0,0,IF(F$2&gt;=$A73,IF(F$2=$A73,($B73/$B$44)*$B$41,IF(F$2&lt;=$A73+$B$44-1,$B73/$B$44,$B73-SUM($C73:E73))),0))</f>
        <v>0</v>
      </c>
      <c r="G73" s="4">
        <f>IF($B$44=0,0,IF(G$2&gt;=$A73,IF(G$2=$A73,($B73/$B$44)*$B$41,IF(G$2&lt;=$A73+$B$44-1,$B73/$B$44,$B73-SUM($C73:F73))),0))</f>
        <v>0</v>
      </c>
      <c r="H73" s="4">
        <f>IF($B$44=0,0,IF(H$2&gt;=$A73,IF(H$2=$A73,($B73/$B$44)*$B$41,IF(H$2&lt;=$A73+$B$44-1,$B73/$B$44,$B73-SUM($C73:G73))),0))</f>
        <v>0</v>
      </c>
      <c r="I73" s="4">
        <f>IF($B$44=0,0,IF(I$2&gt;=$A73,IF(I$2=$A73,($B73/$B$44)*$B$41,IF(I$2&lt;=$A73+$B$44-1,$B73/$B$44,$B73-SUM($C73:H73))),0))</f>
        <v>0</v>
      </c>
      <c r="J73" s="4">
        <f>IF($B$44=0,0,IF(J$2&gt;=$A73,IF(J$2=$A73,($B73/$B$44)*$B$41,IF(J$2&lt;=$A73+$B$44-1,$B73/$B$44,$B73-SUM($C73:I73))),0))</f>
        <v>0</v>
      </c>
      <c r="K73" s="4">
        <f>IF($B$44=0,0,IF(K$2&gt;=$A73,IF(K$2=$A73,($B73/$B$44)*$B$41,IF(K$2&lt;=$A73+$B$44-1,$B73/$B$44,$B73-SUM($C73:J73))),0))</f>
        <v>0</v>
      </c>
      <c r="L73" s="4">
        <f>IF($B$44=0,0,IF(L$2&gt;=$A73,IF(L$2=$A73,($B73/$B$44)*$B$41,IF(L$2&lt;=$A73+$B$44-1,$B73/$B$44,$B73-SUM($C73:K73))),0))</f>
        <v>0</v>
      </c>
      <c r="M73" s="4">
        <f>IF($B$44=0,0,IF(M$2&gt;=$A73,IF(M$2=$A73,($B73/$B$44)*$B$41,IF(M$2&lt;=$A73+$B$44-1,$B73/$B$44,$B73-SUM($C73:L73))),0))</f>
        <v>0</v>
      </c>
      <c r="N73" s="4">
        <f>IF($B$44=0,0,IF(N$2&gt;=$A73,IF(N$2=$A73,($B73/$B$44)*$B$41,IF(N$2&lt;=$A73+$B$44-1,$B73/$B$44,$B73-SUM($C73:M73))),0))</f>
        <v>0</v>
      </c>
      <c r="O73" s="4">
        <f>IF($B$44=0,0,IF(O$2&gt;=$A73,IF(O$2=$A73,($B73/$B$44)*$B$41,IF(O$2&lt;=$A73+$B$44-1,$B73/$B$44,$B73-SUM($C73:N73))),0))</f>
        <v>0</v>
      </c>
      <c r="P73" s="4">
        <f>IF($B$44=0,0,IF(P$2&gt;=$A73,IF(P$2=$A73,($B73/$B$44)*$B$41,IF(P$2&lt;=$A73+$B$44-1,$B73/$B$44,$B73-SUM($C73:O73))),0))</f>
        <v>0</v>
      </c>
      <c r="Q73" s="4">
        <f>IF($B$44=0,0,IF(Q$2&gt;=$A73,IF(Q$2=$A73,($B73/$B$44)*$B$41,IF(Q$2&lt;=$A73+$B$44-1,$B73/$B$44,$B73-SUM($C73:P73))),0))</f>
        <v>0</v>
      </c>
      <c r="R73" s="4">
        <f>IF($B$44=0,0,IF(R$2&gt;=$A73,IF(R$2=$A73,($B73/$B$44)*$B$41,IF(R$2&lt;=$A73+$B$44-1,$B73/$B$44,$B73-SUM($C73:Q73))),0))</f>
        <v>0</v>
      </c>
      <c r="S73" s="4">
        <f>IF($B$44=0,0,IF(S$2&gt;=$A73,IF(S$2=$A73,($B73/$B$44)*$B$41,IF(S$2&lt;=$A73+$B$44-1,$B73/$B$44,$B73-SUM($C73:R73))),0))</f>
        <v>0</v>
      </c>
      <c r="T73" s="4">
        <f>IF($B$44=0,0,IF(T$2&gt;=$A73,IF(T$2=$A73,($B73/$B$44)*$B$41,IF(T$2&lt;=$A73+$B$44-1,$B73/$B$44,$B73-SUM($C73:S73))),0))</f>
        <v>0</v>
      </c>
      <c r="U73" s="4">
        <f>IF($B$44=0,0,IF(U$2&gt;=$A73,IF(U$2=$A73,($B73/$B$44)*$B$41,IF(U$2&lt;=$A73+$B$44-1,$B73/$B$44,$B73-SUM($C73:T73))),0))</f>
        <v>0</v>
      </c>
      <c r="V73" s="4">
        <f>IF($B$44=0,0,IF(V$2&gt;=$A73,IF(V$2=$A73,($B73/$B$44)*$B$41,IF(V$2&lt;=$A73+$B$44-1,$B73/$B$44,$B73-SUM($C73:U73))),0))</f>
        <v>0</v>
      </c>
      <c r="W73" s="4">
        <f>IF($B$44=0,0,IF(W$2&gt;=$A73,IF(W$2=$A73,($B73/$B$44)*$B$41,IF(W$2&lt;=$A73+$B$44-1,$B73/$B$44,$B73-SUM($C73:V73))),0))</f>
        <v>0</v>
      </c>
      <c r="X73" s="4">
        <f>IF($B$44=0,0,IF(X$2&gt;=$A73,IF(X$2=$A73,($B73/$B$44)*$B$41,IF(X$2&lt;=$A73+$B$44-1,$B73/$B$44,$B73-SUM($C73:W73))),0))</f>
        <v>0</v>
      </c>
      <c r="Y73" s="4">
        <f>IF($B$44=0,0,IF(Y$2&gt;=$A73,IF(Y$2=$A73,($B73/$B$44)*$B$41,IF(Y$2&lt;=$A73+$B$44-1,$B73/$B$44,$B73-SUM($C73:X73))),0))</f>
        <v>0</v>
      </c>
      <c r="Z73" s="4">
        <f>IF($B$44=0,0,IF(Z$2&gt;=$A73,IF(Z$2=$A73,($B73/$B$44)*$B$41,IF(Z$2&lt;=$A73+$B$44-1,$B73/$B$44,$B73-SUM($C73:Y73))),0))</f>
        <v>0</v>
      </c>
      <c r="AA73" s="4">
        <f>IF($B$44=0,0,IF(AA$2&gt;=$A73,IF(AA$2=$A73,($B73/$B$44)*$B$41,IF(AA$2&lt;=$A73+$B$44-1,$B73/$B$44,$B73-SUM($C73:Z73))),0))</f>
        <v>0</v>
      </c>
      <c r="AB73" s="4">
        <f>IF($B$44=0,0,IF(AB$2&gt;=$A73,IF(AB$2=$A73,($B73/$B$44)*$B$41,IF(AB$2&lt;=$A73+$B$44-1,$B73/$B$44,$B73-SUM($C73:AA73))),0))</f>
        <v>0</v>
      </c>
      <c r="AC73" s="4">
        <f>IF($B$44=0,0,IF(AC$2&gt;=$A73,IF(AC$2=$A73,($B73/$B$44)*$B$41,IF(AC$2&lt;=$A73+$B$44-1,$B73/$B$44,$B73-SUM($C73:AB73))),0))</f>
        <v>0</v>
      </c>
      <c r="AD73" s="4">
        <f>IF($B$44=0,0,IF(AD$2&gt;=$A73,IF(AD$2=$A73,($B73/$B$44)*$B$41,IF(AD$2&lt;=$A73+$B$44-1,$B73/$B$44,$B73-SUM($C73:AC73))),0))</f>
        <v>0</v>
      </c>
      <c r="AE73" s="4">
        <f>IF($B$44=0,0,IF(AE$2&gt;=$A73,IF(AE$2=$A73,($B73/$B$44)*$B$41,IF(AE$2&lt;=$A73+$B$44-1,$B73/$B$44,$B73-SUM($C73:AD73))),0))</f>
        <v>0</v>
      </c>
      <c r="AF73" s="4">
        <f>IF($B$44=0,0,IF(AF$2&gt;=$A73,IF(AF$2=$A73,($B73/$B$44)*$B$41,IF(AF$2&lt;=$A73+$B$44-1,$B73/$B$44,$B73-SUM($C73:AE73))),0))</f>
        <v>0</v>
      </c>
      <c r="AG73" s="4">
        <f t="shared" si="26"/>
        <v>0</v>
      </c>
    </row>
    <row r="74" spans="1:33">
      <c r="A74" s="6">
        <f t="shared" si="25"/>
        <v>2051</v>
      </c>
      <c r="B74" s="4">
        <f t="shared" si="23"/>
        <v>0</v>
      </c>
      <c r="C74" s="4">
        <f>IF($B$44=0,0,IF(C$2&gt;=$A74,IF(C$2=$A74,($B74/$B$44)*$B$41,IF(C$2&lt;=$A74+$B$44-1,$B74/$B$44,$B74-SUM(B74:$C74))),0))</f>
        <v>0</v>
      </c>
      <c r="D74" s="4">
        <f>IF($B$44=0,0,IF(D$2&gt;=$A74,IF(D$2=$A74,($B74/$B$44)*$B$41,IF(D$2&lt;=$A74+$B$44-1,$B74/$B$44,$B74-SUM(C74:$C74))),0))</f>
        <v>0</v>
      </c>
      <c r="E74" s="4">
        <f>IF($B$44=0,0,IF(E$2&gt;=$A74,IF(E$2=$A74,($B74/$B$44)*$B$41,IF(E$2&lt;=$A74+$B$44-1,$B74/$B$44,$B74-SUM($C74:D74))),0))</f>
        <v>0</v>
      </c>
      <c r="F74" s="4">
        <f>IF($B$44=0,0,IF(F$2&gt;=$A74,IF(F$2=$A74,($B74/$B$44)*$B$41,IF(F$2&lt;=$A74+$B$44-1,$B74/$B$44,$B74-SUM($C74:E74))),0))</f>
        <v>0</v>
      </c>
      <c r="G74" s="4">
        <f>IF($B$44=0,0,IF(G$2&gt;=$A74,IF(G$2=$A74,($B74/$B$44)*$B$41,IF(G$2&lt;=$A74+$B$44-1,$B74/$B$44,$B74-SUM($C74:F74))),0))</f>
        <v>0</v>
      </c>
      <c r="H74" s="4">
        <f>IF($B$44=0,0,IF(H$2&gt;=$A74,IF(H$2=$A74,($B74/$B$44)*$B$41,IF(H$2&lt;=$A74+$B$44-1,$B74/$B$44,$B74-SUM($C74:G74))),0))</f>
        <v>0</v>
      </c>
      <c r="I74" s="4">
        <f>IF($B$44=0,0,IF(I$2&gt;=$A74,IF(I$2=$A74,($B74/$B$44)*$B$41,IF(I$2&lt;=$A74+$B$44-1,$B74/$B$44,$B74-SUM($C74:H74))),0))</f>
        <v>0</v>
      </c>
      <c r="J74" s="4">
        <f>IF($B$44=0,0,IF(J$2&gt;=$A74,IF(J$2=$A74,($B74/$B$44)*$B$41,IF(J$2&lt;=$A74+$B$44-1,$B74/$B$44,$B74-SUM($C74:I74))),0))</f>
        <v>0</v>
      </c>
      <c r="K74" s="4">
        <f>IF($B$44=0,0,IF(K$2&gt;=$A74,IF(K$2=$A74,($B74/$B$44)*$B$41,IF(K$2&lt;=$A74+$B$44-1,$B74/$B$44,$B74-SUM($C74:J74))),0))</f>
        <v>0</v>
      </c>
      <c r="L74" s="4">
        <f>IF($B$44=0,0,IF(L$2&gt;=$A74,IF(L$2=$A74,($B74/$B$44)*$B$41,IF(L$2&lt;=$A74+$B$44-1,$B74/$B$44,$B74-SUM($C74:K74))),0))</f>
        <v>0</v>
      </c>
      <c r="M74" s="4">
        <f>IF($B$44=0,0,IF(M$2&gt;=$A74,IF(M$2=$A74,($B74/$B$44)*$B$41,IF(M$2&lt;=$A74+$B$44-1,$B74/$B$44,$B74-SUM($C74:L74))),0))</f>
        <v>0</v>
      </c>
      <c r="N74" s="4">
        <f>IF($B$44=0,0,IF(N$2&gt;=$A74,IF(N$2=$A74,($B74/$B$44)*$B$41,IF(N$2&lt;=$A74+$B$44-1,$B74/$B$44,$B74-SUM($C74:M74))),0))</f>
        <v>0</v>
      </c>
      <c r="O74" s="4">
        <f>IF($B$44=0,0,IF(O$2&gt;=$A74,IF(O$2=$A74,($B74/$B$44)*$B$41,IF(O$2&lt;=$A74+$B$44-1,$B74/$B$44,$B74-SUM($C74:N74))),0))</f>
        <v>0</v>
      </c>
      <c r="P74" s="4">
        <f>IF($B$44=0,0,IF(P$2&gt;=$A74,IF(P$2=$A74,($B74/$B$44)*$B$41,IF(P$2&lt;=$A74+$B$44-1,$B74/$B$44,$B74-SUM($C74:O74))),0))</f>
        <v>0</v>
      </c>
      <c r="Q74" s="4">
        <f>IF($B$44=0,0,IF(Q$2&gt;=$A74,IF(Q$2=$A74,($B74/$B$44)*$B$41,IF(Q$2&lt;=$A74+$B$44-1,$B74/$B$44,$B74-SUM($C74:P74))),0))</f>
        <v>0</v>
      </c>
      <c r="R74" s="4">
        <f>IF($B$44=0,0,IF(R$2&gt;=$A74,IF(R$2=$A74,($B74/$B$44)*$B$41,IF(R$2&lt;=$A74+$B$44-1,$B74/$B$44,$B74-SUM($C74:Q74))),0))</f>
        <v>0</v>
      </c>
      <c r="S74" s="4">
        <f>IF($B$44=0,0,IF(S$2&gt;=$A74,IF(S$2=$A74,($B74/$B$44)*$B$41,IF(S$2&lt;=$A74+$B$44-1,$B74/$B$44,$B74-SUM($C74:R74))),0))</f>
        <v>0</v>
      </c>
      <c r="T74" s="4">
        <f>IF($B$44=0,0,IF(T$2&gt;=$A74,IF(T$2=$A74,($B74/$B$44)*$B$41,IF(T$2&lt;=$A74+$B$44-1,$B74/$B$44,$B74-SUM($C74:S74))),0))</f>
        <v>0</v>
      </c>
      <c r="U74" s="4">
        <f>IF($B$44=0,0,IF(U$2&gt;=$A74,IF(U$2=$A74,($B74/$B$44)*$B$41,IF(U$2&lt;=$A74+$B$44-1,$B74/$B$44,$B74-SUM($C74:T74))),0))</f>
        <v>0</v>
      </c>
      <c r="V74" s="4">
        <f>IF($B$44=0,0,IF(V$2&gt;=$A74,IF(V$2=$A74,($B74/$B$44)*$B$41,IF(V$2&lt;=$A74+$B$44-1,$B74/$B$44,$B74-SUM($C74:U74))),0))</f>
        <v>0</v>
      </c>
      <c r="W74" s="4">
        <f>IF($B$44=0,0,IF(W$2&gt;=$A74,IF(W$2=$A74,($B74/$B$44)*$B$41,IF(W$2&lt;=$A74+$B$44-1,$B74/$B$44,$B74-SUM($C74:V74))),0))</f>
        <v>0</v>
      </c>
      <c r="X74" s="4">
        <f>IF($B$44=0,0,IF(X$2&gt;=$A74,IF(X$2=$A74,($B74/$B$44)*$B$41,IF(X$2&lt;=$A74+$B$44-1,$B74/$B$44,$B74-SUM($C74:W74))),0))</f>
        <v>0</v>
      </c>
      <c r="Y74" s="4">
        <f>IF($B$44=0,0,IF(Y$2&gt;=$A74,IF(Y$2=$A74,($B74/$B$44)*$B$41,IF(Y$2&lt;=$A74+$B$44-1,$B74/$B$44,$B74-SUM($C74:X74))),0))</f>
        <v>0</v>
      </c>
      <c r="Z74" s="4">
        <f>IF($B$44=0,0,IF(Z$2&gt;=$A74,IF(Z$2=$A74,($B74/$B$44)*$B$41,IF(Z$2&lt;=$A74+$B$44-1,$B74/$B$44,$B74-SUM($C74:Y74))),0))</f>
        <v>0</v>
      </c>
      <c r="AA74" s="4">
        <f>IF($B$44=0,0,IF(AA$2&gt;=$A74,IF(AA$2=$A74,($B74/$B$44)*$B$41,IF(AA$2&lt;=$A74+$B$44-1,$B74/$B$44,$B74-SUM($C74:Z74))),0))</f>
        <v>0</v>
      </c>
      <c r="AB74" s="4">
        <f>IF($B$44=0,0,IF(AB$2&gt;=$A74,IF(AB$2=$A74,($B74/$B$44)*$B$41,IF(AB$2&lt;=$A74+$B$44-1,$B74/$B$44,$B74-SUM($C74:AA74))),0))</f>
        <v>0</v>
      </c>
      <c r="AC74" s="4">
        <f>IF($B$44=0,0,IF(AC$2&gt;=$A74,IF(AC$2=$A74,($B74/$B$44)*$B$41,IF(AC$2&lt;=$A74+$B$44-1,$B74/$B$44,$B74-SUM($C74:AB74))),0))</f>
        <v>0</v>
      </c>
      <c r="AD74" s="4">
        <f>IF($B$44=0,0,IF(AD$2&gt;=$A74,IF(AD$2=$A74,($B74/$B$44)*$B$41,IF(AD$2&lt;=$A74+$B$44-1,$B74/$B$44,$B74-SUM($C74:AC74))),0))</f>
        <v>0</v>
      </c>
      <c r="AE74" s="4">
        <f>IF($B$44=0,0,IF(AE$2&gt;=$A74,IF(AE$2=$A74,($B74/$B$44)*$B$41,IF(AE$2&lt;=$A74+$B$44-1,$B74/$B$44,$B74-SUM($C74:AD74))),0))</f>
        <v>0</v>
      </c>
      <c r="AF74" s="4">
        <f>IF($B$44=0,0,IF(AF$2&gt;=$A74,IF(AF$2=$A74,($B74/$B$44)*$B$41,IF(AF$2&lt;=$A74+$B$44-1,$B74/$B$44,$B74-SUM($C74:AE74))),0))</f>
        <v>0</v>
      </c>
      <c r="AG74" s="4">
        <f t="shared" si="26"/>
        <v>0</v>
      </c>
    </row>
    <row r="75" spans="1:33" ht="15" thickBot="1">
      <c r="A75" s="6" t="str">
        <f>"Total Depreciation - "&amp;A41</f>
        <v>Total Depreciation - Midtown Building</v>
      </c>
      <c r="B75" s="43">
        <f>SUM(B45:B74)</f>
        <v>108410427.83879925</v>
      </c>
      <c r="C75" s="43">
        <f>SUM(C45:C74)</f>
        <v>0</v>
      </c>
      <c r="D75" s="43">
        <f t="shared" ref="D75:AF75" si="27">SUM(D45:D74)</f>
        <v>0</v>
      </c>
      <c r="E75" s="43">
        <f t="shared" si="27"/>
        <v>0</v>
      </c>
      <c r="F75" s="43">
        <f t="shared" si="27"/>
        <v>1806840.4639799877</v>
      </c>
      <c r="G75" s="43">
        <f t="shared" si="27"/>
        <v>1806840.4639799877</v>
      </c>
      <c r="H75" s="43">
        <f t="shared" si="27"/>
        <v>1806840.4639799877</v>
      </c>
      <c r="I75" s="43">
        <f t="shared" si="27"/>
        <v>1806840.4639799877</v>
      </c>
      <c r="J75" s="43">
        <f t="shared" si="27"/>
        <v>1806840.4639799877</v>
      </c>
      <c r="K75" s="43">
        <f t="shared" si="27"/>
        <v>1806840.4639799877</v>
      </c>
      <c r="L75" s="43">
        <f t="shared" si="27"/>
        <v>1806840.4639799877</v>
      </c>
      <c r="M75" s="43">
        <f t="shared" si="27"/>
        <v>1806840.4639799877</v>
      </c>
      <c r="N75" s="43">
        <f t="shared" si="27"/>
        <v>1806840.4639799877</v>
      </c>
      <c r="O75" s="43">
        <f t="shared" si="27"/>
        <v>1806840.4639799877</v>
      </c>
      <c r="P75" s="43">
        <f t="shared" si="27"/>
        <v>1806840.4639799877</v>
      </c>
      <c r="Q75" s="43">
        <f t="shared" si="27"/>
        <v>1806840.4639799877</v>
      </c>
      <c r="R75" s="43">
        <f t="shared" si="27"/>
        <v>1806840.4639799877</v>
      </c>
      <c r="S75" s="43">
        <f t="shared" si="27"/>
        <v>1806840.4639799877</v>
      </c>
      <c r="T75" s="43">
        <f t="shared" si="27"/>
        <v>1806840.4639799877</v>
      </c>
      <c r="U75" s="43">
        <f t="shared" si="27"/>
        <v>1806840.4639799877</v>
      </c>
      <c r="V75" s="43">
        <f t="shared" si="27"/>
        <v>1806840.4639799877</v>
      </c>
      <c r="W75" s="43">
        <f t="shared" si="27"/>
        <v>1806840.4639799877</v>
      </c>
      <c r="X75" s="43">
        <f t="shared" si="27"/>
        <v>1806840.4639799877</v>
      </c>
      <c r="Y75" s="43">
        <f t="shared" si="27"/>
        <v>1806840.4639799877</v>
      </c>
      <c r="Z75" s="43">
        <f t="shared" si="27"/>
        <v>1806840.4639799877</v>
      </c>
      <c r="AA75" s="43">
        <f t="shared" si="27"/>
        <v>1806840.4639799877</v>
      </c>
      <c r="AB75" s="43">
        <f t="shared" si="27"/>
        <v>1806840.4639799877</v>
      </c>
      <c r="AC75" s="43">
        <f t="shared" si="27"/>
        <v>1806840.4639799877</v>
      </c>
      <c r="AD75" s="43">
        <f t="shared" si="27"/>
        <v>1806840.4639799877</v>
      </c>
      <c r="AE75" s="43">
        <f t="shared" si="27"/>
        <v>1806840.4639799877</v>
      </c>
      <c r="AF75" s="43">
        <f t="shared" si="27"/>
        <v>1806840.4639799877</v>
      </c>
      <c r="AG75" s="43">
        <f>SUM(C75:AF75)</f>
        <v>48784692.527459696</v>
      </c>
    </row>
    <row r="77" spans="1:33">
      <c r="A77" s="302" t="str">
        <f>+Capex!$A$8</f>
        <v>Furniture, Fixtures &amp; Equipment - Building</v>
      </c>
      <c r="B77" s="324">
        <f>+Capex!$C$8/12</f>
        <v>0.5</v>
      </c>
    </row>
    <row r="78" spans="1:33">
      <c r="A78" s="6" t="s">
        <v>399</v>
      </c>
      <c r="C78" s="40">
        <f>IF(Capex!$B$8=0,Capex!G$8,IF(Capex!$B$8=Capex!G$4,Capex!$AK$8,0))+IF(Capex!$B$8=0,Capex!G$22,IF(Capex!$B$8=Capex!G$4,Capex!$AK$22,0))</f>
        <v>0</v>
      </c>
      <c r="D78" s="40">
        <f>IF(Capex!$B$8=0,Capex!H$8,IF(Capex!$B$8=Capex!H$4,Capex!$AK$8,0))+IF(Capex!$B$8=0,Capex!H$22,IF(Capex!$B$8=Capex!H$4,Capex!$AK$22,0))</f>
        <v>0</v>
      </c>
      <c r="E78" s="40">
        <f>IF(Capex!$B$8=0,Capex!I$8,IF(Capex!$B$8=Capex!I$4,Capex!$AK$8,0))+IF(Capex!$B$8=0,Capex!I$22,IF(Capex!$B$8=Capex!I$4,Capex!$AK$22,0))</f>
        <v>0</v>
      </c>
      <c r="F78" s="40">
        <f>IF(Capex!$B$8=0,Capex!J$8,IF(Capex!$B$8=Capex!J$4,Capex!$AK$8,0))+IF(Capex!$B$8=0,Capex!J$22,IF(Capex!$B$8=Capex!J$4,Capex!$AK$22,0))</f>
        <v>33407726.226669125</v>
      </c>
      <c r="G78" s="40">
        <f>IF(Capex!$B$8=0,Capex!K$8,IF(Capex!$B$8=Capex!K$4,Capex!$AK$8,0))+IF(Capex!$B$8=0,Capex!K$22,IF(Capex!$B$8=Capex!K$4,Capex!$AK$22,0))</f>
        <v>0</v>
      </c>
      <c r="H78" s="40">
        <f>IF(Capex!$B$8=0,Capex!L$8,IF(Capex!$B$8=Capex!L$4,Capex!$AK$8,0))+IF(Capex!$B$8=0,Capex!L$22,IF(Capex!$B$8=Capex!L$4,Capex!$AK$22,0))</f>
        <v>0</v>
      </c>
      <c r="I78" s="40">
        <f>IF(Capex!$B$8=0,Capex!M$8,IF(Capex!$B$8=Capex!M$4,Capex!$AK$8,0))+IF(Capex!$B$8=0,Capex!M$22,IF(Capex!$B$8=Capex!M$4,Capex!$AK$22,0))</f>
        <v>0</v>
      </c>
      <c r="J78" s="40">
        <f>IF(Capex!$B$8=0,Capex!N$8,IF(Capex!$B$8=Capex!N$4,Capex!$AK$8,0))+IF(Capex!$B$8=0,Capex!N$22,IF(Capex!$B$8=Capex!N$4,Capex!$AK$22,0))</f>
        <v>0</v>
      </c>
      <c r="K78" s="40">
        <f>IF(Capex!$B$8=0,Capex!O$8,IF(Capex!$B$8=Capex!O$4,Capex!$AK$8,0))+IF(Capex!$B$8=0,Capex!O$22,IF(Capex!$B$8=Capex!O$4,Capex!$AK$22,0))</f>
        <v>0</v>
      </c>
      <c r="L78" s="40">
        <f>IF(Capex!$B$8=0,Capex!P$8,IF(Capex!$B$8=Capex!P$4,Capex!$AK$8,0))+IF(Capex!$B$8=0,Capex!P$22,IF(Capex!$B$8=Capex!P$4,Capex!$AK$22,0))</f>
        <v>0</v>
      </c>
      <c r="M78" s="40">
        <f>IF(Capex!$B$8=0,Capex!Q$8,IF(Capex!$B$8=Capex!Q$4,Capex!$AK$8,0))+IF(Capex!$B$8=0,Capex!Q$22,IF(Capex!$B$8=Capex!Q$4,Capex!$AK$22,0))</f>
        <v>0</v>
      </c>
      <c r="N78" s="40">
        <f>IF(Capex!$B$8=0,Capex!R$8,IF(Capex!$B$8=Capex!R$4,Capex!$AK$8,0))+IF(Capex!$B$8=0,Capex!R$22,IF(Capex!$B$8=Capex!R$4,Capex!$AK$22,0))</f>
        <v>0</v>
      </c>
      <c r="O78" s="40">
        <f>IF(Capex!$B$8=0,Capex!S$8,IF(Capex!$B$8=Capex!S$4,Capex!$AK$8,0))+IF(Capex!$B$8=0,Capex!S$22,IF(Capex!$B$8=Capex!S$4,Capex!$AK$22,0))</f>
        <v>0</v>
      </c>
      <c r="P78" s="40">
        <f>IF(Capex!$B$8=0,Capex!T$8,IF(Capex!$B$8=Capex!T$4,Capex!$AK$8,0))+IF(Capex!$B$8=0,Capex!T$22,IF(Capex!$B$8=Capex!T$4,Capex!$AK$22,0))</f>
        <v>0</v>
      </c>
      <c r="Q78" s="40">
        <f>IF(Capex!$B$8=0,Capex!U$8,IF(Capex!$B$8=Capex!U$4,Capex!$AK$8,0))+IF(Capex!$B$8=0,Capex!U$22,IF(Capex!$B$8=Capex!U$4,Capex!$AK$22,0))</f>
        <v>0</v>
      </c>
      <c r="R78" s="40">
        <f>IF(Capex!$B$8=0,Capex!V$8,IF(Capex!$B$8=Capex!V$4,Capex!$AK$8,0))+IF(Capex!$B$8=0,Capex!V$22,IF(Capex!$B$8=Capex!V$4,Capex!$AK$22,0))</f>
        <v>0</v>
      </c>
      <c r="S78" s="40">
        <f>IF(Capex!$B$8=0,Capex!W$8,IF(Capex!$B$8=Capex!W$4,Capex!$AK$8,0))+IF(Capex!$B$8=0,Capex!W$22,IF(Capex!$B$8=Capex!W$4,Capex!$AK$22,0))</f>
        <v>0</v>
      </c>
      <c r="T78" s="40">
        <f>IF(Capex!$B$8=0,Capex!X$8,IF(Capex!$B$8=Capex!X$4,Capex!$AK$8,0))+IF(Capex!$B$8=0,Capex!X$22,IF(Capex!$B$8=Capex!X$4,Capex!$AK$22,0))</f>
        <v>0</v>
      </c>
      <c r="U78" s="40">
        <f>IF(Capex!$B$8=0,Capex!Y$8,IF(Capex!$B$8=Capex!Y$4,Capex!$AK$8,0))+IF(Capex!$B$8=0,Capex!Y$22,IF(Capex!$B$8=Capex!Y$4,Capex!$AK$22,0))</f>
        <v>0</v>
      </c>
      <c r="V78" s="40">
        <f>IF(Capex!$B$8=0,Capex!Z$8,IF(Capex!$B$8=Capex!Z$4,Capex!$AK$8,0))+IF(Capex!$B$8=0,Capex!Z$22,IF(Capex!$B$8=Capex!Z$4,Capex!$AK$22,0))</f>
        <v>0</v>
      </c>
      <c r="W78" s="40">
        <f>IF(Capex!$B$8=0,Capex!AA$8,IF(Capex!$B$8=Capex!AA$4,Capex!$AK$8,0))+IF(Capex!$B$8=0,Capex!AA$22,IF(Capex!$B$8=Capex!AA$4,Capex!$AK$22,0))</f>
        <v>0</v>
      </c>
      <c r="X78" s="40">
        <f>IF(Capex!$B$8=0,Capex!AB$8,IF(Capex!$B$8=Capex!AB$4,Capex!$AK$8,0))+IF(Capex!$B$8=0,Capex!AB$22,IF(Capex!$B$8=Capex!AB$4,Capex!$AK$22,0))</f>
        <v>0</v>
      </c>
      <c r="Y78" s="40">
        <f>IF(Capex!$B$8=0,Capex!AC$8,IF(Capex!$B$8=Capex!AC$4,Capex!$AK$8,0))+IF(Capex!$B$8=0,Capex!AC$22,IF(Capex!$B$8=Capex!AC$4,Capex!$AK$22,0))</f>
        <v>0</v>
      </c>
      <c r="Z78" s="40">
        <f>IF(Capex!$B$8=0,Capex!AD$8,IF(Capex!$B$8=Capex!AD$4,Capex!$AK$8,0))+IF(Capex!$B$8=0,Capex!AD$22,IF(Capex!$B$8=Capex!AD$4,Capex!$AK$22,0))</f>
        <v>0</v>
      </c>
      <c r="AA78" s="40">
        <f>IF(Capex!$B$8=0,Capex!AE$8,IF(Capex!$B$8=Capex!AE$4,Capex!$AK$8,0))+IF(Capex!$B$8=0,Capex!AE$22,IF(Capex!$B$8=Capex!AE$4,Capex!$AK$22,0))</f>
        <v>0</v>
      </c>
      <c r="AB78" s="40">
        <f>IF(Capex!$B$8=0,Capex!AF$8,IF(Capex!$B$8=Capex!AF$4,Capex!$AK$8,0))+IF(Capex!$B$8=0,Capex!AF$22,IF(Capex!$B$8=Capex!AF$4,Capex!$AK$22,0))</f>
        <v>0</v>
      </c>
      <c r="AC78" s="40">
        <f>IF(Capex!$B$8=0,Capex!AG$8,IF(Capex!$B$8=Capex!AG$4,Capex!$AK$8,0))+IF(Capex!$B$8=0,Capex!AG$22,IF(Capex!$B$8=Capex!AG$4,Capex!$AK$22,0))</f>
        <v>0</v>
      </c>
      <c r="AD78" s="40">
        <f>IF(Capex!$B$8=0,Capex!AH$8,IF(Capex!$B$8=Capex!AH$4,Capex!$AK$8,0))+IF(Capex!$B$8=0,Capex!AH$22,IF(Capex!$B$8=Capex!AH$4,Capex!$AK$22,0))</f>
        <v>0</v>
      </c>
      <c r="AE78" s="40">
        <f>IF(Capex!$B$8=0,Capex!AI$8,IF(Capex!$B$8=Capex!AI$4,Capex!$AK$8,0))+IF(Capex!$B$8=0,Capex!AI$22,IF(Capex!$B$8=Capex!AI$4,Capex!$AK$22,0))</f>
        <v>0</v>
      </c>
      <c r="AF78" s="40">
        <f>IF(Capex!$B$8=0,Capex!AJ$8,IF(Capex!$B$8=Capex!AJ$4,Capex!$AK$8,0))+IF(Capex!$B$8=0,Capex!AJ$22,IF(Capex!$B$8=Capex!AJ$4,Capex!$AK$22,0))</f>
        <v>0</v>
      </c>
    </row>
    <row r="79" spans="1:33">
      <c r="A79" s="6" t="s">
        <v>400</v>
      </c>
      <c r="B79" s="299"/>
      <c r="C79" s="49">
        <f>+C78</f>
        <v>0</v>
      </c>
      <c r="D79" s="49">
        <f t="shared" ref="D79" si="28">+D78+C79</f>
        <v>0</v>
      </c>
      <c r="E79" s="49">
        <f t="shared" ref="E79" si="29">+E78+D79</f>
        <v>0</v>
      </c>
      <c r="F79" s="49">
        <f t="shared" ref="F79" si="30">+F78+E79</f>
        <v>33407726.226669125</v>
      </c>
      <c r="G79" s="49">
        <f t="shared" ref="G79" si="31">+G78+F79</f>
        <v>33407726.226669125</v>
      </c>
      <c r="H79" s="49">
        <f t="shared" ref="H79" si="32">+H78+G79</f>
        <v>33407726.226669125</v>
      </c>
      <c r="I79" s="49">
        <f t="shared" ref="I79" si="33">+I78+H79</f>
        <v>33407726.226669125</v>
      </c>
      <c r="J79" s="49">
        <f t="shared" ref="J79" si="34">+J78+I79</f>
        <v>33407726.226669125</v>
      </c>
      <c r="K79" s="49">
        <f t="shared" ref="K79" si="35">+K78+J79</f>
        <v>33407726.226669125</v>
      </c>
      <c r="L79" s="49">
        <f t="shared" ref="L79" si="36">+L78+K79</f>
        <v>33407726.226669125</v>
      </c>
      <c r="M79" s="49">
        <f t="shared" ref="M79" si="37">+M78+L79</f>
        <v>33407726.226669125</v>
      </c>
      <c r="N79" s="49">
        <f t="shared" ref="N79" si="38">+N78+M79</f>
        <v>33407726.226669125</v>
      </c>
      <c r="O79" s="49">
        <f t="shared" ref="O79" si="39">+O78+N79</f>
        <v>33407726.226669125</v>
      </c>
      <c r="P79" s="49">
        <f t="shared" ref="P79" si="40">+P78+O79</f>
        <v>33407726.226669125</v>
      </c>
      <c r="Q79" s="49">
        <f t="shared" ref="Q79" si="41">+Q78+P79</f>
        <v>33407726.226669125</v>
      </c>
      <c r="R79" s="49">
        <f t="shared" ref="R79" si="42">+R78+Q79</f>
        <v>33407726.226669125</v>
      </c>
      <c r="S79" s="49">
        <f t="shared" ref="S79" si="43">+S78+R79</f>
        <v>33407726.226669125</v>
      </c>
      <c r="T79" s="49">
        <f t="shared" ref="T79" si="44">+T78+S79</f>
        <v>33407726.226669125</v>
      </c>
      <c r="U79" s="49">
        <f t="shared" ref="U79" si="45">+U78+T79</f>
        <v>33407726.226669125</v>
      </c>
      <c r="V79" s="49">
        <f t="shared" ref="V79" si="46">+V78+U79</f>
        <v>33407726.226669125</v>
      </c>
      <c r="W79" s="49">
        <f t="shared" ref="W79" si="47">+W78+V79</f>
        <v>33407726.226669125</v>
      </c>
      <c r="X79" s="49">
        <f t="shared" ref="X79" si="48">+X78+W79</f>
        <v>33407726.226669125</v>
      </c>
      <c r="Y79" s="49">
        <f t="shared" ref="Y79" si="49">+Y78+X79</f>
        <v>33407726.226669125</v>
      </c>
      <c r="Z79" s="49">
        <f t="shared" ref="Z79" si="50">+Z78+Y79</f>
        <v>33407726.226669125</v>
      </c>
      <c r="AA79" s="49">
        <f t="shared" ref="AA79" si="51">+AA78+Z79</f>
        <v>33407726.226669125</v>
      </c>
      <c r="AB79" s="49">
        <f t="shared" ref="AB79" si="52">+AB78+AA79</f>
        <v>33407726.226669125</v>
      </c>
      <c r="AC79" s="49">
        <f t="shared" ref="AC79" si="53">+AC78+AB79</f>
        <v>33407726.226669125</v>
      </c>
      <c r="AD79" s="49">
        <f t="shared" ref="AD79" si="54">+AD78+AC79</f>
        <v>33407726.226669125</v>
      </c>
      <c r="AE79" s="49">
        <f t="shared" ref="AE79" si="55">+AE78+AD79</f>
        <v>33407726.226669125</v>
      </c>
      <c r="AF79" s="49">
        <f t="shared" ref="AF79" si="56">+AF78+AE79</f>
        <v>33407726.226669125</v>
      </c>
    </row>
    <row r="80" spans="1:33" ht="16.2">
      <c r="A80" s="6" t="s">
        <v>401</v>
      </c>
      <c r="B80" s="88">
        <f>+Capex!$D$8</f>
        <v>7</v>
      </c>
      <c r="AG80" s="462"/>
    </row>
    <row r="81" spans="1:33">
      <c r="A81" s="6">
        <f>+A9</f>
        <v>2022</v>
      </c>
      <c r="B81" s="4">
        <f t="shared" ref="B81:B110" si="57">SUMIF($C$2:$AF$2,A81,$C$78:$AF$78)</f>
        <v>0</v>
      </c>
      <c r="C81" s="4">
        <f>IF($B$80=0,0,IF(C$2&gt;=$A81,IF(C$2=$A81,($B81/$B$80)*$B$77,IF(C$2&lt;=$A81+$B$80-1,$B81/$B$80,$B81-SUM(B81:$C81))),0))</f>
        <v>0</v>
      </c>
      <c r="D81" s="4">
        <f>IF($B$80=0,0,IF(D$2&gt;=$A81,IF(D$2=$A81,($B81/$B$80)*$B$77,IF(D$2&lt;=$A81+$B$80-1,$B81/$B$80,$B81-SUM(C81:$C81))),0))</f>
        <v>0</v>
      </c>
      <c r="E81" s="4">
        <f>IF($B$80=0,0,IF(E$2&gt;=$A81,IF(E$2=$A81,($B81/$B$80)*$B$77,IF(E$2&lt;=$A81+$B$80-1,$B81/$B$80,$B81-SUM($C81:D81))),0))</f>
        <v>0</v>
      </c>
      <c r="F81" s="4">
        <f>IF($B$80=0,0,IF(F$2&gt;=$A81,IF(F$2=$A81,($B81/$B$80)*$B$77,IF(F$2&lt;=$A81+$B$80-1,$B81/$B$80,$B81-SUM($C81:E81))),0))</f>
        <v>0</v>
      </c>
      <c r="G81" s="4">
        <f>IF($B$80=0,0,IF(G$2&gt;=$A81,IF(G$2=$A81,($B81/$B$80)*$B$77,IF(G$2&lt;=$A81+$B$80-1,$B81/$B$80,$B81-SUM($C81:F81))),0))</f>
        <v>0</v>
      </c>
      <c r="H81" s="4">
        <f>IF($B$80=0,0,IF(H$2&gt;=$A81,IF(H$2=$A81,($B81/$B$80)*$B$77,IF(H$2&lt;=$A81+$B$80-1,$B81/$B$80,$B81-SUM($C81:G81))),0))</f>
        <v>0</v>
      </c>
      <c r="I81" s="4">
        <f>IF($B$80=0,0,IF(I$2&gt;=$A81,IF(I$2=$A81,($B81/$B$80)*$B$77,IF(I$2&lt;=$A81+$B$80-1,$B81/$B$80,$B81-SUM($C81:H81))),0))</f>
        <v>0</v>
      </c>
      <c r="J81" s="4">
        <f>IF($B$80=0,0,IF(J$2&gt;=$A81,IF(J$2=$A81,($B81/$B$80)*$B$77,IF(J$2&lt;=$A81+$B$80-1,$B81/$B$80,$B81-SUM($C81:I81))),0))</f>
        <v>0</v>
      </c>
      <c r="K81" s="4">
        <f>IF($B$80=0,0,IF(K$2&gt;=$A81,IF(K$2=$A81,($B81/$B$80)*$B$77,IF(K$2&lt;=$A81+$B$80-1,$B81/$B$80,$B81-SUM($C81:J81))),0))</f>
        <v>0</v>
      </c>
      <c r="L81" s="4">
        <f>IF($B$80=0,0,IF(L$2&gt;=$A81,IF(L$2=$A81,($B81/$B$80)*$B$77,IF(L$2&lt;=$A81+$B$80-1,$B81/$B$80,$B81-SUM($C81:K81))),0))</f>
        <v>0</v>
      </c>
      <c r="M81" s="4">
        <f>IF($B$80=0,0,IF(M$2&gt;=$A81,IF(M$2=$A81,($B81/$B$80)*$B$77,IF(M$2&lt;=$A81+$B$80-1,$B81/$B$80,$B81-SUM($C81:L81))),0))</f>
        <v>0</v>
      </c>
      <c r="N81" s="4">
        <f>IF($B$80=0,0,IF(N$2&gt;=$A81,IF(N$2=$A81,($B81/$B$80)*$B$77,IF(N$2&lt;=$A81+$B$80-1,$B81/$B$80,$B81-SUM($C81:M81))),0))</f>
        <v>0</v>
      </c>
      <c r="O81" s="4">
        <f>IF($B$80=0,0,IF(O$2&gt;=$A81,IF(O$2=$A81,($B81/$B$80)*$B$77,IF(O$2&lt;=$A81+$B$80-1,$B81/$B$80,$B81-SUM($C81:N81))),0))</f>
        <v>0</v>
      </c>
      <c r="P81" s="4">
        <f>IF($B$80=0,0,IF(P$2&gt;=$A81,IF(P$2=$A81,($B81/$B$80)*$B$77,IF(P$2&lt;=$A81+$B$80-1,$B81/$B$80,$B81-SUM($C81:O81))),0))</f>
        <v>0</v>
      </c>
      <c r="Q81" s="4">
        <f>IF($B$80=0,0,IF(Q$2&gt;=$A81,IF(Q$2=$A81,($B81/$B$80)*$B$77,IF(Q$2&lt;=$A81+$B$80-1,$B81/$B$80,$B81-SUM($C81:P81))),0))</f>
        <v>0</v>
      </c>
      <c r="R81" s="4">
        <f>IF($B$80=0,0,IF(R$2&gt;=$A81,IF(R$2=$A81,($B81/$B$80)*$B$77,IF(R$2&lt;=$A81+$B$80-1,$B81/$B$80,$B81-SUM($C81:Q81))),0))</f>
        <v>0</v>
      </c>
      <c r="S81" s="4">
        <f>IF($B$80=0,0,IF(S$2&gt;=$A81,IF(S$2=$A81,($B81/$B$80)*$B$77,IF(S$2&lt;=$A81+$B$80-1,$B81/$B$80,$B81-SUM($C81:R81))),0))</f>
        <v>0</v>
      </c>
      <c r="T81" s="4">
        <f>IF($B$80=0,0,IF(T$2&gt;=$A81,IF(T$2=$A81,($B81/$B$80)*$B$77,IF(T$2&lt;=$A81+$B$80-1,$B81/$B$80,$B81-SUM($C81:S81))),0))</f>
        <v>0</v>
      </c>
      <c r="U81" s="4">
        <f>IF($B$80=0,0,IF(U$2&gt;=$A81,IF(U$2=$A81,($B81/$B$80)*$B$77,IF(U$2&lt;=$A81+$B$80-1,$B81/$B$80,$B81-SUM($C81:T81))),0))</f>
        <v>0</v>
      </c>
      <c r="V81" s="4">
        <f>IF($B$80=0,0,IF(V$2&gt;=$A81,IF(V$2=$A81,($B81/$B$80)*$B$77,IF(V$2&lt;=$A81+$B$80-1,$B81/$B$80,$B81-SUM($C81:U81))),0))</f>
        <v>0</v>
      </c>
      <c r="W81" s="4">
        <f>IF($B$80=0,0,IF(W$2&gt;=$A81,IF(W$2=$A81,($B81/$B$80)*$B$77,IF(W$2&lt;=$A81+$B$80-1,$B81/$B$80,$B81-SUM($C81:V81))),0))</f>
        <v>0</v>
      </c>
      <c r="X81" s="4">
        <f>IF($B$80=0,0,IF(X$2&gt;=$A81,IF(X$2=$A81,($B81/$B$80)*$B$77,IF(X$2&lt;=$A81+$B$80-1,$B81/$B$80,$B81-SUM($C81:W81))),0))</f>
        <v>0</v>
      </c>
      <c r="Y81" s="4">
        <f>IF($B$80=0,0,IF(Y$2&gt;=$A81,IF(Y$2=$A81,($B81/$B$80)*$B$77,IF(Y$2&lt;=$A81+$B$80-1,$B81/$B$80,$B81-SUM($C81:X81))),0))</f>
        <v>0</v>
      </c>
      <c r="Z81" s="4">
        <f>IF($B$80=0,0,IF(Z$2&gt;=$A81,IF(Z$2=$A81,($B81/$B$80)*$B$77,IF(Z$2&lt;=$A81+$B$80-1,$B81/$B$80,$B81-SUM($C81:Y81))),0))</f>
        <v>0</v>
      </c>
      <c r="AA81" s="4">
        <f>IF($B$80=0,0,IF(AA$2&gt;=$A81,IF(AA$2=$A81,($B81/$B$80)*$B$77,IF(AA$2&lt;=$A81+$B$80-1,$B81/$B$80,$B81-SUM($C81:Z81))),0))</f>
        <v>0</v>
      </c>
      <c r="AB81" s="4">
        <f>IF($B$80=0,0,IF(AB$2&gt;=$A81,IF(AB$2=$A81,($B81/$B$80)*$B$77,IF(AB$2&lt;=$A81+$B$80-1,$B81/$B$80,$B81-SUM($C81:AA81))),0))</f>
        <v>0</v>
      </c>
      <c r="AC81" s="4">
        <f>IF($B$80=0,0,IF(AC$2&gt;=$A81,IF(AC$2=$A81,($B81/$B$80)*$B$77,IF(AC$2&lt;=$A81+$B$80-1,$B81/$B$80,$B81-SUM($C81:AB81))),0))</f>
        <v>0</v>
      </c>
      <c r="AD81" s="4">
        <f>IF($B$80=0,0,IF(AD$2&gt;=$A81,IF(AD$2=$A81,($B81/$B$80)*$B$77,IF(AD$2&lt;=$A81+$B$80-1,$B81/$B$80,$B81-SUM($C81:AC81))),0))</f>
        <v>0</v>
      </c>
      <c r="AE81" s="4">
        <f>IF($B$80=0,0,IF(AE$2&gt;=$A81,IF(AE$2=$A81,($B81/$B$80)*$B$77,IF(AE$2&lt;=$A81+$B$80-1,$B81/$B$80,$B81-SUM($C81:AD81))),0))</f>
        <v>0</v>
      </c>
      <c r="AF81" s="4">
        <f>IF($B$80=0,0,IF(AF$2&gt;=$A81,IF(AF$2=$A81,($B81/$B$80)*$B$77,IF(AF$2&lt;=$A81+$B$80-1,$B81/$B$80,$B81-SUM($C81:AE81))),0))</f>
        <v>0</v>
      </c>
      <c r="AG81" s="4">
        <f t="shared" ref="AG81:AG105" si="58">SUM(C81:AF81)</f>
        <v>0</v>
      </c>
    </row>
    <row r="82" spans="1:33">
      <c r="A82" s="6">
        <f>+A81+1</f>
        <v>2023</v>
      </c>
      <c r="B82" s="4">
        <f t="shared" si="57"/>
        <v>0</v>
      </c>
      <c r="C82" s="4">
        <f>IF($B$80=0,0,IF(C$2&gt;=$A82,IF(C$2=$A82,($B82/$B$80)*$B$77,IF(C$2&lt;=$A82+$B$80-1,$B82/$B$80,$B82-SUM(B82:$C82))),0))</f>
        <v>0</v>
      </c>
      <c r="D82" s="4">
        <f>IF($B$80=0,0,IF(D$2&gt;=$A82,IF(D$2=$A82,($B82/$B$80)*$B$77,IF(D$2&lt;=$A82+$B$80-1,$B82/$B$80,$B82-SUM(C82:$C82))),0))</f>
        <v>0</v>
      </c>
      <c r="E82" s="4">
        <f>IF($B$80=0,0,IF(E$2&gt;=$A82,IF(E$2=$A82,($B82/$B$80)*$B$77,IF(E$2&lt;=$A82+$B$80-1,$B82/$B$80,$B82-SUM($C82:D82))),0))</f>
        <v>0</v>
      </c>
      <c r="F82" s="4">
        <f>IF($B$80=0,0,IF(F$2&gt;=$A82,IF(F$2=$A82,($B82/$B$80)*$B$77,IF(F$2&lt;=$A82+$B$80-1,$B82/$B$80,$B82-SUM($C82:E82))),0))</f>
        <v>0</v>
      </c>
      <c r="G82" s="4">
        <f>IF($B$80=0,0,IF(G$2&gt;=$A82,IF(G$2=$A82,($B82/$B$80)*$B$77,IF(G$2&lt;=$A82+$B$80-1,$B82/$B$80,$B82-SUM($C82:F82))),0))</f>
        <v>0</v>
      </c>
      <c r="H82" s="4">
        <f>IF($B$80=0,0,IF(H$2&gt;=$A82,IF(H$2=$A82,($B82/$B$80)*$B$77,IF(H$2&lt;=$A82+$B$80-1,$B82/$B$80,$B82-SUM($C82:G82))),0))</f>
        <v>0</v>
      </c>
      <c r="I82" s="4">
        <f>IF($B$80=0,0,IF(I$2&gt;=$A82,IF(I$2=$A82,($B82/$B$80)*$B$77,IF(I$2&lt;=$A82+$B$80-1,$B82/$B$80,$B82-SUM($C82:H82))),0))</f>
        <v>0</v>
      </c>
      <c r="J82" s="4">
        <f>IF($B$80=0,0,IF(J$2&gt;=$A82,IF(J$2=$A82,($B82/$B$80)*$B$77,IF(J$2&lt;=$A82+$B$80-1,$B82/$B$80,$B82-SUM($C82:I82))),0))</f>
        <v>0</v>
      </c>
      <c r="K82" s="4">
        <f>IF($B$80=0,0,IF(K$2&gt;=$A82,IF(K$2=$A82,($B82/$B$80)*$B$77,IF(K$2&lt;=$A82+$B$80-1,$B82/$B$80,$B82-SUM($C82:J82))),0))</f>
        <v>0</v>
      </c>
      <c r="L82" s="4">
        <f>IF($B$80=0,0,IF(L$2&gt;=$A82,IF(L$2=$A82,($B82/$B$80)*$B$77,IF(L$2&lt;=$A82+$B$80-1,$B82/$B$80,$B82-SUM($C82:K82))),0))</f>
        <v>0</v>
      </c>
      <c r="M82" s="4">
        <f>IF($B$80=0,0,IF(M$2&gt;=$A82,IF(M$2=$A82,($B82/$B$80)*$B$77,IF(M$2&lt;=$A82+$B$80-1,$B82/$B$80,$B82-SUM($C82:L82))),0))</f>
        <v>0</v>
      </c>
      <c r="N82" s="4">
        <f>IF($B$80=0,0,IF(N$2&gt;=$A82,IF(N$2=$A82,($B82/$B$80)*$B$77,IF(N$2&lt;=$A82+$B$80-1,$B82/$B$80,$B82-SUM($C82:M82))),0))</f>
        <v>0</v>
      </c>
      <c r="O82" s="4">
        <f>IF($B$80=0,0,IF(O$2&gt;=$A82,IF(O$2=$A82,($B82/$B$80)*$B$77,IF(O$2&lt;=$A82+$B$80-1,$B82/$B$80,$B82-SUM($C82:N82))),0))</f>
        <v>0</v>
      </c>
      <c r="P82" s="4">
        <f>IF($B$80=0,0,IF(P$2&gt;=$A82,IF(P$2=$A82,($B82/$B$80)*$B$77,IF(P$2&lt;=$A82+$B$80-1,$B82/$B$80,$B82-SUM($C82:O82))),0))</f>
        <v>0</v>
      </c>
      <c r="Q82" s="4">
        <f>IF($B$80=0,0,IF(Q$2&gt;=$A82,IF(Q$2=$A82,($B82/$B$80)*$B$77,IF(Q$2&lt;=$A82+$B$80-1,$B82/$B$80,$B82-SUM($C82:P82))),0))</f>
        <v>0</v>
      </c>
      <c r="R82" s="4">
        <f>IF($B$80=0,0,IF(R$2&gt;=$A82,IF(R$2=$A82,($B82/$B$80)*$B$77,IF(R$2&lt;=$A82+$B$80-1,$B82/$B$80,$B82-SUM($C82:Q82))),0))</f>
        <v>0</v>
      </c>
      <c r="S82" s="4">
        <f>IF($B$80=0,0,IF(S$2&gt;=$A82,IF(S$2=$A82,($B82/$B$80)*$B$77,IF(S$2&lt;=$A82+$B$80-1,$B82/$B$80,$B82-SUM($C82:R82))),0))</f>
        <v>0</v>
      </c>
      <c r="T82" s="4">
        <f>IF($B$80=0,0,IF(T$2&gt;=$A82,IF(T$2=$A82,($B82/$B$80)*$B$77,IF(T$2&lt;=$A82+$B$80-1,$B82/$B$80,$B82-SUM($C82:S82))),0))</f>
        <v>0</v>
      </c>
      <c r="U82" s="4">
        <f>IF($B$80=0,0,IF(U$2&gt;=$A82,IF(U$2=$A82,($B82/$B$80)*$B$77,IF(U$2&lt;=$A82+$B$80-1,$B82/$B$80,$B82-SUM($C82:T82))),0))</f>
        <v>0</v>
      </c>
      <c r="V82" s="4">
        <f>IF($B$80=0,0,IF(V$2&gt;=$A82,IF(V$2=$A82,($B82/$B$80)*$B$77,IF(V$2&lt;=$A82+$B$80-1,$B82/$B$80,$B82-SUM($C82:U82))),0))</f>
        <v>0</v>
      </c>
      <c r="W82" s="4">
        <f>IF($B$80=0,0,IF(W$2&gt;=$A82,IF(W$2=$A82,($B82/$B$80)*$B$77,IF(W$2&lt;=$A82+$B$80-1,$B82/$B$80,$B82-SUM($C82:V82))),0))</f>
        <v>0</v>
      </c>
      <c r="X82" s="4">
        <f>IF($B$80=0,0,IF(X$2&gt;=$A82,IF(X$2=$A82,($B82/$B$80)*$B$77,IF(X$2&lt;=$A82+$B$80-1,$B82/$B$80,$B82-SUM($C82:W82))),0))</f>
        <v>0</v>
      </c>
      <c r="Y82" s="4">
        <f>IF($B$80=0,0,IF(Y$2&gt;=$A82,IF(Y$2=$A82,($B82/$B$80)*$B$77,IF(Y$2&lt;=$A82+$B$80-1,$B82/$B$80,$B82-SUM($C82:X82))),0))</f>
        <v>0</v>
      </c>
      <c r="Z82" s="4">
        <f>IF($B$80=0,0,IF(Z$2&gt;=$A82,IF(Z$2=$A82,($B82/$B$80)*$B$77,IF(Z$2&lt;=$A82+$B$80-1,$B82/$B$80,$B82-SUM($C82:Y82))),0))</f>
        <v>0</v>
      </c>
      <c r="AA82" s="4">
        <f>IF($B$80=0,0,IF(AA$2&gt;=$A82,IF(AA$2=$A82,($B82/$B$80)*$B$77,IF(AA$2&lt;=$A82+$B$80-1,$B82/$B$80,$B82-SUM($C82:Z82))),0))</f>
        <v>0</v>
      </c>
      <c r="AB82" s="4">
        <f>IF($B$80=0,0,IF(AB$2&gt;=$A82,IF(AB$2=$A82,($B82/$B$80)*$B$77,IF(AB$2&lt;=$A82+$B$80-1,$B82/$B$80,$B82-SUM($C82:AA82))),0))</f>
        <v>0</v>
      </c>
      <c r="AC82" s="4">
        <f>IF($B$80=0,0,IF(AC$2&gt;=$A82,IF(AC$2=$A82,($B82/$B$80)*$B$77,IF(AC$2&lt;=$A82+$B$80-1,$B82/$B$80,$B82-SUM($C82:AB82))),0))</f>
        <v>0</v>
      </c>
      <c r="AD82" s="4">
        <f>IF($B$80=0,0,IF(AD$2&gt;=$A82,IF(AD$2=$A82,($B82/$B$80)*$B$77,IF(AD$2&lt;=$A82+$B$80-1,$B82/$B$80,$B82-SUM($C82:AC82))),0))</f>
        <v>0</v>
      </c>
      <c r="AE82" s="4">
        <f>IF($B$80=0,0,IF(AE$2&gt;=$A82,IF(AE$2=$A82,($B82/$B$80)*$B$77,IF(AE$2&lt;=$A82+$B$80-1,$B82/$B$80,$B82-SUM($C82:AD82))),0))</f>
        <v>0</v>
      </c>
      <c r="AF82" s="4">
        <f>IF($B$80=0,0,IF(AF$2&gt;=$A82,IF(AF$2=$A82,($B82/$B$80)*$B$77,IF(AF$2&lt;=$A82+$B$80-1,$B82/$B$80,$B82-SUM($C82:AE82))),0))</f>
        <v>0</v>
      </c>
      <c r="AG82" s="4">
        <f t="shared" si="58"/>
        <v>0</v>
      </c>
    </row>
    <row r="83" spans="1:33">
      <c r="A83" s="6">
        <f t="shared" ref="A83:A110" si="59">+A82+1</f>
        <v>2024</v>
      </c>
      <c r="B83" s="4">
        <f t="shared" si="57"/>
        <v>0</v>
      </c>
      <c r="C83" s="4">
        <f>IF($B$80=0,0,IF(C$2&gt;=$A83,IF(C$2=$A83,($B83/$B$80)*$B$77,IF(C$2&lt;=$A83+$B$80-1,$B83/$B$80,$B83-SUM(B83:$C83))),0))</f>
        <v>0</v>
      </c>
      <c r="D83" s="4">
        <f>IF($B$80=0,0,IF(D$2&gt;=$A83,IF(D$2=$A83,($B83/$B$80)*$B$77,IF(D$2&lt;=$A83+$B$80-1,$B83/$B$80,$B83-SUM(C83:$C83))),0))</f>
        <v>0</v>
      </c>
      <c r="E83" s="4">
        <f>IF($B$80=0,0,IF(E$2&gt;=$A83,IF(E$2=$A83,($B83/$B$80)*$B$77,IF(E$2&lt;=$A83+$B$80-1,$B83/$B$80,$B83-SUM($C83:D83))),0))</f>
        <v>0</v>
      </c>
      <c r="F83" s="4">
        <f>IF($B$80=0,0,IF(F$2&gt;=$A83,IF(F$2=$A83,($B83/$B$80)*$B$77,IF(F$2&lt;=$A83+$B$80-1,$B83/$B$80,$B83-SUM($C83:E83))),0))</f>
        <v>0</v>
      </c>
      <c r="G83" s="4">
        <f>IF($B$80=0,0,IF(G$2&gt;=$A83,IF(G$2=$A83,($B83/$B$80)*$B$77,IF(G$2&lt;=$A83+$B$80-1,$B83/$B$80,$B83-SUM($C83:F83))),0))</f>
        <v>0</v>
      </c>
      <c r="H83" s="4">
        <f>IF($B$80=0,0,IF(H$2&gt;=$A83,IF(H$2=$A83,($B83/$B$80)*$B$77,IF(H$2&lt;=$A83+$B$80-1,$B83/$B$80,$B83-SUM($C83:G83))),0))</f>
        <v>0</v>
      </c>
      <c r="I83" s="4">
        <f>IF($B$80=0,0,IF(I$2&gt;=$A83,IF(I$2=$A83,($B83/$B$80)*$B$77,IF(I$2&lt;=$A83+$B$80-1,$B83/$B$80,$B83-SUM($C83:H83))),0))</f>
        <v>0</v>
      </c>
      <c r="J83" s="4">
        <f>IF($B$80=0,0,IF(J$2&gt;=$A83,IF(J$2=$A83,($B83/$B$80)*$B$77,IF(J$2&lt;=$A83+$B$80-1,$B83/$B$80,$B83-SUM($C83:I83))),0))</f>
        <v>0</v>
      </c>
      <c r="K83" s="4">
        <f>IF($B$80=0,0,IF(K$2&gt;=$A83,IF(K$2=$A83,($B83/$B$80)*$B$77,IF(K$2&lt;=$A83+$B$80-1,$B83/$B$80,$B83-SUM($C83:J83))),0))</f>
        <v>0</v>
      </c>
      <c r="L83" s="4">
        <f>IF($B$80=0,0,IF(L$2&gt;=$A83,IF(L$2=$A83,($B83/$B$80)*$B$77,IF(L$2&lt;=$A83+$B$80-1,$B83/$B$80,$B83-SUM($C83:K83))),0))</f>
        <v>0</v>
      </c>
      <c r="M83" s="4">
        <f>IF($B$80=0,0,IF(M$2&gt;=$A83,IF(M$2=$A83,($B83/$B$80)*$B$77,IF(M$2&lt;=$A83+$B$80-1,$B83/$B$80,$B83-SUM($C83:L83))),0))</f>
        <v>0</v>
      </c>
      <c r="N83" s="4">
        <f>IF($B$80=0,0,IF(N$2&gt;=$A83,IF(N$2=$A83,($B83/$B$80)*$B$77,IF(N$2&lt;=$A83+$B$80-1,$B83/$B$80,$B83-SUM($C83:M83))),0))</f>
        <v>0</v>
      </c>
      <c r="O83" s="4">
        <f>IF($B$80=0,0,IF(O$2&gt;=$A83,IF(O$2=$A83,($B83/$B$80)*$B$77,IF(O$2&lt;=$A83+$B$80-1,$B83/$B$80,$B83-SUM($C83:N83))),0))</f>
        <v>0</v>
      </c>
      <c r="P83" s="4">
        <f>IF($B$80=0,0,IF(P$2&gt;=$A83,IF(P$2=$A83,($B83/$B$80)*$B$77,IF(P$2&lt;=$A83+$B$80-1,$B83/$B$80,$B83-SUM($C83:O83))),0))</f>
        <v>0</v>
      </c>
      <c r="Q83" s="4">
        <f>IF($B$80=0,0,IF(Q$2&gt;=$A83,IF(Q$2=$A83,($B83/$B$80)*$B$77,IF(Q$2&lt;=$A83+$B$80-1,$B83/$B$80,$B83-SUM($C83:P83))),0))</f>
        <v>0</v>
      </c>
      <c r="R83" s="4">
        <f>IF($B$80=0,0,IF(R$2&gt;=$A83,IF(R$2=$A83,($B83/$B$80)*$B$77,IF(R$2&lt;=$A83+$B$80-1,$B83/$B$80,$B83-SUM($C83:Q83))),0))</f>
        <v>0</v>
      </c>
      <c r="S83" s="4">
        <f>IF($B$80=0,0,IF(S$2&gt;=$A83,IF(S$2=$A83,($B83/$B$80)*$B$77,IF(S$2&lt;=$A83+$B$80-1,$B83/$B$80,$B83-SUM($C83:R83))),0))</f>
        <v>0</v>
      </c>
      <c r="T83" s="4">
        <f>IF($B$80=0,0,IF(T$2&gt;=$A83,IF(T$2=$A83,($B83/$B$80)*$B$77,IF(T$2&lt;=$A83+$B$80-1,$B83/$B$80,$B83-SUM($C83:S83))),0))</f>
        <v>0</v>
      </c>
      <c r="U83" s="4">
        <f>IF($B$80=0,0,IF(U$2&gt;=$A83,IF(U$2=$A83,($B83/$B$80)*$B$77,IF(U$2&lt;=$A83+$B$80-1,$B83/$B$80,$B83-SUM($C83:T83))),0))</f>
        <v>0</v>
      </c>
      <c r="V83" s="4">
        <f>IF($B$80=0,0,IF(V$2&gt;=$A83,IF(V$2=$A83,($B83/$B$80)*$B$77,IF(V$2&lt;=$A83+$B$80-1,$B83/$B$80,$B83-SUM($C83:U83))),0))</f>
        <v>0</v>
      </c>
      <c r="W83" s="4">
        <f>IF($B$80=0,0,IF(W$2&gt;=$A83,IF(W$2=$A83,($B83/$B$80)*$B$77,IF(W$2&lt;=$A83+$B$80-1,$B83/$B$80,$B83-SUM($C83:V83))),0))</f>
        <v>0</v>
      </c>
      <c r="X83" s="4">
        <f>IF($B$80=0,0,IF(X$2&gt;=$A83,IF(X$2=$A83,($B83/$B$80)*$B$77,IF(X$2&lt;=$A83+$B$80-1,$B83/$B$80,$B83-SUM($C83:W83))),0))</f>
        <v>0</v>
      </c>
      <c r="Y83" s="4">
        <f>IF($B$80=0,0,IF(Y$2&gt;=$A83,IF(Y$2=$A83,($B83/$B$80)*$B$77,IF(Y$2&lt;=$A83+$B$80-1,$B83/$B$80,$B83-SUM($C83:X83))),0))</f>
        <v>0</v>
      </c>
      <c r="Z83" s="4">
        <f>IF($B$80=0,0,IF(Z$2&gt;=$A83,IF(Z$2=$A83,($B83/$B$80)*$B$77,IF(Z$2&lt;=$A83+$B$80-1,$B83/$B$80,$B83-SUM($C83:Y83))),0))</f>
        <v>0</v>
      </c>
      <c r="AA83" s="4">
        <f>IF($B$80=0,0,IF(AA$2&gt;=$A83,IF(AA$2=$A83,($B83/$B$80)*$B$77,IF(AA$2&lt;=$A83+$B$80-1,$B83/$B$80,$B83-SUM($C83:Z83))),0))</f>
        <v>0</v>
      </c>
      <c r="AB83" s="4">
        <f>IF($B$80=0,0,IF(AB$2&gt;=$A83,IF(AB$2=$A83,($B83/$B$80)*$B$77,IF(AB$2&lt;=$A83+$B$80-1,$B83/$B$80,$B83-SUM($C83:AA83))),0))</f>
        <v>0</v>
      </c>
      <c r="AC83" s="4">
        <f>IF($B$80=0,0,IF(AC$2&gt;=$A83,IF(AC$2=$A83,($B83/$B$80)*$B$77,IF(AC$2&lt;=$A83+$B$80-1,$B83/$B$80,$B83-SUM($C83:AB83))),0))</f>
        <v>0</v>
      </c>
      <c r="AD83" s="4">
        <f>IF($B$80=0,0,IF(AD$2&gt;=$A83,IF(AD$2=$A83,($B83/$B$80)*$B$77,IF(AD$2&lt;=$A83+$B$80-1,$B83/$B$80,$B83-SUM($C83:AC83))),0))</f>
        <v>0</v>
      </c>
      <c r="AE83" s="4">
        <f>IF($B$80=0,0,IF(AE$2&gt;=$A83,IF(AE$2=$A83,($B83/$B$80)*$B$77,IF(AE$2&lt;=$A83+$B$80-1,$B83/$B$80,$B83-SUM($C83:AD83))),0))</f>
        <v>0</v>
      </c>
      <c r="AF83" s="4">
        <f>IF($B$80=0,0,IF(AF$2&gt;=$A83,IF(AF$2=$A83,($B83/$B$80)*$B$77,IF(AF$2&lt;=$A83+$B$80-1,$B83/$B$80,$B83-SUM($C83:AE83))),0))</f>
        <v>0</v>
      </c>
      <c r="AG83" s="4">
        <f t="shared" si="58"/>
        <v>0</v>
      </c>
    </row>
    <row r="84" spans="1:33">
      <c r="A84" s="6">
        <f t="shared" si="59"/>
        <v>2025</v>
      </c>
      <c r="B84" s="4">
        <f t="shared" si="57"/>
        <v>33407726.226669125</v>
      </c>
      <c r="C84" s="4">
        <f>IF($B$80=0,0,IF(C$2&gt;=$A84,IF(C$2=$A84,($B84/$B$80)*$B$77,IF(C$2&lt;=$A84+$B$80-1,$B84/$B$80,$B84-SUM(B84:$C84))),0))</f>
        <v>0</v>
      </c>
      <c r="D84" s="4">
        <f>IF($B$80=0,0,IF(D$2&gt;=$A84,IF(D$2=$A84,($B84/$B$80)*$B$77,IF(D$2&lt;=$A84+$B$80-1,$B84/$B$80,$B84-SUM(C84:$C84))),0))</f>
        <v>0</v>
      </c>
      <c r="E84" s="4">
        <f>IF($B$80=0,0,IF(E$2&gt;=$A84,IF(E$2=$A84,($B84/$B$80)*$B$77,IF(E$2&lt;=$A84+$B$80-1,$B84/$B$80,$B84-SUM($C84:D84))),0))</f>
        <v>0</v>
      </c>
      <c r="F84" s="4">
        <f>IF($B$80=0,0,IF(F$2&gt;=$A84,IF(F$2=$A84,($B84/$B$80)*$B$77,IF(F$2&lt;=$A84+$B$80-1,$B84/$B$80,$B84-SUM($C84:E84))),0))</f>
        <v>2386266.1590477945</v>
      </c>
      <c r="G84" s="4">
        <f>IF($B$80=0,0,IF(G$2&gt;=$A84,IF(G$2=$A84,($B84/$B$80)*$B$77,IF(G$2&lt;=$A84+$B$80-1,$B84/$B$80,$B84-SUM($C84:F84))),0))</f>
        <v>4772532.3180955891</v>
      </c>
      <c r="H84" s="4">
        <f>IF($B$80=0,0,IF(H$2&gt;=$A84,IF(H$2=$A84,($B84/$B$80)*$B$77,IF(H$2&lt;=$A84+$B$80-1,$B84/$B$80,$B84-SUM($C84:G84))),0))</f>
        <v>4772532.3180955891</v>
      </c>
      <c r="I84" s="4">
        <f>IF($B$80=0,0,IF(I$2&gt;=$A84,IF(I$2=$A84,($B84/$B$80)*$B$77,IF(I$2&lt;=$A84+$B$80-1,$B84/$B$80,$B84-SUM($C84:H84))),0))</f>
        <v>4772532.3180955891</v>
      </c>
      <c r="J84" s="4">
        <f>IF($B$80=0,0,IF(J$2&gt;=$A84,IF(J$2=$A84,($B84/$B$80)*$B$77,IF(J$2&lt;=$A84+$B$80-1,$B84/$B$80,$B84-SUM($C84:I84))),0))</f>
        <v>4772532.3180955891</v>
      </c>
      <c r="K84" s="4">
        <f>IF($B$80=0,0,IF(K$2&gt;=$A84,IF(K$2=$A84,($B84/$B$80)*$B$77,IF(K$2&lt;=$A84+$B$80-1,$B84/$B$80,$B84-SUM($C84:J84))),0))</f>
        <v>4772532.3180955891</v>
      </c>
      <c r="L84" s="4">
        <f>IF($B$80=0,0,IF(L$2&gt;=$A84,IF(L$2=$A84,($B84/$B$80)*$B$77,IF(L$2&lt;=$A84+$B$80-1,$B84/$B$80,$B84-SUM($C84:K84))),0))</f>
        <v>4772532.3180955891</v>
      </c>
      <c r="M84" s="4">
        <f>IF($B$80=0,0,IF(M$2&gt;=$A84,IF(M$2=$A84,($B84/$B$80)*$B$77,IF(M$2&lt;=$A84+$B$80-1,$B84/$B$80,$B84-SUM($C84:L84))),0))</f>
        <v>2386266.1590477973</v>
      </c>
      <c r="N84" s="4">
        <f>IF($B$80=0,0,IF(N$2&gt;=$A84,IF(N$2=$A84,($B84/$B$80)*$B$77,IF(N$2&lt;=$A84+$B$80-1,$B84/$B$80,$B84-SUM($C84:M84))),0))</f>
        <v>0</v>
      </c>
      <c r="O84" s="4">
        <f>IF($B$80=0,0,IF(O$2&gt;=$A84,IF(O$2=$A84,($B84/$B$80)*$B$77,IF(O$2&lt;=$A84+$B$80-1,$B84/$B$80,$B84-SUM($C84:N84))),0))</f>
        <v>0</v>
      </c>
      <c r="P84" s="4">
        <f>IF($B$80=0,0,IF(P$2&gt;=$A84,IF(P$2=$A84,($B84/$B$80)*$B$77,IF(P$2&lt;=$A84+$B$80-1,$B84/$B$80,$B84-SUM($C84:O84))),0))</f>
        <v>0</v>
      </c>
      <c r="Q84" s="4">
        <f>IF($B$80=0,0,IF(Q$2&gt;=$A84,IF(Q$2=$A84,($B84/$B$80)*$B$77,IF(Q$2&lt;=$A84+$B$80-1,$B84/$B$80,$B84-SUM($C84:P84))),0))</f>
        <v>0</v>
      </c>
      <c r="R84" s="4">
        <f>IF($B$80=0,0,IF(R$2&gt;=$A84,IF(R$2=$A84,($B84/$B$80)*$B$77,IF(R$2&lt;=$A84+$B$80-1,$B84/$B$80,$B84-SUM($C84:Q84))),0))</f>
        <v>0</v>
      </c>
      <c r="S84" s="4">
        <f>IF($B$80=0,0,IF(S$2&gt;=$A84,IF(S$2=$A84,($B84/$B$80)*$B$77,IF(S$2&lt;=$A84+$B$80-1,$B84/$B$80,$B84-SUM($C84:R84))),0))</f>
        <v>0</v>
      </c>
      <c r="T84" s="4">
        <f>IF($B$80=0,0,IF(T$2&gt;=$A84,IF(T$2=$A84,($B84/$B$80)*$B$77,IF(T$2&lt;=$A84+$B$80-1,$B84/$B$80,$B84-SUM($C84:S84))),0))</f>
        <v>0</v>
      </c>
      <c r="U84" s="4">
        <f>IF($B$80=0,0,IF(U$2&gt;=$A84,IF(U$2=$A84,($B84/$B$80)*$B$77,IF(U$2&lt;=$A84+$B$80-1,$B84/$B$80,$B84-SUM($C84:T84))),0))</f>
        <v>0</v>
      </c>
      <c r="V84" s="4">
        <f>IF($B$80=0,0,IF(V$2&gt;=$A84,IF(V$2=$A84,($B84/$B$80)*$B$77,IF(V$2&lt;=$A84+$B$80-1,$B84/$B$80,$B84-SUM($C84:U84))),0))</f>
        <v>0</v>
      </c>
      <c r="W84" s="4">
        <f>IF($B$80=0,0,IF(W$2&gt;=$A84,IF(W$2=$A84,($B84/$B$80)*$B$77,IF(W$2&lt;=$A84+$B$80-1,$B84/$B$80,$B84-SUM($C84:V84))),0))</f>
        <v>0</v>
      </c>
      <c r="X84" s="4">
        <f>IF($B$80=0,0,IF(X$2&gt;=$A84,IF(X$2=$A84,($B84/$B$80)*$B$77,IF(X$2&lt;=$A84+$B$80-1,$B84/$B$80,$B84-SUM($C84:W84))),0))</f>
        <v>0</v>
      </c>
      <c r="Y84" s="4">
        <f>IF($B$80=0,0,IF(Y$2&gt;=$A84,IF(Y$2=$A84,($B84/$B$80)*$B$77,IF(Y$2&lt;=$A84+$B$80-1,$B84/$B$80,$B84-SUM($C84:X84))),0))</f>
        <v>0</v>
      </c>
      <c r="Z84" s="4">
        <f>IF($B$80=0,0,IF(Z$2&gt;=$A84,IF(Z$2=$A84,($B84/$B$80)*$B$77,IF(Z$2&lt;=$A84+$B$80-1,$B84/$B$80,$B84-SUM($C84:Y84))),0))</f>
        <v>0</v>
      </c>
      <c r="AA84" s="4">
        <f>IF($B$80=0,0,IF(AA$2&gt;=$A84,IF(AA$2=$A84,($B84/$B$80)*$B$77,IF(AA$2&lt;=$A84+$B$80-1,$B84/$B$80,$B84-SUM($C84:Z84))),0))</f>
        <v>0</v>
      </c>
      <c r="AB84" s="4">
        <f>IF($B$80=0,0,IF(AB$2&gt;=$A84,IF(AB$2=$A84,($B84/$B$80)*$B$77,IF(AB$2&lt;=$A84+$B$80-1,$B84/$B$80,$B84-SUM($C84:AA84))),0))</f>
        <v>0</v>
      </c>
      <c r="AC84" s="4">
        <f>IF($B$80=0,0,IF(AC$2&gt;=$A84,IF(AC$2=$A84,($B84/$B$80)*$B$77,IF(AC$2&lt;=$A84+$B$80-1,$B84/$B$80,$B84-SUM($C84:AB84))),0))</f>
        <v>0</v>
      </c>
      <c r="AD84" s="4">
        <f>IF($B$80=0,0,IF(AD$2&gt;=$A84,IF(AD$2=$A84,($B84/$B$80)*$B$77,IF(AD$2&lt;=$A84+$B$80-1,$B84/$B$80,$B84-SUM($C84:AC84))),0))</f>
        <v>0</v>
      </c>
      <c r="AE84" s="4">
        <f>IF($B$80=0,0,IF(AE$2&gt;=$A84,IF(AE$2=$A84,($B84/$B$80)*$B$77,IF(AE$2&lt;=$A84+$B$80-1,$B84/$B$80,$B84-SUM($C84:AD84))),0))</f>
        <v>0</v>
      </c>
      <c r="AF84" s="4">
        <f>IF($B$80=0,0,IF(AF$2&gt;=$A84,IF(AF$2=$A84,($B84/$B$80)*$B$77,IF(AF$2&lt;=$A84+$B$80-1,$B84/$B$80,$B84-SUM($C84:AE84))),0))</f>
        <v>0</v>
      </c>
      <c r="AG84" s="4">
        <f t="shared" si="58"/>
        <v>33407726.226669125</v>
      </c>
    </row>
    <row r="85" spans="1:33">
      <c r="A85" s="6">
        <f t="shared" si="59"/>
        <v>2026</v>
      </c>
      <c r="B85" s="4">
        <f t="shared" si="57"/>
        <v>0</v>
      </c>
      <c r="C85" s="4">
        <f>IF($B$80=0,0,IF(C$2&gt;=$A85,IF(C$2=$A85,($B85/$B$80)*$B$77,IF(C$2&lt;=$A85+$B$80-1,$B85/$B$80,$B85-SUM(B85:$C85))),0))</f>
        <v>0</v>
      </c>
      <c r="D85" s="4">
        <f>IF($B$80=0,0,IF(D$2&gt;=$A85,IF(D$2=$A85,($B85/$B$80)*$B$77,IF(D$2&lt;=$A85+$B$80-1,$B85/$B$80,$B85-SUM(C85:$C85))),0))</f>
        <v>0</v>
      </c>
      <c r="E85" s="4">
        <f>IF($B$80=0,0,IF(E$2&gt;=$A85,IF(E$2=$A85,($B85/$B$80)*$B$77,IF(E$2&lt;=$A85+$B$80-1,$B85/$B$80,$B85-SUM($C85:D85))),0))</f>
        <v>0</v>
      </c>
      <c r="F85" s="4">
        <f>IF($B$80=0,0,IF(F$2&gt;=$A85,IF(F$2=$A85,($B85/$B$80)*$B$77,IF(F$2&lt;=$A85+$B$80-1,$B85/$B$80,$B85-SUM($C85:E85))),0))</f>
        <v>0</v>
      </c>
      <c r="G85" s="4">
        <f>IF($B$80=0,0,IF(G$2&gt;=$A85,IF(G$2=$A85,($B85/$B$80)*$B$77,IF(G$2&lt;=$A85+$B$80-1,$B85/$B$80,$B85-SUM($C85:F85))),0))</f>
        <v>0</v>
      </c>
      <c r="H85" s="4">
        <f>IF($B$80=0,0,IF(H$2&gt;=$A85,IF(H$2=$A85,($B85/$B$80)*$B$77,IF(H$2&lt;=$A85+$B$80-1,$B85/$B$80,$B85-SUM($C85:G85))),0))</f>
        <v>0</v>
      </c>
      <c r="I85" s="4">
        <f>IF($B$80=0,0,IF(I$2&gt;=$A85,IF(I$2=$A85,($B85/$B$80)*$B$77,IF(I$2&lt;=$A85+$B$80-1,$B85/$B$80,$B85-SUM($C85:H85))),0))</f>
        <v>0</v>
      </c>
      <c r="J85" s="4">
        <f>IF($B$80=0,0,IF(J$2&gt;=$A85,IF(J$2=$A85,($B85/$B$80)*$B$77,IF(J$2&lt;=$A85+$B$80-1,$B85/$B$80,$B85-SUM($C85:I85))),0))</f>
        <v>0</v>
      </c>
      <c r="K85" s="4">
        <f>IF($B$80=0,0,IF(K$2&gt;=$A85,IF(K$2=$A85,($B85/$B$80)*$B$77,IF(K$2&lt;=$A85+$B$80-1,$B85/$B$80,$B85-SUM($C85:J85))),0))</f>
        <v>0</v>
      </c>
      <c r="L85" s="4">
        <f>IF($B$80=0,0,IF(L$2&gt;=$A85,IF(L$2=$A85,($B85/$B$80)*$B$77,IF(L$2&lt;=$A85+$B$80-1,$B85/$B$80,$B85-SUM($C85:K85))),0))</f>
        <v>0</v>
      </c>
      <c r="M85" s="4">
        <f>IF($B$80=0,0,IF(M$2&gt;=$A85,IF(M$2=$A85,($B85/$B$80)*$B$77,IF(M$2&lt;=$A85+$B$80-1,$B85/$B$80,$B85-SUM($C85:L85))),0))</f>
        <v>0</v>
      </c>
      <c r="N85" s="4">
        <f>IF($B$80=0,0,IF(N$2&gt;=$A85,IF(N$2=$A85,($B85/$B$80)*$B$77,IF(N$2&lt;=$A85+$B$80-1,$B85/$B$80,$B85-SUM($C85:M85))),0))</f>
        <v>0</v>
      </c>
      <c r="O85" s="4">
        <f>IF($B$80=0,0,IF(O$2&gt;=$A85,IF(O$2=$A85,($B85/$B$80)*$B$77,IF(O$2&lt;=$A85+$B$80-1,$B85/$B$80,$B85-SUM($C85:N85))),0))</f>
        <v>0</v>
      </c>
      <c r="P85" s="4">
        <f>IF($B$80=0,0,IF(P$2&gt;=$A85,IF(P$2=$A85,($B85/$B$80)*$B$77,IF(P$2&lt;=$A85+$B$80-1,$B85/$B$80,$B85-SUM($C85:O85))),0))</f>
        <v>0</v>
      </c>
      <c r="Q85" s="4">
        <f>IF($B$80=0,0,IF(Q$2&gt;=$A85,IF(Q$2=$A85,($B85/$B$80)*$B$77,IF(Q$2&lt;=$A85+$B$80-1,$B85/$B$80,$B85-SUM($C85:P85))),0))</f>
        <v>0</v>
      </c>
      <c r="R85" s="4">
        <f>IF($B$80=0,0,IF(R$2&gt;=$A85,IF(R$2=$A85,($B85/$B$80)*$B$77,IF(R$2&lt;=$A85+$B$80-1,$B85/$B$80,$B85-SUM($C85:Q85))),0))</f>
        <v>0</v>
      </c>
      <c r="S85" s="4">
        <f>IF($B$80=0,0,IF(S$2&gt;=$A85,IF(S$2=$A85,($B85/$B$80)*$B$77,IF(S$2&lt;=$A85+$B$80-1,$B85/$B$80,$B85-SUM($C85:R85))),0))</f>
        <v>0</v>
      </c>
      <c r="T85" s="4">
        <f>IF($B$80=0,0,IF(T$2&gt;=$A85,IF(T$2=$A85,($B85/$B$80)*$B$77,IF(T$2&lt;=$A85+$B$80-1,$B85/$B$80,$B85-SUM($C85:S85))),0))</f>
        <v>0</v>
      </c>
      <c r="U85" s="4">
        <f>IF($B$80=0,0,IF(U$2&gt;=$A85,IF(U$2=$A85,($B85/$B$80)*$B$77,IF(U$2&lt;=$A85+$B$80-1,$B85/$B$80,$B85-SUM($C85:T85))),0))</f>
        <v>0</v>
      </c>
      <c r="V85" s="4">
        <f>IF($B$80=0,0,IF(V$2&gt;=$A85,IF(V$2=$A85,($B85/$B$80)*$B$77,IF(V$2&lt;=$A85+$B$80-1,$B85/$B$80,$B85-SUM($C85:U85))),0))</f>
        <v>0</v>
      </c>
      <c r="W85" s="4">
        <f>IF($B$80=0,0,IF(W$2&gt;=$A85,IF(W$2=$A85,($B85/$B$80)*$B$77,IF(W$2&lt;=$A85+$B$80-1,$B85/$B$80,$B85-SUM($C85:V85))),0))</f>
        <v>0</v>
      </c>
      <c r="X85" s="4">
        <f>IF($B$80=0,0,IF(X$2&gt;=$A85,IF(X$2=$A85,($B85/$B$80)*$B$77,IF(X$2&lt;=$A85+$B$80-1,$B85/$B$80,$B85-SUM($C85:W85))),0))</f>
        <v>0</v>
      </c>
      <c r="Y85" s="4">
        <f>IF($B$80=0,0,IF(Y$2&gt;=$A85,IF(Y$2=$A85,($B85/$B$80)*$B$77,IF(Y$2&lt;=$A85+$B$80-1,$B85/$B$80,$B85-SUM($C85:X85))),0))</f>
        <v>0</v>
      </c>
      <c r="Z85" s="4">
        <f>IF($B$80=0,0,IF(Z$2&gt;=$A85,IF(Z$2=$A85,($B85/$B$80)*$B$77,IF(Z$2&lt;=$A85+$B$80-1,$B85/$B$80,$B85-SUM($C85:Y85))),0))</f>
        <v>0</v>
      </c>
      <c r="AA85" s="4">
        <f>IF($B$80=0,0,IF(AA$2&gt;=$A85,IF(AA$2=$A85,($B85/$B$80)*$B$77,IF(AA$2&lt;=$A85+$B$80-1,$B85/$B$80,$B85-SUM($C85:Z85))),0))</f>
        <v>0</v>
      </c>
      <c r="AB85" s="4">
        <f>IF($B$80=0,0,IF(AB$2&gt;=$A85,IF(AB$2=$A85,($B85/$B$80)*$B$77,IF(AB$2&lt;=$A85+$B$80-1,$B85/$B$80,$B85-SUM($C85:AA85))),0))</f>
        <v>0</v>
      </c>
      <c r="AC85" s="4">
        <f>IF($B$80=0,0,IF(AC$2&gt;=$A85,IF(AC$2=$A85,($B85/$B$80)*$B$77,IF(AC$2&lt;=$A85+$B$80-1,$B85/$B$80,$B85-SUM($C85:AB85))),0))</f>
        <v>0</v>
      </c>
      <c r="AD85" s="4">
        <f>IF($B$80=0,0,IF(AD$2&gt;=$A85,IF(AD$2=$A85,($B85/$B$80)*$B$77,IF(AD$2&lt;=$A85+$B$80-1,$B85/$B$80,$B85-SUM($C85:AC85))),0))</f>
        <v>0</v>
      </c>
      <c r="AE85" s="4">
        <f>IF($B$80=0,0,IF(AE$2&gt;=$A85,IF(AE$2=$A85,($B85/$B$80)*$B$77,IF(AE$2&lt;=$A85+$B$80-1,$B85/$B$80,$B85-SUM($C85:AD85))),0))</f>
        <v>0</v>
      </c>
      <c r="AF85" s="4">
        <f>IF($B$80=0,0,IF(AF$2&gt;=$A85,IF(AF$2=$A85,($B85/$B$80)*$B$77,IF(AF$2&lt;=$A85+$B$80-1,$B85/$B$80,$B85-SUM($C85:AE85))),0))</f>
        <v>0</v>
      </c>
      <c r="AG85" s="4">
        <f t="shared" si="58"/>
        <v>0</v>
      </c>
    </row>
    <row r="86" spans="1:33">
      <c r="A86" s="6">
        <f t="shared" si="59"/>
        <v>2027</v>
      </c>
      <c r="B86" s="4">
        <f t="shared" si="57"/>
        <v>0</v>
      </c>
      <c r="C86" s="4">
        <f>IF($B$80=0,0,IF(C$2&gt;=$A86,IF(C$2=$A86,($B86/$B$80)*$B$77,IF(C$2&lt;=$A86+$B$80-1,$B86/$B$80,$B86-SUM(B86:$C86))),0))</f>
        <v>0</v>
      </c>
      <c r="D86" s="4">
        <f>IF($B$80=0,0,IF(D$2&gt;=$A86,IF(D$2=$A86,($B86/$B$80)*$B$77,IF(D$2&lt;=$A86+$B$80-1,$B86/$B$80,$B86-SUM(C86:$C86))),0))</f>
        <v>0</v>
      </c>
      <c r="E86" s="4">
        <f>IF($B$80=0,0,IF(E$2&gt;=$A86,IF(E$2=$A86,($B86/$B$80)*$B$77,IF(E$2&lt;=$A86+$B$80-1,$B86/$B$80,$B86-SUM($C86:D86))),0))</f>
        <v>0</v>
      </c>
      <c r="F86" s="4">
        <f>IF($B$80=0,0,IF(F$2&gt;=$A86,IF(F$2=$A86,($B86/$B$80)*$B$77,IF(F$2&lt;=$A86+$B$80-1,$B86/$B$80,$B86-SUM($C86:E86))),0))</f>
        <v>0</v>
      </c>
      <c r="G86" s="4">
        <f>IF($B$80=0,0,IF(G$2&gt;=$A86,IF(G$2=$A86,($B86/$B$80)*$B$77,IF(G$2&lt;=$A86+$B$80-1,$B86/$B$80,$B86-SUM($C86:F86))),0))</f>
        <v>0</v>
      </c>
      <c r="H86" s="4">
        <f>IF($B$80=0,0,IF(H$2&gt;=$A86,IF(H$2=$A86,($B86/$B$80)*$B$77,IF(H$2&lt;=$A86+$B$80-1,$B86/$B$80,$B86-SUM($C86:G86))),0))</f>
        <v>0</v>
      </c>
      <c r="I86" s="4">
        <f>IF($B$80=0,0,IF(I$2&gt;=$A86,IF(I$2=$A86,($B86/$B$80)*$B$77,IF(I$2&lt;=$A86+$B$80-1,$B86/$B$80,$B86-SUM($C86:H86))),0))</f>
        <v>0</v>
      </c>
      <c r="J86" s="4">
        <f>IF($B$80=0,0,IF(J$2&gt;=$A86,IF(J$2=$A86,($B86/$B$80)*$B$77,IF(J$2&lt;=$A86+$B$80-1,$B86/$B$80,$B86-SUM($C86:I86))),0))</f>
        <v>0</v>
      </c>
      <c r="K86" s="4">
        <f>IF($B$80=0,0,IF(K$2&gt;=$A86,IF(K$2=$A86,($B86/$B$80)*$B$77,IF(K$2&lt;=$A86+$B$80-1,$B86/$B$80,$B86-SUM($C86:J86))),0))</f>
        <v>0</v>
      </c>
      <c r="L86" s="4">
        <f>IF($B$80=0,0,IF(L$2&gt;=$A86,IF(L$2=$A86,($B86/$B$80)*$B$77,IF(L$2&lt;=$A86+$B$80-1,$B86/$B$80,$B86-SUM($C86:K86))),0))</f>
        <v>0</v>
      </c>
      <c r="M86" s="4">
        <f>IF($B$80=0,0,IF(M$2&gt;=$A86,IF(M$2=$A86,($B86/$B$80)*$B$77,IF(M$2&lt;=$A86+$B$80-1,$B86/$B$80,$B86-SUM($C86:L86))),0))</f>
        <v>0</v>
      </c>
      <c r="N86" s="4">
        <f>IF($B$80=0,0,IF(N$2&gt;=$A86,IF(N$2=$A86,($B86/$B$80)*$B$77,IF(N$2&lt;=$A86+$B$80-1,$B86/$B$80,$B86-SUM($C86:M86))),0))</f>
        <v>0</v>
      </c>
      <c r="O86" s="4">
        <f>IF($B$80=0,0,IF(O$2&gt;=$A86,IF(O$2=$A86,($B86/$B$80)*$B$77,IF(O$2&lt;=$A86+$B$80-1,$B86/$B$80,$B86-SUM($C86:N86))),0))</f>
        <v>0</v>
      </c>
      <c r="P86" s="4">
        <f>IF($B$80=0,0,IF(P$2&gt;=$A86,IF(P$2=$A86,($B86/$B$80)*$B$77,IF(P$2&lt;=$A86+$B$80-1,$B86/$B$80,$B86-SUM($C86:O86))),0))</f>
        <v>0</v>
      </c>
      <c r="Q86" s="4">
        <f>IF($B$80=0,0,IF(Q$2&gt;=$A86,IF(Q$2=$A86,($B86/$B$80)*$B$77,IF(Q$2&lt;=$A86+$B$80-1,$B86/$B$80,$B86-SUM($C86:P86))),0))</f>
        <v>0</v>
      </c>
      <c r="R86" s="4">
        <f>IF($B$80=0,0,IF(R$2&gt;=$A86,IF(R$2=$A86,($B86/$B$80)*$B$77,IF(R$2&lt;=$A86+$B$80-1,$B86/$B$80,$B86-SUM($C86:Q86))),0))</f>
        <v>0</v>
      </c>
      <c r="S86" s="4">
        <f>IF($B$80=0,0,IF(S$2&gt;=$A86,IF(S$2=$A86,($B86/$B$80)*$B$77,IF(S$2&lt;=$A86+$B$80-1,$B86/$B$80,$B86-SUM($C86:R86))),0))</f>
        <v>0</v>
      </c>
      <c r="T86" s="4">
        <f>IF($B$80=0,0,IF(T$2&gt;=$A86,IF(T$2=$A86,($B86/$B$80)*$B$77,IF(T$2&lt;=$A86+$B$80-1,$B86/$B$80,$B86-SUM($C86:S86))),0))</f>
        <v>0</v>
      </c>
      <c r="U86" s="4">
        <f>IF($B$80=0,0,IF(U$2&gt;=$A86,IF(U$2=$A86,($B86/$B$80)*$B$77,IF(U$2&lt;=$A86+$B$80-1,$B86/$B$80,$B86-SUM($C86:T86))),0))</f>
        <v>0</v>
      </c>
      <c r="V86" s="4">
        <f>IF($B$80=0,0,IF(V$2&gt;=$A86,IF(V$2=$A86,($B86/$B$80)*$B$77,IF(V$2&lt;=$A86+$B$80-1,$B86/$B$80,$B86-SUM($C86:U86))),0))</f>
        <v>0</v>
      </c>
      <c r="W86" s="4">
        <f>IF($B$80=0,0,IF(W$2&gt;=$A86,IF(W$2=$A86,($B86/$B$80)*$B$77,IF(W$2&lt;=$A86+$B$80-1,$B86/$B$80,$B86-SUM($C86:V86))),0))</f>
        <v>0</v>
      </c>
      <c r="X86" s="4">
        <f>IF($B$80=0,0,IF(X$2&gt;=$A86,IF(X$2=$A86,($B86/$B$80)*$B$77,IF(X$2&lt;=$A86+$B$80-1,$B86/$B$80,$B86-SUM($C86:W86))),0))</f>
        <v>0</v>
      </c>
      <c r="Y86" s="4">
        <f>IF($B$80=0,0,IF(Y$2&gt;=$A86,IF(Y$2=$A86,($B86/$B$80)*$B$77,IF(Y$2&lt;=$A86+$B$80-1,$B86/$B$80,$B86-SUM($C86:X86))),0))</f>
        <v>0</v>
      </c>
      <c r="Z86" s="4">
        <f>IF($B$80=0,0,IF(Z$2&gt;=$A86,IF(Z$2=$A86,($B86/$B$80)*$B$77,IF(Z$2&lt;=$A86+$B$80-1,$B86/$B$80,$B86-SUM($C86:Y86))),0))</f>
        <v>0</v>
      </c>
      <c r="AA86" s="4">
        <f>IF($B$80=0,0,IF(AA$2&gt;=$A86,IF(AA$2=$A86,($B86/$B$80)*$B$77,IF(AA$2&lt;=$A86+$B$80-1,$B86/$B$80,$B86-SUM($C86:Z86))),0))</f>
        <v>0</v>
      </c>
      <c r="AB86" s="4">
        <f>IF($B$80=0,0,IF(AB$2&gt;=$A86,IF(AB$2=$A86,($B86/$B$80)*$B$77,IF(AB$2&lt;=$A86+$B$80-1,$B86/$B$80,$B86-SUM($C86:AA86))),0))</f>
        <v>0</v>
      </c>
      <c r="AC86" s="4">
        <f>IF($B$80=0,0,IF(AC$2&gt;=$A86,IF(AC$2=$A86,($B86/$B$80)*$B$77,IF(AC$2&lt;=$A86+$B$80-1,$B86/$B$80,$B86-SUM($C86:AB86))),0))</f>
        <v>0</v>
      </c>
      <c r="AD86" s="4">
        <f>IF($B$80=0,0,IF(AD$2&gt;=$A86,IF(AD$2=$A86,($B86/$B$80)*$B$77,IF(AD$2&lt;=$A86+$B$80-1,$B86/$B$80,$B86-SUM($C86:AC86))),0))</f>
        <v>0</v>
      </c>
      <c r="AE86" s="4">
        <f>IF($B$80=0,0,IF(AE$2&gt;=$A86,IF(AE$2=$A86,($B86/$B$80)*$B$77,IF(AE$2&lt;=$A86+$B$80-1,$B86/$B$80,$B86-SUM($C86:AD86))),0))</f>
        <v>0</v>
      </c>
      <c r="AF86" s="4">
        <f>IF($B$80=0,0,IF(AF$2&gt;=$A86,IF(AF$2=$A86,($B86/$B$80)*$B$77,IF(AF$2&lt;=$A86+$B$80-1,$B86/$B$80,$B86-SUM($C86:AE86))),0))</f>
        <v>0</v>
      </c>
      <c r="AG86" s="4">
        <f t="shared" si="58"/>
        <v>0</v>
      </c>
    </row>
    <row r="87" spans="1:33">
      <c r="A87" s="6">
        <f t="shared" si="59"/>
        <v>2028</v>
      </c>
      <c r="B87" s="4">
        <f t="shared" si="57"/>
        <v>0</v>
      </c>
      <c r="C87" s="4">
        <f>IF($B$80=0,0,IF(C$2&gt;=$A87,IF(C$2=$A87,($B87/$B$80)*$B$77,IF(C$2&lt;=$A87+$B$80-1,$B87/$B$80,$B87-SUM(B87:$C87))),0))</f>
        <v>0</v>
      </c>
      <c r="D87" s="4">
        <f>IF($B$80=0,0,IF(D$2&gt;=$A87,IF(D$2=$A87,($B87/$B$80)*$B$77,IF(D$2&lt;=$A87+$B$80-1,$B87/$B$80,$B87-SUM(C87:$C87))),0))</f>
        <v>0</v>
      </c>
      <c r="E87" s="4">
        <f>IF($B$80=0,0,IF(E$2&gt;=$A87,IF(E$2=$A87,($B87/$B$80)*$B$77,IF(E$2&lt;=$A87+$B$80-1,$B87/$B$80,$B87-SUM($C87:D87))),0))</f>
        <v>0</v>
      </c>
      <c r="F87" s="4">
        <f>IF($B$80=0,0,IF(F$2&gt;=$A87,IF(F$2=$A87,($B87/$B$80)*$B$77,IF(F$2&lt;=$A87+$B$80-1,$B87/$B$80,$B87-SUM($C87:E87))),0))</f>
        <v>0</v>
      </c>
      <c r="G87" s="4">
        <f>IF($B$80=0,0,IF(G$2&gt;=$A87,IF(G$2=$A87,($B87/$B$80)*$B$77,IF(G$2&lt;=$A87+$B$80-1,$B87/$B$80,$B87-SUM($C87:F87))),0))</f>
        <v>0</v>
      </c>
      <c r="H87" s="4">
        <f>IF($B$80=0,0,IF(H$2&gt;=$A87,IF(H$2=$A87,($B87/$B$80)*$B$77,IF(H$2&lt;=$A87+$B$80-1,$B87/$B$80,$B87-SUM($C87:G87))),0))</f>
        <v>0</v>
      </c>
      <c r="I87" s="4">
        <f>IF($B$80=0,0,IF(I$2&gt;=$A87,IF(I$2=$A87,($B87/$B$80)*$B$77,IF(I$2&lt;=$A87+$B$80-1,$B87/$B$80,$B87-SUM($C87:H87))),0))</f>
        <v>0</v>
      </c>
      <c r="J87" s="4">
        <f>IF($B$80=0,0,IF(J$2&gt;=$A87,IF(J$2=$A87,($B87/$B$80)*$B$77,IF(J$2&lt;=$A87+$B$80-1,$B87/$B$80,$B87-SUM($C87:I87))),0))</f>
        <v>0</v>
      </c>
      <c r="K87" s="4">
        <f>IF($B$80=0,0,IF(K$2&gt;=$A87,IF(K$2=$A87,($B87/$B$80)*$B$77,IF(K$2&lt;=$A87+$B$80-1,$B87/$B$80,$B87-SUM($C87:J87))),0))</f>
        <v>0</v>
      </c>
      <c r="L87" s="4">
        <f>IF($B$80=0,0,IF(L$2&gt;=$A87,IF(L$2=$A87,($B87/$B$80)*$B$77,IF(L$2&lt;=$A87+$B$80-1,$B87/$B$80,$B87-SUM($C87:K87))),0))</f>
        <v>0</v>
      </c>
      <c r="M87" s="4">
        <f>IF($B$80=0,0,IF(M$2&gt;=$A87,IF(M$2=$A87,($B87/$B$80)*$B$77,IF(M$2&lt;=$A87+$B$80-1,$B87/$B$80,$B87-SUM($C87:L87))),0))</f>
        <v>0</v>
      </c>
      <c r="N87" s="4">
        <f>IF($B$80=0,0,IF(N$2&gt;=$A87,IF(N$2=$A87,($B87/$B$80)*$B$77,IF(N$2&lt;=$A87+$B$80-1,$B87/$B$80,$B87-SUM($C87:M87))),0))</f>
        <v>0</v>
      </c>
      <c r="O87" s="4">
        <f>IF($B$80=0,0,IF(O$2&gt;=$A87,IF(O$2=$A87,($B87/$B$80)*$B$77,IF(O$2&lt;=$A87+$B$80-1,$B87/$B$80,$B87-SUM($C87:N87))),0))</f>
        <v>0</v>
      </c>
      <c r="P87" s="4">
        <f>IF($B$80=0,0,IF(P$2&gt;=$A87,IF(P$2=$A87,($B87/$B$80)*$B$77,IF(P$2&lt;=$A87+$B$80-1,$B87/$B$80,$B87-SUM($C87:O87))),0))</f>
        <v>0</v>
      </c>
      <c r="Q87" s="4">
        <f>IF($B$80=0,0,IF(Q$2&gt;=$A87,IF(Q$2=$A87,($B87/$B$80)*$B$77,IF(Q$2&lt;=$A87+$B$80-1,$B87/$B$80,$B87-SUM($C87:P87))),0))</f>
        <v>0</v>
      </c>
      <c r="R87" s="4">
        <f>IF($B$80=0,0,IF(R$2&gt;=$A87,IF(R$2=$A87,($B87/$B$80)*$B$77,IF(R$2&lt;=$A87+$B$80-1,$B87/$B$80,$B87-SUM($C87:Q87))),0))</f>
        <v>0</v>
      </c>
      <c r="S87" s="4">
        <f>IF($B$80=0,0,IF(S$2&gt;=$A87,IF(S$2=$A87,($B87/$B$80)*$B$77,IF(S$2&lt;=$A87+$B$80-1,$B87/$B$80,$B87-SUM($C87:R87))),0))</f>
        <v>0</v>
      </c>
      <c r="T87" s="4">
        <f>IF($B$80=0,0,IF(T$2&gt;=$A87,IF(T$2=$A87,($B87/$B$80)*$B$77,IF(T$2&lt;=$A87+$B$80-1,$B87/$B$80,$B87-SUM($C87:S87))),0))</f>
        <v>0</v>
      </c>
      <c r="U87" s="4">
        <f>IF($B$80=0,0,IF(U$2&gt;=$A87,IF(U$2=$A87,($B87/$B$80)*$B$77,IF(U$2&lt;=$A87+$B$80-1,$B87/$B$80,$B87-SUM($C87:T87))),0))</f>
        <v>0</v>
      </c>
      <c r="V87" s="4">
        <f>IF($B$80=0,0,IF(V$2&gt;=$A87,IF(V$2=$A87,($B87/$B$80)*$B$77,IF(V$2&lt;=$A87+$B$80-1,$B87/$B$80,$B87-SUM($C87:U87))),0))</f>
        <v>0</v>
      </c>
      <c r="W87" s="4">
        <f>IF($B$80=0,0,IF(W$2&gt;=$A87,IF(W$2=$A87,($B87/$B$80)*$B$77,IF(W$2&lt;=$A87+$B$80-1,$B87/$B$80,$B87-SUM($C87:V87))),0))</f>
        <v>0</v>
      </c>
      <c r="X87" s="4">
        <f>IF($B$80=0,0,IF(X$2&gt;=$A87,IF(X$2=$A87,($B87/$B$80)*$B$77,IF(X$2&lt;=$A87+$B$80-1,$B87/$B$80,$B87-SUM($C87:W87))),0))</f>
        <v>0</v>
      </c>
      <c r="Y87" s="4">
        <f>IF($B$80=0,0,IF(Y$2&gt;=$A87,IF(Y$2=$A87,($B87/$B$80)*$B$77,IF(Y$2&lt;=$A87+$B$80-1,$B87/$B$80,$B87-SUM($C87:X87))),0))</f>
        <v>0</v>
      </c>
      <c r="Z87" s="4">
        <f>IF($B$80=0,0,IF(Z$2&gt;=$A87,IF(Z$2=$A87,($B87/$B$80)*$B$77,IF(Z$2&lt;=$A87+$B$80-1,$B87/$B$80,$B87-SUM($C87:Y87))),0))</f>
        <v>0</v>
      </c>
      <c r="AA87" s="4">
        <f>IF($B$80=0,0,IF(AA$2&gt;=$A87,IF(AA$2=$A87,($B87/$B$80)*$B$77,IF(AA$2&lt;=$A87+$B$80-1,$B87/$B$80,$B87-SUM($C87:Z87))),0))</f>
        <v>0</v>
      </c>
      <c r="AB87" s="4">
        <f>IF($B$80=0,0,IF(AB$2&gt;=$A87,IF(AB$2=$A87,($B87/$B$80)*$B$77,IF(AB$2&lt;=$A87+$B$80-1,$B87/$B$80,$B87-SUM($C87:AA87))),0))</f>
        <v>0</v>
      </c>
      <c r="AC87" s="4">
        <f>IF($B$80=0,0,IF(AC$2&gt;=$A87,IF(AC$2=$A87,($B87/$B$80)*$B$77,IF(AC$2&lt;=$A87+$B$80-1,$B87/$B$80,$B87-SUM($C87:AB87))),0))</f>
        <v>0</v>
      </c>
      <c r="AD87" s="4">
        <f>IF($B$80=0,0,IF(AD$2&gt;=$A87,IF(AD$2=$A87,($B87/$B$80)*$B$77,IF(AD$2&lt;=$A87+$B$80-1,$B87/$B$80,$B87-SUM($C87:AC87))),0))</f>
        <v>0</v>
      </c>
      <c r="AE87" s="4">
        <f>IF($B$80=0,0,IF(AE$2&gt;=$A87,IF(AE$2=$A87,($B87/$B$80)*$B$77,IF(AE$2&lt;=$A87+$B$80-1,$B87/$B$80,$B87-SUM($C87:AD87))),0))</f>
        <v>0</v>
      </c>
      <c r="AF87" s="4">
        <f>IF($B$80=0,0,IF(AF$2&gt;=$A87,IF(AF$2=$A87,($B87/$B$80)*$B$77,IF(AF$2&lt;=$A87+$B$80-1,$B87/$B$80,$B87-SUM($C87:AE87))),0))</f>
        <v>0</v>
      </c>
      <c r="AG87" s="4">
        <f t="shared" si="58"/>
        <v>0</v>
      </c>
    </row>
    <row r="88" spans="1:33">
      <c r="A88" s="6">
        <f t="shared" si="59"/>
        <v>2029</v>
      </c>
      <c r="B88" s="4">
        <f t="shared" si="57"/>
        <v>0</v>
      </c>
      <c r="C88" s="4">
        <f>IF($B$80=0,0,IF(C$2&gt;=$A88,IF(C$2=$A88,($B88/$B$80)*$B$77,IF(C$2&lt;=$A88+$B$80-1,$B88/$B$80,$B88-SUM(B88:$C88))),0))</f>
        <v>0</v>
      </c>
      <c r="D88" s="4">
        <f>IF($B$80=0,0,IF(D$2&gt;=$A88,IF(D$2=$A88,($B88/$B$80)*$B$77,IF(D$2&lt;=$A88+$B$80-1,$B88/$B$80,$B88-SUM(C88:$C88))),0))</f>
        <v>0</v>
      </c>
      <c r="E88" s="4">
        <f>IF($B$80=0,0,IF(E$2&gt;=$A88,IF(E$2=$A88,($B88/$B$80)*$B$77,IF(E$2&lt;=$A88+$B$80-1,$B88/$B$80,$B88-SUM($C88:D88))),0))</f>
        <v>0</v>
      </c>
      <c r="F88" s="4">
        <f>IF($B$80=0,0,IF(F$2&gt;=$A88,IF(F$2=$A88,($B88/$B$80)*$B$77,IF(F$2&lt;=$A88+$B$80-1,$B88/$B$80,$B88-SUM($C88:E88))),0))</f>
        <v>0</v>
      </c>
      <c r="G88" s="4">
        <f>IF($B$80=0,0,IF(G$2&gt;=$A88,IF(G$2=$A88,($B88/$B$80)*$B$77,IF(G$2&lt;=$A88+$B$80-1,$B88/$B$80,$B88-SUM($C88:F88))),0))</f>
        <v>0</v>
      </c>
      <c r="H88" s="4">
        <f>IF($B$80=0,0,IF(H$2&gt;=$A88,IF(H$2=$A88,($B88/$B$80)*$B$77,IF(H$2&lt;=$A88+$B$80-1,$B88/$B$80,$B88-SUM($C88:G88))),0))</f>
        <v>0</v>
      </c>
      <c r="I88" s="4">
        <f>IF($B$80=0,0,IF(I$2&gt;=$A88,IF(I$2=$A88,($B88/$B$80)*$B$77,IF(I$2&lt;=$A88+$B$80-1,$B88/$B$80,$B88-SUM($C88:H88))),0))</f>
        <v>0</v>
      </c>
      <c r="J88" s="4">
        <f>IF($B$80=0,0,IF(J$2&gt;=$A88,IF(J$2=$A88,($B88/$B$80)*$B$77,IF(J$2&lt;=$A88+$B$80-1,$B88/$B$80,$B88-SUM($C88:I88))),0))</f>
        <v>0</v>
      </c>
      <c r="K88" s="4">
        <f>IF($B$80=0,0,IF(K$2&gt;=$A88,IF(K$2=$A88,($B88/$B$80)*$B$77,IF(K$2&lt;=$A88+$B$80-1,$B88/$B$80,$B88-SUM($C88:J88))),0))</f>
        <v>0</v>
      </c>
      <c r="L88" s="4">
        <f>IF($B$80=0,0,IF(L$2&gt;=$A88,IF(L$2=$A88,($B88/$B$80)*$B$77,IF(L$2&lt;=$A88+$B$80-1,$B88/$B$80,$B88-SUM($C88:K88))),0))</f>
        <v>0</v>
      </c>
      <c r="M88" s="4">
        <f>IF($B$80=0,0,IF(M$2&gt;=$A88,IF(M$2=$A88,($B88/$B$80)*$B$77,IF(M$2&lt;=$A88+$B$80-1,$B88/$B$80,$B88-SUM($C88:L88))),0))</f>
        <v>0</v>
      </c>
      <c r="N88" s="4">
        <f>IF($B$80=0,0,IF(N$2&gt;=$A88,IF(N$2=$A88,($B88/$B$80)*$B$77,IF(N$2&lt;=$A88+$B$80-1,$B88/$B$80,$B88-SUM($C88:M88))),0))</f>
        <v>0</v>
      </c>
      <c r="O88" s="4">
        <f>IF($B$80=0,0,IF(O$2&gt;=$A88,IF(O$2=$A88,($B88/$B$80)*$B$77,IF(O$2&lt;=$A88+$B$80-1,$B88/$B$80,$B88-SUM($C88:N88))),0))</f>
        <v>0</v>
      </c>
      <c r="P88" s="4">
        <f>IF($B$80=0,0,IF(P$2&gt;=$A88,IF(P$2=$A88,($B88/$B$80)*$B$77,IF(P$2&lt;=$A88+$B$80-1,$B88/$B$80,$B88-SUM($C88:O88))),0))</f>
        <v>0</v>
      </c>
      <c r="Q88" s="4">
        <f>IF($B$80=0,0,IF(Q$2&gt;=$A88,IF(Q$2=$A88,($B88/$B$80)*$B$77,IF(Q$2&lt;=$A88+$B$80-1,$B88/$B$80,$B88-SUM($C88:P88))),0))</f>
        <v>0</v>
      </c>
      <c r="R88" s="4">
        <f>IF($B$80=0,0,IF(R$2&gt;=$A88,IF(R$2=$A88,($B88/$B$80)*$B$77,IF(R$2&lt;=$A88+$B$80-1,$B88/$B$80,$B88-SUM($C88:Q88))),0))</f>
        <v>0</v>
      </c>
      <c r="S88" s="4">
        <f>IF($B$80=0,0,IF(S$2&gt;=$A88,IF(S$2=$A88,($B88/$B$80)*$B$77,IF(S$2&lt;=$A88+$B$80-1,$B88/$B$80,$B88-SUM($C88:R88))),0))</f>
        <v>0</v>
      </c>
      <c r="T88" s="4">
        <f>IF($B$80=0,0,IF(T$2&gt;=$A88,IF(T$2=$A88,($B88/$B$80)*$B$77,IF(T$2&lt;=$A88+$B$80-1,$B88/$B$80,$B88-SUM($C88:S88))),0))</f>
        <v>0</v>
      </c>
      <c r="U88" s="4">
        <f>IF($B$80=0,0,IF(U$2&gt;=$A88,IF(U$2=$A88,($B88/$B$80)*$B$77,IF(U$2&lt;=$A88+$B$80-1,$B88/$B$80,$B88-SUM($C88:T88))),0))</f>
        <v>0</v>
      </c>
      <c r="V88" s="4">
        <f>IF($B$80=0,0,IF(V$2&gt;=$A88,IF(V$2=$A88,($B88/$B$80)*$B$77,IF(V$2&lt;=$A88+$B$80-1,$B88/$B$80,$B88-SUM($C88:U88))),0))</f>
        <v>0</v>
      </c>
      <c r="W88" s="4">
        <f>IF($B$80=0,0,IF(W$2&gt;=$A88,IF(W$2=$A88,($B88/$B$80)*$B$77,IF(W$2&lt;=$A88+$B$80-1,$B88/$B$80,$B88-SUM($C88:V88))),0))</f>
        <v>0</v>
      </c>
      <c r="X88" s="4">
        <f>IF($B$80=0,0,IF(X$2&gt;=$A88,IF(X$2=$A88,($B88/$B$80)*$B$77,IF(X$2&lt;=$A88+$B$80-1,$B88/$B$80,$B88-SUM($C88:W88))),0))</f>
        <v>0</v>
      </c>
      <c r="Y88" s="4">
        <f>IF($B$80=0,0,IF(Y$2&gt;=$A88,IF(Y$2=$A88,($B88/$B$80)*$B$77,IF(Y$2&lt;=$A88+$B$80-1,$B88/$B$80,$B88-SUM($C88:X88))),0))</f>
        <v>0</v>
      </c>
      <c r="Z88" s="4">
        <f>IF($B$80=0,0,IF(Z$2&gt;=$A88,IF(Z$2=$A88,($B88/$B$80)*$B$77,IF(Z$2&lt;=$A88+$B$80-1,$B88/$B$80,$B88-SUM($C88:Y88))),0))</f>
        <v>0</v>
      </c>
      <c r="AA88" s="4">
        <f>IF($B$80=0,0,IF(AA$2&gt;=$A88,IF(AA$2=$A88,($B88/$B$80)*$B$77,IF(AA$2&lt;=$A88+$B$80-1,$B88/$B$80,$B88-SUM($C88:Z88))),0))</f>
        <v>0</v>
      </c>
      <c r="AB88" s="4">
        <f>IF($B$80=0,0,IF(AB$2&gt;=$A88,IF(AB$2=$A88,($B88/$B$80)*$B$77,IF(AB$2&lt;=$A88+$B$80-1,$B88/$B$80,$B88-SUM($C88:AA88))),0))</f>
        <v>0</v>
      </c>
      <c r="AC88" s="4">
        <f>IF($B$80=0,0,IF(AC$2&gt;=$A88,IF(AC$2=$A88,($B88/$B$80)*$B$77,IF(AC$2&lt;=$A88+$B$80-1,$B88/$B$80,$B88-SUM($C88:AB88))),0))</f>
        <v>0</v>
      </c>
      <c r="AD88" s="4">
        <f>IF($B$80=0,0,IF(AD$2&gt;=$A88,IF(AD$2=$A88,($B88/$B$80)*$B$77,IF(AD$2&lt;=$A88+$B$80-1,$B88/$B$80,$B88-SUM($C88:AC88))),0))</f>
        <v>0</v>
      </c>
      <c r="AE88" s="4">
        <f>IF($B$80=0,0,IF(AE$2&gt;=$A88,IF(AE$2=$A88,($B88/$B$80)*$B$77,IF(AE$2&lt;=$A88+$B$80-1,$B88/$B$80,$B88-SUM($C88:AD88))),0))</f>
        <v>0</v>
      </c>
      <c r="AF88" s="4">
        <f>IF($B$80=0,0,IF(AF$2&gt;=$A88,IF(AF$2=$A88,($B88/$B$80)*$B$77,IF(AF$2&lt;=$A88+$B$80-1,$B88/$B$80,$B88-SUM($C88:AE88))),0))</f>
        <v>0</v>
      </c>
      <c r="AG88" s="4">
        <f t="shared" si="58"/>
        <v>0</v>
      </c>
    </row>
    <row r="89" spans="1:33">
      <c r="A89" s="6">
        <f t="shared" si="59"/>
        <v>2030</v>
      </c>
      <c r="B89" s="4">
        <f t="shared" si="57"/>
        <v>0</v>
      </c>
      <c r="C89" s="4">
        <f>IF($B$80=0,0,IF(C$2&gt;=$A89,IF(C$2=$A89,($B89/$B$80)*$B$77,IF(C$2&lt;=$A89+$B$80-1,$B89/$B$80,$B89-SUM(B89:$C89))),0))</f>
        <v>0</v>
      </c>
      <c r="D89" s="4">
        <f>IF($B$80=0,0,IF(D$2&gt;=$A89,IF(D$2=$A89,($B89/$B$80)*$B$77,IF(D$2&lt;=$A89+$B$80-1,$B89/$B$80,$B89-SUM(C89:$C89))),0))</f>
        <v>0</v>
      </c>
      <c r="E89" s="4">
        <f>IF($B$80=0,0,IF(E$2&gt;=$A89,IF(E$2=$A89,($B89/$B$80)*$B$77,IF(E$2&lt;=$A89+$B$80-1,$B89/$B$80,$B89-SUM($C89:D89))),0))</f>
        <v>0</v>
      </c>
      <c r="F89" s="4">
        <f>IF($B$80=0,0,IF(F$2&gt;=$A89,IF(F$2=$A89,($B89/$B$80)*$B$77,IF(F$2&lt;=$A89+$B$80-1,$B89/$B$80,$B89-SUM($C89:E89))),0))</f>
        <v>0</v>
      </c>
      <c r="G89" s="4">
        <f>IF($B$80=0,0,IF(G$2&gt;=$A89,IF(G$2=$A89,($B89/$B$80)*$B$77,IF(G$2&lt;=$A89+$B$80-1,$B89/$B$80,$B89-SUM($C89:F89))),0))</f>
        <v>0</v>
      </c>
      <c r="H89" s="4">
        <f>IF($B$80=0,0,IF(H$2&gt;=$A89,IF(H$2=$A89,($B89/$B$80)*$B$77,IF(H$2&lt;=$A89+$B$80-1,$B89/$B$80,$B89-SUM($C89:G89))),0))</f>
        <v>0</v>
      </c>
      <c r="I89" s="4">
        <f>IF($B$80=0,0,IF(I$2&gt;=$A89,IF(I$2=$A89,($B89/$B$80)*$B$77,IF(I$2&lt;=$A89+$B$80-1,$B89/$B$80,$B89-SUM($C89:H89))),0))</f>
        <v>0</v>
      </c>
      <c r="J89" s="4">
        <f>IF($B$80=0,0,IF(J$2&gt;=$A89,IF(J$2=$A89,($B89/$B$80)*$B$77,IF(J$2&lt;=$A89+$B$80-1,$B89/$B$80,$B89-SUM($C89:I89))),0))</f>
        <v>0</v>
      </c>
      <c r="K89" s="4">
        <f>IF($B$80=0,0,IF(K$2&gt;=$A89,IF(K$2=$A89,($B89/$B$80)*$B$77,IF(K$2&lt;=$A89+$B$80-1,$B89/$B$80,$B89-SUM($C89:J89))),0))</f>
        <v>0</v>
      </c>
      <c r="L89" s="4">
        <f>IF($B$80=0,0,IF(L$2&gt;=$A89,IF(L$2=$A89,($B89/$B$80)*$B$77,IF(L$2&lt;=$A89+$B$80-1,$B89/$B$80,$B89-SUM($C89:K89))),0))</f>
        <v>0</v>
      </c>
      <c r="M89" s="4">
        <f>IF($B$80=0,0,IF(M$2&gt;=$A89,IF(M$2=$A89,($B89/$B$80)*$B$77,IF(M$2&lt;=$A89+$B$80-1,$B89/$B$80,$B89-SUM($C89:L89))),0))</f>
        <v>0</v>
      </c>
      <c r="N89" s="4">
        <f>IF($B$80=0,0,IF(N$2&gt;=$A89,IF(N$2=$A89,($B89/$B$80)*$B$77,IF(N$2&lt;=$A89+$B$80-1,$B89/$B$80,$B89-SUM($C89:M89))),0))</f>
        <v>0</v>
      </c>
      <c r="O89" s="4">
        <f>IF($B$80=0,0,IF(O$2&gt;=$A89,IF(O$2=$A89,($B89/$B$80)*$B$77,IF(O$2&lt;=$A89+$B$80-1,$B89/$B$80,$B89-SUM($C89:N89))),0))</f>
        <v>0</v>
      </c>
      <c r="P89" s="4">
        <f>IF($B$80=0,0,IF(P$2&gt;=$A89,IF(P$2=$A89,($B89/$B$80)*$B$77,IF(P$2&lt;=$A89+$B$80-1,$B89/$B$80,$B89-SUM($C89:O89))),0))</f>
        <v>0</v>
      </c>
      <c r="Q89" s="4">
        <f>IF($B$80=0,0,IF(Q$2&gt;=$A89,IF(Q$2=$A89,($B89/$B$80)*$B$77,IF(Q$2&lt;=$A89+$B$80-1,$B89/$B$80,$B89-SUM($C89:P89))),0))</f>
        <v>0</v>
      </c>
      <c r="R89" s="4">
        <f>IF($B$80=0,0,IF(R$2&gt;=$A89,IF(R$2=$A89,($B89/$B$80)*$B$77,IF(R$2&lt;=$A89+$B$80-1,$B89/$B$80,$B89-SUM($C89:Q89))),0))</f>
        <v>0</v>
      </c>
      <c r="S89" s="4">
        <f>IF($B$80=0,0,IF(S$2&gt;=$A89,IF(S$2=$A89,($B89/$B$80)*$B$77,IF(S$2&lt;=$A89+$B$80-1,$B89/$B$80,$B89-SUM($C89:R89))),0))</f>
        <v>0</v>
      </c>
      <c r="T89" s="4">
        <f>IF($B$80=0,0,IF(T$2&gt;=$A89,IF(T$2=$A89,($B89/$B$80)*$B$77,IF(T$2&lt;=$A89+$B$80-1,$B89/$B$80,$B89-SUM($C89:S89))),0))</f>
        <v>0</v>
      </c>
      <c r="U89" s="4">
        <f>IF($B$80=0,0,IF(U$2&gt;=$A89,IF(U$2=$A89,($B89/$B$80)*$B$77,IF(U$2&lt;=$A89+$B$80-1,$B89/$B$80,$B89-SUM($C89:T89))),0))</f>
        <v>0</v>
      </c>
      <c r="V89" s="4">
        <f>IF($B$80=0,0,IF(V$2&gt;=$A89,IF(V$2=$A89,($B89/$B$80)*$B$77,IF(V$2&lt;=$A89+$B$80-1,$B89/$B$80,$B89-SUM($C89:U89))),0))</f>
        <v>0</v>
      </c>
      <c r="W89" s="4">
        <f>IF($B$80=0,0,IF(W$2&gt;=$A89,IF(W$2=$A89,($B89/$B$80)*$B$77,IF(W$2&lt;=$A89+$B$80-1,$B89/$B$80,$B89-SUM($C89:V89))),0))</f>
        <v>0</v>
      </c>
      <c r="X89" s="4">
        <f>IF($B$80=0,0,IF(X$2&gt;=$A89,IF(X$2=$A89,($B89/$B$80)*$B$77,IF(X$2&lt;=$A89+$B$80-1,$B89/$B$80,$B89-SUM($C89:W89))),0))</f>
        <v>0</v>
      </c>
      <c r="Y89" s="4">
        <f>IF($B$80=0,0,IF(Y$2&gt;=$A89,IF(Y$2=$A89,($B89/$B$80)*$B$77,IF(Y$2&lt;=$A89+$B$80-1,$B89/$B$80,$B89-SUM($C89:X89))),0))</f>
        <v>0</v>
      </c>
      <c r="Z89" s="4">
        <f>IF($B$80=0,0,IF(Z$2&gt;=$A89,IF(Z$2=$A89,($B89/$B$80)*$B$77,IF(Z$2&lt;=$A89+$B$80-1,$B89/$B$80,$B89-SUM($C89:Y89))),0))</f>
        <v>0</v>
      </c>
      <c r="AA89" s="4">
        <f>IF($B$80=0,0,IF(AA$2&gt;=$A89,IF(AA$2=$A89,($B89/$B$80)*$B$77,IF(AA$2&lt;=$A89+$B$80-1,$B89/$B$80,$B89-SUM($C89:Z89))),0))</f>
        <v>0</v>
      </c>
      <c r="AB89" s="4">
        <f>IF($B$80=0,0,IF(AB$2&gt;=$A89,IF(AB$2=$A89,($B89/$B$80)*$B$77,IF(AB$2&lt;=$A89+$B$80-1,$B89/$B$80,$B89-SUM($C89:AA89))),0))</f>
        <v>0</v>
      </c>
      <c r="AC89" s="4">
        <f>IF($B$80=0,0,IF(AC$2&gt;=$A89,IF(AC$2=$A89,($B89/$B$80)*$B$77,IF(AC$2&lt;=$A89+$B$80-1,$B89/$B$80,$B89-SUM($C89:AB89))),0))</f>
        <v>0</v>
      </c>
      <c r="AD89" s="4">
        <f>IF($B$80=0,0,IF(AD$2&gt;=$A89,IF(AD$2=$A89,($B89/$B$80)*$B$77,IF(AD$2&lt;=$A89+$B$80-1,$B89/$B$80,$B89-SUM($C89:AC89))),0))</f>
        <v>0</v>
      </c>
      <c r="AE89" s="4">
        <f>IF($B$80=0,0,IF(AE$2&gt;=$A89,IF(AE$2=$A89,($B89/$B$80)*$B$77,IF(AE$2&lt;=$A89+$B$80-1,$B89/$B$80,$B89-SUM($C89:AD89))),0))</f>
        <v>0</v>
      </c>
      <c r="AF89" s="4">
        <f>IF($B$80=0,0,IF(AF$2&gt;=$A89,IF(AF$2=$A89,($B89/$B$80)*$B$77,IF(AF$2&lt;=$A89+$B$80-1,$B89/$B$80,$B89-SUM($C89:AE89))),0))</f>
        <v>0</v>
      </c>
      <c r="AG89" s="4">
        <f t="shared" si="58"/>
        <v>0</v>
      </c>
    </row>
    <row r="90" spans="1:33">
      <c r="A90" s="6">
        <f t="shared" si="59"/>
        <v>2031</v>
      </c>
      <c r="B90" s="4">
        <f t="shared" si="57"/>
        <v>0</v>
      </c>
      <c r="C90" s="4">
        <f>IF($B$80=0,0,IF(C$2&gt;=$A90,IF(C$2=$A90,($B90/$B$80)*$B$77,IF(C$2&lt;=$A90+$B$80-1,$B90/$B$80,$B90-SUM(B90:$C90))),0))</f>
        <v>0</v>
      </c>
      <c r="D90" s="4">
        <f>IF($B$80=0,0,IF(D$2&gt;=$A90,IF(D$2=$A90,($B90/$B$80)*$B$77,IF(D$2&lt;=$A90+$B$80-1,$B90/$B$80,$B90-SUM(C90:$C90))),0))</f>
        <v>0</v>
      </c>
      <c r="E90" s="4">
        <f>IF($B$80=0,0,IF(E$2&gt;=$A90,IF(E$2=$A90,($B90/$B$80)*$B$77,IF(E$2&lt;=$A90+$B$80-1,$B90/$B$80,$B90-SUM($C90:D90))),0))</f>
        <v>0</v>
      </c>
      <c r="F90" s="4">
        <f>IF($B$80=0,0,IF(F$2&gt;=$A90,IF(F$2=$A90,($B90/$B$80)*$B$77,IF(F$2&lt;=$A90+$B$80-1,$B90/$B$80,$B90-SUM($C90:E90))),0))</f>
        <v>0</v>
      </c>
      <c r="G90" s="4">
        <f>IF($B$80=0,0,IF(G$2&gt;=$A90,IF(G$2=$A90,($B90/$B$80)*$B$77,IF(G$2&lt;=$A90+$B$80-1,$B90/$B$80,$B90-SUM($C90:F90))),0))</f>
        <v>0</v>
      </c>
      <c r="H90" s="4">
        <f>IF($B$80=0,0,IF(H$2&gt;=$A90,IF(H$2=$A90,($B90/$B$80)*$B$77,IF(H$2&lt;=$A90+$B$80-1,$B90/$B$80,$B90-SUM($C90:G90))),0))</f>
        <v>0</v>
      </c>
      <c r="I90" s="4">
        <f>IF($B$80=0,0,IF(I$2&gt;=$A90,IF(I$2=$A90,($B90/$B$80)*$B$77,IF(I$2&lt;=$A90+$B$80-1,$B90/$B$80,$B90-SUM($C90:H90))),0))</f>
        <v>0</v>
      </c>
      <c r="J90" s="4">
        <f>IF($B$80=0,0,IF(J$2&gt;=$A90,IF(J$2=$A90,($B90/$B$80)*$B$77,IF(J$2&lt;=$A90+$B$80-1,$B90/$B$80,$B90-SUM($C90:I90))),0))</f>
        <v>0</v>
      </c>
      <c r="K90" s="4">
        <f>IF($B$80=0,0,IF(K$2&gt;=$A90,IF(K$2=$A90,($B90/$B$80)*$B$77,IF(K$2&lt;=$A90+$B$80-1,$B90/$B$80,$B90-SUM($C90:J90))),0))</f>
        <v>0</v>
      </c>
      <c r="L90" s="4">
        <f>IF($B$80=0,0,IF(L$2&gt;=$A90,IF(L$2=$A90,($B90/$B$80)*$B$77,IF(L$2&lt;=$A90+$B$80-1,$B90/$B$80,$B90-SUM($C90:K90))),0))</f>
        <v>0</v>
      </c>
      <c r="M90" s="4">
        <f>IF($B$80=0,0,IF(M$2&gt;=$A90,IF(M$2=$A90,($B90/$B$80)*$B$77,IF(M$2&lt;=$A90+$B$80-1,$B90/$B$80,$B90-SUM($C90:L90))),0))</f>
        <v>0</v>
      </c>
      <c r="N90" s="4">
        <f>IF($B$80=0,0,IF(N$2&gt;=$A90,IF(N$2=$A90,($B90/$B$80)*$B$77,IF(N$2&lt;=$A90+$B$80-1,$B90/$B$80,$B90-SUM($C90:M90))),0))</f>
        <v>0</v>
      </c>
      <c r="O90" s="4">
        <f>IF($B$80=0,0,IF(O$2&gt;=$A90,IF(O$2=$A90,($B90/$B$80)*$B$77,IF(O$2&lt;=$A90+$B$80-1,$B90/$B$80,$B90-SUM($C90:N90))),0))</f>
        <v>0</v>
      </c>
      <c r="P90" s="4">
        <f>IF($B$80=0,0,IF(P$2&gt;=$A90,IF(P$2=$A90,($B90/$B$80)*$B$77,IF(P$2&lt;=$A90+$B$80-1,$B90/$B$80,$B90-SUM($C90:O90))),0))</f>
        <v>0</v>
      </c>
      <c r="Q90" s="4">
        <f>IF($B$80=0,0,IF(Q$2&gt;=$A90,IF(Q$2=$A90,($B90/$B$80)*$B$77,IF(Q$2&lt;=$A90+$B$80-1,$B90/$B$80,$B90-SUM($C90:P90))),0))</f>
        <v>0</v>
      </c>
      <c r="R90" s="4">
        <f>IF($B$80=0,0,IF(R$2&gt;=$A90,IF(R$2=$A90,($B90/$B$80)*$B$77,IF(R$2&lt;=$A90+$B$80-1,$B90/$B$80,$B90-SUM($C90:Q90))),0))</f>
        <v>0</v>
      </c>
      <c r="S90" s="4">
        <f>IF($B$80=0,0,IF(S$2&gt;=$A90,IF(S$2=$A90,($B90/$B$80)*$B$77,IF(S$2&lt;=$A90+$B$80-1,$B90/$B$80,$B90-SUM($C90:R90))),0))</f>
        <v>0</v>
      </c>
      <c r="T90" s="4">
        <f>IF($B$80=0,0,IF(T$2&gt;=$A90,IF(T$2=$A90,($B90/$B$80)*$B$77,IF(T$2&lt;=$A90+$B$80-1,$B90/$B$80,$B90-SUM($C90:S90))),0))</f>
        <v>0</v>
      </c>
      <c r="U90" s="4">
        <f>IF($B$80=0,0,IF(U$2&gt;=$A90,IF(U$2=$A90,($B90/$B$80)*$B$77,IF(U$2&lt;=$A90+$B$80-1,$B90/$B$80,$B90-SUM($C90:T90))),0))</f>
        <v>0</v>
      </c>
      <c r="V90" s="4">
        <f>IF($B$80=0,0,IF(V$2&gt;=$A90,IF(V$2=$A90,($B90/$B$80)*$B$77,IF(V$2&lt;=$A90+$B$80-1,$B90/$B$80,$B90-SUM($C90:U90))),0))</f>
        <v>0</v>
      </c>
      <c r="W90" s="4">
        <f>IF($B$80=0,0,IF(W$2&gt;=$A90,IF(W$2=$A90,($B90/$B$80)*$B$77,IF(W$2&lt;=$A90+$B$80-1,$B90/$B$80,$B90-SUM($C90:V90))),0))</f>
        <v>0</v>
      </c>
      <c r="X90" s="4">
        <f>IF($B$80=0,0,IF(X$2&gt;=$A90,IF(X$2=$A90,($B90/$B$80)*$B$77,IF(X$2&lt;=$A90+$B$80-1,$B90/$B$80,$B90-SUM($C90:W90))),0))</f>
        <v>0</v>
      </c>
      <c r="Y90" s="4">
        <f>IF($B$80=0,0,IF(Y$2&gt;=$A90,IF(Y$2=$A90,($B90/$B$80)*$B$77,IF(Y$2&lt;=$A90+$B$80-1,$B90/$B$80,$B90-SUM($C90:X90))),0))</f>
        <v>0</v>
      </c>
      <c r="Z90" s="4">
        <f>IF($B$80=0,0,IF(Z$2&gt;=$A90,IF(Z$2=$A90,($B90/$B$80)*$B$77,IF(Z$2&lt;=$A90+$B$80-1,$B90/$B$80,$B90-SUM($C90:Y90))),0))</f>
        <v>0</v>
      </c>
      <c r="AA90" s="4">
        <f>IF($B$80=0,0,IF(AA$2&gt;=$A90,IF(AA$2=$A90,($B90/$B$80)*$B$77,IF(AA$2&lt;=$A90+$B$80-1,$B90/$B$80,$B90-SUM($C90:Z90))),0))</f>
        <v>0</v>
      </c>
      <c r="AB90" s="4">
        <f>IF($B$80=0,0,IF(AB$2&gt;=$A90,IF(AB$2=$A90,($B90/$B$80)*$B$77,IF(AB$2&lt;=$A90+$B$80-1,$B90/$B$80,$B90-SUM($C90:AA90))),0))</f>
        <v>0</v>
      </c>
      <c r="AC90" s="4">
        <f>IF($B$80=0,0,IF(AC$2&gt;=$A90,IF(AC$2=$A90,($B90/$B$80)*$B$77,IF(AC$2&lt;=$A90+$B$80-1,$B90/$B$80,$B90-SUM($C90:AB90))),0))</f>
        <v>0</v>
      </c>
      <c r="AD90" s="4">
        <f>IF($B$80=0,0,IF(AD$2&gt;=$A90,IF(AD$2=$A90,($B90/$B$80)*$B$77,IF(AD$2&lt;=$A90+$B$80-1,$B90/$B$80,$B90-SUM($C90:AC90))),0))</f>
        <v>0</v>
      </c>
      <c r="AE90" s="4">
        <f>IF($B$80=0,0,IF(AE$2&gt;=$A90,IF(AE$2=$A90,($B90/$B$80)*$B$77,IF(AE$2&lt;=$A90+$B$80-1,$B90/$B$80,$B90-SUM($C90:AD90))),0))</f>
        <v>0</v>
      </c>
      <c r="AF90" s="4">
        <f>IF($B$80=0,0,IF(AF$2&gt;=$A90,IF(AF$2=$A90,($B90/$B$80)*$B$77,IF(AF$2&lt;=$A90+$B$80-1,$B90/$B$80,$B90-SUM($C90:AE90))),0))</f>
        <v>0</v>
      </c>
      <c r="AG90" s="4">
        <f t="shared" si="58"/>
        <v>0</v>
      </c>
    </row>
    <row r="91" spans="1:33">
      <c r="A91" s="6">
        <f t="shared" si="59"/>
        <v>2032</v>
      </c>
      <c r="B91" s="4">
        <f t="shared" si="57"/>
        <v>0</v>
      </c>
      <c r="C91" s="4">
        <f>IF($B$80=0,0,IF(C$2&gt;=$A91,IF(C$2=$A91,($B91/$B$80)*$B$77,IF(C$2&lt;=$A91+$B$80-1,$B91/$B$80,$B91-SUM(B91:$C91))),0))</f>
        <v>0</v>
      </c>
      <c r="D91" s="4">
        <f>IF($B$80=0,0,IF(D$2&gt;=$A91,IF(D$2=$A91,($B91/$B$80)*$B$77,IF(D$2&lt;=$A91+$B$80-1,$B91/$B$80,$B91-SUM(C91:$C91))),0))</f>
        <v>0</v>
      </c>
      <c r="E91" s="4">
        <f>IF($B$80=0,0,IF(E$2&gt;=$A91,IF(E$2=$A91,($B91/$B$80)*$B$77,IF(E$2&lt;=$A91+$B$80-1,$B91/$B$80,$B91-SUM($C91:D91))),0))</f>
        <v>0</v>
      </c>
      <c r="F91" s="4">
        <f>IF($B$80=0,0,IF(F$2&gt;=$A91,IF(F$2=$A91,($B91/$B$80)*$B$77,IF(F$2&lt;=$A91+$B$80-1,$B91/$B$80,$B91-SUM($C91:E91))),0))</f>
        <v>0</v>
      </c>
      <c r="G91" s="4">
        <f>IF($B$80=0,0,IF(G$2&gt;=$A91,IF(G$2=$A91,($B91/$B$80)*$B$77,IF(G$2&lt;=$A91+$B$80-1,$B91/$B$80,$B91-SUM($C91:F91))),0))</f>
        <v>0</v>
      </c>
      <c r="H91" s="4">
        <f>IF($B$80=0,0,IF(H$2&gt;=$A91,IF(H$2=$A91,($B91/$B$80)*$B$77,IF(H$2&lt;=$A91+$B$80-1,$B91/$B$80,$B91-SUM($C91:G91))),0))</f>
        <v>0</v>
      </c>
      <c r="I91" s="4">
        <f>IF($B$80=0,0,IF(I$2&gt;=$A91,IF(I$2=$A91,($B91/$B$80)*$B$77,IF(I$2&lt;=$A91+$B$80-1,$B91/$B$80,$B91-SUM($C91:H91))),0))</f>
        <v>0</v>
      </c>
      <c r="J91" s="4">
        <f>IF($B$80=0,0,IF(J$2&gt;=$A91,IF(J$2=$A91,($B91/$B$80)*$B$77,IF(J$2&lt;=$A91+$B$80-1,$B91/$B$80,$B91-SUM($C91:I91))),0))</f>
        <v>0</v>
      </c>
      <c r="K91" s="4">
        <f>IF($B$80=0,0,IF(K$2&gt;=$A91,IF(K$2=$A91,($B91/$B$80)*$B$77,IF(K$2&lt;=$A91+$B$80-1,$B91/$B$80,$B91-SUM($C91:J91))),0))</f>
        <v>0</v>
      </c>
      <c r="L91" s="4">
        <f>IF($B$80=0,0,IF(L$2&gt;=$A91,IF(L$2=$A91,($B91/$B$80)*$B$77,IF(L$2&lt;=$A91+$B$80-1,$B91/$B$80,$B91-SUM($C91:K91))),0))</f>
        <v>0</v>
      </c>
      <c r="M91" s="4">
        <f>IF($B$80=0,0,IF(M$2&gt;=$A91,IF(M$2=$A91,($B91/$B$80)*$B$77,IF(M$2&lt;=$A91+$B$80-1,$B91/$B$80,$B91-SUM($C91:L91))),0))</f>
        <v>0</v>
      </c>
      <c r="N91" s="4">
        <f>IF($B$80=0,0,IF(N$2&gt;=$A91,IF(N$2=$A91,($B91/$B$80)*$B$77,IF(N$2&lt;=$A91+$B$80-1,$B91/$B$80,$B91-SUM($C91:M91))),0))</f>
        <v>0</v>
      </c>
      <c r="O91" s="4">
        <f>IF($B$80=0,0,IF(O$2&gt;=$A91,IF(O$2=$A91,($B91/$B$80)*$B$77,IF(O$2&lt;=$A91+$B$80-1,$B91/$B$80,$B91-SUM($C91:N91))),0))</f>
        <v>0</v>
      </c>
      <c r="P91" s="4">
        <f>IF($B$80=0,0,IF(P$2&gt;=$A91,IF(P$2=$A91,($B91/$B$80)*$B$77,IF(P$2&lt;=$A91+$B$80-1,$B91/$B$80,$B91-SUM($C91:O91))),0))</f>
        <v>0</v>
      </c>
      <c r="Q91" s="4">
        <f>IF($B$80=0,0,IF(Q$2&gt;=$A91,IF(Q$2=$A91,($B91/$B$80)*$B$77,IF(Q$2&lt;=$A91+$B$80-1,$B91/$B$80,$B91-SUM($C91:P91))),0))</f>
        <v>0</v>
      </c>
      <c r="R91" s="4">
        <f>IF($B$80=0,0,IF(R$2&gt;=$A91,IF(R$2=$A91,($B91/$B$80)*$B$77,IF(R$2&lt;=$A91+$B$80-1,$B91/$B$80,$B91-SUM($C91:Q91))),0))</f>
        <v>0</v>
      </c>
      <c r="S91" s="4">
        <f>IF($B$80=0,0,IF(S$2&gt;=$A91,IF(S$2=$A91,($B91/$B$80)*$B$77,IF(S$2&lt;=$A91+$B$80-1,$B91/$B$80,$B91-SUM($C91:R91))),0))</f>
        <v>0</v>
      </c>
      <c r="T91" s="4">
        <f>IF($B$80=0,0,IF(T$2&gt;=$A91,IF(T$2=$A91,($B91/$B$80)*$B$77,IF(T$2&lt;=$A91+$B$80-1,$B91/$B$80,$B91-SUM($C91:S91))),0))</f>
        <v>0</v>
      </c>
      <c r="U91" s="4">
        <f>IF($B$80=0,0,IF(U$2&gt;=$A91,IF(U$2=$A91,($B91/$B$80)*$B$77,IF(U$2&lt;=$A91+$B$80-1,$B91/$B$80,$B91-SUM($C91:T91))),0))</f>
        <v>0</v>
      </c>
      <c r="V91" s="4">
        <f>IF($B$80=0,0,IF(V$2&gt;=$A91,IF(V$2=$A91,($B91/$B$80)*$B$77,IF(V$2&lt;=$A91+$B$80-1,$B91/$B$80,$B91-SUM($C91:U91))),0))</f>
        <v>0</v>
      </c>
      <c r="W91" s="4">
        <f>IF($B$80=0,0,IF(W$2&gt;=$A91,IF(W$2=$A91,($B91/$B$80)*$B$77,IF(W$2&lt;=$A91+$B$80-1,$B91/$B$80,$B91-SUM($C91:V91))),0))</f>
        <v>0</v>
      </c>
      <c r="X91" s="4">
        <f>IF($B$80=0,0,IF(X$2&gt;=$A91,IF(X$2=$A91,($B91/$B$80)*$B$77,IF(X$2&lt;=$A91+$B$80-1,$B91/$B$80,$B91-SUM($C91:W91))),0))</f>
        <v>0</v>
      </c>
      <c r="Y91" s="4">
        <f>IF($B$80=0,0,IF(Y$2&gt;=$A91,IF(Y$2=$A91,($B91/$B$80)*$B$77,IF(Y$2&lt;=$A91+$B$80-1,$B91/$B$80,$B91-SUM($C91:X91))),0))</f>
        <v>0</v>
      </c>
      <c r="Z91" s="4">
        <f>IF($B$80=0,0,IF(Z$2&gt;=$A91,IF(Z$2=$A91,($B91/$B$80)*$B$77,IF(Z$2&lt;=$A91+$B$80-1,$B91/$B$80,$B91-SUM($C91:Y91))),0))</f>
        <v>0</v>
      </c>
      <c r="AA91" s="4">
        <f>IF($B$80=0,0,IF(AA$2&gt;=$A91,IF(AA$2=$A91,($B91/$B$80)*$B$77,IF(AA$2&lt;=$A91+$B$80-1,$B91/$B$80,$B91-SUM($C91:Z91))),0))</f>
        <v>0</v>
      </c>
      <c r="AB91" s="4">
        <f>IF($B$80=0,0,IF(AB$2&gt;=$A91,IF(AB$2=$A91,($B91/$B$80)*$B$77,IF(AB$2&lt;=$A91+$B$80-1,$B91/$B$80,$B91-SUM($C91:AA91))),0))</f>
        <v>0</v>
      </c>
      <c r="AC91" s="4">
        <f>IF($B$80=0,0,IF(AC$2&gt;=$A91,IF(AC$2=$A91,($B91/$B$80)*$B$77,IF(AC$2&lt;=$A91+$B$80-1,$B91/$B$80,$B91-SUM($C91:AB91))),0))</f>
        <v>0</v>
      </c>
      <c r="AD91" s="4">
        <f>IF($B$80=0,0,IF(AD$2&gt;=$A91,IF(AD$2=$A91,($B91/$B$80)*$B$77,IF(AD$2&lt;=$A91+$B$80-1,$B91/$B$80,$B91-SUM($C91:AC91))),0))</f>
        <v>0</v>
      </c>
      <c r="AE91" s="4">
        <f>IF($B$80=0,0,IF(AE$2&gt;=$A91,IF(AE$2=$A91,($B91/$B$80)*$B$77,IF(AE$2&lt;=$A91+$B$80-1,$B91/$B$80,$B91-SUM($C91:AD91))),0))</f>
        <v>0</v>
      </c>
      <c r="AF91" s="4">
        <f>IF($B$80=0,0,IF(AF$2&gt;=$A91,IF(AF$2=$A91,($B91/$B$80)*$B$77,IF(AF$2&lt;=$A91+$B$80-1,$B91/$B$80,$B91-SUM($C91:AE91))),0))</f>
        <v>0</v>
      </c>
      <c r="AG91" s="4">
        <f t="shared" si="58"/>
        <v>0</v>
      </c>
    </row>
    <row r="92" spans="1:33">
      <c r="A92" s="6">
        <f t="shared" si="59"/>
        <v>2033</v>
      </c>
      <c r="B92" s="4">
        <f t="shared" si="57"/>
        <v>0</v>
      </c>
      <c r="C92" s="4">
        <f>IF($B$80=0,0,IF(C$2&gt;=$A92,IF(C$2=$A92,($B92/$B$80)*$B$77,IF(C$2&lt;=$A92+$B$80-1,$B92/$B$80,$B92-SUM(B92:$C92))),0))</f>
        <v>0</v>
      </c>
      <c r="D92" s="4">
        <f>IF($B$80=0,0,IF(D$2&gt;=$A92,IF(D$2=$A92,($B92/$B$80)*$B$77,IF(D$2&lt;=$A92+$B$80-1,$B92/$B$80,$B92-SUM(C92:$C92))),0))</f>
        <v>0</v>
      </c>
      <c r="E92" s="4">
        <f>IF($B$80=0,0,IF(E$2&gt;=$A92,IF(E$2=$A92,($B92/$B$80)*$B$77,IF(E$2&lt;=$A92+$B$80-1,$B92/$B$80,$B92-SUM($C92:D92))),0))</f>
        <v>0</v>
      </c>
      <c r="F92" s="4">
        <f>IF($B$80=0,0,IF(F$2&gt;=$A92,IF(F$2=$A92,($B92/$B$80)*$B$77,IF(F$2&lt;=$A92+$B$80-1,$B92/$B$80,$B92-SUM($C92:E92))),0))</f>
        <v>0</v>
      </c>
      <c r="G92" s="4">
        <f>IF($B$80=0,0,IF(G$2&gt;=$A92,IF(G$2=$A92,($B92/$B$80)*$B$77,IF(G$2&lt;=$A92+$B$80-1,$B92/$B$80,$B92-SUM($C92:F92))),0))</f>
        <v>0</v>
      </c>
      <c r="H92" s="4">
        <f>IF($B$80=0,0,IF(H$2&gt;=$A92,IF(H$2=$A92,($B92/$B$80)*$B$77,IF(H$2&lt;=$A92+$B$80-1,$B92/$B$80,$B92-SUM($C92:G92))),0))</f>
        <v>0</v>
      </c>
      <c r="I92" s="4">
        <f>IF($B$80=0,0,IF(I$2&gt;=$A92,IF(I$2=$A92,($B92/$B$80)*$B$77,IF(I$2&lt;=$A92+$B$80-1,$B92/$B$80,$B92-SUM($C92:H92))),0))</f>
        <v>0</v>
      </c>
      <c r="J92" s="4">
        <f>IF($B$80=0,0,IF(J$2&gt;=$A92,IF(J$2=$A92,($B92/$B$80)*$B$77,IF(J$2&lt;=$A92+$B$80-1,$B92/$B$80,$B92-SUM($C92:I92))),0))</f>
        <v>0</v>
      </c>
      <c r="K92" s="4">
        <f>IF($B$80=0,0,IF(K$2&gt;=$A92,IF(K$2=$A92,($B92/$B$80)*$B$77,IF(K$2&lt;=$A92+$B$80-1,$B92/$B$80,$B92-SUM($C92:J92))),0))</f>
        <v>0</v>
      </c>
      <c r="L92" s="4">
        <f>IF($B$80=0,0,IF(L$2&gt;=$A92,IF(L$2=$A92,($B92/$B$80)*$B$77,IF(L$2&lt;=$A92+$B$80-1,$B92/$B$80,$B92-SUM($C92:K92))),0))</f>
        <v>0</v>
      </c>
      <c r="M92" s="4">
        <f>IF($B$80=0,0,IF(M$2&gt;=$A92,IF(M$2=$A92,($B92/$B$80)*$B$77,IF(M$2&lt;=$A92+$B$80-1,$B92/$B$80,$B92-SUM($C92:L92))),0))</f>
        <v>0</v>
      </c>
      <c r="N92" s="4">
        <f>IF($B$80=0,0,IF(N$2&gt;=$A92,IF(N$2=$A92,($B92/$B$80)*$B$77,IF(N$2&lt;=$A92+$B$80-1,$B92/$B$80,$B92-SUM($C92:M92))),0))</f>
        <v>0</v>
      </c>
      <c r="O92" s="4">
        <f>IF($B$80=0,0,IF(O$2&gt;=$A92,IF(O$2=$A92,($B92/$B$80)*$B$77,IF(O$2&lt;=$A92+$B$80-1,$B92/$B$80,$B92-SUM($C92:N92))),0))</f>
        <v>0</v>
      </c>
      <c r="P92" s="4">
        <f>IF($B$80=0,0,IF(P$2&gt;=$A92,IF(P$2=$A92,($B92/$B$80)*$B$77,IF(P$2&lt;=$A92+$B$80-1,$B92/$B$80,$B92-SUM($C92:O92))),0))</f>
        <v>0</v>
      </c>
      <c r="Q92" s="4">
        <f>IF($B$80=0,0,IF(Q$2&gt;=$A92,IF(Q$2=$A92,($B92/$B$80)*$B$77,IF(Q$2&lt;=$A92+$B$80-1,$B92/$B$80,$B92-SUM($C92:P92))),0))</f>
        <v>0</v>
      </c>
      <c r="R92" s="4">
        <f>IF($B$80=0,0,IF(R$2&gt;=$A92,IF(R$2=$A92,($B92/$B$80)*$B$77,IF(R$2&lt;=$A92+$B$80-1,$B92/$B$80,$B92-SUM($C92:Q92))),0))</f>
        <v>0</v>
      </c>
      <c r="S92" s="4">
        <f>IF($B$80=0,0,IF(S$2&gt;=$A92,IF(S$2=$A92,($B92/$B$80)*$B$77,IF(S$2&lt;=$A92+$B$80-1,$B92/$B$80,$B92-SUM($C92:R92))),0))</f>
        <v>0</v>
      </c>
      <c r="T92" s="4">
        <f>IF($B$80=0,0,IF(T$2&gt;=$A92,IF(T$2=$A92,($B92/$B$80)*$B$77,IF(T$2&lt;=$A92+$B$80-1,$B92/$B$80,$B92-SUM($C92:S92))),0))</f>
        <v>0</v>
      </c>
      <c r="U92" s="4">
        <f>IF($B$80=0,0,IF(U$2&gt;=$A92,IF(U$2=$A92,($B92/$B$80)*$B$77,IF(U$2&lt;=$A92+$B$80-1,$B92/$B$80,$B92-SUM($C92:T92))),0))</f>
        <v>0</v>
      </c>
      <c r="V92" s="4">
        <f>IF($B$80=0,0,IF(V$2&gt;=$A92,IF(V$2=$A92,($B92/$B$80)*$B$77,IF(V$2&lt;=$A92+$B$80-1,$B92/$B$80,$B92-SUM($C92:U92))),0))</f>
        <v>0</v>
      </c>
      <c r="W92" s="4">
        <f>IF($B$80=0,0,IF(W$2&gt;=$A92,IF(W$2=$A92,($B92/$B$80)*$B$77,IF(W$2&lt;=$A92+$B$80-1,$B92/$B$80,$B92-SUM($C92:V92))),0))</f>
        <v>0</v>
      </c>
      <c r="X92" s="4">
        <f>IF($B$80=0,0,IF(X$2&gt;=$A92,IF(X$2=$A92,($B92/$B$80)*$B$77,IF(X$2&lt;=$A92+$B$80-1,$B92/$B$80,$B92-SUM($C92:W92))),0))</f>
        <v>0</v>
      </c>
      <c r="Y92" s="4">
        <f>IF($B$80=0,0,IF(Y$2&gt;=$A92,IF(Y$2=$A92,($B92/$B$80)*$B$77,IF(Y$2&lt;=$A92+$B$80-1,$B92/$B$80,$B92-SUM($C92:X92))),0))</f>
        <v>0</v>
      </c>
      <c r="Z92" s="4">
        <f>IF($B$80=0,0,IF(Z$2&gt;=$A92,IF(Z$2=$A92,($B92/$B$80)*$B$77,IF(Z$2&lt;=$A92+$B$80-1,$B92/$B$80,$B92-SUM($C92:Y92))),0))</f>
        <v>0</v>
      </c>
      <c r="AA92" s="4">
        <f>IF($B$80=0,0,IF(AA$2&gt;=$A92,IF(AA$2=$A92,($B92/$B$80)*$B$77,IF(AA$2&lt;=$A92+$B$80-1,$B92/$B$80,$B92-SUM($C92:Z92))),0))</f>
        <v>0</v>
      </c>
      <c r="AB92" s="4">
        <f>IF($B$80=0,0,IF(AB$2&gt;=$A92,IF(AB$2=$A92,($B92/$B$80)*$B$77,IF(AB$2&lt;=$A92+$B$80-1,$B92/$B$80,$B92-SUM($C92:AA92))),0))</f>
        <v>0</v>
      </c>
      <c r="AC92" s="4">
        <f>IF($B$80=0,0,IF(AC$2&gt;=$A92,IF(AC$2=$A92,($B92/$B$80)*$B$77,IF(AC$2&lt;=$A92+$B$80-1,$B92/$B$80,$B92-SUM($C92:AB92))),0))</f>
        <v>0</v>
      </c>
      <c r="AD92" s="4">
        <f>IF($B$80=0,0,IF(AD$2&gt;=$A92,IF(AD$2=$A92,($B92/$B$80)*$B$77,IF(AD$2&lt;=$A92+$B$80-1,$B92/$B$80,$B92-SUM($C92:AC92))),0))</f>
        <v>0</v>
      </c>
      <c r="AE92" s="4">
        <f>IF($B$80=0,0,IF(AE$2&gt;=$A92,IF(AE$2=$A92,($B92/$B$80)*$B$77,IF(AE$2&lt;=$A92+$B$80-1,$B92/$B$80,$B92-SUM($C92:AD92))),0))</f>
        <v>0</v>
      </c>
      <c r="AF92" s="4">
        <f>IF($B$80=0,0,IF(AF$2&gt;=$A92,IF(AF$2=$A92,($B92/$B$80)*$B$77,IF(AF$2&lt;=$A92+$B$80-1,$B92/$B$80,$B92-SUM($C92:AE92))),0))</f>
        <v>0</v>
      </c>
      <c r="AG92" s="4">
        <f t="shared" si="58"/>
        <v>0</v>
      </c>
    </row>
    <row r="93" spans="1:33">
      <c r="A93" s="6">
        <f t="shared" si="59"/>
        <v>2034</v>
      </c>
      <c r="B93" s="4">
        <f t="shared" si="57"/>
        <v>0</v>
      </c>
      <c r="C93" s="4">
        <f>IF($B$80=0,0,IF(C$2&gt;=$A93,IF(C$2=$A93,($B93/$B$80)*$B$77,IF(C$2&lt;=$A93+$B$80-1,$B93/$B$80,$B93-SUM(B93:$C93))),0))</f>
        <v>0</v>
      </c>
      <c r="D93" s="4">
        <f>IF($B$80=0,0,IF(D$2&gt;=$A93,IF(D$2=$A93,($B93/$B$80)*$B$77,IF(D$2&lt;=$A93+$B$80-1,$B93/$B$80,$B93-SUM(C93:$C93))),0))</f>
        <v>0</v>
      </c>
      <c r="E93" s="4">
        <f>IF($B$80=0,0,IF(E$2&gt;=$A93,IF(E$2=$A93,($B93/$B$80)*$B$77,IF(E$2&lt;=$A93+$B$80-1,$B93/$B$80,$B93-SUM($C93:D93))),0))</f>
        <v>0</v>
      </c>
      <c r="F93" s="4">
        <f>IF($B$80=0,0,IF(F$2&gt;=$A93,IF(F$2=$A93,($B93/$B$80)*$B$77,IF(F$2&lt;=$A93+$B$80-1,$B93/$B$80,$B93-SUM($C93:E93))),0))</f>
        <v>0</v>
      </c>
      <c r="G93" s="4">
        <f>IF($B$80=0,0,IF(G$2&gt;=$A93,IF(G$2=$A93,($B93/$B$80)*$B$77,IF(G$2&lt;=$A93+$B$80-1,$B93/$B$80,$B93-SUM($C93:F93))),0))</f>
        <v>0</v>
      </c>
      <c r="H93" s="4">
        <f>IF($B$80=0,0,IF(H$2&gt;=$A93,IF(H$2=$A93,($B93/$B$80)*$B$77,IF(H$2&lt;=$A93+$B$80-1,$B93/$B$80,$B93-SUM($C93:G93))),0))</f>
        <v>0</v>
      </c>
      <c r="I93" s="4">
        <f>IF($B$80=0,0,IF(I$2&gt;=$A93,IF(I$2=$A93,($B93/$B$80)*$B$77,IF(I$2&lt;=$A93+$B$80-1,$B93/$B$80,$B93-SUM($C93:H93))),0))</f>
        <v>0</v>
      </c>
      <c r="J93" s="4">
        <f>IF($B$80=0,0,IF(J$2&gt;=$A93,IF(J$2=$A93,($B93/$B$80)*$B$77,IF(J$2&lt;=$A93+$B$80-1,$B93/$B$80,$B93-SUM($C93:I93))),0))</f>
        <v>0</v>
      </c>
      <c r="K93" s="4">
        <f>IF($B$80=0,0,IF(K$2&gt;=$A93,IF(K$2=$A93,($B93/$B$80)*$B$77,IF(K$2&lt;=$A93+$B$80-1,$B93/$B$80,$B93-SUM($C93:J93))),0))</f>
        <v>0</v>
      </c>
      <c r="L93" s="4">
        <f>IF($B$80=0,0,IF(L$2&gt;=$A93,IF(L$2=$A93,($B93/$B$80)*$B$77,IF(L$2&lt;=$A93+$B$80-1,$B93/$B$80,$B93-SUM($C93:K93))),0))</f>
        <v>0</v>
      </c>
      <c r="M93" s="4">
        <f>IF($B$80=0,0,IF(M$2&gt;=$A93,IF(M$2=$A93,($B93/$B$80)*$B$77,IF(M$2&lt;=$A93+$B$80-1,$B93/$B$80,$B93-SUM($C93:L93))),0))</f>
        <v>0</v>
      </c>
      <c r="N93" s="4">
        <f>IF($B$80=0,0,IF(N$2&gt;=$A93,IF(N$2=$A93,($B93/$B$80)*$B$77,IF(N$2&lt;=$A93+$B$80-1,$B93/$B$80,$B93-SUM($C93:M93))),0))</f>
        <v>0</v>
      </c>
      <c r="O93" s="4">
        <f>IF($B$80=0,0,IF(O$2&gt;=$A93,IF(O$2=$A93,($B93/$B$80)*$B$77,IF(O$2&lt;=$A93+$B$80-1,$B93/$B$80,$B93-SUM($C93:N93))),0))</f>
        <v>0</v>
      </c>
      <c r="P93" s="4">
        <f>IF($B$80=0,0,IF(P$2&gt;=$A93,IF(P$2=$A93,($B93/$B$80)*$B$77,IF(P$2&lt;=$A93+$B$80-1,$B93/$B$80,$B93-SUM($C93:O93))),0))</f>
        <v>0</v>
      </c>
      <c r="Q93" s="4">
        <f>IF($B$80=0,0,IF(Q$2&gt;=$A93,IF(Q$2=$A93,($B93/$B$80)*$B$77,IF(Q$2&lt;=$A93+$B$80-1,$B93/$B$80,$B93-SUM($C93:P93))),0))</f>
        <v>0</v>
      </c>
      <c r="R93" s="4">
        <f>IF($B$80=0,0,IF(R$2&gt;=$A93,IF(R$2=$A93,($B93/$B$80)*$B$77,IF(R$2&lt;=$A93+$B$80-1,$B93/$B$80,$B93-SUM($C93:Q93))),0))</f>
        <v>0</v>
      </c>
      <c r="S93" s="4">
        <f>IF($B$80=0,0,IF(S$2&gt;=$A93,IF(S$2=$A93,($B93/$B$80)*$B$77,IF(S$2&lt;=$A93+$B$80-1,$B93/$B$80,$B93-SUM($C93:R93))),0))</f>
        <v>0</v>
      </c>
      <c r="T93" s="4">
        <f>IF($B$80=0,0,IF(T$2&gt;=$A93,IF(T$2=$A93,($B93/$B$80)*$B$77,IF(T$2&lt;=$A93+$B$80-1,$B93/$B$80,$B93-SUM($C93:S93))),0))</f>
        <v>0</v>
      </c>
      <c r="U93" s="4">
        <f>IF($B$80=0,0,IF(U$2&gt;=$A93,IF(U$2=$A93,($B93/$B$80)*$B$77,IF(U$2&lt;=$A93+$B$80-1,$B93/$B$80,$B93-SUM($C93:T93))),0))</f>
        <v>0</v>
      </c>
      <c r="V93" s="4">
        <f>IF($B$80=0,0,IF(V$2&gt;=$A93,IF(V$2=$A93,($B93/$B$80)*$B$77,IF(V$2&lt;=$A93+$B$80-1,$B93/$B$80,$B93-SUM($C93:U93))),0))</f>
        <v>0</v>
      </c>
      <c r="W93" s="4">
        <f>IF($B$80=0,0,IF(W$2&gt;=$A93,IF(W$2=$A93,($B93/$B$80)*$B$77,IF(W$2&lt;=$A93+$B$80-1,$B93/$B$80,$B93-SUM($C93:V93))),0))</f>
        <v>0</v>
      </c>
      <c r="X93" s="4">
        <f>IF($B$80=0,0,IF(X$2&gt;=$A93,IF(X$2=$A93,($B93/$B$80)*$B$77,IF(X$2&lt;=$A93+$B$80-1,$B93/$B$80,$B93-SUM($C93:W93))),0))</f>
        <v>0</v>
      </c>
      <c r="Y93" s="4">
        <f>IF($B$80=0,0,IF(Y$2&gt;=$A93,IF(Y$2=$A93,($B93/$B$80)*$B$77,IF(Y$2&lt;=$A93+$B$80-1,$B93/$B$80,$B93-SUM($C93:X93))),0))</f>
        <v>0</v>
      </c>
      <c r="Z93" s="4">
        <f>IF($B$80=0,0,IF(Z$2&gt;=$A93,IF(Z$2=$A93,($B93/$B$80)*$B$77,IF(Z$2&lt;=$A93+$B$80-1,$B93/$B$80,$B93-SUM($C93:Y93))),0))</f>
        <v>0</v>
      </c>
      <c r="AA93" s="4">
        <f>IF($B$80=0,0,IF(AA$2&gt;=$A93,IF(AA$2=$A93,($B93/$B$80)*$B$77,IF(AA$2&lt;=$A93+$B$80-1,$B93/$B$80,$B93-SUM($C93:Z93))),0))</f>
        <v>0</v>
      </c>
      <c r="AB93" s="4">
        <f>IF($B$80=0,0,IF(AB$2&gt;=$A93,IF(AB$2=$A93,($B93/$B$80)*$B$77,IF(AB$2&lt;=$A93+$B$80-1,$B93/$B$80,$B93-SUM($C93:AA93))),0))</f>
        <v>0</v>
      </c>
      <c r="AC93" s="4">
        <f>IF($B$80=0,0,IF(AC$2&gt;=$A93,IF(AC$2=$A93,($B93/$B$80)*$B$77,IF(AC$2&lt;=$A93+$B$80-1,$B93/$B$80,$B93-SUM($C93:AB93))),0))</f>
        <v>0</v>
      </c>
      <c r="AD93" s="4">
        <f>IF($B$80=0,0,IF(AD$2&gt;=$A93,IF(AD$2=$A93,($B93/$B$80)*$B$77,IF(AD$2&lt;=$A93+$B$80-1,$B93/$B$80,$B93-SUM($C93:AC93))),0))</f>
        <v>0</v>
      </c>
      <c r="AE93" s="4">
        <f>IF($B$80=0,0,IF(AE$2&gt;=$A93,IF(AE$2=$A93,($B93/$B$80)*$B$77,IF(AE$2&lt;=$A93+$B$80-1,$B93/$B$80,$B93-SUM($C93:AD93))),0))</f>
        <v>0</v>
      </c>
      <c r="AF93" s="4">
        <f>IF($B$80=0,0,IF(AF$2&gt;=$A93,IF(AF$2=$A93,($B93/$B$80)*$B$77,IF(AF$2&lt;=$A93+$B$80-1,$B93/$B$80,$B93-SUM($C93:AE93))),0))</f>
        <v>0</v>
      </c>
      <c r="AG93" s="4">
        <f t="shared" si="58"/>
        <v>0</v>
      </c>
    </row>
    <row r="94" spans="1:33">
      <c r="A94" s="6">
        <f t="shared" si="59"/>
        <v>2035</v>
      </c>
      <c r="B94" s="4">
        <f t="shared" si="57"/>
        <v>0</v>
      </c>
      <c r="C94" s="4">
        <f>IF($B$80=0,0,IF(C$2&gt;=$A94,IF(C$2=$A94,($B94/$B$80)*$B$77,IF(C$2&lt;=$A94+$B$80-1,$B94/$B$80,$B94-SUM(B94:$C94))),0))</f>
        <v>0</v>
      </c>
      <c r="D94" s="4">
        <f>IF($B$80=0,0,IF(D$2&gt;=$A94,IF(D$2=$A94,($B94/$B$80)*$B$77,IF(D$2&lt;=$A94+$B$80-1,$B94/$B$80,$B94-SUM(C94:$C94))),0))</f>
        <v>0</v>
      </c>
      <c r="E94" s="4">
        <f>IF($B$80=0,0,IF(E$2&gt;=$A94,IF(E$2=$A94,($B94/$B$80)*$B$77,IF(E$2&lt;=$A94+$B$80-1,$B94/$B$80,$B94-SUM($C94:D94))),0))</f>
        <v>0</v>
      </c>
      <c r="F94" s="4">
        <f>IF($B$80=0,0,IF(F$2&gt;=$A94,IF(F$2=$A94,($B94/$B$80)*$B$77,IF(F$2&lt;=$A94+$B$80-1,$B94/$B$80,$B94-SUM($C94:E94))),0))</f>
        <v>0</v>
      </c>
      <c r="G94" s="4">
        <f>IF($B$80=0,0,IF(G$2&gt;=$A94,IF(G$2=$A94,($B94/$B$80)*$B$77,IF(G$2&lt;=$A94+$B$80-1,$B94/$B$80,$B94-SUM($C94:F94))),0))</f>
        <v>0</v>
      </c>
      <c r="H94" s="4">
        <f>IF($B$80=0,0,IF(H$2&gt;=$A94,IF(H$2=$A94,($B94/$B$80)*$B$77,IF(H$2&lt;=$A94+$B$80-1,$B94/$B$80,$B94-SUM($C94:G94))),0))</f>
        <v>0</v>
      </c>
      <c r="I94" s="4">
        <f>IF($B$80=0,0,IF(I$2&gt;=$A94,IF(I$2=$A94,($B94/$B$80)*$B$77,IF(I$2&lt;=$A94+$B$80-1,$B94/$B$80,$B94-SUM($C94:H94))),0))</f>
        <v>0</v>
      </c>
      <c r="J94" s="4">
        <f>IF($B$80=0,0,IF(J$2&gt;=$A94,IF(J$2=$A94,($B94/$B$80)*$B$77,IF(J$2&lt;=$A94+$B$80-1,$B94/$B$80,$B94-SUM($C94:I94))),0))</f>
        <v>0</v>
      </c>
      <c r="K94" s="4">
        <f>IF($B$80=0,0,IF(K$2&gt;=$A94,IF(K$2=$A94,($B94/$B$80)*$B$77,IF(K$2&lt;=$A94+$B$80-1,$B94/$B$80,$B94-SUM($C94:J94))),0))</f>
        <v>0</v>
      </c>
      <c r="L94" s="4">
        <f>IF($B$80=0,0,IF(L$2&gt;=$A94,IF(L$2=$A94,($B94/$B$80)*$B$77,IF(L$2&lt;=$A94+$B$80-1,$B94/$B$80,$B94-SUM($C94:K94))),0))</f>
        <v>0</v>
      </c>
      <c r="M94" s="4">
        <f>IF($B$80=0,0,IF(M$2&gt;=$A94,IF(M$2=$A94,($B94/$B$80)*$B$77,IF(M$2&lt;=$A94+$B$80-1,$B94/$B$80,$B94-SUM($C94:L94))),0))</f>
        <v>0</v>
      </c>
      <c r="N94" s="4">
        <f>IF($B$80=0,0,IF(N$2&gt;=$A94,IF(N$2=$A94,($B94/$B$80)*$B$77,IF(N$2&lt;=$A94+$B$80-1,$B94/$B$80,$B94-SUM($C94:M94))),0))</f>
        <v>0</v>
      </c>
      <c r="O94" s="4">
        <f>IF($B$80=0,0,IF(O$2&gt;=$A94,IF(O$2=$A94,($B94/$B$80)*$B$77,IF(O$2&lt;=$A94+$B$80-1,$B94/$B$80,$B94-SUM($C94:N94))),0))</f>
        <v>0</v>
      </c>
      <c r="P94" s="4">
        <f>IF($B$80=0,0,IF(P$2&gt;=$A94,IF(P$2=$A94,($B94/$B$80)*$B$77,IF(P$2&lt;=$A94+$B$80-1,$B94/$B$80,$B94-SUM($C94:O94))),0))</f>
        <v>0</v>
      </c>
      <c r="Q94" s="4">
        <f>IF($B$80=0,0,IF(Q$2&gt;=$A94,IF(Q$2=$A94,($B94/$B$80)*$B$77,IF(Q$2&lt;=$A94+$B$80-1,$B94/$B$80,$B94-SUM($C94:P94))),0))</f>
        <v>0</v>
      </c>
      <c r="R94" s="4">
        <f>IF($B$80=0,0,IF(R$2&gt;=$A94,IF(R$2=$A94,($B94/$B$80)*$B$77,IF(R$2&lt;=$A94+$B$80-1,$B94/$B$80,$B94-SUM($C94:Q94))),0))</f>
        <v>0</v>
      </c>
      <c r="S94" s="4">
        <f>IF($B$80=0,0,IF(S$2&gt;=$A94,IF(S$2=$A94,($B94/$B$80)*$B$77,IF(S$2&lt;=$A94+$B$80-1,$B94/$B$80,$B94-SUM($C94:R94))),0))</f>
        <v>0</v>
      </c>
      <c r="T94" s="4">
        <f>IF($B$80=0,0,IF(T$2&gt;=$A94,IF(T$2=$A94,($B94/$B$80)*$B$77,IF(T$2&lt;=$A94+$B$80-1,$B94/$B$80,$B94-SUM($C94:S94))),0))</f>
        <v>0</v>
      </c>
      <c r="U94" s="4">
        <f>IF($B$80=0,0,IF(U$2&gt;=$A94,IF(U$2=$A94,($B94/$B$80)*$B$77,IF(U$2&lt;=$A94+$B$80-1,$B94/$B$80,$B94-SUM($C94:T94))),0))</f>
        <v>0</v>
      </c>
      <c r="V94" s="4">
        <f>IF($B$80=0,0,IF(V$2&gt;=$A94,IF(V$2=$A94,($B94/$B$80)*$B$77,IF(V$2&lt;=$A94+$B$80-1,$B94/$B$80,$B94-SUM($C94:U94))),0))</f>
        <v>0</v>
      </c>
      <c r="W94" s="4">
        <f>IF($B$80=0,0,IF(W$2&gt;=$A94,IF(W$2=$A94,($B94/$B$80)*$B$77,IF(W$2&lt;=$A94+$B$80-1,$B94/$B$80,$B94-SUM($C94:V94))),0))</f>
        <v>0</v>
      </c>
      <c r="X94" s="4">
        <f>IF($B$80=0,0,IF(X$2&gt;=$A94,IF(X$2=$A94,($B94/$B$80)*$B$77,IF(X$2&lt;=$A94+$B$80-1,$B94/$B$80,$B94-SUM($C94:W94))),0))</f>
        <v>0</v>
      </c>
      <c r="Y94" s="4">
        <f>IF($B$80=0,0,IF(Y$2&gt;=$A94,IF(Y$2=$A94,($B94/$B$80)*$B$77,IF(Y$2&lt;=$A94+$B$80-1,$B94/$B$80,$B94-SUM($C94:X94))),0))</f>
        <v>0</v>
      </c>
      <c r="Z94" s="4">
        <f>IF($B$80=0,0,IF(Z$2&gt;=$A94,IF(Z$2=$A94,($B94/$B$80)*$B$77,IF(Z$2&lt;=$A94+$B$80-1,$B94/$B$80,$B94-SUM($C94:Y94))),0))</f>
        <v>0</v>
      </c>
      <c r="AA94" s="4">
        <f>IF($B$80=0,0,IF(AA$2&gt;=$A94,IF(AA$2=$A94,($B94/$B$80)*$B$77,IF(AA$2&lt;=$A94+$B$80-1,$B94/$B$80,$B94-SUM($C94:Z94))),0))</f>
        <v>0</v>
      </c>
      <c r="AB94" s="4">
        <f>IF($B$80=0,0,IF(AB$2&gt;=$A94,IF(AB$2=$A94,($B94/$B$80)*$B$77,IF(AB$2&lt;=$A94+$B$80-1,$B94/$B$80,$B94-SUM($C94:AA94))),0))</f>
        <v>0</v>
      </c>
      <c r="AC94" s="4">
        <f>IF($B$80=0,0,IF(AC$2&gt;=$A94,IF(AC$2=$A94,($B94/$B$80)*$B$77,IF(AC$2&lt;=$A94+$B$80-1,$B94/$B$80,$B94-SUM($C94:AB94))),0))</f>
        <v>0</v>
      </c>
      <c r="AD94" s="4">
        <f>IF($B$80=0,0,IF(AD$2&gt;=$A94,IF(AD$2=$A94,($B94/$B$80)*$B$77,IF(AD$2&lt;=$A94+$B$80-1,$B94/$B$80,$B94-SUM($C94:AC94))),0))</f>
        <v>0</v>
      </c>
      <c r="AE94" s="4">
        <f>IF($B$80=0,0,IF(AE$2&gt;=$A94,IF(AE$2=$A94,($B94/$B$80)*$B$77,IF(AE$2&lt;=$A94+$B$80-1,$B94/$B$80,$B94-SUM($C94:AD94))),0))</f>
        <v>0</v>
      </c>
      <c r="AF94" s="4">
        <f>IF($B$80=0,0,IF(AF$2&gt;=$A94,IF(AF$2=$A94,($B94/$B$80)*$B$77,IF(AF$2&lt;=$A94+$B$80-1,$B94/$B$80,$B94-SUM($C94:AE94))),0))</f>
        <v>0</v>
      </c>
      <c r="AG94" s="4">
        <f t="shared" si="58"/>
        <v>0</v>
      </c>
    </row>
    <row r="95" spans="1:33">
      <c r="A95" s="6">
        <f t="shared" si="59"/>
        <v>2036</v>
      </c>
      <c r="B95" s="4">
        <f t="shared" si="57"/>
        <v>0</v>
      </c>
      <c r="C95" s="4">
        <f>IF($B$80=0,0,IF(C$2&gt;=$A95,IF(C$2=$A95,($B95/$B$80)*$B$77,IF(C$2&lt;=$A95+$B$80-1,$B95/$B$80,$B95-SUM(B95:$C95))),0))</f>
        <v>0</v>
      </c>
      <c r="D95" s="4">
        <f>IF($B$80=0,0,IF(D$2&gt;=$A95,IF(D$2=$A95,($B95/$B$80)*$B$77,IF(D$2&lt;=$A95+$B$80-1,$B95/$B$80,$B95-SUM(C95:$C95))),0))</f>
        <v>0</v>
      </c>
      <c r="E95" s="4">
        <f>IF($B$80=0,0,IF(E$2&gt;=$A95,IF(E$2=$A95,($B95/$B$80)*$B$77,IF(E$2&lt;=$A95+$B$80-1,$B95/$B$80,$B95-SUM($C95:D95))),0))</f>
        <v>0</v>
      </c>
      <c r="F95" s="4">
        <f>IF($B$80=0,0,IF(F$2&gt;=$A95,IF(F$2=$A95,($B95/$B$80)*$B$77,IF(F$2&lt;=$A95+$B$80-1,$B95/$B$80,$B95-SUM($C95:E95))),0))</f>
        <v>0</v>
      </c>
      <c r="G95" s="4">
        <f>IF($B$80=0,0,IF(G$2&gt;=$A95,IF(G$2=$A95,($B95/$B$80)*$B$77,IF(G$2&lt;=$A95+$B$80-1,$B95/$B$80,$B95-SUM($C95:F95))),0))</f>
        <v>0</v>
      </c>
      <c r="H95" s="4">
        <f>IF($B$80=0,0,IF(H$2&gt;=$A95,IF(H$2=$A95,($B95/$B$80)*$B$77,IF(H$2&lt;=$A95+$B$80-1,$B95/$B$80,$B95-SUM($C95:G95))),0))</f>
        <v>0</v>
      </c>
      <c r="I95" s="4">
        <f>IF($B$80=0,0,IF(I$2&gt;=$A95,IF(I$2=$A95,($B95/$B$80)*$B$77,IF(I$2&lt;=$A95+$B$80-1,$B95/$B$80,$B95-SUM($C95:H95))),0))</f>
        <v>0</v>
      </c>
      <c r="J95" s="4">
        <f>IF($B$80=0,0,IF(J$2&gt;=$A95,IF(J$2=$A95,($B95/$B$80)*$B$77,IF(J$2&lt;=$A95+$B$80-1,$B95/$B$80,$B95-SUM($C95:I95))),0))</f>
        <v>0</v>
      </c>
      <c r="K95" s="4">
        <f>IF($B$80=0,0,IF(K$2&gt;=$A95,IF(K$2=$A95,($B95/$B$80)*$B$77,IF(K$2&lt;=$A95+$B$80-1,$B95/$B$80,$B95-SUM($C95:J95))),0))</f>
        <v>0</v>
      </c>
      <c r="L95" s="4">
        <f>IF($B$80=0,0,IF(L$2&gt;=$A95,IF(L$2=$A95,($B95/$B$80)*$B$77,IF(L$2&lt;=$A95+$B$80-1,$B95/$B$80,$B95-SUM($C95:K95))),0))</f>
        <v>0</v>
      </c>
      <c r="M95" s="4">
        <f>IF($B$80=0,0,IF(M$2&gt;=$A95,IF(M$2=$A95,($B95/$B$80)*$B$77,IF(M$2&lt;=$A95+$B$80-1,$B95/$B$80,$B95-SUM($C95:L95))),0))</f>
        <v>0</v>
      </c>
      <c r="N95" s="4">
        <f>IF($B$80=0,0,IF(N$2&gt;=$A95,IF(N$2=$A95,($B95/$B$80)*$B$77,IF(N$2&lt;=$A95+$B$80-1,$B95/$B$80,$B95-SUM($C95:M95))),0))</f>
        <v>0</v>
      </c>
      <c r="O95" s="4">
        <f>IF($B$80=0,0,IF(O$2&gt;=$A95,IF(O$2=$A95,($B95/$B$80)*$B$77,IF(O$2&lt;=$A95+$B$80-1,$B95/$B$80,$B95-SUM($C95:N95))),0))</f>
        <v>0</v>
      </c>
      <c r="P95" s="4">
        <f>IF($B$80=0,0,IF(P$2&gt;=$A95,IF(P$2=$A95,($B95/$B$80)*$B$77,IF(P$2&lt;=$A95+$B$80-1,$B95/$B$80,$B95-SUM($C95:O95))),0))</f>
        <v>0</v>
      </c>
      <c r="Q95" s="4">
        <f>IF($B$80=0,0,IF(Q$2&gt;=$A95,IF(Q$2=$A95,($B95/$B$80)*$B$77,IF(Q$2&lt;=$A95+$B$80-1,$B95/$B$80,$B95-SUM($C95:P95))),0))</f>
        <v>0</v>
      </c>
      <c r="R95" s="4">
        <f>IF($B$80=0,0,IF(R$2&gt;=$A95,IF(R$2=$A95,($B95/$B$80)*$B$77,IF(R$2&lt;=$A95+$B$80-1,$B95/$B$80,$B95-SUM($C95:Q95))),0))</f>
        <v>0</v>
      </c>
      <c r="S95" s="4">
        <f>IF($B$80=0,0,IF(S$2&gt;=$A95,IF(S$2=$A95,($B95/$B$80)*$B$77,IF(S$2&lt;=$A95+$B$80-1,$B95/$B$80,$B95-SUM($C95:R95))),0))</f>
        <v>0</v>
      </c>
      <c r="T95" s="4">
        <f>IF($B$80=0,0,IF(T$2&gt;=$A95,IF(T$2=$A95,($B95/$B$80)*$B$77,IF(T$2&lt;=$A95+$B$80-1,$B95/$B$80,$B95-SUM($C95:S95))),0))</f>
        <v>0</v>
      </c>
      <c r="U95" s="4">
        <f>IF($B$80=0,0,IF(U$2&gt;=$A95,IF(U$2=$A95,($B95/$B$80)*$B$77,IF(U$2&lt;=$A95+$B$80-1,$B95/$B$80,$B95-SUM($C95:T95))),0))</f>
        <v>0</v>
      </c>
      <c r="V95" s="4">
        <f>IF($B$80=0,0,IF(V$2&gt;=$A95,IF(V$2=$A95,($B95/$B$80)*$B$77,IF(V$2&lt;=$A95+$B$80-1,$B95/$B$80,$B95-SUM($C95:U95))),0))</f>
        <v>0</v>
      </c>
      <c r="W95" s="4">
        <f>IF($B$80=0,0,IF(W$2&gt;=$A95,IF(W$2=$A95,($B95/$B$80)*$B$77,IF(W$2&lt;=$A95+$B$80-1,$B95/$B$80,$B95-SUM($C95:V95))),0))</f>
        <v>0</v>
      </c>
      <c r="X95" s="4">
        <f>IF($B$80=0,0,IF(X$2&gt;=$A95,IF(X$2=$A95,($B95/$B$80)*$B$77,IF(X$2&lt;=$A95+$B$80-1,$B95/$B$80,$B95-SUM($C95:W95))),0))</f>
        <v>0</v>
      </c>
      <c r="Y95" s="4">
        <f>IF($B$80=0,0,IF(Y$2&gt;=$A95,IF(Y$2=$A95,($B95/$B$80)*$B$77,IF(Y$2&lt;=$A95+$B$80-1,$B95/$B$80,$B95-SUM($C95:X95))),0))</f>
        <v>0</v>
      </c>
      <c r="Z95" s="4">
        <f>IF($B$80=0,0,IF(Z$2&gt;=$A95,IF(Z$2=$A95,($B95/$B$80)*$B$77,IF(Z$2&lt;=$A95+$B$80-1,$B95/$B$80,$B95-SUM($C95:Y95))),0))</f>
        <v>0</v>
      </c>
      <c r="AA95" s="4">
        <f>IF($B$80=0,0,IF(AA$2&gt;=$A95,IF(AA$2=$A95,($B95/$B$80)*$B$77,IF(AA$2&lt;=$A95+$B$80-1,$B95/$B$80,$B95-SUM($C95:Z95))),0))</f>
        <v>0</v>
      </c>
      <c r="AB95" s="4">
        <f>IF($B$80=0,0,IF(AB$2&gt;=$A95,IF(AB$2=$A95,($B95/$B$80)*$B$77,IF(AB$2&lt;=$A95+$B$80-1,$B95/$B$80,$B95-SUM($C95:AA95))),0))</f>
        <v>0</v>
      </c>
      <c r="AC95" s="4">
        <f>IF($B$80=0,0,IF(AC$2&gt;=$A95,IF(AC$2=$A95,($B95/$B$80)*$B$77,IF(AC$2&lt;=$A95+$B$80-1,$B95/$B$80,$B95-SUM($C95:AB95))),0))</f>
        <v>0</v>
      </c>
      <c r="AD95" s="4">
        <f>IF($B$80=0,0,IF(AD$2&gt;=$A95,IF(AD$2=$A95,($B95/$B$80)*$B$77,IF(AD$2&lt;=$A95+$B$80-1,$B95/$B$80,$B95-SUM($C95:AC95))),0))</f>
        <v>0</v>
      </c>
      <c r="AE95" s="4">
        <f>IF($B$80=0,0,IF(AE$2&gt;=$A95,IF(AE$2=$A95,($B95/$B$80)*$B$77,IF(AE$2&lt;=$A95+$B$80-1,$B95/$B$80,$B95-SUM($C95:AD95))),0))</f>
        <v>0</v>
      </c>
      <c r="AF95" s="4">
        <f>IF($B$80=0,0,IF(AF$2&gt;=$A95,IF(AF$2=$A95,($B95/$B$80)*$B$77,IF(AF$2&lt;=$A95+$B$80-1,$B95/$B$80,$B95-SUM($C95:AE95))),0))</f>
        <v>0</v>
      </c>
      <c r="AG95" s="4">
        <f t="shared" si="58"/>
        <v>0</v>
      </c>
    </row>
    <row r="96" spans="1:33">
      <c r="A96" s="6">
        <f t="shared" si="59"/>
        <v>2037</v>
      </c>
      <c r="B96" s="4">
        <f t="shared" si="57"/>
        <v>0</v>
      </c>
      <c r="C96" s="4">
        <f>IF($B$80=0,0,IF(C$2&gt;=$A96,IF(C$2=$A96,($B96/$B$80)*$B$77,IF(C$2&lt;=$A96+$B$80-1,$B96/$B$80,$B96-SUM(B96:$C96))),0))</f>
        <v>0</v>
      </c>
      <c r="D96" s="4">
        <f>IF($B$80=0,0,IF(D$2&gt;=$A96,IF(D$2=$A96,($B96/$B$80)*$B$77,IF(D$2&lt;=$A96+$B$80-1,$B96/$B$80,$B96-SUM(C96:$C96))),0))</f>
        <v>0</v>
      </c>
      <c r="E96" s="4">
        <f>IF($B$80=0,0,IF(E$2&gt;=$A96,IF(E$2=$A96,($B96/$B$80)*$B$77,IF(E$2&lt;=$A96+$B$80-1,$B96/$B$80,$B96-SUM($C96:D96))),0))</f>
        <v>0</v>
      </c>
      <c r="F96" s="4">
        <f>IF($B$80=0,0,IF(F$2&gt;=$A96,IF(F$2=$A96,($B96/$B$80)*$B$77,IF(F$2&lt;=$A96+$B$80-1,$B96/$B$80,$B96-SUM($C96:E96))),0))</f>
        <v>0</v>
      </c>
      <c r="G96" s="4">
        <f>IF($B$80=0,0,IF(G$2&gt;=$A96,IF(G$2=$A96,($B96/$B$80)*$B$77,IF(G$2&lt;=$A96+$B$80-1,$B96/$B$80,$B96-SUM($C96:F96))),0))</f>
        <v>0</v>
      </c>
      <c r="H96" s="4">
        <f>IF($B$80=0,0,IF(H$2&gt;=$A96,IF(H$2=$A96,($B96/$B$80)*$B$77,IF(H$2&lt;=$A96+$B$80-1,$B96/$B$80,$B96-SUM($C96:G96))),0))</f>
        <v>0</v>
      </c>
      <c r="I96" s="4">
        <f>IF($B$80=0,0,IF(I$2&gt;=$A96,IF(I$2=$A96,($B96/$B$80)*$B$77,IF(I$2&lt;=$A96+$B$80-1,$B96/$B$80,$B96-SUM($C96:H96))),0))</f>
        <v>0</v>
      </c>
      <c r="J96" s="4">
        <f>IF($B$80=0,0,IF(J$2&gt;=$A96,IF(J$2=$A96,($B96/$B$80)*$B$77,IF(J$2&lt;=$A96+$B$80-1,$B96/$B$80,$B96-SUM($C96:I96))),0))</f>
        <v>0</v>
      </c>
      <c r="K96" s="4">
        <f>IF($B$80=0,0,IF(K$2&gt;=$A96,IF(K$2=$A96,($B96/$B$80)*$B$77,IF(K$2&lt;=$A96+$B$80-1,$B96/$B$80,$B96-SUM($C96:J96))),0))</f>
        <v>0</v>
      </c>
      <c r="L96" s="4">
        <f>IF($B$80=0,0,IF(L$2&gt;=$A96,IF(L$2=$A96,($B96/$B$80)*$B$77,IF(L$2&lt;=$A96+$B$80-1,$B96/$B$80,$B96-SUM($C96:K96))),0))</f>
        <v>0</v>
      </c>
      <c r="M96" s="4">
        <f>IF($B$80=0,0,IF(M$2&gt;=$A96,IF(M$2=$A96,($B96/$B$80)*$B$77,IF(M$2&lt;=$A96+$B$80-1,$B96/$B$80,$B96-SUM($C96:L96))),0))</f>
        <v>0</v>
      </c>
      <c r="N96" s="4">
        <f>IF($B$80=0,0,IF(N$2&gt;=$A96,IF(N$2=$A96,($B96/$B$80)*$B$77,IF(N$2&lt;=$A96+$B$80-1,$B96/$B$80,$B96-SUM($C96:M96))),0))</f>
        <v>0</v>
      </c>
      <c r="O96" s="4">
        <f>IF($B$80=0,0,IF(O$2&gt;=$A96,IF(O$2=$A96,($B96/$B$80)*$B$77,IF(O$2&lt;=$A96+$B$80-1,$B96/$B$80,$B96-SUM($C96:N96))),0))</f>
        <v>0</v>
      </c>
      <c r="P96" s="4">
        <f>IF($B$80=0,0,IF(P$2&gt;=$A96,IF(P$2=$A96,($B96/$B$80)*$B$77,IF(P$2&lt;=$A96+$B$80-1,$B96/$B$80,$B96-SUM($C96:O96))),0))</f>
        <v>0</v>
      </c>
      <c r="Q96" s="4">
        <f>IF($B$80=0,0,IF(Q$2&gt;=$A96,IF(Q$2=$A96,($B96/$B$80)*$B$77,IF(Q$2&lt;=$A96+$B$80-1,$B96/$B$80,$B96-SUM($C96:P96))),0))</f>
        <v>0</v>
      </c>
      <c r="R96" s="4">
        <f>IF($B$80=0,0,IF(R$2&gt;=$A96,IF(R$2=$A96,($B96/$B$80)*$B$77,IF(R$2&lt;=$A96+$B$80-1,$B96/$B$80,$B96-SUM($C96:Q96))),0))</f>
        <v>0</v>
      </c>
      <c r="S96" s="4">
        <f>IF($B$80=0,0,IF(S$2&gt;=$A96,IF(S$2=$A96,($B96/$B$80)*$B$77,IF(S$2&lt;=$A96+$B$80-1,$B96/$B$80,$B96-SUM($C96:R96))),0))</f>
        <v>0</v>
      </c>
      <c r="T96" s="4">
        <f>IF($B$80=0,0,IF(T$2&gt;=$A96,IF(T$2=$A96,($B96/$B$80)*$B$77,IF(T$2&lt;=$A96+$B$80-1,$B96/$B$80,$B96-SUM($C96:S96))),0))</f>
        <v>0</v>
      </c>
      <c r="U96" s="4">
        <f>IF($B$80=0,0,IF(U$2&gt;=$A96,IF(U$2=$A96,($B96/$B$80)*$B$77,IF(U$2&lt;=$A96+$B$80-1,$B96/$B$80,$B96-SUM($C96:T96))),0))</f>
        <v>0</v>
      </c>
      <c r="V96" s="4">
        <f>IF($B$80=0,0,IF(V$2&gt;=$A96,IF(V$2=$A96,($B96/$B$80)*$B$77,IF(V$2&lt;=$A96+$B$80-1,$B96/$B$80,$B96-SUM($C96:U96))),0))</f>
        <v>0</v>
      </c>
      <c r="W96" s="4">
        <f>IF($B$80=0,0,IF(W$2&gt;=$A96,IF(W$2=$A96,($B96/$B$80)*$B$77,IF(W$2&lt;=$A96+$B$80-1,$B96/$B$80,$B96-SUM($C96:V96))),0))</f>
        <v>0</v>
      </c>
      <c r="X96" s="4">
        <f>IF($B$80=0,0,IF(X$2&gt;=$A96,IF(X$2=$A96,($B96/$B$80)*$B$77,IF(X$2&lt;=$A96+$B$80-1,$B96/$B$80,$B96-SUM($C96:W96))),0))</f>
        <v>0</v>
      </c>
      <c r="Y96" s="4">
        <f>IF($B$80=0,0,IF(Y$2&gt;=$A96,IF(Y$2=$A96,($B96/$B$80)*$B$77,IF(Y$2&lt;=$A96+$B$80-1,$B96/$B$80,$B96-SUM($C96:X96))),0))</f>
        <v>0</v>
      </c>
      <c r="Z96" s="4">
        <f>IF($B$80=0,0,IF(Z$2&gt;=$A96,IF(Z$2=$A96,($B96/$B$80)*$B$77,IF(Z$2&lt;=$A96+$B$80-1,$B96/$B$80,$B96-SUM($C96:Y96))),0))</f>
        <v>0</v>
      </c>
      <c r="AA96" s="4">
        <f>IF($B$80=0,0,IF(AA$2&gt;=$A96,IF(AA$2=$A96,($B96/$B$80)*$B$77,IF(AA$2&lt;=$A96+$B$80-1,$B96/$B$80,$B96-SUM($C96:Z96))),0))</f>
        <v>0</v>
      </c>
      <c r="AB96" s="4">
        <f>IF($B$80=0,0,IF(AB$2&gt;=$A96,IF(AB$2=$A96,($B96/$B$80)*$B$77,IF(AB$2&lt;=$A96+$B$80-1,$B96/$B$80,$B96-SUM($C96:AA96))),0))</f>
        <v>0</v>
      </c>
      <c r="AC96" s="4">
        <f>IF($B$80=0,0,IF(AC$2&gt;=$A96,IF(AC$2=$A96,($B96/$B$80)*$B$77,IF(AC$2&lt;=$A96+$B$80-1,$B96/$B$80,$B96-SUM($C96:AB96))),0))</f>
        <v>0</v>
      </c>
      <c r="AD96" s="4">
        <f>IF($B$80=0,0,IF(AD$2&gt;=$A96,IF(AD$2=$A96,($B96/$B$80)*$B$77,IF(AD$2&lt;=$A96+$B$80-1,$B96/$B$80,$B96-SUM($C96:AC96))),0))</f>
        <v>0</v>
      </c>
      <c r="AE96" s="4">
        <f>IF($B$80=0,0,IF(AE$2&gt;=$A96,IF(AE$2=$A96,($B96/$B$80)*$B$77,IF(AE$2&lt;=$A96+$B$80-1,$B96/$B$80,$B96-SUM($C96:AD96))),0))</f>
        <v>0</v>
      </c>
      <c r="AF96" s="4">
        <f>IF($B$80=0,0,IF(AF$2&gt;=$A96,IF(AF$2=$A96,($B96/$B$80)*$B$77,IF(AF$2&lt;=$A96+$B$80-1,$B96/$B$80,$B96-SUM($C96:AE96))),0))</f>
        <v>0</v>
      </c>
      <c r="AG96" s="4">
        <f t="shared" si="58"/>
        <v>0</v>
      </c>
    </row>
    <row r="97" spans="1:33">
      <c r="A97" s="6">
        <f t="shared" si="59"/>
        <v>2038</v>
      </c>
      <c r="B97" s="4">
        <f t="shared" si="57"/>
        <v>0</v>
      </c>
      <c r="C97" s="4">
        <f>IF($B$80=0,0,IF(C$2&gt;=$A97,IF(C$2=$A97,($B97/$B$80)*$B$77,IF(C$2&lt;=$A97+$B$80-1,$B97/$B$80,$B97-SUM(B97:$C97))),0))</f>
        <v>0</v>
      </c>
      <c r="D97" s="4">
        <f>IF($B$80=0,0,IF(D$2&gt;=$A97,IF(D$2=$A97,($B97/$B$80)*$B$77,IF(D$2&lt;=$A97+$B$80-1,$B97/$B$80,$B97-SUM(C97:$C97))),0))</f>
        <v>0</v>
      </c>
      <c r="E97" s="4">
        <f>IF($B$80=0,0,IF(E$2&gt;=$A97,IF(E$2=$A97,($B97/$B$80)*$B$77,IF(E$2&lt;=$A97+$B$80-1,$B97/$B$80,$B97-SUM($C97:D97))),0))</f>
        <v>0</v>
      </c>
      <c r="F97" s="4">
        <f>IF($B$80=0,0,IF(F$2&gt;=$A97,IF(F$2=$A97,($B97/$B$80)*$B$77,IF(F$2&lt;=$A97+$B$80-1,$B97/$B$80,$B97-SUM($C97:E97))),0))</f>
        <v>0</v>
      </c>
      <c r="G97" s="4">
        <f>IF($B$80=0,0,IF(G$2&gt;=$A97,IF(G$2=$A97,($B97/$B$80)*$B$77,IF(G$2&lt;=$A97+$B$80-1,$B97/$B$80,$B97-SUM($C97:F97))),0))</f>
        <v>0</v>
      </c>
      <c r="H97" s="4">
        <f>IF($B$80=0,0,IF(H$2&gt;=$A97,IF(H$2=$A97,($B97/$B$80)*$B$77,IF(H$2&lt;=$A97+$B$80-1,$B97/$B$80,$B97-SUM($C97:G97))),0))</f>
        <v>0</v>
      </c>
      <c r="I97" s="4">
        <f>IF($B$80=0,0,IF(I$2&gt;=$A97,IF(I$2=$A97,($B97/$B$80)*$B$77,IF(I$2&lt;=$A97+$B$80-1,$B97/$B$80,$B97-SUM($C97:H97))),0))</f>
        <v>0</v>
      </c>
      <c r="J97" s="4">
        <f>IF($B$80=0,0,IF(J$2&gt;=$A97,IF(J$2=$A97,($B97/$B$80)*$B$77,IF(J$2&lt;=$A97+$B$80-1,$B97/$B$80,$B97-SUM($C97:I97))),0))</f>
        <v>0</v>
      </c>
      <c r="K97" s="4">
        <f>IF($B$80=0,0,IF(K$2&gt;=$A97,IF(K$2=$A97,($B97/$B$80)*$B$77,IF(K$2&lt;=$A97+$B$80-1,$B97/$B$80,$B97-SUM($C97:J97))),0))</f>
        <v>0</v>
      </c>
      <c r="L97" s="4">
        <f>IF($B$80=0,0,IF(L$2&gt;=$A97,IF(L$2=$A97,($B97/$B$80)*$B$77,IF(L$2&lt;=$A97+$B$80-1,$B97/$B$80,$B97-SUM($C97:K97))),0))</f>
        <v>0</v>
      </c>
      <c r="M97" s="4">
        <f>IF($B$80=0,0,IF(M$2&gt;=$A97,IF(M$2=$A97,($B97/$B$80)*$B$77,IF(M$2&lt;=$A97+$B$80-1,$B97/$B$80,$B97-SUM($C97:L97))),0))</f>
        <v>0</v>
      </c>
      <c r="N97" s="4">
        <f>IF($B$80=0,0,IF(N$2&gt;=$A97,IF(N$2=$A97,($B97/$B$80)*$B$77,IF(N$2&lt;=$A97+$B$80-1,$B97/$B$80,$B97-SUM($C97:M97))),0))</f>
        <v>0</v>
      </c>
      <c r="O97" s="4">
        <f>IF($B$80=0,0,IF(O$2&gt;=$A97,IF(O$2=$A97,($B97/$B$80)*$B$77,IF(O$2&lt;=$A97+$B$80-1,$B97/$B$80,$B97-SUM($C97:N97))),0))</f>
        <v>0</v>
      </c>
      <c r="P97" s="4">
        <f>IF($B$80=0,0,IF(P$2&gt;=$A97,IF(P$2=$A97,($B97/$B$80)*$B$77,IF(P$2&lt;=$A97+$B$80-1,$B97/$B$80,$B97-SUM($C97:O97))),0))</f>
        <v>0</v>
      </c>
      <c r="Q97" s="4">
        <f>IF($B$80=0,0,IF(Q$2&gt;=$A97,IF(Q$2=$A97,($B97/$B$80)*$B$77,IF(Q$2&lt;=$A97+$B$80-1,$B97/$B$80,$B97-SUM($C97:P97))),0))</f>
        <v>0</v>
      </c>
      <c r="R97" s="4">
        <f>IF($B$80=0,0,IF(R$2&gt;=$A97,IF(R$2=$A97,($B97/$B$80)*$B$77,IF(R$2&lt;=$A97+$B$80-1,$B97/$B$80,$B97-SUM($C97:Q97))),0))</f>
        <v>0</v>
      </c>
      <c r="S97" s="4">
        <f>IF($B$80=0,0,IF(S$2&gt;=$A97,IF(S$2=$A97,($B97/$B$80)*$B$77,IF(S$2&lt;=$A97+$B$80-1,$B97/$B$80,$B97-SUM($C97:R97))),0))</f>
        <v>0</v>
      </c>
      <c r="T97" s="4">
        <f>IF($B$80=0,0,IF(T$2&gt;=$A97,IF(T$2=$A97,($B97/$B$80)*$B$77,IF(T$2&lt;=$A97+$B$80-1,$B97/$B$80,$B97-SUM($C97:S97))),0))</f>
        <v>0</v>
      </c>
      <c r="U97" s="4">
        <f>IF($B$80=0,0,IF(U$2&gt;=$A97,IF(U$2=$A97,($B97/$B$80)*$B$77,IF(U$2&lt;=$A97+$B$80-1,$B97/$B$80,$B97-SUM($C97:T97))),0))</f>
        <v>0</v>
      </c>
      <c r="V97" s="4">
        <f>IF($B$80=0,0,IF(V$2&gt;=$A97,IF(V$2=$A97,($B97/$B$80)*$B$77,IF(V$2&lt;=$A97+$B$80-1,$B97/$B$80,$B97-SUM($C97:U97))),0))</f>
        <v>0</v>
      </c>
      <c r="W97" s="4">
        <f>IF($B$80=0,0,IF(W$2&gt;=$A97,IF(W$2=$A97,($B97/$B$80)*$B$77,IF(W$2&lt;=$A97+$B$80-1,$B97/$B$80,$B97-SUM($C97:V97))),0))</f>
        <v>0</v>
      </c>
      <c r="X97" s="4">
        <f>IF($B$80=0,0,IF(X$2&gt;=$A97,IF(X$2=$A97,($B97/$B$80)*$B$77,IF(X$2&lt;=$A97+$B$80-1,$B97/$B$80,$B97-SUM($C97:W97))),0))</f>
        <v>0</v>
      </c>
      <c r="Y97" s="4">
        <f>IF($B$80=0,0,IF(Y$2&gt;=$A97,IF(Y$2=$A97,($B97/$B$80)*$B$77,IF(Y$2&lt;=$A97+$B$80-1,$B97/$B$80,$B97-SUM($C97:X97))),0))</f>
        <v>0</v>
      </c>
      <c r="Z97" s="4">
        <f>IF($B$80=0,0,IF(Z$2&gt;=$A97,IF(Z$2=$A97,($B97/$B$80)*$B$77,IF(Z$2&lt;=$A97+$B$80-1,$B97/$B$80,$B97-SUM($C97:Y97))),0))</f>
        <v>0</v>
      </c>
      <c r="AA97" s="4">
        <f>IF($B$80=0,0,IF(AA$2&gt;=$A97,IF(AA$2=$A97,($B97/$B$80)*$B$77,IF(AA$2&lt;=$A97+$B$80-1,$B97/$B$80,$B97-SUM($C97:Z97))),0))</f>
        <v>0</v>
      </c>
      <c r="AB97" s="4">
        <f>IF($B$80=0,0,IF(AB$2&gt;=$A97,IF(AB$2=$A97,($B97/$B$80)*$B$77,IF(AB$2&lt;=$A97+$B$80-1,$B97/$B$80,$B97-SUM($C97:AA97))),0))</f>
        <v>0</v>
      </c>
      <c r="AC97" s="4">
        <f>IF($B$80=0,0,IF(AC$2&gt;=$A97,IF(AC$2=$A97,($B97/$B$80)*$B$77,IF(AC$2&lt;=$A97+$B$80-1,$B97/$B$80,$B97-SUM($C97:AB97))),0))</f>
        <v>0</v>
      </c>
      <c r="AD97" s="4">
        <f>IF($B$80=0,0,IF(AD$2&gt;=$A97,IF(AD$2=$A97,($B97/$B$80)*$B$77,IF(AD$2&lt;=$A97+$B$80-1,$B97/$B$80,$B97-SUM($C97:AC97))),0))</f>
        <v>0</v>
      </c>
      <c r="AE97" s="4">
        <f>IF($B$80=0,0,IF(AE$2&gt;=$A97,IF(AE$2=$A97,($B97/$B$80)*$B$77,IF(AE$2&lt;=$A97+$B$80-1,$B97/$B$80,$B97-SUM($C97:AD97))),0))</f>
        <v>0</v>
      </c>
      <c r="AF97" s="4">
        <f>IF($B$80=0,0,IF(AF$2&gt;=$A97,IF(AF$2=$A97,($B97/$B$80)*$B$77,IF(AF$2&lt;=$A97+$B$80-1,$B97/$B$80,$B97-SUM($C97:AE97))),0))</f>
        <v>0</v>
      </c>
      <c r="AG97" s="4">
        <f t="shared" si="58"/>
        <v>0</v>
      </c>
    </row>
    <row r="98" spans="1:33">
      <c r="A98" s="6">
        <f t="shared" si="59"/>
        <v>2039</v>
      </c>
      <c r="B98" s="4">
        <f t="shared" si="57"/>
        <v>0</v>
      </c>
      <c r="C98" s="4">
        <f>IF($B$80=0,0,IF(C$2&gt;=$A98,IF(C$2=$A98,($B98/$B$80)*$B$77,IF(C$2&lt;=$A98+$B$80-1,$B98/$B$80,$B98-SUM(B98:$C98))),0))</f>
        <v>0</v>
      </c>
      <c r="D98" s="4">
        <f>IF($B$80=0,0,IF(D$2&gt;=$A98,IF(D$2=$A98,($B98/$B$80)*$B$77,IF(D$2&lt;=$A98+$B$80-1,$B98/$B$80,$B98-SUM(C98:$C98))),0))</f>
        <v>0</v>
      </c>
      <c r="E98" s="4">
        <f>IF($B$80=0,0,IF(E$2&gt;=$A98,IF(E$2=$A98,($B98/$B$80)*$B$77,IF(E$2&lt;=$A98+$B$80-1,$B98/$B$80,$B98-SUM($C98:D98))),0))</f>
        <v>0</v>
      </c>
      <c r="F98" s="4">
        <f>IF($B$80=0,0,IF(F$2&gt;=$A98,IF(F$2=$A98,($B98/$B$80)*$B$77,IF(F$2&lt;=$A98+$B$80-1,$B98/$B$80,$B98-SUM($C98:E98))),0))</f>
        <v>0</v>
      </c>
      <c r="G98" s="4">
        <f>IF($B$80=0,0,IF(G$2&gt;=$A98,IF(G$2=$A98,($B98/$B$80)*$B$77,IF(G$2&lt;=$A98+$B$80-1,$B98/$B$80,$B98-SUM($C98:F98))),0))</f>
        <v>0</v>
      </c>
      <c r="H98" s="4">
        <f>IF($B$80=0,0,IF(H$2&gt;=$A98,IF(H$2=$A98,($B98/$B$80)*$B$77,IF(H$2&lt;=$A98+$B$80-1,$B98/$B$80,$B98-SUM($C98:G98))),0))</f>
        <v>0</v>
      </c>
      <c r="I98" s="4">
        <f>IF($B$80=0,0,IF(I$2&gt;=$A98,IF(I$2=$A98,($B98/$B$80)*$B$77,IF(I$2&lt;=$A98+$B$80-1,$B98/$B$80,$B98-SUM($C98:H98))),0))</f>
        <v>0</v>
      </c>
      <c r="J98" s="4">
        <f>IF($B$80=0,0,IF(J$2&gt;=$A98,IF(J$2=$A98,($B98/$B$80)*$B$77,IF(J$2&lt;=$A98+$B$80-1,$B98/$B$80,$B98-SUM($C98:I98))),0))</f>
        <v>0</v>
      </c>
      <c r="K98" s="4">
        <f>IF($B$80=0,0,IF(K$2&gt;=$A98,IF(K$2=$A98,($B98/$B$80)*$B$77,IF(K$2&lt;=$A98+$B$80-1,$B98/$B$80,$B98-SUM($C98:J98))),0))</f>
        <v>0</v>
      </c>
      <c r="L98" s="4">
        <f>IF($B$80=0,0,IF(L$2&gt;=$A98,IF(L$2=$A98,($B98/$B$80)*$B$77,IF(L$2&lt;=$A98+$B$80-1,$B98/$B$80,$B98-SUM($C98:K98))),0))</f>
        <v>0</v>
      </c>
      <c r="M98" s="4">
        <f>IF($B$80=0,0,IF(M$2&gt;=$A98,IF(M$2=$A98,($B98/$B$80)*$B$77,IF(M$2&lt;=$A98+$B$80-1,$B98/$B$80,$B98-SUM($C98:L98))),0))</f>
        <v>0</v>
      </c>
      <c r="N98" s="4">
        <f>IF($B$80=0,0,IF(N$2&gt;=$A98,IF(N$2=$A98,($B98/$B$80)*$B$77,IF(N$2&lt;=$A98+$B$80-1,$B98/$B$80,$B98-SUM($C98:M98))),0))</f>
        <v>0</v>
      </c>
      <c r="O98" s="4">
        <f>IF($B$80=0,0,IF(O$2&gt;=$A98,IF(O$2=$A98,($B98/$B$80)*$B$77,IF(O$2&lt;=$A98+$B$80-1,$B98/$B$80,$B98-SUM($C98:N98))),0))</f>
        <v>0</v>
      </c>
      <c r="P98" s="4">
        <f>IF($B$80=0,0,IF(P$2&gt;=$A98,IF(P$2=$A98,($B98/$B$80)*$B$77,IF(P$2&lt;=$A98+$B$80-1,$B98/$B$80,$B98-SUM($C98:O98))),0))</f>
        <v>0</v>
      </c>
      <c r="Q98" s="4">
        <f>IF($B$80=0,0,IF(Q$2&gt;=$A98,IF(Q$2=$A98,($B98/$B$80)*$B$77,IF(Q$2&lt;=$A98+$B$80-1,$B98/$B$80,$B98-SUM($C98:P98))),0))</f>
        <v>0</v>
      </c>
      <c r="R98" s="4">
        <f>IF($B$80=0,0,IF(R$2&gt;=$A98,IF(R$2=$A98,($B98/$B$80)*$B$77,IF(R$2&lt;=$A98+$B$80-1,$B98/$B$80,$B98-SUM($C98:Q98))),0))</f>
        <v>0</v>
      </c>
      <c r="S98" s="4">
        <f>IF($B$80=0,0,IF(S$2&gt;=$A98,IF(S$2=$A98,($B98/$B$80)*$B$77,IF(S$2&lt;=$A98+$B$80-1,$B98/$B$80,$B98-SUM($C98:R98))),0))</f>
        <v>0</v>
      </c>
      <c r="T98" s="4">
        <f>IF($B$80=0,0,IF(T$2&gt;=$A98,IF(T$2=$A98,($B98/$B$80)*$B$77,IF(T$2&lt;=$A98+$B$80-1,$B98/$B$80,$B98-SUM($C98:S98))),0))</f>
        <v>0</v>
      </c>
      <c r="U98" s="4">
        <f>IF($B$80=0,0,IF(U$2&gt;=$A98,IF(U$2=$A98,($B98/$B$80)*$B$77,IF(U$2&lt;=$A98+$B$80-1,$B98/$B$80,$B98-SUM($C98:T98))),0))</f>
        <v>0</v>
      </c>
      <c r="V98" s="4">
        <f>IF($B$80=0,0,IF(V$2&gt;=$A98,IF(V$2=$A98,($B98/$B$80)*$B$77,IF(V$2&lt;=$A98+$B$80-1,$B98/$B$80,$B98-SUM($C98:U98))),0))</f>
        <v>0</v>
      </c>
      <c r="W98" s="4">
        <f>IF($B$80=0,0,IF(W$2&gt;=$A98,IF(W$2=$A98,($B98/$B$80)*$B$77,IF(W$2&lt;=$A98+$B$80-1,$B98/$B$80,$B98-SUM($C98:V98))),0))</f>
        <v>0</v>
      </c>
      <c r="X98" s="4">
        <f>IF($B$80=0,0,IF(X$2&gt;=$A98,IF(X$2=$A98,($B98/$B$80)*$B$77,IF(X$2&lt;=$A98+$B$80-1,$B98/$B$80,$B98-SUM($C98:W98))),0))</f>
        <v>0</v>
      </c>
      <c r="Y98" s="4">
        <f>IF($B$80=0,0,IF(Y$2&gt;=$A98,IF(Y$2=$A98,($B98/$B$80)*$B$77,IF(Y$2&lt;=$A98+$B$80-1,$B98/$B$80,$B98-SUM($C98:X98))),0))</f>
        <v>0</v>
      </c>
      <c r="Z98" s="4">
        <f>IF($B$80=0,0,IF(Z$2&gt;=$A98,IF(Z$2=$A98,($B98/$B$80)*$B$77,IF(Z$2&lt;=$A98+$B$80-1,$B98/$B$80,$B98-SUM($C98:Y98))),0))</f>
        <v>0</v>
      </c>
      <c r="AA98" s="4">
        <f>IF($B$80=0,0,IF(AA$2&gt;=$A98,IF(AA$2=$A98,($B98/$B$80)*$B$77,IF(AA$2&lt;=$A98+$B$80-1,$B98/$B$80,$B98-SUM($C98:Z98))),0))</f>
        <v>0</v>
      </c>
      <c r="AB98" s="4">
        <f>IF($B$80=0,0,IF(AB$2&gt;=$A98,IF(AB$2=$A98,($B98/$B$80)*$B$77,IF(AB$2&lt;=$A98+$B$80-1,$B98/$B$80,$B98-SUM($C98:AA98))),0))</f>
        <v>0</v>
      </c>
      <c r="AC98" s="4">
        <f>IF($B$80=0,0,IF(AC$2&gt;=$A98,IF(AC$2=$A98,($B98/$B$80)*$B$77,IF(AC$2&lt;=$A98+$B$80-1,$B98/$B$80,$B98-SUM($C98:AB98))),0))</f>
        <v>0</v>
      </c>
      <c r="AD98" s="4">
        <f>IF($B$80=0,0,IF(AD$2&gt;=$A98,IF(AD$2=$A98,($B98/$B$80)*$B$77,IF(AD$2&lt;=$A98+$B$80-1,$B98/$B$80,$B98-SUM($C98:AC98))),0))</f>
        <v>0</v>
      </c>
      <c r="AE98" s="4">
        <f>IF($B$80=0,0,IF(AE$2&gt;=$A98,IF(AE$2=$A98,($B98/$B$80)*$B$77,IF(AE$2&lt;=$A98+$B$80-1,$B98/$B$80,$B98-SUM($C98:AD98))),0))</f>
        <v>0</v>
      </c>
      <c r="AF98" s="4">
        <f>IF($B$80=0,0,IF(AF$2&gt;=$A98,IF(AF$2=$A98,($B98/$B$80)*$B$77,IF(AF$2&lt;=$A98+$B$80-1,$B98/$B$80,$B98-SUM($C98:AE98))),0))</f>
        <v>0</v>
      </c>
      <c r="AG98" s="4">
        <f t="shared" si="58"/>
        <v>0</v>
      </c>
    </row>
    <row r="99" spans="1:33">
      <c r="A99" s="6">
        <f t="shared" si="59"/>
        <v>2040</v>
      </c>
      <c r="B99" s="4">
        <f t="shared" si="57"/>
        <v>0</v>
      </c>
      <c r="C99" s="4">
        <f>IF($B$80=0,0,IF(C$2&gt;=$A99,IF(C$2=$A99,($B99/$B$80)*$B$77,IF(C$2&lt;=$A99+$B$80-1,$B99/$B$80,$B99-SUM(B99:$C99))),0))</f>
        <v>0</v>
      </c>
      <c r="D99" s="4">
        <f>IF($B$80=0,0,IF(D$2&gt;=$A99,IF(D$2=$A99,($B99/$B$80)*$B$77,IF(D$2&lt;=$A99+$B$80-1,$B99/$B$80,$B99-SUM(C99:$C99))),0))</f>
        <v>0</v>
      </c>
      <c r="E99" s="4">
        <f>IF($B$80=0,0,IF(E$2&gt;=$A99,IF(E$2=$A99,($B99/$B$80)*$B$77,IF(E$2&lt;=$A99+$B$80-1,$B99/$B$80,$B99-SUM($C99:D99))),0))</f>
        <v>0</v>
      </c>
      <c r="F99" s="4">
        <f>IF($B$80=0,0,IF(F$2&gt;=$A99,IF(F$2=$A99,($B99/$B$80)*$B$77,IF(F$2&lt;=$A99+$B$80-1,$B99/$B$80,$B99-SUM($C99:E99))),0))</f>
        <v>0</v>
      </c>
      <c r="G99" s="4">
        <f>IF($B$80=0,0,IF(G$2&gt;=$A99,IF(G$2=$A99,($B99/$B$80)*$B$77,IF(G$2&lt;=$A99+$B$80-1,$B99/$B$80,$B99-SUM($C99:F99))),0))</f>
        <v>0</v>
      </c>
      <c r="H99" s="4">
        <f>IF($B$80=0,0,IF(H$2&gt;=$A99,IF(H$2=$A99,($B99/$B$80)*$B$77,IF(H$2&lt;=$A99+$B$80-1,$B99/$B$80,$B99-SUM($C99:G99))),0))</f>
        <v>0</v>
      </c>
      <c r="I99" s="4">
        <f>IF($B$80=0,0,IF(I$2&gt;=$A99,IF(I$2=$A99,($B99/$B$80)*$B$77,IF(I$2&lt;=$A99+$B$80-1,$B99/$B$80,$B99-SUM($C99:H99))),0))</f>
        <v>0</v>
      </c>
      <c r="J99" s="4">
        <f>IF($B$80=0,0,IF(J$2&gt;=$A99,IF(J$2=$A99,($B99/$B$80)*$B$77,IF(J$2&lt;=$A99+$B$80-1,$B99/$B$80,$B99-SUM($C99:I99))),0))</f>
        <v>0</v>
      </c>
      <c r="K99" s="4">
        <f>IF($B$80=0,0,IF(K$2&gt;=$A99,IF(K$2=$A99,($B99/$B$80)*$B$77,IF(K$2&lt;=$A99+$B$80-1,$B99/$B$80,$B99-SUM($C99:J99))),0))</f>
        <v>0</v>
      </c>
      <c r="L99" s="4">
        <f>IF($B$80=0,0,IF(L$2&gt;=$A99,IF(L$2=$A99,($B99/$B$80)*$B$77,IF(L$2&lt;=$A99+$B$80-1,$B99/$B$80,$B99-SUM($C99:K99))),0))</f>
        <v>0</v>
      </c>
      <c r="M99" s="4">
        <f>IF($B$80=0,0,IF(M$2&gt;=$A99,IF(M$2=$A99,($B99/$B$80)*$B$77,IF(M$2&lt;=$A99+$B$80-1,$B99/$B$80,$B99-SUM($C99:L99))),0))</f>
        <v>0</v>
      </c>
      <c r="N99" s="4">
        <f>IF($B$80=0,0,IF(N$2&gt;=$A99,IF(N$2=$A99,($B99/$B$80)*$B$77,IF(N$2&lt;=$A99+$B$80-1,$B99/$B$80,$B99-SUM($C99:M99))),0))</f>
        <v>0</v>
      </c>
      <c r="O99" s="4">
        <f>IF($B$80=0,0,IF(O$2&gt;=$A99,IF(O$2=$A99,($B99/$B$80)*$B$77,IF(O$2&lt;=$A99+$B$80-1,$B99/$B$80,$B99-SUM($C99:N99))),0))</f>
        <v>0</v>
      </c>
      <c r="P99" s="4">
        <f>IF($B$80=0,0,IF(P$2&gt;=$A99,IF(P$2=$A99,($B99/$B$80)*$B$77,IF(P$2&lt;=$A99+$B$80-1,$B99/$B$80,$B99-SUM($C99:O99))),0))</f>
        <v>0</v>
      </c>
      <c r="Q99" s="4">
        <f>IF($B$80=0,0,IF(Q$2&gt;=$A99,IF(Q$2=$A99,($B99/$B$80)*$B$77,IF(Q$2&lt;=$A99+$B$80-1,$B99/$B$80,$B99-SUM($C99:P99))),0))</f>
        <v>0</v>
      </c>
      <c r="R99" s="4">
        <f>IF($B$80=0,0,IF(R$2&gt;=$A99,IF(R$2=$A99,($B99/$B$80)*$B$77,IF(R$2&lt;=$A99+$B$80-1,$B99/$B$80,$B99-SUM($C99:Q99))),0))</f>
        <v>0</v>
      </c>
      <c r="S99" s="4">
        <f>IF($B$80=0,0,IF(S$2&gt;=$A99,IF(S$2=$A99,($B99/$B$80)*$B$77,IF(S$2&lt;=$A99+$B$80-1,$B99/$B$80,$B99-SUM($C99:R99))),0))</f>
        <v>0</v>
      </c>
      <c r="T99" s="4">
        <f>IF($B$80=0,0,IF(T$2&gt;=$A99,IF(T$2=$A99,($B99/$B$80)*$B$77,IF(T$2&lt;=$A99+$B$80-1,$B99/$B$80,$B99-SUM($C99:S99))),0))</f>
        <v>0</v>
      </c>
      <c r="U99" s="4">
        <f>IF($B$80=0,0,IF(U$2&gt;=$A99,IF(U$2=$A99,($B99/$B$80)*$B$77,IF(U$2&lt;=$A99+$B$80-1,$B99/$B$80,$B99-SUM($C99:T99))),0))</f>
        <v>0</v>
      </c>
      <c r="V99" s="4">
        <f>IF($B$80=0,0,IF(V$2&gt;=$A99,IF(V$2=$A99,($B99/$B$80)*$B$77,IF(V$2&lt;=$A99+$B$80-1,$B99/$B$80,$B99-SUM($C99:U99))),0))</f>
        <v>0</v>
      </c>
      <c r="W99" s="4">
        <f>IF($B$80=0,0,IF(W$2&gt;=$A99,IF(W$2=$A99,($B99/$B$80)*$B$77,IF(W$2&lt;=$A99+$B$80-1,$B99/$B$80,$B99-SUM($C99:V99))),0))</f>
        <v>0</v>
      </c>
      <c r="X99" s="4">
        <f>IF($B$80=0,0,IF(X$2&gt;=$A99,IF(X$2=$A99,($B99/$B$80)*$B$77,IF(X$2&lt;=$A99+$B$80-1,$B99/$B$80,$B99-SUM($C99:W99))),0))</f>
        <v>0</v>
      </c>
      <c r="Y99" s="4">
        <f>IF($B$80=0,0,IF(Y$2&gt;=$A99,IF(Y$2=$A99,($B99/$B$80)*$B$77,IF(Y$2&lt;=$A99+$B$80-1,$B99/$B$80,$B99-SUM($C99:X99))),0))</f>
        <v>0</v>
      </c>
      <c r="Z99" s="4">
        <f>IF($B$80=0,0,IF(Z$2&gt;=$A99,IF(Z$2=$A99,($B99/$B$80)*$B$77,IF(Z$2&lt;=$A99+$B$80-1,$B99/$B$80,$B99-SUM($C99:Y99))),0))</f>
        <v>0</v>
      </c>
      <c r="AA99" s="4">
        <f>IF($B$80=0,0,IF(AA$2&gt;=$A99,IF(AA$2=$A99,($B99/$B$80)*$B$77,IF(AA$2&lt;=$A99+$B$80-1,$B99/$B$80,$B99-SUM($C99:Z99))),0))</f>
        <v>0</v>
      </c>
      <c r="AB99" s="4">
        <f>IF($B$80=0,0,IF(AB$2&gt;=$A99,IF(AB$2=$A99,($B99/$B$80)*$B$77,IF(AB$2&lt;=$A99+$B$80-1,$B99/$B$80,$B99-SUM($C99:AA99))),0))</f>
        <v>0</v>
      </c>
      <c r="AC99" s="4">
        <f>IF($B$80=0,0,IF(AC$2&gt;=$A99,IF(AC$2=$A99,($B99/$B$80)*$B$77,IF(AC$2&lt;=$A99+$B$80-1,$B99/$B$80,$B99-SUM($C99:AB99))),0))</f>
        <v>0</v>
      </c>
      <c r="AD99" s="4">
        <f>IF($B$80=0,0,IF(AD$2&gt;=$A99,IF(AD$2=$A99,($B99/$B$80)*$B$77,IF(AD$2&lt;=$A99+$B$80-1,$B99/$B$80,$B99-SUM($C99:AC99))),0))</f>
        <v>0</v>
      </c>
      <c r="AE99" s="4">
        <f>IF($B$80=0,0,IF(AE$2&gt;=$A99,IF(AE$2=$A99,($B99/$B$80)*$B$77,IF(AE$2&lt;=$A99+$B$80-1,$B99/$B$80,$B99-SUM($C99:AD99))),0))</f>
        <v>0</v>
      </c>
      <c r="AF99" s="4">
        <f>IF($B$80=0,0,IF(AF$2&gt;=$A99,IF(AF$2=$A99,($B99/$B$80)*$B$77,IF(AF$2&lt;=$A99+$B$80-1,$B99/$B$80,$B99-SUM($C99:AE99))),0))</f>
        <v>0</v>
      </c>
      <c r="AG99" s="4">
        <f t="shared" si="58"/>
        <v>0</v>
      </c>
    </row>
    <row r="100" spans="1:33">
      <c r="A100" s="6">
        <f t="shared" si="59"/>
        <v>2041</v>
      </c>
      <c r="B100" s="4">
        <f t="shared" si="57"/>
        <v>0</v>
      </c>
      <c r="C100" s="4">
        <f>IF($B$80=0,0,IF(C$2&gt;=$A100,IF(C$2=$A100,($B100/$B$80)*$B$77,IF(C$2&lt;=$A100+$B$80-1,$B100/$B$80,$B100-SUM(B100:$C100))),0))</f>
        <v>0</v>
      </c>
      <c r="D100" s="4">
        <f>IF($B$80=0,0,IF(D$2&gt;=$A100,IF(D$2=$A100,($B100/$B$80)*$B$77,IF(D$2&lt;=$A100+$B$80-1,$B100/$B$80,$B100-SUM(C100:$C100))),0))</f>
        <v>0</v>
      </c>
      <c r="E100" s="4">
        <f>IF($B$80=0,0,IF(E$2&gt;=$A100,IF(E$2=$A100,($B100/$B$80)*$B$77,IF(E$2&lt;=$A100+$B$80-1,$B100/$B$80,$B100-SUM($C100:D100))),0))</f>
        <v>0</v>
      </c>
      <c r="F100" s="4">
        <f>IF($B$80=0,0,IF(F$2&gt;=$A100,IF(F$2=$A100,($B100/$B$80)*$B$77,IF(F$2&lt;=$A100+$B$80-1,$B100/$B$80,$B100-SUM($C100:E100))),0))</f>
        <v>0</v>
      </c>
      <c r="G100" s="4">
        <f>IF($B$80=0,0,IF(G$2&gt;=$A100,IF(G$2=$A100,($B100/$B$80)*$B$77,IF(G$2&lt;=$A100+$B$80-1,$B100/$B$80,$B100-SUM($C100:F100))),0))</f>
        <v>0</v>
      </c>
      <c r="H100" s="4">
        <f>IF($B$80=0,0,IF(H$2&gt;=$A100,IF(H$2=$A100,($B100/$B$80)*$B$77,IF(H$2&lt;=$A100+$B$80-1,$B100/$B$80,$B100-SUM($C100:G100))),0))</f>
        <v>0</v>
      </c>
      <c r="I100" s="4">
        <f>IF($B$80=0,0,IF(I$2&gt;=$A100,IF(I$2=$A100,($B100/$B$80)*$B$77,IF(I$2&lt;=$A100+$B$80-1,$B100/$B$80,$B100-SUM($C100:H100))),0))</f>
        <v>0</v>
      </c>
      <c r="J100" s="4">
        <f>IF($B$80=0,0,IF(J$2&gt;=$A100,IF(J$2=$A100,($B100/$B$80)*$B$77,IF(J$2&lt;=$A100+$B$80-1,$B100/$B$80,$B100-SUM($C100:I100))),0))</f>
        <v>0</v>
      </c>
      <c r="K100" s="4">
        <f>IF($B$80=0,0,IF(K$2&gt;=$A100,IF(K$2=$A100,($B100/$B$80)*$B$77,IF(K$2&lt;=$A100+$B$80-1,$B100/$B$80,$B100-SUM($C100:J100))),0))</f>
        <v>0</v>
      </c>
      <c r="L100" s="4">
        <f>IF($B$80=0,0,IF(L$2&gt;=$A100,IF(L$2=$A100,($B100/$B$80)*$B$77,IF(L$2&lt;=$A100+$B$80-1,$B100/$B$80,$B100-SUM($C100:K100))),0))</f>
        <v>0</v>
      </c>
      <c r="M100" s="4">
        <f>IF($B$80=0,0,IF(M$2&gt;=$A100,IF(M$2=$A100,($B100/$B$80)*$B$77,IF(M$2&lt;=$A100+$B$80-1,$B100/$B$80,$B100-SUM($C100:L100))),0))</f>
        <v>0</v>
      </c>
      <c r="N100" s="4">
        <f>IF($B$80=0,0,IF(N$2&gt;=$A100,IF(N$2=$A100,($B100/$B$80)*$B$77,IF(N$2&lt;=$A100+$B$80-1,$B100/$B$80,$B100-SUM($C100:M100))),0))</f>
        <v>0</v>
      </c>
      <c r="O100" s="4">
        <f>IF($B$80=0,0,IF(O$2&gt;=$A100,IF(O$2=$A100,($B100/$B$80)*$B$77,IF(O$2&lt;=$A100+$B$80-1,$B100/$B$80,$B100-SUM($C100:N100))),0))</f>
        <v>0</v>
      </c>
      <c r="P100" s="4">
        <f>IF($B$80=0,0,IF(P$2&gt;=$A100,IF(P$2=$A100,($B100/$B$80)*$B$77,IF(P$2&lt;=$A100+$B$80-1,$B100/$B$80,$B100-SUM($C100:O100))),0))</f>
        <v>0</v>
      </c>
      <c r="Q100" s="4">
        <f>IF($B$80=0,0,IF(Q$2&gt;=$A100,IF(Q$2=$A100,($B100/$B$80)*$B$77,IF(Q$2&lt;=$A100+$B$80-1,$B100/$B$80,$B100-SUM($C100:P100))),0))</f>
        <v>0</v>
      </c>
      <c r="R100" s="4">
        <f>IF($B$80=0,0,IF(R$2&gt;=$A100,IF(R$2=$A100,($B100/$B$80)*$B$77,IF(R$2&lt;=$A100+$B$80-1,$B100/$B$80,$B100-SUM($C100:Q100))),0))</f>
        <v>0</v>
      </c>
      <c r="S100" s="4">
        <f>IF($B$80=0,0,IF(S$2&gt;=$A100,IF(S$2=$A100,($B100/$B$80)*$B$77,IF(S$2&lt;=$A100+$B$80-1,$B100/$B$80,$B100-SUM($C100:R100))),0))</f>
        <v>0</v>
      </c>
      <c r="T100" s="4">
        <f>IF($B$80=0,0,IF(T$2&gt;=$A100,IF(T$2=$A100,($B100/$B$80)*$B$77,IF(T$2&lt;=$A100+$B$80-1,$B100/$B$80,$B100-SUM($C100:S100))),0))</f>
        <v>0</v>
      </c>
      <c r="U100" s="4">
        <f>IF($B$80=0,0,IF(U$2&gt;=$A100,IF(U$2=$A100,($B100/$B$80)*$B$77,IF(U$2&lt;=$A100+$B$80-1,$B100/$B$80,$B100-SUM($C100:T100))),0))</f>
        <v>0</v>
      </c>
      <c r="V100" s="4">
        <f>IF($B$80=0,0,IF(V$2&gt;=$A100,IF(V$2=$A100,($B100/$B$80)*$B$77,IF(V$2&lt;=$A100+$B$80-1,$B100/$B$80,$B100-SUM($C100:U100))),0))</f>
        <v>0</v>
      </c>
      <c r="W100" s="4">
        <f>IF($B$80=0,0,IF(W$2&gt;=$A100,IF(W$2=$A100,($B100/$B$80)*$B$77,IF(W$2&lt;=$A100+$B$80-1,$B100/$B$80,$B100-SUM($C100:V100))),0))</f>
        <v>0</v>
      </c>
      <c r="X100" s="4">
        <f>IF($B$80=0,0,IF(X$2&gt;=$A100,IF(X$2=$A100,($B100/$B$80)*$B$77,IF(X$2&lt;=$A100+$B$80-1,$B100/$B$80,$B100-SUM($C100:W100))),0))</f>
        <v>0</v>
      </c>
      <c r="Y100" s="4">
        <f>IF($B$80=0,0,IF(Y$2&gt;=$A100,IF(Y$2=$A100,($B100/$B$80)*$B$77,IF(Y$2&lt;=$A100+$B$80-1,$B100/$B$80,$B100-SUM($C100:X100))),0))</f>
        <v>0</v>
      </c>
      <c r="Z100" s="4">
        <f>IF($B$80=0,0,IF(Z$2&gt;=$A100,IF(Z$2=$A100,($B100/$B$80)*$B$77,IF(Z$2&lt;=$A100+$B$80-1,$B100/$B$80,$B100-SUM($C100:Y100))),0))</f>
        <v>0</v>
      </c>
      <c r="AA100" s="4">
        <f>IF($B$80=0,0,IF(AA$2&gt;=$A100,IF(AA$2=$A100,($B100/$B$80)*$B$77,IF(AA$2&lt;=$A100+$B$80-1,$B100/$B$80,$B100-SUM($C100:Z100))),0))</f>
        <v>0</v>
      </c>
      <c r="AB100" s="4">
        <f>IF($B$80=0,0,IF(AB$2&gt;=$A100,IF(AB$2=$A100,($B100/$B$80)*$B$77,IF(AB$2&lt;=$A100+$B$80-1,$B100/$B$80,$B100-SUM($C100:AA100))),0))</f>
        <v>0</v>
      </c>
      <c r="AC100" s="4">
        <f>IF($B$80=0,0,IF(AC$2&gt;=$A100,IF(AC$2=$A100,($B100/$B$80)*$B$77,IF(AC$2&lt;=$A100+$B$80-1,$B100/$B$80,$B100-SUM($C100:AB100))),0))</f>
        <v>0</v>
      </c>
      <c r="AD100" s="4">
        <f>IF($B$80=0,0,IF(AD$2&gt;=$A100,IF(AD$2=$A100,($B100/$B$80)*$B$77,IF(AD$2&lt;=$A100+$B$80-1,$B100/$B$80,$B100-SUM($C100:AC100))),0))</f>
        <v>0</v>
      </c>
      <c r="AE100" s="4">
        <f>IF($B$80=0,0,IF(AE$2&gt;=$A100,IF(AE$2=$A100,($B100/$B$80)*$B$77,IF(AE$2&lt;=$A100+$B$80-1,$B100/$B$80,$B100-SUM($C100:AD100))),0))</f>
        <v>0</v>
      </c>
      <c r="AF100" s="4">
        <f>IF($B$80=0,0,IF(AF$2&gt;=$A100,IF(AF$2=$A100,($B100/$B$80)*$B$77,IF(AF$2&lt;=$A100+$B$80-1,$B100/$B$80,$B100-SUM($C100:AE100))),0))</f>
        <v>0</v>
      </c>
      <c r="AG100" s="4">
        <f t="shared" si="58"/>
        <v>0</v>
      </c>
    </row>
    <row r="101" spans="1:33">
      <c r="A101" s="6">
        <f t="shared" si="59"/>
        <v>2042</v>
      </c>
      <c r="B101" s="4">
        <f t="shared" si="57"/>
        <v>0</v>
      </c>
      <c r="C101" s="4">
        <f>IF($B$80=0,0,IF(C$2&gt;=$A101,IF(C$2=$A101,($B101/$B$80)*$B$77,IF(C$2&lt;=$A101+$B$80-1,$B101/$B$80,$B101-SUM(B101:$C101))),0))</f>
        <v>0</v>
      </c>
      <c r="D101" s="4">
        <f>IF($B$80=0,0,IF(D$2&gt;=$A101,IF(D$2=$A101,($B101/$B$80)*$B$77,IF(D$2&lt;=$A101+$B$80-1,$B101/$B$80,$B101-SUM(C101:$C101))),0))</f>
        <v>0</v>
      </c>
      <c r="E101" s="4">
        <f>IF($B$80=0,0,IF(E$2&gt;=$A101,IF(E$2=$A101,($B101/$B$80)*$B$77,IF(E$2&lt;=$A101+$B$80-1,$B101/$B$80,$B101-SUM($C101:D101))),0))</f>
        <v>0</v>
      </c>
      <c r="F101" s="4">
        <f>IF($B$80=0,0,IF(F$2&gt;=$A101,IF(F$2=$A101,($B101/$B$80)*$B$77,IF(F$2&lt;=$A101+$B$80-1,$B101/$B$80,$B101-SUM($C101:E101))),0))</f>
        <v>0</v>
      </c>
      <c r="G101" s="4">
        <f>IF($B$80=0,0,IF(G$2&gt;=$A101,IF(G$2=$A101,($B101/$B$80)*$B$77,IF(G$2&lt;=$A101+$B$80-1,$B101/$B$80,$B101-SUM($C101:F101))),0))</f>
        <v>0</v>
      </c>
      <c r="H101" s="4">
        <f>IF($B$80=0,0,IF(H$2&gt;=$A101,IF(H$2=$A101,($B101/$B$80)*$B$77,IF(H$2&lt;=$A101+$B$80-1,$B101/$B$80,$B101-SUM($C101:G101))),0))</f>
        <v>0</v>
      </c>
      <c r="I101" s="4">
        <f>IF($B$80=0,0,IF(I$2&gt;=$A101,IF(I$2=$A101,($B101/$B$80)*$B$77,IF(I$2&lt;=$A101+$B$80-1,$B101/$B$80,$B101-SUM($C101:H101))),0))</f>
        <v>0</v>
      </c>
      <c r="J101" s="4">
        <f>IF($B$80=0,0,IF(J$2&gt;=$A101,IF(J$2=$A101,($B101/$B$80)*$B$77,IF(J$2&lt;=$A101+$B$80-1,$B101/$B$80,$B101-SUM($C101:I101))),0))</f>
        <v>0</v>
      </c>
      <c r="K101" s="4">
        <f>IF($B$80=0,0,IF(K$2&gt;=$A101,IF(K$2=$A101,($B101/$B$80)*$B$77,IF(K$2&lt;=$A101+$B$80-1,$B101/$B$80,$B101-SUM($C101:J101))),0))</f>
        <v>0</v>
      </c>
      <c r="L101" s="4">
        <f>IF($B$80=0,0,IF(L$2&gt;=$A101,IF(L$2=$A101,($B101/$B$80)*$B$77,IF(L$2&lt;=$A101+$B$80-1,$B101/$B$80,$B101-SUM($C101:K101))),0))</f>
        <v>0</v>
      </c>
      <c r="M101" s="4">
        <f>IF($B$80=0,0,IF(M$2&gt;=$A101,IF(M$2=$A101,($B101/$B$80)*$B$77,IF(M$2&lt;=$A101+$B$80-1,$B101/$B$80,$B101-SUM($C101:L101))),0))</f>
        <v>0</v>
      </c>
      <c r="N101" s="4">
        <f>IF($B$80=0,0,IF(N$2&gt;=$A101,IF(N$2=$A101,($B101/$B$80)*$B$77,IF(N$2&lt;=$A101+$B$80-1,$B101/$B$80,$B101-SUM($C101:M101))),0))</f>
        <v>0</v>
      </c>
      <c r="O101" s="4">
        <f>IF($B$80=0,0,IF(O$2&gt;=$A101,IF(O$2=$A101,($B101/$B$80)*$B$77,IF(O$2&lt;=$A101+$B$80-1,$B101/$B$80,$B101-SUM($C101:N101))),0))</f>
        <v>0</v>
      </c>
      <c r="P101" s="4">
        <f>IF($B$80=0,0,IF(P$2&gt;=$A101,IF(P$2=$A101,($B101/$B$80)*$B$77,IF(P$2&lt;=$A101+$B$80-1,$B101/$B$80,$B101-SUM($C101:O101))),0))</f>
        <v>0</v>
      </c>
      <c r="Q101" s="4">
        <f>IF($B$80=0,0,IF(Q$2&gt;=$A101,IF(Q$2=$A101,($B101/$B$80)*$B$77,IF(Q$2&lt;=$A101+$B$80-1,$B101/$B$80,$B101-SUM($C101:P101))),0))</f>
        <v>0</v>
      </c>
      <c r="R101" s="4">
        <f>IF($B$80=0,0,IF(R$2&gt;=$A101,IF(R$2=$A101,($B101/$B$80)*$B$77,IF(R$2&lt;=$A101+$B$80-1,$B101/$B$80,$B101-SUM($C101:Q101))),0))</f>
        <v>0</v>
      </c>
      <c r="S101" s="4">
        <f>IF($B$80=0,0,IF(S$2&gt;=$A101,IF(S$2=$A101,($B101/$B$80)*$B$77,IF(S$2&lt;=$A101+$B$80-1,$B101/$B$80,$B101-SUM($C101:R101))),0))</f>
        <v>0</v>
      </c>
      <c r="T101" s="4">
        <f>IF($B$80=0,0,IF(T$2&gt;=$A101,IF(T$2=$A101,($B101/$B$80)*$B$77,IF(T$2&lt;=$A101+$B$80-1,$B101/$B$80,$B101-SUM($C101:S101))),0))</f>
        <v>0</v>
      </c>
      <c r="U101" s="4">
        <f>IF($B$80=0,0,IF(U$2&gt;=$A101,IF(U$2=$A101,($B101/$B$80)*$B$77,IF(U$2&lt;=$A101+$B$80-1,$B101/$B$80,$B101-SUM($C101:T101))),0))</f>
        <v>0</v>
      </c>
      <c r="V101" s="4">
        <f>IF($B$80=0,0,IF(V$2&gt;=$A101,IF(V$2=$A101,($B101/$B$80)*$B$77,IF(V$2&lt;=$A101+$B$80-1,$B101/$B$80,$B101-SUM($C101:U101))),0))</f>
        <v>0</v>
      </c>
      <c r="W101" s="4">
        <f>IF($B$80=0,0,IF(W$2&gt;=$A101,IF(W$2=$A101,($B101/$B$80)*$B$77,IF(W$2&lt;=$A101+$B$80-1,$B101/$B$80,$B101-SUM($C101:V101))),0))</f>
        <v>0</v>
      </c>
      <c r="X101" s="4">
        <f>IF($B$80=0,0,IF(X$2&gt;=$A101,IF(X$2=$A101,($B101/$B$80)*$B$77,IF(X$2&lt;=$A101+$B$80-1,$B101/$B$80,$B101-SUM($C101:W101))),0))</f>
        <v>0</v>
      </c>
      <c r="Y101" s="4">
        <f>IF($B$80=0,0,IF(Y$2&gt;=$A101,IF(Y$2=$A101,($B101/$B$80)*$B$77,IF(Y$2&lt;=$A101+$B$80-1,$B101/$B$80,$B101-SUM($C101:X101))),0))</f>
        <v>0</v>
      </c>
      <c r="Z101" s="4">
        <f>IF($B$80=0,0,IF(Z$2&gt;=$A101,IF(Z$2=$A101,($B101/$B$80)*$B$77,IF(Z$2&lt;=$A101+$B$80-1,$B101/$B$80,$B101-SUM($C101:Y101))),0))</f>
        <v>0</v>
      </c>
      <c r="AA101" s="4">
        <f>IF($B$80=0,0,IF(AA$2&gt;=$A101,IF(AA$2=$A101,($B101/$B$80)*$B$77,IF(AA$2&lt;=$A101+$B$80-1,$B101/$B$80,$B101-SUM($C101:Z101))),0))</f>
        <v>0</v>
      </c>
      <c r="AB101" s="4">
        <f>IF($B$80=0,0,IF(AB$2&gt;=$A101,IF(AB$2=$A101,($B101/$B$80)*$B$77,IF(AB$2&lt;=$A101+$B$80-1,$B101/$B$80,$B101-SUM($C101:AA101))),0))</f>
        <v>0</v>
      </c>
      <c r="AC101" s="4">
        <f>IF($B$80=0,0,IF(AC$2&gt;=$A101,IF(AC$2=$A101,($B101/$B$80)*$B$77,IF(AC$2&lt;=$A101+$B$80-1,$B101/$B$80,$B101-SUM($C101:AB101))),0))</f>
        <v>0</v>
      </c>
      <c r="AD101" s="4">
        <f>IF($B$80=0,0,IF(AD$2&gt;=$A101,IF(AD$2=$A101,($B101/$B$80)*$B$77,IF(AD$2&lt;=$A101+$B$80-1,$B101/$B$80,$B101-SUM($C101:AC101))),0))</f>
        <v>0</v>
      </c>
      <c r="AE101" s="4">
        <f>IF($B$80=0,0,IF(AE$2&gt;=$A101,IF(AE$2=$A101,($B101/$B$80)*$B$77,IF(AE$2&lt;=$A101+$B$80-1,$B101/$B$80,$B101-SUM($C101:AD101))),0))</f>
        <v>0</v>
      </c>
      <c r="AF101" s="4">
        <f>IF($B$80=0,0,IF(AF$2&gt;=$A101,IF(AF$2=$A101,($B101/$B$80)*$B$77,IF(AF$2&lt;=$A101+$B$80-1,$B101/$B$80,$B101-SUM($C101:AE101))),0))</f>
        <v>0</v>
      </c>
      <c r="AG101" s="4">
        <f t="shared" si="58"/>
        <v>0</v>
      </c>
    </row>
    <row r="102" spans="1:33">
      <c r="A102" s="6">
        <f t="shared" si="59"/>
        <v>2043</v>
      </c>
      <c r="B102" s="4">
        <f t="shared" si="57"/>
        <v>0</v>
      </c>
      <c r="C102" s="4">
        <f>IF($B$80=0,0,IF(C$2&gt;=$A102,IF(C$2=$A102,($B102/$B$80)*$B$77,IF(C$2&lt;=$A102+$B$80-1,$B102/$B$80,$B102-SUM(B102:$C102))),0))</f>
        <v>0</v>
      </c>
      <c r="D102" s="4">
        <f>IF($B$80=0,0,IF(D$2&gt;=$A102,IF(D$2=$A102,($B102/$B$80)*$B$77,IF(D$2&lt;=$A102+$B$80-1,$B102/$B$80,$B102-SUM(C102:$C102))),0))</f>
        <v>0</v>
      </c>
      <c r="E102" s="4">
        <f>IF($B$80=0,0,IF(E$2&gt;=$A102,IF(E$2=$A102,($B102/$B$80)*$B$77,IF(E$2&lt;=$A102+$B$80-1,$B102/$B$80,$B102-SUM($C102:D102))),0))</f>
        <v>0</v>
      </c>
      <c r="F102" s="4">
        <f>IF($B$80=0,0,IF(F$2&gt;=$A102,IF(F$2=$A102,($B102/$B$80)*$B$77,IF(F$2&lt;=$A102+$B$80-1,$B102/$B$80,$B102-SUM($C102:E102))),0))</f>
        <v>0</v>
      </c>
      <c r="G102" s="4">
        <f>IF($B$80=0,0,IF(G$2&gt;=$A102,IF(G$2=$A102,($B102/$B$80)*$B$77,IF(G$2&lt;=$A102+$B$80-1,$B102/$B$80,$B102-SUM($C102:F102))),0))</f>
        <v>0</v>
      </c>
      <c r="H102" s="4">
        <f>IF($B$80=0,0,IF(H$2&gt;=$A102,IF(H$2=$A102,($B102/$B$80)*$B$77,IF(H$2&lt;=$A102+$B$80-1,$B102/$B$80,$B102-SUM($C102:G102))),0))</f>
        <v>0</v>
      </c>
      <c r="I102" s="4">
        <f>IF($B$80=0,0,IF(I$2&gt;=$A102,IF(I$2=$A102,($B102/$B$80)*$B$77,IF(I$2&lt;=$A102+$B$80-1,$B102/$B$80,$B102-SUM($C102:H102))),0))</f>
        <v>0</v>
      </c>
      <c r="J102" s="4">
        <f>IF($B$80=0,0,IF(J$2&gt;=$A102,IF(J$2=$A102,($B102/$B$80)*$B$77,IF(J$2&lt;=$A102+$B$80-1,$B102/$B$80,$B102-SUM($C102:I102))),0))</f>
        <v>0</v>
      </c>
      <c r="K102" s="4">
        <f>IF($B$80=0,0,IF(K$2&gt;=$A102,IF(K$2=$A102,($B102/$B$80)*$B$77,IF(K$2&lt;=$A102+$B$80-1,$B102/$B$80,$B102-SUM($C102:J102))),0))</f>
        <v>0</v>
      </c>
      <c r="L102" s="4">
        <f>IF($B$80=0,0,IF(L$2&gt;=$A102,IF(L$2=$A102,($B102/$B$80)*$B$77,IF(L$2&lt;=$A102+$B$80-1,$B102/$B$80,$B102-SUM($C102:K102))),0))</f>
        <v>0</v>
      </c>
      <c r="M102" s="4">
        <f>IF($B$80=0,0,IF(M$2&gt;=$A102,IF(M$2=$A102,($B102/$B$80)*$B$77,IF(M$2&lt;=$A102+$B$80-1,$B102/$B$80,$B102-SUM($C102:L102))),0))</f>
        <v>0</v>
      </c>
      <c r="N102" s="4">
        <f>IF($B$80=0,0,IF(N$2&gt;=$A102,IF(N$2=$A102,($B102/$B$80)*$B$77,IF(N$2&lt;=$A102+$B$80-1,$B102/$B$80,$B102-SUM($C102:M102))),0))</f>
        <v>0</v>
      </c>
      <c r="O102" s="4">
        <f>IF($B$80=0,0,IF(O$2&gt;=$A102,IF(O$2=$A102,($B102/$B$80)*$B$77,IF(O$2&lt;=$A102+$B$80-1,$B102/$B$80,$B102-SUM($C102:N102))),0))</f>
        <v>0</v>
      </c>
      <c r="P102" s="4">
        <f>IF($B$80=0,0,IF(P$2&gt;=$A102,IF(P$2=$A102,($B102/$B$80)*$B$77,IF(P$2&lt;=$A102+$B$80-1,$B102/$B$80,$B102-SUM($C102:O102))),0))</f>
        <v>0</v>
      </c>
      <c r="Q102" s="4">
        <f>IF($B$80=0,0,IF(Q$2&gt;=$A102,IF(Q$2=$A102,($B102/$B$80)*$B$77,IF(Q$2&lt;=$A102+$B$80-1,$B102/$B$80,$B102-SUM($C102:P102))),0))</f>
        <v>0</v>
      </c>
      <c r="R102" s="4">
        <f>IF($B$80=0,0,IF(R$2&gt;=$A102,IF(R$2=$A102,($B102/$B$80)*$B$77,IF(R$2&lt;=$A102+$B$80-1,$B102/$B$80,$B102-SUM($C102:Q102))),0))</f>
        <v>0</v>
      </c>
      <c r="S102" s="4">
        <f>IF($B$80=0,0,IF(S$2&gt;=$A102,IF(S$2=$A102,($B102/$B$80)*$B$77,IF(S$2&lt;=$A102+$B$80-1,$B102/$B$80,$B102-SUM($C102:R102))),0))</f>
        <v>0</v>
      </c>
      <c r="T102" s="4">
        <f>IF($B$80=0,0,IF(T$2&gt;=$A102,IF(T$2=$A102,($B102/$B$80)*$B$77,IF(T$2&lt;=$A102+$B$80-1,$B102/$B$80,$B102-SUM($C102:S102))),0))</f>
        <v>0</v>
      </c>
      <c r="U102" s="4">
        <f>IF($B$80=0,0,IF(U$2&gt;=$A102,IF(U$2=$A102,($B102/$B$80)*$B$77,IF(U$2&lt;=$A102+$B$80-1,$B102/$B$80,$B102-SUM($C102:T102))),0))</f>
        <v>0</v>
      </c>
      <c r="V102" s="4">
        <f>IF($B$80=0,0,IF(V$2&gt;=$A102,IF(V$2=$A102,($B102/$B$80)*$B$77,IF(V$2&lt;=$A102+$B$80-1,$B102/$B$80,$B102-SUM($C102:U102))),0))</f>
        <v>0</v>
      </c>
      <c r="W102" s="4">
        <f>IF($B$80=0,0,IF(W$2&gt;=$A102,IF(W$2=$A102,($B102/$B$80)*$B$77,IF(W$2&lt;=$A102+$B$80-1,$B102/$B$80,$B102-SUM($C102:V102))),0))</f>
        <v>0</v>
      </c>
      <c r="X102" s="4">
        <f>IF($B$80=0,0,IF(X$2&gt;=$A102,IF(X$2=$A102,($B102/$B$80)*$B$77,IF(X$2&lt;=$A102+$B$80-1,$B102/$B$80,$B102-SUM($C102:W102))),0))</f>
        <v>0</v>
      </c>
      <c r="Y102" s="4">
        <f>IF($B$80=0,0,IF(Y$2&gt;=$A102,IF(Y$2=$A102,($B102/$B$80)*$B$77,IF(Y$2&lt;=$A102+$B$80-1,$B102/$B$80,$B102-SUM($C102:X102))),0))</f>
        <v>0</v>
      </c>
      <c r="Z102" s="4">
        <f>IF($B$80=0,0,IF(Z$2&gt;=$A102,IF(Z$2=$A102,($B102/$B$80)*$B$77,IF(Z$2&lt;=$A102+$B$80-1,$B102/$B$80,$B102-SUM($C102:Y102))),0))</f>
        <v>0</v>
      </c>
      <c r="AA102" s="4">
        <f>IF($B$80=0,0,IF(AA$2&gt;=$A102,IF(AA$2=$A102,($B102/$B$80)*$B$77,IF(AA$2&lt;=$A102+$B$80-1,$B102/$B$80,$B102-SUM($C102:Z102))),0))</f>
        <v>0</v>
      </c>
      <c r="AB102" s="4">
        <f>IF($B$80=0,0,IF(AB$2&gt;=$A102,IF(AB$2=$A102,($B102/$B$80)*$B$77,IF(AB$2&lt;=$A102+$B$80-1,$B102/$B$80,$B102-SUM($C102:AA102))),0))</f>
        <v>0</v>
      </c>
      <c r="AC102" s="4">
        <f>IF($B$80=0,0,IF(AC$2&gt;=$A102,IF(AC$2=$A102,($B102/$B$80)*$B$77,IF(AC$2&lt;=$A102+$B$80-1,$B102/$B$80,$B102-SUM($C102:AB102))),0))</f>
        <v>0</v>
      </c>
      <c r="AD102" s="4">
        <f>IF($B$80=0,0,IF(AD$2&gt;=$A102,IF(AD$2=$A102,($B102/$B$80)*$B$77,IF(AD$2&lt;=$A102+$B$80-1,$B102/$B$80,$B102-SUM($C102:AC102))),0))</f>
        <v>0</v>
      </c>
      <c r="AE102" s="4">
        <f>IF($B$80=0,0,IF(AE$2&gt;=$A102,IF(AE$2=$A102,($B102/$B$80)*$B$77,IF(AE$2&lt;=$A102+$B$80-1,$B102/$B$80,$B102-SUM($C102:AD102))),0))</f>
        <v>0</v>
      </c>
      <c r="AF102" s="4">
        <f>IF($B$80=0,0,IF(AF$2&gt;=$A102,IF(AF$2=$A102,($B102/$B$80)*$B$77,IF(AF$2&lt;=$A102+$B$80-1,$B102/$B$80,$B102-SUM($C102:AE102))),0))</f>
        <v>0</v>
      </c>
      <c r="AG102" s="4">
        <f t="shared" si="58"/>
        <v>0</v>
      </c>
    </row>
    <row r="103" spans="1:33">
      <c r="A103" s="6">
        <f t="shared" si="59"/>
        <v>2044</v>
      </c>
      <c r="B103" s="4">
        <f t="shared" si="57"/>
        <v>0</v>
      </c>
      <c r="C103" s="4">
        <f>IF($B$80=0,0,IF(C$2&gt;=$A103,IF(C$2=$A103,($B103/$B$80)*$B$77,IF(C$2&lt;=$A103+$B$80-1,$B103/$B$80,$B103-SUM(B103:$C103))),0))</f>
        <v>0</v>
      </c>
      <c r="D103" s="4">
        <f>IF($B$80=0,0,IF(D$2&gt;=$A103,IF(D$2=$A103,($B103/$B$80)*$B$77,IF(D$2&lt;=$A103+$B$80-1,$B103/$B$80,$B103-SUM(C103:$C103))),0))</f>
        <v>0</v>
      </c>
      <c r="E103" s="4">
        <f>IF($B$80=0,0,IF(E$2&gt;=$A103,IF(E$2=$A103,($B103/$B$80)*$B$77,IF(E$2&lt;=$A103+$B$80-1,$B103/$B$80,$B103-SUM($C103:D103))),0))</f>
        <v>0</v>
      </c>
      <c r="F103" s="4">
        <f>IF($B$80=0,0,IF(F$2&gt;=$A103,IF(F$2=$A103,($B103/$B$80)*$B$77,IF(F$2&lt;=$A103+$B$80-1,$B103/$B$80,$B103-SUM($C103:E103))),0))</f>
        <v>0</v>
      </c>
      <c r="G103" s="4">
        <f>IF($B$80=0,0,IF(G$2&gt;=$A103,IF(G$2=$A103,($B103/$B$80)*$B$77,IF(G$2&lt;=$A103+$B$80-1,$B103/$B$80,$B103-SUM($C103:F103))),0))</f>
        <v>0</v>
      </c>
      <c r="H103" s="4">
        <f>IF($B$80=0,0,IF(H$2&gt;=$A103,IF(H$2=$A103,($B103/$B$80)*$B$77,IF(H$2&lt;=$A103+$B$80-1,$B103/$B$80,$B103-SUM($C103:G103))),0))</f>
        <v>0</v>
      </c>
      <c r="I103" s="4">
        <f>IF($B$80=0,0,IF(I$2&gt;=$A103,IF(I$2=$A103,($B103/$B$80)*$B$77,IF(I$2&lt;=$A103+$B$80-1,$B103/$B$80,$B103-SUM($C103:H103))),0))</f>
        <v>0</v>
      </c>
      <c r="J103" s="4">
        <f>IF($B$80=0,0,IF(J$2&gt;=$A103,IF(J$2=$A103,($B103/$B$80)*$B$77,IF(J$2&lt;=$A103+$B$80-1,$B103/$B$80,$B103-SUM($C103:I103))),0))</f>
        <v>0</v>
      </c>
      <c r="K103" s="4">
        <f>IF($B$80=0,0,IF(K$2&gt;=$A103,IF(K$2=$A103,($B103/$B$80)*$B$77,IF(K$2&lt;=$A103+$B$80-1,$B103/$B$80,$B103-SUM($C103:J103))),0))</f>
        <v>0</v>
      </c>
      <c r="L103" s="4">
        <f>IF($B$80=0,0,IF(L$2&gt;=$A103,IF(L$2=$A103,($B103/$B$80)*$B$77,IF(L$2&lt;=$A103+$B$80-1,$B103/$B$80,$B103-SUM($C103:K103))),0))</f>
        <v>0</v>
      </c>
      <c r="M103" s="4">
        <f>IF($B$80=0,0,IF(M$2&gt;=$A103,IF(M$2=$A103,($B103/$B$80)*$B$77,IF(M$2&lt;=$A103+$B$80-1,$B103/$B$80,$B103-SUM($C103:L103))),0))</f>
        <v>0</v>
      </c>
      <c r="N103" s="4">
        <f>IF($B$80=0,0,IF(N$2&gt;=$A103,IF(N$2=$A103,($B103/$B$80)*$B$77,IF(N$2&lt;=$A103+$B$80-1,$B103/$B$80,$B103-SUM($C103:M103))),0))</f>
        <v>0</v>
      </c>
      <c r="O103" s="4">
        <f>IF($B$80=0,0,IF(O$2&gt;=$A103,IF(O$2=$A103,($B103/$B$80)*$B$77,IF(O$2&lt;=$A103+$B$80-1,$B103/$B$80,$B103-SUM($C103:N103))),0))</f>
        <v>0</v>
      </c>
      <c r="P103" s="4">
        <f>IF($B$80=0,0,IF(P$2&gt;=$A103,IF(P$2=$A103,($B103/$B$80)*$B$77,IF(P$2&lt;=$A103+$B$80-1,$B103/$B$80,$B103-SUM($C103:O103))),0))</f>
        <v>0</v>
      </c>
      <c r="Q103" s="4">
        <f>IF($B$80=0,0,IF(Q$2&gt;=$A103,IF(Q$2=$A103,($B103/$B$80)*$B$77,IF(Q$2&lt;=$A103+$B$80-1,$B103/$B$80,$B103-SUM($C103:P103))),0))</f>
        <v>0</v>
      </c>
      <c r="R103" s="4">
        <f>IF($B$80=0,0,IF(R$2&gt;=$A103,IF(R$2=$A103,($B103/$B$80)*$B$77,IF(R$2&lt;=$A103+$B$80-1,$B103/$B$80,$B103-SUM($C103:Q103))),0))</f>
        <v>0</v>
      </c>
      <c r="S103" s="4">
        <f>IF($B$80=0,0,IF(S$2&gt;=$A103,IF(S$2=$A103,($B103/$B$80)*$B$77,IF(S$2&lt;=$A103+$B$80-1,$B103/$B$80,$B103-SUM($C103:R103))),0))</f>
        <v>0</v>
      </c>
      <c r="T103" s="4">
        <f>IF($B$80=0,0,IF(T$2&gt;=$A103,IF(T$2=$A103,($B103/$B$80)*$B$77,IF(T$2&lt;=$A103+$B$80-1,$B103/$B$80,$B103-SUM($C103:S103))),0))</f>
        <v>0</v>
      </c>
      <c r="U103" s="4">
        <f>IF($B$80=0,0,IF(U$2&gt;=$A103,IF(U$2=$A103,($B103/$B$80)*$B$77,IF(U$2&lt;=$A103+$B$80-1,$B103/$B$80,$B103-SUM($C103:T103))),0))</f>
        <v>0</v>
      </c>
      <c r="V103" s="4">
        <f>IF($B$80=0,0,IF(V$2&gt;=$A103,IF(V$2=$A103,($B103/$B$80)*$B$77,IF(V$2&lt;=$A103+$B$80-1,$B103/$B$80,$B103-SUM($C103:U103))),0))</f>
        <v>0</v>
      </c>
      <c r="W103" s="4">
        <f>IF($B$80=0,0,IF(W$2&gt;=$A103,IF(W$2=$A103,($B103/$B$80)*$B$77,IF(W$2&lt;=$A103+$B$80-1,$B103/$B$80,$B103-SUM($C103:V103))),0))</f>
        <v>0</v>
      </c>
      <c r="X103" s="4">
        <f>IF($B$80=0,0,IF(X$2&gt;=$A103,IF(X$2=$A103,($B103/$B$80)*$B$77,IF(X$2&lt;=$A103+$B$80-1,$B103/$B$80,$B103-SUM($C103:W103))),0))</f>
        <v>0</v>
      </c>
      <c r="Y103" s="4">
        <f>IF($B$80=0,0,IF(Y$2&gt;=$A103,IF(Y$2=$A103,($B103/$B$80)*$B$77,IF(Y$2&lt;=$A103+$B$80-1,$B103/$B$80,$B103-SUM($C103:X103))),0))</f>
        <v>0</v>
      </c>
      <c r="Z103" s="4">
        <f>IF($B$80=0,0,IF(Z$2&gt;=$A103,IF(Z$2=$A103,($B103/$B$80)*$B$77,IF(Z$2&lt;=$A103+$B$80-1,$B103/$B$80,$B103-SUM($C103:Y103))),0))</f>
        <v>0</v>
      </c>
      <c r="AA103" s="4">
        <f>IF($B$80=0,0,IF(AA$2&gt;=$A103,IF(AA$2=$A103,($B103/$B$80)*$B$77,IF(AA$2&lt;=$A103+$B$80-1,$B103/$B$80,$B103-SUM($C103:Z103))),0))</f>
        <v>0</v>
      </c>
      <c r="AB103" s="4">
        <f>IF($B$80=0,0,IF(AB$2&gt;=$A103,IF(AB$2=$A103,($B103/$B$80)*$B$77,IF(AB$2&lt;=$A103+$B$80-1,$B103/$B$80,$B103-SUM($C103:AA103))),0))</f>
        <v>0</v>
      </c>
      <c r="AC103" s="4">
        <f>IF($B$80=0,0,IF(AC$2&gt;=$A103,IF(AC$2=$A103,($B103/$B$80)*$B$77,IF(AC$2&lt;=$A103+$B$80-1,$B103/$B$80,$B103-SUM($C103:AB103))),0))</f>
        <v>0</v>
      </c>
      <c r="AD103" s="4">
        <f>IF($B$80=0,0,IF(AD$2&gt;=$A103,IF(AD$2=$A103,($B103/$B$80)*$B$77,IF(AD$2&lt;=$A103+$B$80-1,$B103/$B$80,$B103-SUM($C103:AC103))),0))</f>
        <v>0</v>
      </c>
      <c r="AE103" s="4">
        <f>IF($B$80=0,0,IF(AE$2&gt;=$A103,IF(AE$2=$A103,($B103/$B$80)*$B$77,IF(AE$2&lt;=$A103+$B$80-1,$B103/$B$80,$B103-SUM($C103:AD103))),0))</f>
        <v>0</v>
      </c>
      <c r="AF103" s="4">
        <f>IF($B$80=0,0,IF(AF$2&gt;=$A103,IF(AF$2=$A103,($B103/$B$80)*$B$77,IF(AF$2&lt;=$A103+$B$80-1,$B103/$B$80,$B103-SUM($C103:AE103))),0))</f>
        <v>0</v>
      </c>
      <c r="AG103" s="4">
        <f t="shared" si="58"/>
        <v>0</v>
      </c>
    </row>
    <row r="104" spans="1:33">
      <c r="A104" s="6">
        <f t="shared" si="59"/>
        <v>2045</v>
      </c>
      <c r="B104" s="4">
        <f t="shared" si="57"/>
        <v>0</v>
      </c>
      <c r="C104" s="4">
        <f>IF($B$80=0,0,IF(C$2&gt;=$A104,IF(C$2=$A104,($B104/$B$80)*$B$77,IF(C$2&lt;=$A104+$B$80-1,$B104/$B$80,$B104-SUM(B104:$C104))),0))</f>
        <v>0</v>
      </c>
      <c r="D104" s="4">
        <f>IF($B$80=0,0,IF(D$2&gt;=$A104,IF(D$2=$A104,($B104/$B$80)*$B$77,IF(D$2&lt;=$A104+$B$80-1,$B104/$B$80,$B104-SUM(C104:$C104))),0))</f>
        <v>0</v>
      </c>
      <c r="E104" s="4">
        <f>IF($B$80=0,0,IF(E$2&gt;=$A104,IF(E$2=$A104,($B104/$B$80)*$B$77,IF(E$2&lt;=$A104+$B$80-1,$B104/$B$80,$B104-SUM($C104:D104))),0))</f>
        <v>0</v>
      </c>
      <c r="F104" s="4">
        <f>IF($B$80=0,0,IF(F$2&gt;=$A104,IF(F$2=$A104,($B104/$B$80)*$B$77,IF(F$2&lt;=$A104+$B$80-1,$B104/$B$80,$B104-SUM($C104:E104))),0))</f>
        <v>0</v>
      </c>
      <c r="G104" s="4">
        <f>IF($B$80=0,0,IF(G$2&gt;=$A104,IF(G$2=$A104,($B104/$B$80)*$B$77,IF(G$2&lt;=$A104+$B$80-1,$B104/$B$80,$B104-SUM($C104:F104))),0))</f>
        <v>0</v>
      </c>
      <c r="H104" s="4">
        <f>IF($B$80=0,0,IF(H$2&gt;=$A104,IF(H$2=$A104,($B104/$B$80)*$B$77,IF(H$2&lt;=$A104+$B$80-1,$B104/$B$80,$B104-SUM($C104:G104))),0))</f>
        <v>0</v>
      </c>
      <c r="I104" s="4">
        <f>IF($B$80=0,0,IF(I$2&gt;=$A104,IF(I$2=$A104,($B104/$B$80)*$B$77,IF(I$2&lt;=$A104+$B$80-1,$B104/$B$80,$B104-SUM($C104:H104))),0))</f>
        <v>0</v>
      </c>
      <c r="J104" s="4">
        <f>IF($B$80=0,0,IF(J$2&gt;=$A104,IF(J$2=$A104,($B104/$B$80)*$B$77,IF(J$2&lt;=$A104+$B$80-1,$B104/$B$80,$B104-SUM($C104:I104))),0))</f>
        <v>0</v>
      </c>
      <c r="K104" s="4">
        <f>IF($B$80=0,0,IF(K$2&gt;=$A104,IF(K$2=$A104,($B104/$B$80)*$B$77,IF(K$2&lt;=$A104+$B$80-1,$B104/$B$80,$B104-SUM($C104:J104))),0))</f>
        <v>0</v>
      </c>
      <c r="L104" s="4">
        <f>IF($B$80=0,0,IF(L$2&gt;=$A104,IF(L$2=$A104,($B104/$B$80)*$B$77,IF(L$2&lt;=$A104+$B$80-1,$B104/$B$80,$B104-SUM($C104:K104))),0))</f>
        <v>0</v>
      </c>
      <c r="M104" s="4">
        <f>IF($B$80=0,0,IF(M$2&gt;=$A104,IF(M$2=$A104,($B104/$B$80)*$B$77,IF(M$2&lt;=$A104+$B$80-1,$B104/$B$80,$B104-SUM($C104:L104))),0))</f>
        <v>0</v>
      </c>
      <c r="N104" s="4">
        <f>IF($B$80=0,0,IF(N$2&gt;=$A104,IF(N$2=$A104,($B104/$B$80)*$B$77,IF(N$2&lt;=$A104+$B$80-1,$B104/$B$80,$B104-SUM($C104:M104))),0))</f>
        <v>0</v>
      </c>
      <c r="O104" s="4">
        <f>IF($B$80=0,0,IF(O$2&gt;=$A104,IF(O$2=$A104,($B104/$B$80)*$B$77,IF(O$2&lt;=$A104+$B$80-1,$B104/$B$80,$B104-SUM($C104:N104))),0))</f>
        <v>0</v>
      </c>
      <c r="P104" s="4">
        <f>IF($B$80=0,0,IF(P$2&gt;=$A104,IF(P$2=$A104,($B104/$B$80)*$B$77,IF(P$2&lt;=$A104+$B$80-1,$B104/$B$80,$B104-SUM($C104:O104))),0))</f>
        <v>0</v>
      </c>
      <c r="Q104" s="4">
        <f>IF($B$80=0,0,IF(Q$2&gt;=$A104,IF(Q$2=$A104,($B104/$B$80)*$B$77,IF(Q$2&lt;=$A104+$B$80-1,$B104/$B$80,$B104-SUM($C104:P104))),0))</f>
        <v>0</v>
      </c>
      <c r="R104" s="4">
        <f>IF($B$80=0,0,IF(R$2&gt;=$A104,IF(R$2=$A104,($B104/$B$80)*$B$77,IF(R$2&lt;=$A104+$B$80-1,$B104/$B$80,$B104-SUM($C104:Q104))),0))</f>
        <v>0</v>
      </c>
      <c r="S104" s="4">
        <f>IF($B$80=0,0,IF(S$2&gt;=$A104,IF(S$2=$A104,($B104/$B$80)*$B$77,IF(S$2&lt;=$A104+$B$80-1,$B104/$B$80,$B104-SUM($C104:R104))),0))</f>
        <v>0</v>
      </c>
      <c r="T104" s="4">
        <f>IF($B$80=0,0,IF(T$2&gt;=$A104,IF(T$2=$A104,($B104/$B$80)*$B$77,IF(T$2&lt;=$A104+$B$80-1,$B104/$B$80,$B104-SUM($C104:S104))),0))</f>
        <v>0</v>
      </c>
      <c r="U104" s="4">
        <f>IF($B$80=0,0,IF(U$2&gt;=$A104,IF(U$2=$A104,($B104/$B$80)*$B$77,IF(U$2&lt;=$A104+$B$80-1,$B104/$B$80,$B104-SUM($C104:T104))),0))</f>
        <v>0</v>
      </c>
      <c r="V104" s="4">
        <f>IF($B$80=0,0,IF(V$2&gt;=$A104,IF(V$2=$A104,($B104/$B$80)*$B$77,IF(V$2&lt;=$A104+$B$80-1,$B104/$B$80,$B104-SUM($C104:U104))),0))</f>
        <v>0</v>
      </c>
      <c r="W104" s="4">
        <f>IF($B$80=0,0,IF(W$2&gt;=$A104,IF(W$2=$A104,($B104/$B$80)*$B$77,IF(W$2&lt;=$A104+$B$80-1,$B104/$B$80,$B104-SUM($C104:V104))),0))</f>
        <v>0</v>
      </c>
      <c r="X104" s="4">
        <f>IF($B$80=0,0,IF(X$2&gt;=$A104,IF(X$2=$A104,($B104/$B$80)*$B$77,IF(X$2&lt;=$A104+$B$80-1,$B104/$B$80,$B104-SUM($C104:W104))),0))</f>
        <v>0</v>
      </c>
      <c r="Y104" s="4">
        <f>IF($B$80=0,0,IF(Y$2&gt;=$A104,IF(Y$2=$A104,($B104/$B$80)*$B$77,IF(Y$2&lt;=$A104+$B$80-1,$B104/$B$80,$B104-SUM($C104:X104))),0))</f>
        <v>0</v>
      </c>
      <c r="Z104" s="4">
        <f>IF($B$80=0,0,IF(Z$2&gt;=$A104,IF(Z$2=$A104,($B104/$B$80)*$B$77,IF(Z$2&lt;=$A104+$B$80-1,$B104/$B$80,$B104-SUM($C104:Y104))),0))</f>
        <v>0</v>
      </c>
      <c r="AA104" s="4">
        <f>IF($B$80=0,0,IF(AA$2&gt;=$A104,IF(AA$2=$A104,($B104/$B$80)*$B$77,IF(AA$2&lt;=$A104+$B$80-1,$B104/$B$80,$B104-SUM($C104:Z104))),0))</f>
        <v>0</v>
      </c>
      <c r="AB104" s="4">
        <f>IF($B$80=0,0,IF(AB$2&gt;=$A104,IF(AB$2=$A104,($B104/$B$80)*$B$77,IF(AB$2&lt;=$A104+$B$80-1,$B104/$B$80,$B104-SUM($C104:AA104))),0))</f>
        <v>0</v>
      </c>
      <c r="AC104" s="4">
        <f>IF($B$80=0,0,IF(AC$2&gt;=$A104,IF(AC$2=$A104,($B104/$B$80)*$B$77,IF(AC$2&lt;=$A104+$B$80-1,$B104/$B$80,$B104-SUM($C104:AB104))),0))</f>
        <v>0</v>
      </c>
      <c r="AD104" s="4">
        <f>IF($B$80=0,0,IF(AD$2&gt;=$A104,IF(AD$2=$A104,($B104/$B$80)*$B$77,IF(AD$2&lt;=$A104+$B$80-1,$B104/$B$80,$B104-SUM($C104:AC104))),0))</f>
        <v>0</v>
      </c>
      <c r="AE104" s="4">
        <f>IF($B$80=0,0,IF(AE$2&gt;=$A104,IF(AE$2=$A104,($B104/$B$80)*$B$77,IF(AE$2&lt;=$A104+$B$80-1,$B104/$B$80,$B104-SUM($C104:AD104))),0))</f>
        <v>0</v>
      </c>
      <c r="AF104" s="4">
        <f>IF($B$80=0,0,IF(AF$2&gt;=$A104,IF(AF$2=$A104,($B104/$B$80)*$B$77,IF(AF$2&lt;=$A104+$B$80-1,$B104/$B$80,$B104-SUM($C104:AE104))),0))</f>
        <v>0</v>
      </c>
      <c r="AG104" s="4">
        <f t="shared" si="58"/>
        <v>0</v>
      </c>
    </row>
    <row r="105" spans="1:33">
      <c r="A105" s="6">
        <f t="shared" si="59"/>
        <v>2046</v>
      </c>
      <c r="B105" s="4">
        <f t="shared" si="57"/>
        <v>0</v>
      </c>
      <c r="C105" s="4">
        <f>IF($B$80=0,0,IF(C$2&gt;=$A105,IF(C$2=$A105,($B105/$B$80)*$B$77,IF(C$2&lt;=$A105+$B$80-1,$B105/$B$80,$B105-SUM(B105:$C105))),0))</f>
        <v>0</v>
      </c>
      <c r="D105" s="4">
        <f>IF($B$80=0,0,IF(D$2&gt;=$A105,IF(D$2=$A105,($B105/$B$80)*$B$77,IF(D$2&lt;=$A105+$B$80-1,$B105/$B$80,$B105-SUM(C105:$C105))),0))</f>
        <v>0</v>
      </c>
      <c r="E105" s="4">
        <f>IF($B$80=0,0,IF(E$2&gt;=$A105,IF(E$2=$A105,($B105/$B$80)*$B$77,IF(E$2&lt;=$A105+$B$80-1,$B105/$B$80,$B105-SUM($C105:D105))),0))</f>
        <v>0</v>
      </c>
      <c r="F105" s="4">
        <f>IF($B$80=0,0,IF(F$2&gt;=$A105,IF(F$2=$A105,($B105/$B$80)*$B$77,IF(F$2&lt;=$A105+$B$80-1,$B105/$B$80,$B105-SUM($C105:E105))),0))</f>
        <v>0</v>
      </c>
      <c r="G105" s="4">
        <f>IF($B$80=0,0,IF(G$2&gt;=$A105,IF(G$2=$A105,($B105/$B$80)*$B$77,IF(G$2&lt;=$A105+$B$80-1,$B105/$B$80,$B105-SUM($C105:F105))),0))</f>
        <v>0</v>
      </c>
      <c r="H105" s="4">
        <f>IF($B$80=0,0,IF(H$2&gt;=$A105,IF(H$2=$A105,($B105/$B$80)*$B$77,IF(H$2&lt;=$A105+$B$80-1,$B105/$B$80,$B105-SUM($C105:G105))),0))</f>
        <v>0</v>
      </c>
      <c r="I105" s="4">
        <f>IF($B$80=0,0,IF(I$2&gt;=$A105,IF(I$2=$A105,($B105/$B$80)*$B$77,IF(I$2&lt;=$A105+$B$80-1,$B105/$B$80,$B105-SUM($C105:H105))),0))</f>
        <v>0</v>
      </c>
      <c r="J105" s="4">
        <f>IF($B$80=0,0,IF(J$2&gt;=$A105,IF(J$2=$A105,($B105/$B$80)*$B$77,IF(J$2&lt;=$A105+$B$80-1,$B105/$B$80,$B105-SUM($C105:I105))),0))</f>
        <v>0</v>
      </c>
      <c r="K105" s="4">
        <f>IF($B$80=0,0,IF(K$2&gt;=$A105,IF(K$2=$A105,($B105/$B$80)*$B$77,IF(K$2&lt;=$A105+$B$80-1,$B105/$B$80,$B105-SUM($C105:J105))),0))</f>
        <v>0</v>
      </c>
      <c r="L105" s="4">
        <f>IF($B$80=0,0,IF(L$2&gt;=$A105,IF(L$2=$A105,($B105/$B$80)*$B$77,IF(L$2&lt;=$A105+$B$80-1,$B105/$B$80,$B105-SUM($C105:K105))),0))</f>
        <v>0</v>
      </c>
      <c r="M105" s="4">
        <f>IF($B$80=0,0,IF(M$2&gt;=$A105,IF(M$2=$A105,($B105/$B$80)*$B$77,IF(M$2&lt;=$A105+$B$80-1,$B105/$B$80,$B105-SUM($C105:L105))),0))</f>
        <v>0</v>
      </c>
      <c r="N105" s="4">
        <f>IF($B$80=0,0,IF(N$2&gt;=$A105,IF(N$2=$A105,($B105/$B$80)*$B$77,IF(N$2&lt;=$A105+$B$80-1,$B105/$B$80,$B105-SUM($C105:M105))),0))</f>
        <v>0</v>
      </c>
      <c r="O105" s="4">
        <f>IF($B$80=0,0,IF(O$2&gt;=$A105,IF(O$2=$A105,($B105/$B$80)*$B$77,IF(O$2&lt;=$A105+$B$80-1,$B105/$B$80,$B105-SUM($C105:N105))),0))</f>
        <v>0</v>
      </c>
      <c r="P105" s="4">
        <f>IF($B$80=0,0,IF(P$2&gt;=$A105,IF(P$2=$A105,($B105/$B$80)*$B$77,IF(P$2&lt;=$A105+$B$80-1,$B105/$B$80,$B105-SUM($C105:O105))),0))</f>
        <v>0</v>
      </c>
      <c r="Q105" s="4">
        <f>IF($B$80=0,0,IF(Q$2&gt;=$A105,IF(Q$2=$A105,($B105/$B$80)*$B$77,IF(Q$2&lt;=$A105+$B$80-1,$B105/$B$80,$B105-SUM($C105:P105))),0))</f>
        <v>0</v>
      </c>
      <c r="R105" s="4">
        <f>IF($B$80=0,0,IF(R$2&gt;=$A105,IF(R$2=$A105,($B105/$B$80)*$B$77,IF(R$2&lt;=$A105+$B$80-1,$B105/$B$80,$B105-SUM($C105:Q105))),0))</f>
        <v>0</v>
      </c>
      <c r="S105" s="4">
        <f>IF($B$80=0,0,IF(S$2&gt;=$A105,IF(S$2=$A105,($B105/$B$80)*$B$77,IF(S$2&lt;=$A105+$B$80-1,$B105/$B$80,$B105-SUM($C105:R105))),0))</f>
        <v>0</v>
      </c>
      <c r="T105" s="4">
        <f>IF($B$80=0,0,IF(T$2&gt;=$A105,IF(T$2=$A105,($B105/$B$80)*$B$77,IF(T$2&lt;=$A105+$B$80-1,$B105/$B$80,$B105-SUM($C105:S105))),0))</f>
        <v>0</v>
      </c>
      <c r="U105" s="4">
        <f>IF($B$80=0,0,IF(U$2&gt;=$A105,IF(U$2=$A105,($B105/$B$80)*$B$77,IF(U$2&lt;=$A105+$B$80-1,$B105/$B$80,$B105-SUM($C105:T105))),0))</f>
        <v>0</v>
      </c>
      <c r="V105" s="4">
        <f>IF($B$80=0,0,IF(V$2&gt;=$A105,IF(V$2=$A105,($B105/$B$80)*$B$77,IF(V$2&lt;=$A105+$B$80-1,$B105/$B$80,$B105-SUM($C105:U105))),0))</f>
        <v>0</v>
      </c>
      <c r="W105" s="4">
        <f>IF($B$80=0,0,IF(W$2&gt;=$A105,IF(W$2=$A105,($B105/$B$80)*$B$77,IF(W$2&lt;=$A105+$B$80-1,$B105/$B$80,$B105-SUM($C105:V105))),0))</f>
        <v>0</v>
      </c>
      <c r="X105" s="4">
        <f>IF($B$80=0,0,IF(X$2&gt;=$A105,IF(X$2=$A105,($B105/$B$80)*$B$77,IF(X$2&lt;=$A105+$B$80-1,$B105/$B$80,$B105-SUM($C105:W105))),0))</f>
        <v>0</v>
      </c>
      <c r="Y105" s="4">
        <f>IF($B$80=0,0,IF(Y$2&gt;=$A105,IF(Y$2=$A105,($B105/$B$80)*$B$77,IF(Y$2&lt;=$A105+$B$80-1,$B105/$B$80,$B105-SUM($C105:X105))),0))</f>
        <v>0</v>
      </c>
      <c r="Z105" s="4">
        <f>IF($B$80=0,0,IF(Z$2&gt;=$A105,IF(Z$2=$A105,($B105/$B$80)*$B$77,IF(Z$2&lt;=$A105+$B$80-1,$B105/$B$80,$B105-SUM($C105:Y105))),0))</f>
        <v>0</v>
      </c>
      <c r="AA105" s="4">
        <f>IF($B$80=0,0,IF(AA$2&gt;=$A105,IF(AA$2=$A105,($B105/$B$80)*$B$77,IF(AA$2&lt;=$A105+$B$80-1,$B105/$B$80,$B105-SUM($C105:Z105))),0))</f>
        <v>0</v>
      </c>
      <c r="AB105" s="4">
        <f>IF($B$80=0,0,IF(AB$2&gt;=$A105,IF(AB$2=$A105,($B105/$B$80)*$B$77,IF(AB$2&lt;=$A105+$B$80-1,$B105/$B$80,$B105-SUM($C105:AA105))),0))</f>
        <v>0</v>
      </c>
      <c r="AC105" s="4">
        <f>IF($B$80=0,0,IF(AC$2&gt;=$A105,IF(AC$2=$A105,($B105/$B$80)*$B$77,IF(AC$2&lt;=$A105+$B$80-1,$B105/$B$80,$B105-SUM($C105:AB105))),0))</f>
        <v>0</v>
      </c>
      <c r="AD105" s="4">
        <f>IF($B$80=0,0,IF(AD$2&gt;=$A105,IF(AD$2=$A105,($B105/$B$80)*$B$77,IF(AD$2&lt;=$A105+$B$80-1,$B105/$B$80,$B105-SUM($C105:AC105))),0))</f>
        <v>0</v>
      </c>
      <c r="AE105" s="4">
        <f>IF($B$80=0,0,IF(AE$2&gt;=$A105,IF(AE$2=$A105,($B105/$B$80)*$B$77,IF(AE$2&lt;=$A105+$B$80-1,$B105/$B$80,$B105-SUM($C105:AD105))),0))</f>
        <v>0</v>
      </c>
      <c r="AF105" s="4">
        <f>IF($B$80=0,0,IF(AF$2&gt;=$A105,IF(AF$2=$A105,($B105/$B$80)*$B$77,IF(AF$2&lt;=$A105+$B$80-1,$B105/$B$80,$B105-SUM($C105:AE105))),0))</f>
        <v>0</v>
      </c>
      <c r="AG105" s="4">
        <f t="shared" si="58"/>
        <v>0</v>
      </c>
    </row>
    <row r="106" spans="1:33">
      <c r="A106" s="6">
        <f t="shared" si="59"/>
        <v>2047</v>
      </c>
      <c r="B106" s="4">
        <f t="shared" si="57"/>
        <v>0</v>
      </c>
      <c r="C106" s="4">
        <f>IF($B$80=0,0,IF(C$2&gt;=$A106,IF(C$2=$A106,($B106/$B$80)*$B$77,IF(C$2&lt;=$A106+$B$80-1,$B106/$B$80,$B106-SUM(B106:$C106))),0))</f>
        <v>0</v>
      </c>
      <c r="D106" s="4">
        <f>IF($B$80=0,0,IF(D$2&gt;=$A106,IF(D$2=$A106,($B106/$B$80)*$B$77,IF(D$2&lt;=$A106+$B$80-1,$B106/$B$80,$B106-SUM(C106:$C106))),0))</f>
        <v>0</v>
      </c>
      <c r="E106" s="4">
        <f>IF($B$80=0,0,IF(E$2&gt;=$A106,IF(E$2=$A106,($B106/$B$80)*$B$77,IF(E$2&lt;=$A106+$B$80-1,$B106/$B$80,$B106-SUM($C106:D106))),0))</f>
        <v>0</v>
      </c>
      <c r="F106" s="4">
        <f>IF($B$80=0,0,IF(F$2&gt;=$A106,IF(F$2=$A106,($B106/$B$80)*$B$77,IF(F$2&lt;=$A106+$B$80-1,$B106/$B$80,$B106-SUM($C106:E106))),0))</f>
        <v>0</v>
      </c>
      <c r="G106" s="4">
        <f>IF($B$80=0,0,IF(G$2&gt;=$A106,IF(G$2=$A106,($B106/$B$80)*$B$77,IF(G$2&lt;=$A106+$B$80-1,$B106/$B$80,$B106-SUM($C106:F106))),0))</f>
        <v>0</v>
      </c>
      <c r="H106" s="4">
        <f>IF($B$80=0,0,IF(H$2&gt;=$A106,IF(H$2=$A106,($B106/$B$80)*$B$77,IF(H$2&lt;=$A106+$B$80-1,$B106/$B$80,$B106-SUM($C106:G106))),0))</f>
        <v>0</v>
      </c>
      <c r="I106" s="4">
        <f>IF($B$80=0,0,IF(I$2&gt;=$A106,IF(I$2=$A106,($B106/$B$80)*$B$77,IF(I$2&lt;=$A106+$B$80-1,$B106/$B$80,$B106-SUM($C106:H106))),0))</f>
        <v>0</v>
      </c>
      <c r="J106" s="4">
        <f>IF($B$80=0,0,IF(J$2&gt;=$A106,IF(J$2=$A106,($B106/$B$80)*$B$77,IF(J$2&lt;=$A106+$B$80-1,$B106/$B$80,$B106-SUM($C106:I106))),0))</f>
        <v>0</v>
      </c>
      <c r="K106" s="4">
        <f>IF($B$80=0,0,IF(K$2&gt;=$A106,IF(K$2=$A106,($B106/$B$80)*$B$77,IF(K$2&lt;=$A106+$B$80-1,$B106/$B$80,$B106-SUM($C106:J106))),0))</f>
        <v>0</v>
      </c>
      <c r="L106" s="4">
        <f>IF($B$80=0,0,IF(L$2&gt;=$A106,IF(L$2=$A106,($B106/$B$80)*$B$77,IF(L$2&lt;=$A106+$B$80-1,$B106/$B$80,$B106-SUM($C106:K106))),0))</f>
        <v>0</v>
      </c>
      <c r="M106" s="4">
        <f>IF($B$80=0,0,IF(M$2&gt;=$A106,IF(M$2=$A106,($B106/$B$80)*$B$77,IF(M$2&lt;=$A106+$B$80-1,$B106/$B$80,$B106-SUM($C106:L106))),0))</f>
        <v>0</v>
      </c>
      <c r="N106" s="4">
        <f>IF($B$80=0,0,IF(N$2&gt;=$A106,IF(N$2=$A106,($B106/$B$80)*$B$77,IF(N$2&lt;=$A106+$B$80-1,$B106/$B$80,$B106-SUM($C106:M106))),0))</f>
        <v>0</v>
      </c>
      <c r="O106" s="4">
        <f>IF($B$80=0,0,IF(O$2&gt;=$A106,IF(O$2=$A106,($B106/$B$80)*$B$77,IF(O$2&lt;=$A106+$B$80-1,$B106/$B$80,$B106-SUM($C106:N106))),0))</f>
        <v>0</v>
      </c>
      <c r="P106" s="4">
        <f>IF($B$80=0,0,IF(P$2&gt;=$A106,IF(P$2=$A106,($B106/$B$80)*$B$77,IF(P$2&lt;=$A106+$B$80-1,$B106/$B$80,$B106-SUM($C106:O106))),0))</f>
        <v>0</v>
      </c>
      <c r="Q106" s="4">
        <f>IF($B$80=0,0,IF(Q$2&gt;=$A106,IF(Q$2=$A106,($B106/$B$80)*$B$77,IF(Q$2&lt;=$A106+$B$80-1,$B106/$B$80,$B106-SUM($C106:P106))),0))</f>
        <v>0</v>
      </c>
      <c r="R106" s="4">
        <f>IF($B$80=0,0,IF(R$2&gt;=$A106,IF(R$2=$A106,($B106/$B$80)*$B$77,IF(R$2&lt;=$A106+$B$80-1,$B106/$B$80,$B106-SUM($C106:Q106))),0))</f>
        <v>0</v>
      </c>
      <c r="S106" s="4">
        <f>IF($B$80=0,0,IF(S$2&gt;=$A106,IF(S$2=$A106,($B106/$B$80)*$B$77,IF(S$2&lt;=$A106+$B$80-1,$B106/$B$80,$B106-SUM($C106:R106))),0))</f>
        <v>0</v>
      </c>
      <c r="T106" s="4">
        <f>IF($B$80=0,0,IF(T$2&gt;=$A106,IF(T$2=$A106,($B106/$B$80)*$B$77,IF(T$2&lt;=$A106+$B$80-1,$B106/$B$80,$B106-SUM($C106:S106))),0))</f>
        <v>0</v>
      </c>
      <c r="U106" s="4">
        <f>IF($B$80=0,0,IF(U$2&gt;=$A106,IF(U$2=$A106,($B106/$B$80)*$B$77,IF(U$2&lt;=$A106+$B$80-1,$B106/$B$80,$B106-SUM($C106:T106))),0))</f>
        <v>0</v>
      </c>
      <c r="V106" s="4">
        <f>IF($B$80=0,0,IF(V$2&gt;=$A106,IF(V$2=$A106,($B106/$B$80)*$B$77,IF(V$2&lt;=$A106+$B$80-1,$B106/$B$80,$B106-SUM($C106:U106))),0))</f>
        <v>0</v>
      </c>
      <c r="W106" s="4">
        <f>IF($B$80=0,0,IF(W$2&gt;=$A106,IF(W$2=$A106,($B106/$B$80)*$B$77,IF(W$2&lt;=$A106+$B$80-1,$B106/$B$80,$B106-SUM($C106:V106))),0))</f>
        <v>0</v>
      </c>
      <c r="X106" s="4">
        <f>IF($B$80=0,0,IF(X$2&gt;=$A106,IF(X$2=$A106,($B106/$B$80)*$B$77,IF(X$2&lt;=$A106+$B$80-1,$B106/$B$80,$B106-SUM($C106:W106))),0))</f>
        <v>0</v>
      </c>
      <c r="Y106" s="4">
        <f>IF($B$80=0,0,IF(Y$2&gt;=$A106,IF(Y$2=$A106,($B106/$B$80)*$B$77,IF(Y$2&lt;=$A106+$B$80-1,$B106/$B$80,$B106-SUM($C106:X106))),0))</f>
        <v>0</v>
      </c>
      <c r="Z106" s="4">
        <f>IF($B$80=0,0,IF(Z$2&gt;=$A106,IF(Z$2=$A106,($B106/$B$80)*$B$77,IF(Z$2&lt;=$A106+$B$80-1,$B106/$B$80,$B106-SUM($C106:Y106))),0))</f>
        <v>0</v>
      </c>
      <c r="AA106" s="4">
        <f>IF($B$80=0,0,IF(AA$2&gt;=$A106,IF(AA$2=$A106,($B106/$B$80)*$B$77,IF(AA$2&lt;=$A106+$B$80-1,$B106/$B$80,$B106-SUM($C106:Z106))),0))</f>
        <v>0</v>
      </c>
      <c r="AB106" s="4">
        <f>IF($B$80=0,0,IF(AB$2&gt;=$A106,IF(AB$2=$A106,($B106/$B$80)*$B$77,IF(AB$2&lt;=$A106+$B$80-1,$B106/$B$80,$B106-SUM($C106:AA106))),0))</f>
        <v>0</v>
      </c>
      <c r="AC106" s="4">
        <f>IF($B$80=0,0,IF(AC$2&gt;=$A106,IF(AC$2=$A106,($B106/$B$80)*$B$77,IF(AC$2&lt;=$A106+$B$80-1,$B106/$B$80,$B106-SUM($C106:AB106))),0))</f>
        <v>0</v>
      </c>
      <c r="AD106" s="4">
        <f>IF($B$80=0,0,IF(AD$2&gt;=$A106,IF(AD$2=$A106,($B106/$B$80)*$B$77,IF(AD$2&lt;=$A106+$B$80-1,$B106/$B$80,$B106-SUM($C106:AC106))),0))</f>
        <v>0</v>
      </c>
      <c r="AE106" s="4">
        <f>IF($B$80=0,0,IF(AE$2&gt;=$A106,IF(AE$2=$A106,($B106/$B$80)*$B$77,IF(AE$2&lt;=$A106+$B$80-1,$B106/$B$80,$B106-SUM($C106:AD106))),0))</f>
        <v>0</v>
      </c>
      <c r="AF106" s="4">
        <f>IF($B$80=0,0,IF(AF$2&gt;=$A106,IF(AF$2=$A106,($B106/$B$80)*$B$77,IF(AF$2&lt;=$A106+$B$80-1,$B106/$B$80,$B106-SUM($C106:AE106))),0))</f>
        <v>0</v>
      </c>
      <c r="AG106" s="4">
        <f t="shared" ref="AG106:AG110" si="60">SUM(C106:AF106)</f>
        <v>0</v>
      </c>
    </row>
    <row r="107" spans="1:33">
      <c r="A107" s="6">
        <f t="shared" si="59"/>
        <v>2048</v>
      </c>
      <c r="B107" s="4">
        <f t="shared" si="57"/>
        <v>0</v>
      </c>
      <c r="C107" s="4">
        <f>IF($B$80=0,0,IF(C$2&gt;=$A107,IF(C$2=$A107,($B107/$B$80)*$B$77,IF(C$2&lt;=$A107+$B$80-1,$B107/$B$80,$B107-SUM(B107:$C107))),0))</f>
        <v>0</v>
      </c>
      <c r="D107" s="4">
        <f>IF($B$80=0,0,IF(D$2&gt;=$A107,IF(D$2=$A107,($B107/$B$80)*$B$77,IF(D$2&lt;=$A107+$B$80-1,$B107/$B$80,$B107-SUM(C107:$C107))),0))</f>
        <v>0</v>
      </c>
      <c r="E107" s="4">
        <f>IF($B$80=0,0,IF(E$2&gt;=$A107,IF(E$2=$A107,($B107/$B$80)*$B$77,IF(E$2&lt;=$A107+$B$80-1,$B107/$B$80,$B107-SUM($C107:D107))),0))</f>
        <v>0</v>
      </c>
      <c r="F107" s="4">
        <f>IF($B$80=0,0,IF(F$2&gt;=$A107,IF(F$2=$A107,($B107/$B$80)*$B$77,IF(F$2&lt;=$A107+$B$80-1,$B107/$B$80,$B107-SUM($C107:E107))),0))</f>
        <v>0</v>
      </c>
      <c r="G107" s="4">
        <f>IF($B$80=0,0,IF(G$2&gt;=$A107,IF(G$2=$A107,($B107/$B$80)*$B$77,IF(G$2&lt;=$A107+$B$80-1,$B107/$B$80,$B107-SUM($C107:F107))),0))</f>
        <v>0</v>
      </c>
      <c r="H107" s="4">
        <f>IF($B$80=0,0,IF(H$2&gt;=$A107,IF(H$2=$A107,($B107/$B$80)*$B$77,IF(H$2&lt;=$A107+$B$80-1,$B107/$B$80,$B107-SUM($C107:G107))),0))</f>
        <v>0</v>
      </c>
      <c r="I107" s="4">
        <f>IF($B$80=0,0,IF(I$2&gt;=$A107,IF(I$2=$A107,($B107/$B$80)*$B$77,IF(I$2&lt;=$A107+$B$80-1,$B107/$B$80,$B107-SUM($C107:H107))),0))</f>
        <v>0</v>
      </c>
      <c r="J107" s="4">
        <f>IF($B$80=0,0,IF(J$2&gt;=$A107,IF(J$2=$A107,($B107/$B$80)*$B$77,IF(J$2&lt;=$A107+$B$80-1,$B107/$B$80,$B107-SUM($C107:I107))),0))</f>
        <v>0</v>
      </c>
      <c r="K107" s="4">
        <f>IF($B$80=0,0,IF(K$2&gt;=$A107,IF(K$2=$A107,($B107/$B$80)*$B$77,IF(K$2&lt;=$A107+$B$80-1,$B107/$B$80,$B107-SUM($C107:J107))),0))</f>
        <v>0</v>
      </c>
      <c r="L107" s="4">
        <f>IF($B$80=0,0,IF(L$2&gt;=$A107,IF(L$2=$A107,($B107/$B$80)*$B$77,IF(L$2&lt;=$A107+$B$80-1,$B107/$B$80,$B107-SUM($C107:K107))),0))</f>
        <v>0</v>
      </c>
      <c r="M107" s="4">
        <f>IF($B$80=0,0,IF(M$2&gt;=$A107,IF(M$2=$A107,($B107/$B$80)*$B$77,IF(M$2&lt;=$A107+$B$80-1,$B107/$B$80,$B107-SUM($C107:L107))),0))</f>
        <v>0</v>
      </c>
      <c r="N107" s="4">
        <f>IF($B$80=0,0,IF(N$2&gt;=$A107,IF(N$2=$A107,($B107/$B$80)*$B$77,IF(N$2&lt;=$A107+$B$80-1,$B107/$B$80,$B107-SUM($C107:M107))),0))</f>
        <v>0</v>
      </c>
      <c r="O107" s="4">
        <f>IF($B$80=0,0,IF(O$2&gt;=$A107,IF(O$2=$A107,($B107/$B$80)*$B$77,IF(O$2&lt;=$A107+$B$80-1,$B107/$B$80,$B107-SUM($C107:N107))),0))</f>
        <v>0</v>
      </c>
      <c r="P107" s="4">
        <f>IF($B$80=0,0,IF(P$2&gt;=$A107,IF(P$2=$A107,($B107/$B$80)*$B$77,IF(P$2&lt;=$A107+$B$80-1,$B107/$B$80,$B107-SUM($C107:O107))),0))</f>
        <v>0</v>
      </c>
      <c r="Q107" s="4">
        <f>IF($B$80=0,0,IF(Q$2&gt;=$A107,IF(Q$2=$A107,($B107/$B$80)*$B$77,IF(Q$2&lt;=$A107+$B$80-1,$B107/$B$80,$B107-SUM($C107:P107))),0))</f>
        <v>0</v>
      </c>
      <c r="R107" s="4">
        <f>IF($B$80=0,0,IF(R$2&gt;=$A107,IF(R$2=$A107,($B107/$B$80)*$B$77,IF(R$2&lt;=$A107+$B$80-1,$B107/$B$80,$B107-SUM($C107:Q107))),0))</f>
        <v>0</v>
      </c>
      <c r="S107" s="4">
        <f>IF($B$80=0,0,IF(S$2&gt;=$A107,IF(S$2=$A107,($B107/$B$80)*$B$77,IF(S$2&lt;=$A107+$B$80-1,$B107/$B$80,$B107-SUM($C107:R107))),0))</f>
        <v>0</v>
      </c>
      <c r="T107" s="4">
        <f>IF($B$80=0,0,IF(T$2&gt;=$A107,IF(T$2=$A107,($B107/$B$80)*$B$77,IF(T$2&lt;=$A107+$B$80-1,$B107/$B$80,$B107-SUM($C107:S107))),0))</f>
        <v>0</v>
      </c>
      <c r="U107" s="4">
        <f>IF($B$80=0,0,IF(U$2&gt;=$A107,IF(U$2=$A107,($B107/$B$80)*$B$77,IF(U$2&lt;=$A107+$B$80-1,$B107/$B$80,$B107-SUM($C107:T107))),0))</f>
        <v>0</v>
      </c>
      <c r="V107" s="4">
        <f>IF($B$80=0,0,IF(V$2&gt;=$A107,IF(V$2=$A107,($B107/$B$80)*$B$77,IF(V$2&lt;=$A107+$B$80-1,$B107/$B$80,$B107-SUM($C107:U107))),0))</f>
        <v>0</v>
      </c>
      <c r="W107" s="4">
        <f>IF($B$80=0,0,IF(W$2&gt;=$A107,IF(W$2=$A107,($B107/$B$80)*$B$77,IF(W$2&lt;=$A107+$B$80-1,$B107/$B$80,$B107-SUM($C107:V107))),0))</f>
        <v>0</v>
      </c>
      <c r="X107" s="4">
        <f>IF($B$80=0,0,IF(X$2&gt;=$A107,IF(X$2=$A107,($B107/$B$80)*$B$77,IF(X$2&lt;=$A107+$B$80-1,$B107/$B$80,$B107-SUM($C107:W107))),0))</f>
        <v>0</v>
      </c>
      <c r="Y107" s="4">
        <f>IF($B$80=0,0,IF(Y$2&gt;=$A107,IF(Y$2=$A107,($B107/$B$80)*$B$77,IF(Y$2&lt;=$A107+$B$80-1,$B107/$B$80,$B107-SUM($C107:X107))),0))</f>
        <v>0</v>
      </c>
      <c r="Z107" s="4">
        <f>IF($B$80=0,0,IF(Z$2&gt;=$A107,IF(Z$2=$A107,($B107/$B$80)*$B$77,IF(Z$2&lt;=$A107+$B$80-1,$B107/$B$80,$B107-SUM($C107:Y107))),0))</f>
        <v>0</v>
      </c>
      <c r="AA107" s="4">
        <f>IF($B$80=0,0,IF(AA$2&gt;=$A107,IF(AA$2=$A107,($B107/$B$80)*$B$77,IF(AA$2&lt;=$A107+$B$80-1,$B107/$B$80,$B107-SUM($C107:Z107))),0))</f>
        <v>0</v>
      </c>
      <c r="AB107" s="4">
        <f>IF($B$80=0,0,IF(AB$2&gt;=$A107,IF(AB$2=$A107,($B107/$B$80)*$B$77,IF(AB$2&lt;=$A107+$B$80-1,$B107/$B$80,$B107-SUM($C107:AA107))),0))</f>
        <v>0</v>
      </c>
      <c r="AC107" s="4">
        <f>IF($B$80=0,0,IF(AC$2&gt;=$A107,IF(AC$2=$A107,($B107/$B$80)*$B$77,IF(AC$2&lt;=$A107+$B$80-1,$B107/$B$80,$B107-SUM($C107:AB107))),0))</f>
        <v>0</v>
      </c>
      <c r="AD107" s="4">
        <f>IF($B$80=0,0,IF(AD$2&gt;=$A107,IF(AD$2=$A107,($B107/$B$80)*$B$77,IF(AD$2&lt;=$A107+$B$80-1,$B107/$B$80,$B107-SUM($C107:AC107))),0))</f>
        <v>0</v>
      </c>
      <c r="AE107" s="4">
        <f>IF($B$80=0,0,IF(AE$2&gt;=$A107,IF(AE$2=$A107,($B107/$B$80)*$B$77,IF(AE$2&lt;=$A107+$B$80-1,$B107/$B$80,$B107-SUM($C107:AD107))),0))</f>
        <v>0</v>
      </c>
      <c r="AF107" s="4">
        <f>IF($B$80=0,0,IF(AF$2&gt;=$A107,IF(AF$2=$A107,($B107/$B$80)*$B$77,IF(AF$2&lt;=$A107+$B$80-1,$B107/$B$80,$B107-SUM($C107:AE107))),0))</f>
        <v>0</v>
      </c>
      <c r="AG107" s="4">
        <f t="shared" si="60"/>
        <v>0</v>
      </c>
    </row>
    <row r="108" spans="1:33">
      <c r="A108" s="6">
        <f t="shared" si="59"/>
        <v>2049</v>
      </c>
      <c r="B108" s="4">
        <f t="shared" si="57"/>
        <v>0</v>
      </c>
      <c r="C108" s="4">
        <f>IF($B$80=0,0,IF(C$2&gt;=$A108,IF(C$2=$A108,($B108/$B$80)*$B$77,IF(C$2&lt;=$A108+$B$80-1,$B108/$B$80,$B108-SUM(B108:$C108))),0))</f>
        <v>0</v>
      </c>
      <c r="D108" s="4">
        <f>IF($B$80=0,0,IF(D$2&gt;=$A108,IF(D$2=$A108,($B108/$B$80)*$B$77,IF(D$2&lt;=$A108+$B$80-1,$B108/$B$80,$B108-SUM(C108:$C108))),0))</f>
        <v>0</v>
      </c>
      <c r="E108" s="4">
        <f>IF($B$80=0,0,IF(E$2&gt;=$A108,IF(E$2=$A108,($B108/$B$80)*$B$77,IF(E$2&lt;=$A108+$B$80-1,$B108/$B$80,$B108-SUM($C108:D108))),0))</f>
        <v>0</v>
      </c>
      <c r="F108" s="4">
        <f>IF($B$80=0,0,IF(F$2&gt;=$A108,IF(F$2=$A108,($B108/$B$80)*$B$77,IF(F$2&lt;=$A108+$B$80-1,$B108/$B$80,$B108-SUM($C108:E108))),0))</f>
        <v>0</v>
      </c>
      <c r="G108" s="4">
        <f>IF($B$80=0,0,IF(G$2&gt;=$A108,IF(G$2=$A108,($B108/$B$80)*$B$77,IF(G$2&lt;=$A108+$B$80-1,$B108/$B$80,$B108-SUM($C108:F108))),0))</f>
        <v>0</v>
      </c>
      <c r="H108" s="4">
        <f>IF($B$80=0,0,IF(H$2&gt;=$A108,IF(H$2=$A108,($B108/$B$80)*$B$77,IF(H$2&lt;=$A108+$B$80-1,$B108/$B$80,$B108-SUM($C108:G108))),0))</f>
        <v>0</v>
      </c>
      <c r="I108" s="4">
        <f>IF($B$80=0,0,IF(I$2&gt;=$A108,IF(I$2=$A108,($B108/$B$80)*$B$77,IF(I$2&lt;=$A108+$B$80-1,$B108/$B$80,$B108-SUM($C108:H108))),0))</f>
        <v>0</v>
      </c>
      <c r="J108" s="4">
        <f>IF($B$80=0,0,IF(J$2&gt;=$A108,IF(J$2=$A108,($B108/$B$80)*$B$77,IF(J$2&lt;=$A108+$B$80-1,$B108/$B$80,$B108-SUM($C108:I108))),0))</f>
        <v>0</v>
      </c>
      <c r="K108" s="4">
        <f>IF($B$80=0,0,IF(K$2&gt;=$A108,IF(K$2=$A108,($B108/$B$80)*$B$77,IF(K$2&lt;=$A108+$B$80-1,$B108/$B$80,$B108-SUM($C108:J108))),0))</f>
        <v>0</v>
      </c>
      <c r="L108" s="4">
        <f>IF($B$80=0,0,IF(L$2&gt;=$A108,IF(L$2=$A108,($B108/$B$80)*$B$77,IF(L$2&lt;=$A108+$B$80-1,$B108/$B$80,$B108-SUM($C108:K108))),0))</f>
        <v>0</v>
      </c>
      <c r="M108" s="4">
        <f>IF($B$80=0,0,IF(M$2&gt;=$A108,IF(M$2=$A108,($B108/$B$80)*$B$77,IF(M$2&lt;=$A108+$B$80-1,$B108/$B$80,$B108-SUM($C108:L108))),0))</f>
        <v>0</v>
      </c>
      <c r="N108" s="4">
        <f>IF($B$80=0,0,IF(N$2&gt;=$A108,IF(N$2=$A108,($B108/$B$80)*$B$77,IF(N$2&lt;=$A108+$B$80-1,$B108/$B$80,$B108-SUM($C108:M108))),0))</f>
        <v>0</v>
      </c>
      <c r="O108" s="4">
        <f>IF($B$80=0,0,IF(O$2&gt;=$A108,IF(O$2=$A108,($B108/$B$80)*$B$77,IF(O$2&lt;=$A108+$B$80-1,$B108/$B$80,$B108-SUM($C108:N108))),0))</f>
        <v>0</v>
      </c>
      <c r="P108" s="4">
        <f>IF($B$80=0,0,IF(P$2&gt;=$A108,IF(P$2=$A108,($B108/$B$80)*$B$77,IF(P$2&lt;=$A108+$B$80-1,$B108/$B$80,$B108-SUM($C108:O108))),0))</f>
        <v>0</v>
      </c>
      <c r="Q108" s="4">
        <f>IF($B$80=0,0,IF(Q$2&gt;=$A108,IF(Q$2=$A108,($B108/$B$80)*$B$77,IF(Q$2&lt;=$A108+$B$80-1,$B108/$B$80,$B108-SUM($C108:P108))),0))</f>
        <v>0</v>
      </c>
      <c r="R108" s="4">
        <f>IF($B$80=0,0,IF(R$2&gt;=$A108,IF(R$2=$A108,($B108/$B$80)*$B$77,IF(R$2&lt;=$A108+$B$80-1,$B108/$B$80,$B108-SUM($C108:Q108))),0))</f>
        <v>0</v>
      </c>
      <c r="S108" s="4">
        <f>IF($B$80=0,0,IF(S$2&gt;=$A108,IF(S$2=$A108,($B108/$B$80)*$B$77,IF(S$2&lt;=$A108+$B$80-1,$B108/$B$80,$B108-SUM($C108:R108))),0))</f>
        <v>0</v>
      </c>
      <c r="T108" s="4">
        <f>IF($B$80=0,0,IF(T$2&gt;=$A108,IF(T$2=$A108,($B108/$B$80)*$B$77,IF(T$2&lt;=$A108+$B$80-1,$B108/$B$80,$B108-SUM($C108:S108))),0))</f>
        <v>0</v>
      </c>
      <c r="U108" s="4">
        <f>IF($B$80=0,0,IF(U$2&gt;=$A108,IF(U$2=$A108,($B108/$B$80)*$B$77,IF(U$2&lt;=$A108+$B$80-1,$B108/$B$80,$B108-SUM($C108:T108))),0))</f>
        <v>0</v>
      </c>
      <c r="V108" s="4">
        <f>IF($B$80=0,0,IF(V$2&gt;=$A108,IF(V$2=$A108,($B108/$B$80)*$B$77,IF(V$2&lt;=$A108+$B$80-1,$B108/$B$80,$B108-SUM($C108:U108))),0))</f>
        <v>0</v>
      </c>
      <c r="W108" s="4">
        <f>IF($B$80=0,0,IF(W$2&gt;=$A108,IF(W$2=$A108,($B108/$B$80)*$B$77,IF(W$2&lt;=$A108+$B$80-1,$B108/$B$80,$B108-SUM($C108:V108))),0))</f>
        <v>0</v>
      </c>
      <c r="X108" s="4">
        <f>IF($B$80=0,0,IF(X$2&gt;=$A108,IF(X$2=$A108,($B108/$B$80)*$B$77,IF(X$2&lt;=$A108+$B$80-1,$B108/$B$80,$B108-SUM($C108:W108))),0))</f>
        <v>0</v>
      </c>
      <c r="Y108" s="4">
        <f>IF($B$80=0,0,IF(Y$2&gt;=$A108,IF(Y$2=$A108,($B108/$B$80)*$B$77,IF(Y$2&lt;=$A108+$B$80-1,$B108/$B$80,$B108-SUM($C108:X108))),0))</f>
        <v>0</v>
      </c>
      <c r="Z108" s="4">
        <f>IF($B$80=0,0,IF(Z$2&gt;=$A108,IF(Z$2=$A108,($B108/$B$80)*$B$77,IF(Z$2&lt;=$A108+$B$80-1,$B108/$B$80,$B108-SUM($C108:Y108))),0))</f>
        <v>0</v>
      </c>
      <c r="AA108" s="4">
        <f>IF($B$80=0,0,IF(AA$2&gt;=$A108,IF(AA$2=$A108,($B108/$B$80)*$B$77,IF(AA$2&lt;=$A108+$B$80-1,$B108/$B$80,$B108-SUM($C108:Z108))),0))</f>
        <v>0</v>
      </c>
      <c r="AB108" s="4">
        <f>IF($B$80=0,0,IF(AB$2&gt;=$A108,IF(AB$2=$A108,($B108/$B$80)*$B$77,IF(AB$2&lt;=$A108+$B$80-1,$B108/$B$80,$B108-SUM($C108:AA108))),0))</f>
        <v>0</v>
      </c>
      <c r="AC108" s="4">
        <f>IF($B$80=0,0,IF(AC$2&gt;=$A108,IF(AC$2=$A108,($B108/$B$80)*$B$77,IF(AC$2&lt;=$A108+$B$80-1,$B108/$B$80,$B108-SUM($C108:AB108))),0))</f>
        <v>0</v>
      </c>
      <c r="AD108" s="4">
        <f>IF($B$80=0,0,IF(AD$2&gt;=$A108,IF(AD$2=$A108,($B108/$B$80)*$B$77,IF(AD$2&lt;=$A108+$B$80-1,$B108/$B$80,$B108-SUM($C108:AC108))),0))</f>
        <v>0</v>
      </c>
      <c r="AE108" s="4">
        <f>IF($B$80=0,0,IF(AE$2&gt;=$A108,IF(AE$2=$A108,($B108/$B$80)*$B$77,IF(AE$2&lt;=$A108+$B$80-1,$B108/$B$80,$B108-SUM($C108:AD108))),0))</f>
        <v>0</v>
      </c>
      <c r="AF108" s="4">
        <f>IF($B$80=0,0,IF(AF$2&gt;=$A108,IF(AF$2=$A108,($B108/$B$80)*$B$77,IF(AF$2&lt;=$A108+$B$80-1,$B108/$B$80,$B108-SUM($C108:AE108))),0))</f>
        <v>0</v>
      </c>
      <c r="AG108" s="4">
        <f t="shared" si="60"/>
        <v>0</v>
      </c>
    </row>
    <row r="109" spans="1:33">
      <c r="A109" s="6">
        <f t="shared" si="59"/>
        <v>2050</v>
      </c>
      <c r="B109" s="4">
        <f t="shared" si="57"/>
        <v>0</v>
      </c>
      <c r="C109" s="4">
        <f>IF($B$80=0,0,IF(C$2&gt;=$A109,IF(C$2=$A109,($B109/$B$80)*$B$77,IF(C$2&lt;=$A109+$B$80-1,$B109/$B$80,$B109-SUM(B109:$C109))),0))</f>
        <v>0</v>
      </c>
      <c r="D109" s="4">
        <f>IF($B$80=0,0,IF(D$2&gt;=$A109,IF(D$2=$A109,($B109/$B$80)*$B$77,IF(D$2&lt;=$A109+$B$80-1,$B109/$B$80,$B109-SUM(C109:$C109))),0))</f>
        <v>0</v>
      </c>
      <c r="E109" s="4">
        <f>IF($B$80=0,0,IF(E$2&gt;=$A109,IF(E$2=$A109,($B109/$B$80)*$B$77,IF(E$2&lt;=$A109+$B$80-1,$B109/$B$80,$B109-SUM($C109:D109))),0))</f>
        <v>0</v>
      </c>
      <c r="F109" s="4">
        <f>IF($B$80=0,0,IF(F$2&gt;=$A109,IF(F$2=$A109,($B109/$B$80)*$B$77,IF(F$2&lt;=$A109+$B$80-1,$B109/$B$80,$B109-SUM($C109:E109))),0))</f>
        <v>0</v>
      </c>
      <c r="G109" s="4">
        <f>IF($B$80=0,0,IF(G$2&gt;=$A109,IF(G$2=$A109,($B109/$B$80)*$B$77,IF(G$2&lt;=$A109+$B$80-1,$B109/$B$80,$B109-SUM($C109:F109))),0))</f>
        <v>0</v>
      </c>
      <c r="H109" s="4">
        <f>IF($B$80=0,0,IF(H$2&gt;=$A109,IF(H$2=$A109,($B109/$B$80)*$B$77,IF(H$2&lt;=$A109+$B$80-1,$B109/$B$80,$B109-SUM($C109:G109))),0))</f>
        <v>0</v>
      </c>
      <c r="I109" s="4">
        <f>IF($B$80=0,0,IF(I$2&gt;=$A109,IF(I$2=$A109,($B109/$B$80)*$B$77,IF(I$2&lt;=$A109+$B$80-1,$B109/$B$80,$B109-SUM($C109:H109))),0))</f>
        <v>0</v>
      </c>
      <c r="J109" s="4">
        <f>IF($B$80=0,0,IF(J$2&gt;=$A109,IF(J$2=$A109,($B109/$B$80)*$B$77,IF(J$2&lt;=$A109+$B$80-1,$B109/$B$80,$B109-SUM($C109:I109))),0))</f>
        <v>0</v>
      </c>
      <c r="K109" s="4">
        <f>IF($B$80=0,0,IF(K$2&gt;=$A109,IF(K$2=$A109,($B109/$B$80)*$B$77,IF(K$2&lt;=$A109+$B$80-1,$B109/$B$80,$B109-SUM($C109:J109))),0))</f>
        <v>0</v>
      </c>
      <c r="L109" s="4">
        <f>IF($B$80=0,0,IF(L$2&gt;=$A109,IF(L$2=$A109,($B109/$B$80)*$B$77,IF(L$2&lt;=$A109+$B$80-1,$B109/$B$80,$B109-SUM($C109:K109))),0))</f>
        <v>0</v>
      </c>
      <c r="M109" s="4">
        <f>IF($B$80=0,0,IF(M$2&gt;=$A109,IF(M$2=$A109,($B109/$B$80)*$B$77,IF(M$2&lt;=$A109+$B$80-1,$B109/$B$80,$B109-SUM($C109:L109))),0))</f>
        <v>0</v>
      </c>
      <c r="N109" s="4">
        <f>IF($B$80=0,0,IF(N$2&gt;=$A109,IF(N$2=$A109,($B109/$B$80)*$B$77,IF(N$2&lt;=$A109+$B$80-1,$B109/$B$80,$B109-SUM($C109:M109))),0))</f>
        <v>0</v>
      </c>
      <c r="O109" s="4">
        <f>IF($B$80=0,0,IF(O$2&gt;=$A109,IF(O$2=$A109,($B109/$B$80)*$B$77,IF(O$2&lt;=$A109+$B$80-1,$B109/$B$80,$B109-SUM($C109:N109))),0))</f>
        <v>0</v>
      </c>
      <c r="P109" s="4">
        <f>IF($B$80=0,0,IF(P$2&gt;=$A109,IF(P$2=$A109,($B109/$B$80)*$B$77,IF(P$2&lt;=$A109+$B$80-1,$B109/$B$80,$B109-SUM($C109:O109))),0))</f>
        <v>0</v>
      </c>
      <c r="Q109" s="4">
        <f>IF($B$80=0,0,IF(Q$2&gt;=$A109,IF(Q$2=$A109,($B109/$B$80)*$B$77,IF(Q$2&lt;=$A109+$B$80-1,$B109/$B$80,$B109-SUM($C109:P109))),0))</f>
        <v>0</v>
      </c>
      <c r="R109" s="4">
        <f>IF($B$80=0,0,IF(R$2&gt;=$A109,IF(R$2=$A109,($B109/$B$80)*$B$77,IF(R$2&lt;=$A109+$B$80-1,$B109/$B$80,$B109-SUM($C109:Q109))),0))</f>
        <v>0</v>
      </c>
      <c r="S109" s="4">
        <f>IF($B$80=0,0,IF(S$2&gt;=$A109,IF(S$2=$A109,($B109/$B$80)*$B$77,IF(S$2&lt;=$A109+$B$80-1,$B109/$B$80,$B109-SUM($C109:R109))),0))</f>
        <v>0</v>
      </c>
      <c r="T109" s="4">
        <f>IF($B$80=0,0,IF(T$2&gt;=$A109,IF(T$2=$A109,($B109/$B$80)*$B$77,IF(T$2&lt;=$A109+$B$80-1,$B109/$B$80,$B109-SUM($C109:S109))),0))</f>
        <v>0</v>
      </c>
      <c r="U109" s="4">
        <f>IF($B$80=0,0,IF(U$2&gt;=$A109,IF(U$2=$A109,($B109/$B$80)*$B$77,IF(U$2&lt;=$A109+$B$80-1,$B109/$B$80,$B109-SUM($C109:T109))),0))</f>
        <v>0</v>
      </c>
      <c r="V109" s="4">
        <f>IF($B$80=0,0,IF(V$2&gt;=$A109,IF(V$2=$A109,($B109/$B$80)*$B$77,IF(V$2&lt;=$A109+$B$80-1,$B109/$B$80,$B109-SUM($C109:U109))),0))</f>
        <v>0</v>
      </c>
      <c r="W109" s="4">
        <f>IF($B$80=0,0,IF(W$2&gt;=$A109,IF(W$2=$A109,($B109/$B$80)*$B$77,IF(W$2&lt;=$A109+$B$80-1,$B109/$B$80,$B109-SUM($C109:V109))),0))</f>
        <v>0</v>
      </c>
      <c r="X109" s="4">
        <f>IF($B$80=0,0,IF(X$2&gt;=$A109,IF(X$2=$A109,($B109/$B$80)*$B$77,IF(X$2&lt;=$A109+$B$80-1,$B109/$B$80,$B109-SUM($C109:W109))),0))</f>
        <v>0</v>
      </c>
      <c r="Y109" s="4">
        <f>IF($B$80=0,0,IF(Y$2&gt;=$A109,IF(Y$2=$A109,($B109/$B$80)*$B$77,IF(Y$2&lt;=$A109+$B$80-1,$B109/$B$80,$B109-SUM($C109:X109))),0))</f>
        <v>0</v>
      </c>
      <c r="Z109" s="4">
        <f>IF($B$80=0,0,IF(Z$2&gt;=$A109,IF(Z$2=$A109,($B109/$B$80)*$B$77,IF(Z$2&lt;=$A109+$B$80-1,$B109/$B$80,$B109-SUM($C109:Y109))),0))</f>
        <v>0</v>
      </c>
      <c r="AA109" s="4">
        <f>IF($B$80=0,0,IF(AA$2&gt;=$A109,IF(AA$2=$A109,($B109/$B$80)*$B$77,IF(AA$2&lt;=$A109+$B$80-1,$B109/$B$80,$B109-SUM($C109:Z109))),0))</f>
        <v>0</v>
      </c>
      <c r="AB109" s="4">
        <f>IF($B$80=0,0,IF(AB$2&gt;=$A109,IF(AB$2=$A109,($B109/$B$80)*$B$77,IF(AB$2&lt;=$A109+$B$80-1,$B109/$B$80,$B109-SUM($C109:AA109))),0))</f>
        <v>0</v>
      </c>
      <c r="AC109" s="4">
        <f>IF($B$80=0,0,IF(AC$2&gt;=$A109,IF(AC$2=$A109,($B109/$B$80)*$B$77,IF(AC$2&lt;=$A109+$B$80-1,$B109/$B$80,$B109-SUM($C109:AB109))),0))</f>
        <v>0</v>
      </c>
      <c r="AD109" s="4">
        <f>IF($B$80=0,0,IF(AD$2&gt;=$A109,IF(AD$2=$A109,($B109/$B$80)*$B$77,IF(AD$2&lt;=$A109+$B$80-1,$B109/$B$80,$B109-SUM($C109:AC109))),0))</f>
        <v>0</v>
      </c>
      <c r="AE109" s="4">
        <f>IF($B$80=0,0,IF(AE$2&gt;=$A109,IF(AE$2=$A109,($B109/$B$80)*$B$77,IF(AE$2&lt;=$A109+$B$80-1,$B109/$B$80,$B109-SUM($C109:AD109))),0))</f>
        <v>0</v>
      </c>
      <c r="AF109" s="4">
        <f>IF($B$80=0,0,IF(AF$2&gt;=$A109,IF(AF$2=$A109,($B109/$B$80)*$B$77,IF(AF$2&lt;=$A109+$B$80-1,$B109/$B$80,$B109-SUM($C109:AE109))),0))</f>
        <v>0</v>
      </c>
      <c r="AG109" s="4">
        <f t="shared" si="60"/>
        <v>0</v>
      </c>
    </row>
    <row r="110" spans="1:33">
      <c r="A110" s="6">
        <f t="shared" si="59"/>
        <v>2051</v>
      </c>
      <c r="B110" s="4">
        <f t="shared" si="57"/>
        <v>0</v>
      </c>
      <c r="C110" s="4">
        <f>IF($B$80=0,0,IF(C$2&gt;=$A110,IF(C$2=$A110,($B110/$B$80)*$B$77,IF(C$2&lt;=$A110+$B$80-1,$B110/$B$80,$B110-SUM(B110:$C110))),0))</f>
        <v>0</v>
      </c>
      <c r="D110" s="4">
        <f>IF($B$80=0,0,IF(D$2&gt;=$A110,IF(D$2=$A110,($B110/$B$80)*$B$77,IF(D$2&lt;=$A110+$B$80-1,$B110/$B$80,$B110-SUM(C110:$C110))),0))</f>
        <v>0</v>
      </c>
      <c r="E110" s="4">
        <f>IF($B$80=0,0,IF(E$2&gt;=$A110,IF(E$2=$A110,($B110/$B$80)*$B$77,IF(E$2&lt;=$A110+$B$80-1,$B110/$B$80,$B110-SUM($C110:D110))),0))</f>
        <v>0</v>
      </c>
      <c r="F110" s="4">
        <f>IF($B$80=0,0,IF(F$2&gt;=$A110,IF(F$2=$A110,($B110/$B$80)*$B$77,IF(F$2&lt;=$A110+$B$80-1,$B110/$B$80,$B110-SUM($C110:E110))),0))</f>
        <v>0</v>
      </c>
      <c r="G110" s="4">
        <f>IF($B$80=0,0,IF(G$2&gt;=$A110,IF(G$2=$A110,($B110/$B$80)*$B$77,IF(G$2&lt;=$A110+$B$80-1,$B110/$B$80,$B110-SUM($C110:F110))),0))</f>
        <v>0</v>
      </c>
      <c r="H110" s="4">
        <f>IF($B$80=0,0,IF(H$2&gt;=$A110,IF(H$2=$A110,($B110/$B$80)*$B$77,IF(H$2&lt;=$A110+$B$80-1,$B110/$B$80,$B110-SUM($C110:G110))),0))</f>
        <v>0</v>
      </c>
      <c r="I110" s="4">
        <f>IF($B$80=0,0,IF(I$2&gt;=$A110,IF(I$2=$A110,($B110/$B$80)*$B$77,IF(I$2&lt;=$A110+$B$80-1,$B110/$B$80,$B110-SUM($C110:H110))),0))</f>
        <v>0</v>
      </c>
      <c r="J110" s="4">
        <f>IF($B$80=0,0,IF(J$2&gt;=$A110,IF(J$2=$A110,($B110/$B$80)*$B$77,IF(J$2&lt;=$A110+$B$80-1,$B110/$B$80,$B110-SUM($C110:I110))),0))</f>
        <v>0</v>
      </c>
      <c r="K110" s="4">
        <f>IF($B$80=0,0,IF(K$2&gt;=$A110,IF(K$2=$A110,($B110/$B$80)*$B$77,IF(K$2&lt;=$A110+$B$80-1,$B110/$B$80,$B110-SUM($C110:J110))),0))</f>
        <v>0</v>
      </c>
      <c r="L110" s="4">
        <f>IF($B$80=0,0,IF(L$2&gt;=$A110,IF(L$2=$A110,($B110/$B$80)*$B$77,IF(L$2&lt;=$A110+$B$80-1,$B110/$B$80,$B110-SUM($C110:K110))),0))</f>
        <v>0</v>
      </c>
      <c r="M110" s="4">
        <f>IF($B$80=0,0,IF(M$2&gt;=$A110,IF(M$2=$A110,($B110/$B$80)*$B$77,IF(M$2&lt;=$A110+$B$80-1,$B110/$B$80,$B110-SUM($C110:L110))),0))</f>
        <v>0</v>
      </c>
      <c r="N110" s="4">
        <f>IF($B$80=0,0,IF(N$2&gt;=$A110,IF(N$2=$A110,($B110/$B$80)*$B$77,IF(N$2&lt;=$A110+$B$80-1,$B110/$B$80,$B110-SUM($C110:M110))),0))</f>
        <v>0</v>
      </c>
      <c r="O110" s="4">
        <f>IF($B$80=0,0,IF(O$2&gt;=$A110,IF(O$2=$A110,($B110/$B$80)*$B$77,IF(O$2&lt;=$A110+$B$80-1,$B110/$B$80,$B110-SUM($C110:N110))),0))</f>
        <v>0</v>
      </c>
      <c r="P110" s="4">
        <f>IF($B$80=0,0,IF(P$2&gt;=$A110,IF(P$2=$A110,($B110/$B$80)*$B$77,IF(P$2&lt;=$A110+$B$80-1,$B110/$B$80,$B110-SUM($C110:O110))),0))</f>
        <v>0</v>
      </c>
      <c r="Q110" s="4">
        <f>IF($B$80=0,0,IF(Q$2&gt;=$A110,IF(Q$2=$A110,($B110/$B$80)*$B$77,IF(Q$2&lt;=$A110+$B$80-1,$B110/$B$80,$B110-SUM($C110:P110))),0))</f>
        <v>0</v>
      </c>
      <c r="R110" s="4">
        <f>IF($B$80=0,0,IF(R$2&gt;=$A110,IF(R$2=$A110,($B110/$B$80)*$B$77,IF(R$2&lt;=$A110+$B$80-1,$B110/$B$80,$B110-SUM($C110:Q110))),0))</f>
        <v>0</v>
      </c>
      <c r="S110" s="4">
        <f>IF($B$80=0,0,IF(S$2&gt;=$A110,IF(S$2=$A110,($B110/$B$80)*$B$77,IF(S$2&lt;=$A110+$B$80-1,$B110/$B$80,$B110-SUM($C110:R110))),0))</f>
        <v>0</v>
      </c>
      <c r="T110" s="4">
        <f>IF($B$80=0,0,IF(T$2&gt;=$A110,IF(T$2=$A110,($B110/$B$80)*$B$77,IF(T$2&lt;=$A110+$B$80-1,$B110/$B$80,$B110-SUM($C110:S110))),0))</f>
        <v>0</v>
      </c>
      <c r="U110" s="4">
        <f>IF($B$80=0,0,IF(U$2&gt;=$A110,IF(U$2=$A110,($B110/$B$80)*$B$77,IF(U$2&lt;=$A110+$B$80-1,$B110/$B$80,$B110-SUM($C110:T110))),0))</f>
        <v>0</v>
      </c>
      <c r="V110" s="4">
        <f>IF($B$80=0,0,IF(V$2&gt;=$A110,IF(V$2=$A110,($B110/$B$80)*$B$77,IF(V$2&lt;=$A110+$B$80-1,$B110/$B$80,$B110-SUM($C110:U110))),0))</f>
        <v>0</v>
      </c>
      <c r="W110" s="4">
        <f>IF($B$80=0,0,IF(W$2&gt;=$A110,IF(W$2=$A110,($B110/$B$80)*$B$77,IF(W$2&lt;=$A110+$B$80-1,$B110/$B$80,$B110-SUM($C110:V110))),0))</f>
        <v>0</v>
      </c>
      <c r="X110" s="4">
        <f>IF($B$80=0,0,IF(X$2&gt;=$A110,IF(X$2=$A110,($B110/$B$80)*$B$77,IF(X$2&lt;=$A110+$B$80-1,$B110/$B$80,$B110-SUM($C110:W110))),0))</f>
        <v>0</v>
      </c>
      <c r="Y110" s="4">
        <f>IF($B$80=0,0,IF(Y$2&gt;=$A110,IF(Y$2=$A110,($B110/$B$80)*$B$77,IF(Y$2&lt;=$A110+$B$80-1,$B110/$B$80,$B110-SUM($C110:X110))),0))</f>
        <v>0</v>
      </c>
      <c r="Z110" s="4">
        <f>IF($B$80=0,0,IF(Z$2&gt;=$A110,IF(Z$2=$A110,($B110/$B$80)*$B$77,IF(Z$2&lt;=$A110+$B$80-1,$B110/$B$80,$B110-SUM($C110:Y110))),0))</f>
        <v>0</v>
      </c>
      <c r="AA110" s="4">
        <f>IF($B$80=0,0,IF(AA$2&gt;=$A110,IF(AA$2=$A110,($B110/$B$80)*$B$77,IF(AA$2&lt;=$A110+$B$80-1,$B110/$B$80,$B110-SUM($C110:Z110))),0))</f>
        <v>0</v>
      </c>
      <c r="AB110" s="4">
        <f>IF($B$80=0,0,IF(AB$2&gt;=$A110,IF(AB$2=$A110,($B110/$B$80)*$B$77,IF(AB$2&lt;=$A110+$B$80-1,$B110/$B$80,$B110-SUM($C110:AA110))),0))</f>
        <v>0</v>
      </c>
      <c r="AC110" s="4">
        <f>IF($B$80=0,0,IF(AC$2&gt;=$A110,IF(AC$2=$A110,($B110/$B$80)*$B$77,IF(AC$2&lt;=$A110+$B$80-1,$B110/$B$80,$B110-SUM($C110:AB110))),0))</f>
        <v>0</v>
      </c>
      <c r="AD110" s="4">
        <f>IF($B$80=0,0,IF(AD$2&gt;=$A110,IF(AD$2=$A110,($B110/$B$80)*$B$77,IF(AD$2&lt;=$A110+$B$80-1,$B110/$B$80,$B110-SUM($C110:AC110))),0))</f>
        <v>0</v>
      </c>
      <c r="AE110" s="4">
        <f>IF($B$80=0,0,IF(AE$2&gt;=$A110,IF(AE$2=$A110,($B110/$B$80)*$B$77,IF(AE$2&lt;=$A110+$B$80-1,$B110/$B$80,$B110-SUM($C110:AD110))),0))</f>
        <v>0</v>
      </c>
      <c r="AF110" s="4">
        <f>IF($B$80=0,0,IF(AF$2&gt;=$A110,IF(AF$2=$A110,($B110/$B$80)*$B$77,IF(AF$2&lt;=$A110+$B$80-1,$B110/$B$80,$B110-SUM($C110:AE110))),0))</f>
        <v>0</v>
      </c>
      <c r="AG110" s="4">
        <f t="shared" si="60"/>
        <v>0</v>
      </c>
    </row>
    <row r="111" spans="1:33" ht="15" thickBot="1">
      <c r="A111" s="6" t="str">
        <f>"Total Depreciation - "&amp;A77</f>
        <v>Total Depreciation - Furniture, Fixtures &amp; Equipment - Building</v>
      </c>
      <c r="B111" s="43">
        <f t="shared" ref="B111:AA111" si="61">SUM(B81:B105)</f>
        <v>33407726.226669125</v>
      </c>
      <c r="C111" s="43">
        <f t="shared" si="61"/>
        <v>0</v>
      </c>
      <c r="D111" s="43">
        <f t="shared" si="61"/>
        <v>0</v>
      </c>
      <c r="E111" s="43">
        <f t="shared" si="61"/>
        <v>0</v>
      </c>
      <c r="F111" s="43">
        <f t="shared" si="61"/>
        <v>2386266.1590477945</v>
      </c>
      <c r="G111" s="43">
        <f t="shared" si="61"/>
        <v>4772532.3180955891</v>
      </c>
      <c r="H111" s="43">
        <f t="shared" si="61"/>
        <v>4772532.3180955891</v>
      </c>
      <c r="I111" s="43">
        <f t="shared" si="61"/>
        <v>4772532.3180955891</v>
      </c>
      <c r="J111" s="43">
        <f t="shared" si="61"/>
        <v>4772532.3180955891</v>
      </c>
      <c r="K111" s="43">
        <f t="shared" si="61"/>
        <v>4772532.3180955891</v>
      </c>
      <c r="L111" s="43">
        <f t="shared" si="61"/>
        <v>4772532.3180955891</v>
      </c>
      <c r="M111" s="43">
        <f t="shared" si="61"/>
        <v>2386266.1590477973</v>
      </c>
      <c r="N111" s="43">
        <f t="shared" si="61"/>
        <v>0</v>
      </c>
      <c r="O111" s="43">
        <f t="shared" si="61"/>
        <v>0</v>
      </c>
      <c r="P111" s="43">
        <f t="shared" si="61"/>
        <v>0</v>
      </c>
      <c r="Q111" s="43">
        <f t="shared" si="61"/>
        <v>0</v>
      </c>
      <c r="R111" s="43">
        <f t="shared" si="61"/>
        <v>0</v>
      </c>
      <c r="S111" s="43">
        <f t="shared" si="61"/>
        <v>0</v>
      </c>
      <c r="T111" s="43">
        <f t="shared" si="61"/>
        <v>0</v>
      </c>
      <c r="U111" s="43">
        <f t="shared" si="61"/>
        <v>0</v>
      </c>
      <c r="V111" s="43">
        <f t="shared" si="61"/>
        <v>0</v>
      </c>
      <c r="W111" s="43">
        <f t="shared" si="61"/>
        <v>0</v>
      </c>
      <c r="X111" s="43">
        <f t="shared" si="61"/>
        <v>0</v>
      </c>
      <c r="Y111" s="43">
        <f t="shared" si="61"/>
        <v>0</v>
      </c>
      <c r="Z111" s="43">
        <f t="shared" si="61"/>
        <v>0</v>
      </c>
      <c r="AA111" s="43">
        <f t="shared" si="61"/>
        <v>0</v>
      </c>
      <c r="AB111" s="43">
        <f t="shared" ref="AB111:AF111" si="62">SUM(AB81:AB105)</f>
        <v>0</v>
      </c>
      <c r="AC111" s="43">
        <f t="shared" si="62"/>
        <v>0</v>
      </c>
      <c r="AD111" s="43">
        <f t="shared" si="62"/>
        <v>0</v>
      </c>
      <c r="AE111" s="43">
        <f t="shared" si="62"/>
        <v>0</v>
      </c>
      <c r="AF111" s="43">
        <f t="shared" si="62"/>
        <v>0</v>
      </c>
      <c r="AG111" s="43">
        <f>SUM(C111:AF111)</f>
        <v>33407726.226669125</v>
      </c>
    </row>
    <row r="113" spans="1:33">
      <c r="A113" s="302" t="str">
        <f>+Capex!$A$9</f>
        <v>LEED Design Costs</v>
      </c>
      <c r="B113" s="324">
        <f>+Capex!$C$9/12</f>
        <v>0.5</v>
      </c>
    </row>
    <row r="114" spans="1:33">
      <c r="A114" s="6" t="s">
        <v>399</v>
      </c>
      <c r="C114" s="40">
        <f>IF(Capex!$B$9=0,Capex!G$9,IF(Capex!$B$9=Capex!G$4,Capex!$AK$9,0))+IF(Capex!$B$9=0,Capex!G$23,IF(Capex!$B$9=Capex!G$4,Capex!$AK$23,0))</f>
        <v>0</v>
      </c>
      <c r="D114" s="40">
        <f>IF(Capex!$B$9=0,Capex!H$9,IF(Capex!$B$9=Capex!H$4,Capex!$AK$9,0))+IF(Capex!$B$9=0,Capex!H$23,IF(Capex!$B$9=Capex!H$4,Capex!$AK$23,0))</f>
        <v>0</v>
      </c>
      <c r="E114" s="40">
        <f>IF(Capex!$B$9=0,Capex!I$9,IF(Capex!$B$9=Capex!I$4,Capex!$AK$9,0))+IF(Capex!$B$9=0,Capex!I$23,IF(Capex!$B$9=Capex!I$4,Capex!$AK$23,0))</f>
        <v>0</v>
      </c>
      <c r="F114" s="40">
        <f>IF(Capex!$B$9=0,Capex!J$9,IF(Capex!$B$9=Capex!J$4,Capex!$AK$9,0))+IF(Capex!$B$9=0,Capex!J$23,IF(Capex!$B$9=Capex!J$4,Capex!$AK$23,0))</f>
        <v>1550095.5124418859</v>
      </c>
      <c r="G114" s="40">
        <f>IF(Capex!$B$9=0,Capex!K$9,IF(Capex!$B$9=Capex!K$4,Capex!$AK$9,0))+IF(Capex!$B$9=0,Capex!K$23,IF(Capex!$B$9=Capex!K$4,Capex!$AK$23,0))</f>
        <v>0</v>
      </c>
      <c r="H114" s="40">
        <f>IF(Capex!$B$9=0,Capex!L$9,IF(Capex!$B$9=Capex!L$4,Capex!$AK$9,0))+IF(Capex!$B$9=0,Capex!L$23,IF(Capex!$B$9=Capex!L$4,Capex!$AK$23,0))</f>
        <v>0</v>
      </c>
      <c r="I114" s="40">
        <f>IF(Capex!$B$9=0,Capex!M$9,IF(Capex!$B$9=Capex!M$4,Capex!$AK$9,0))+IF(Capex!$B$9=0,Capex!M$23,IF(Capex!$B$9=Capex!M$4,Capex!$AK$23,0))</f>
        <v>0</v>
      </c>
      <c r="J114" s="40">
        <f>IF(Capex!$B$9=0,Capex!N$9,IF(Capex!$B$9=Capex!N$4,Capex!$AK$9,0))+IF(Capex!$B$9=0,Capex!N$23,IF(Capex!$B$9=Capex!N$4,Capex!$AK$23,0))</f>
        <v>0</v>
      </c>
      <c r="K114" s="40">
        <f>IF(Capex!$B$9=0,Capex!O$9,IF(Capex!$B$9=Capex!O$4,Capex!$AK$9,0))+IF(Capex!$B$9=0,Capex!O$23,IF(Capex!$B$9=Capex!O$4,Capex!$AK$23,0))</f>
        <v>0</v>
      </c>
      <c r="L114" s="40">
        <f>IF(Capex!$B$9=0,Capex!P$9,IF(Capex!$B$9=Capex!P$4,Capex!$AK$9,0))+IF(Capex!$B$9=0,Capex!P$23,IF(Capex!$B$9=Capex!P$4,Capex!$AK$23,0))</f>
        <v>0</v>
      </c>
      <c r="M114" s="40">
        <f>IF(Capex!$B$9=0,Capex!Q$9,IF(Capex!$B$9=Capex!Q$4,Capex!$AK$9,0))+IF(Capex!$B$9=0,Capex!Q$23,IF(Capex!$B$9=Capex!Q$4,Capex!$AK$23,0))</f>
        <v>0</v>
      </c>
      <c r="N114" s="40">
        <f>IF(Capex!$B$9=0,Capex!R$9,IF(Capex!$B$9=Capex!R$4,Capex!$AK$9,0))+IF(Capex!$B$9=0,Capex!R$23,IF(Capex!$B$9=Capex!R$4,Capex!$AK$23,0))</f>
        <v>0</v>
      </c>
      <c r="O114" s="40">
        <f>IF(Capex!$B$9=0,Capex!S$9,IF(Capex!$B$9=Capex!S$4,Capex!$AK$9,0))+IF(Capex!$B$9=0,Capex!S$23,IF(Capex!$B$9=Capex!S$4,Capex!$AK$23,0))</f>
        <v>0</v>
      </c>
      <c r="P114" s="40">
        <f>IF(Capex!$B$9=0,Capex!T$9,IF(Capex!$B$9=Capex!T$4,Capex!$AK$9,0))+IF(Capex!$B$9=0,Capex!T$23,IF(Capex!$B$9=Capex!T$4,Capex!$AK$23,0))</f>
        <v>0</v>
      </c>
      <c r="Q114" s="40">
        <f>IF(Capex!$B$9=0,Capex!U$9,IF(Capex!$B$9=Capex!U$4,Capex!$AK$9,0))+IF(Capex!$B$9=0,Capex!U$23,IF(Capex!$B$9=Capex!U$4,Capex!$AK$23,0))</f>
        <v>0</v>
      </c>
      <c r="R114" s="40">
        <f>IF(Capex!$B$9=0,Capex!V$9,IF(Capex!$B$9=Capex!V$4,Capex!$AK$9,0))+IF(Capex!$B$9=0,Capex!V$23,IF(Capex!$B$9=Capex!V$4,Capex!$AK$23,0))</f>
        <v>0</v>
      </c>
      <c r="S114" s="40">
        <f>IF(Capex!$B$9=0,Capex!W$9,IF(Capex!$B$9=Capex!W$4,Capex!$AK$9,0))+IF(Capex!$B$9=0,Capex!W$23,IF(Capex!$B$9=Capex!W$4,Capex!$AK$23,0))</f>
        <v>0</v>
      </c>
      <c r="T114" s="40">
        <f>IF(Capex!$B$9=0,Capex!X$9,IF(Capex!$B$9=Capex!X$4,Capex!$AK$9,0))+IF(Capex!$B$9=0,Capex!X$23,IF(Capex!$B$9=Capex!X$4,Capex!$AK$23,0))</f>
        <v>0</v>
      </c>
      <c r="U114" s="40">
        <f>IF(Capex!$B$9=0,Capex!Y$9,IF(Capex!$B$9=Capex!Y$4,Capex!$AK$9,0))+IF(Capex!$B$9=0,Capex!Y$23,IF(Capex!$B$9=Capex!Y$4,Capex!$AK$23,0))</f>
        <v>0</v>
      </c>
      <c r="V114" s="40">
        <f>IF(Capex!$B$9=0,Capex!Z$9,IF(Capex!$B$9=Capex!Z$4,Capex!$AK$9,0))+IF(Capex!$B$9=0,Capex!Z$23,IF(Capex!$B$9=Capex!Z$4,Capex!$AK$23,0))</f>
        <v>0</v>
      </c>
      <c r="W114" s="40">
        <f>IF(Capex!$B$9=0,Capex!AA$9,IF(Capex!$B$9=Capex!AA$4,Capex!$AK$9,0))+IF(Capex!$B$9=0,Capex!AA$23,IF(Capex!$B$9=Capex!AA$4,Capex!$AK$23,0))</f>
        <v>0</v>
      </c>
      <c r="X114" s="40">
        <f>IF(Capex!$B$9=0,Capex!AB$9,IF(Capex!$B$9=Capex!AB$4,Capex!$AK$9,0))+IF(Capex!$B$9=0,Capex!AB$23,IF(Capex!$B$9=Capex!AB$4,Capex!$AK$23,0))</f>
        <v>0</v>
      </c>
      <c r="Y114" s="40">
        <f>IF(Capex!$B$9=0,Capex!AC$9,IF(Capex!$B$9=Capex!AC$4,Capex!$AK$9,0))+IF(Capex!$B$9=0,Capex!AC$23,IF(Capex!$B$9=Capex!AC$4,Capex!$AK$23,0))</f>
        <v>0</v>
      </c>
      <c r="Z114" s="40">
        <f>IF(Capex!$B$9=0,Capex!AD$9,IF(Capex!$B$9=Capex!AD$4,Capex!$AK$9,0))+IF(Capex!$B$9=0,Capex!AD$23,IF(Capex!$B$9=Capex!AD$4,Capex!$AK$23,0))</f>
        <v>0</v>
      </c>
      <c r="AA114" s="40">
        <f>IF(Capex!$B$9=0,Capex!AE$9,IF(Capex!$B$9=Capex!AE$4,Capex!$AK$9,0))+IF(Capex!$B$9=0,Capex!AE$23,IF(Capex!$B$9=Capex!AE$4,Capex!$AK$23,0))</f>
        <v>0</v>
      </c>
      <c r="AB114" s="40">
        <f>IF(Capex!$B$9=0,Capex!AF$9,IF(Capex!$B$9=Capex!AF$4,Capex!$AK$9,0))+IF(Capex!$B$9=0,Capex!AF$23,IF(Capex!$B$9=Capex!AF$4,Capex!$AK$23,0))</f>
        <v>0</v>
      </c>
      <c r="AC114" s="40">
        <f>IF(Capex!$B$9=0,Capex!AG$9,IF(Capex!$B$9=Capex!AG$4,Capex!$AK$9,0))+IF(Capex!$B$9=0,Capex!AG$23,IF(Capex!$B$9=Capex!AG$4,Capex!$AK$23,0))</f>
        <v>0</v>
      </c>
      <c r="AD114" s="40">
        <f>IF(Capex!$B$9=0,Capex!AH$9,IF(Capex!$B$9=Capex!AH$4,Capex!$AK$9,0))+IF(Capex!$B$9=0,Capex!AH$23,IF(Capex!$B$9=Capex!AH$4,Capex!$AK$23,0))</f>
        <v>0</v>
      </c>
      <c r="AE114" s="40">
        <f>IF(Capex!$B$9=0,Capex!AI$9,IF(Capex!$B$9=Capex!AI$4,Capex!$AK$9,0))+IF(Capex!$B$9=0,Capex!AI$23,IF(Capex!$B$9=Capex!AI$4,Capex!$AK$23,0))</f>
        <v>0</v>
      </c>
      <c r="AF114" s="40">
        <f>IF(Capex!$B$9=0,Capex!AJ$9,IF(Capex!$B$9=Capex!AJ$4,Capex!$AK$9,0))+IF(Capex!$B$9=0,Capex!AJ$23,IF(Capex!$B$9=Capex!AJ$4,Capex!$AK$23,0))</f>
        <v>0</v>
      </c>
    </row>
    <row r="115" spans="1:33">
      <c r="A115" s="6" t="s">
        <v>400</v>
      </c>
      <c r="B115" s="299"/>
      <c r="C115" s="49">
        <f>+C114</f>
        <v>0</v>
      </c>
      <c r="D115" s="49">
        <f t="shared" ref="D115:AA115" si="63">+D114+C115</f>
        <v>0</v>
      </c>
      <c r="E115" s="49">
        <f t="shared" si="63"/>
        <v>0</v>
      </c>
      <c r="F115" s="49">
        <f t="shared" si="63"/>
        <v>1550095.5124418859</v>
      </c>
      <c r="G115" s="49">
        <f t="shared" si="63"/>
        <v>1550095.5124418859</v>
      </c>
      <c r="H115" s="49">
        <f t="shared" si="63"/>
        <v>1550095.5124418859</v>
      </c>
      <c r="I115" s="49">
        <f t="shared" si="63"/>
        <v>1550095.5124418859</v>
      </c>
      <c r="J115" s="49">
        <f t="shared" si="63"/>
        <v>1550095.5124418859</v>
      </c>
      <c r="K115" s="49">
        <f t="shared" si="63"/>
        <v>1550095.5124418859</v>
      </c>
      <c r="L115" s="49">
        <f t="shared" si="63"/>
        <v>1550095.5124418859</v>
      </c>
      <c r="M115" s="49">
        <f t="shared" si="63"/>
        <v>1550095.5124418859</v>
      </c>
      <c r="N115" s="49">
        <f t="shared" si="63"/>
        <v>1550095.5124418859</v>
      </c>
      <c r="O115" s="49">
        <f t="shared" si="63"/>
        <v>1550095.5124418859</v>
      </c>
      <c r="P115" s="49">
        <f t="shared" si="63"/>
        <v>1550095.5124418859</v>
      </c>
      <c r="Q115" s="49">
        <f t="shared" si="63"/>
        <v>1550095.5124418859</v>
      </c>
      <c r="R115" s="49">
        <f t="shared" si="63"/>
        <v>1550095.5124418859</v>
      </c>
      <c r="S115" s="49">
        <f t="shared" si="63"/>
        <v>1550095.5124418859</v>
      </c>
      <c r="T115" s="49">
        <f t="shared" si="63"/>
        <v>1550095.5124418859</v>
      </c>
      <c r="U115" s="49">
        <f t="shared" si="63"/>
        <v>1550095.5124418859</v>
      </c>
      <c r="V115" s="49">
        <f t="shared" si="63"/>
        <v>1550095.5124418859</v>
      </c>
      <c r="W115" s="49">
        <f t="shared" si="63"/>
        <v>1550095.5124418859</v>
      </c>
      <c r="X115" s="49">
        <f t="shared" si="63"/>
        <v>1550095.5124418859</v>
      </c>
      <c r="Y115" s="49">
        <f t="shared" si="63"/>
        <v>1550095.5124418859</v>
      </c>
      <c r="Z115" s="49">
        <f t="shared" si="63"/>
        <v>1550095.5124418859</v>
      </c>
      <c r="AA115" s="49">
        <f t="shared" si="63"/>
        <v>1550095.5124418859</v>
      </c>
      <c r="AB115" s="49">
        <f t="shared" ref="AB115" si="64">+AB114+AA115</f>
        <v>1550095.5124418859</v>
      </c>
      <c r="AC115" s="49">
        <f t="shared" ref="AC115" si="65">+AC114+AB115</f>
        <v>1550095.5124418859</v>
      </c>
      <c r="AD115" s="49">
        <f t="shared" ref="AD115" si="66">+AD114+AC115</f>
        <v>1550095.5124418859</v>
      </c>
      <c r="AE115" s="49">
        <f t="shared" ref="AE115" si="67">+AE114+AD115</f>
        <v>1550095.5124418859</v>
      </c>
      <c r="AF115" s="49">
        <f t="shared" ref="AF115" si="68">+AF114+AE115</f>
        <v>1550095.5124418859</v>
      </c>
    </row>
    <row r="116" spans="1:33" ht="16.2">
      <c r="A116" s="6" t="s">
        <v>401</v>
      </c>
      <c r="B116" s="88">
        <f>+Capex!$D$9</f>
        <v>60</v>
      </c>
      <c r="AG116" s="462"/>
    </row>
    <row r="117" spans="1:33">
      <c r="A117" s="6">
        <f>+A9</f>
        <v>2022</v>
      </c>
      <c r="B117" s="4">
        <f t="shared" ref="B117:B146" si="69">SUMIF($C$2:$AF$2,A117,$C$114:$AF$114)</f>
        <v>0</v>
      </c>
      <c r="C117" s="4">
        <f>IF($B$116=0,0,IF(C$2&gt;=$A117,IF(C$2=$A117,($B117/$B$116)*$B$113,IF(C$2&lt;=$A117+$B$116-1,$B117/$B$116,$B117-SUM(B117:$C117))),0))</f>
        <v>0</v>
      </c>
      <c r="D117" s="4">
        <f>IF($B$116=0,0,IF(D$2&gt;=$A117,IF(D$2=$A117,($B117/$B$116)*$B$113,IF(D$2&lt;=$A117+$B$116-1,$B117/$B$116,$B117-SUM(C117:$C117))),0))</f>
        <v>0</v>
      </c>
      <c r="E117" s="4">
        <f>IF($B$116=0,0,IF(E$2&gt;=$A117,IF(E$2=$A117,($B117/$B$116)*$B$113,IF(E$2&lt;=$A117+$B$116-1,$B117/$B$116,$B117-SUM($C117:D117))),0))</f>
        <v>0</v>
      </c>
      <c r="F117" s="4">
        <f>IF($B$116=0,0,IF(F$2&gt;=$A117,IF(F$2=$A117,($B117/$B$116)*$B$113,IF(F$2&lt;=$A117+$B$116-1,$B117/$B$116,$B117-SUM($C117:E117))),0))</f>
        <v>0</v>
      </c>
      <c r="G117" s="4">
        <f>IF($B$116=0,0,IF(G$2&gt;=$A117,IF(G$2=$A117,($B117/$B$116)*$B$113,IF(G$2&lt;=$A117+$B$116-1,$B117/$B$116,$B117-SUM($C117:F117))),0))</f>
        <v>0</v>
      </c>
      <c r="H117" s="4">
        <f>IF($B$116=0,0,IF(H$2&gt;=$A117,IF(H$2=$A117,($B117/$B$116)*$B$113,IF(H$2&lt;=$A117+$B$116-1,$B117/$B$116,$B117-SUM($C117:G117))),0))</f>
        <v>0</v>
      </c>
      <c r="I117" s="4">
        <f>IF($B$116=0,0,IF(I$2&gt;=$A117,IF(I$2=$A117,($B117/$B$116)*$B$113,IF(I$2&lt;=$A117+$B$116-1,$B117/$B$116,$B117-SUM($C117:H117))),0))</f>
        <v>0</v>
      </c>
      <c r="J117" s="4">
        <f>IF($B$116=0,0,IF(J$2&gt;=$A117,IF(J$2=$A117,($B117/$B$116)*$B$113,IF(J$2&lt;=$A117+$B$116-1,$B117/$B$116,$B117-SUM($C117:I117))),0))</f>
        <v>0</v>
      </c>
      <c r="K117" s="4">
        <f>IF($B$116=0,0,IF(K$2&gt;=$A117,IF(K$2=$A117,($B117/$B$116)*$B$113,IF(K$2&lt;=$A117+$B$116-1,$B117/$B$116,$B117-SUM($C117:J117))),0))</f>
        <v>0</v>
      </c>
      <c r="L117" s="4">
        <f>IF($B$116=0,0,IF(L$2&gt;=$A117,IF(L$2=$A117,($B117/$B$116)*$B$113,IF(L$2&lt;=$A117+$B$116-1,$B117/$B$116,$B117-SUM($C117:K117))),0))</f>
        <v>0</v>
      </c>
      <c r="M117" s="4">
        <f>IF($B$116=0,0,IF(M$2&gt;=$A117,IF(M$2=$A117,($B117/$B$116)*$B$113,IF(M$2&lt;=$A117+$B$116-1,$B117/$B$116,$B117-SUM($C117:L117))),0))</f>
        <v>0</v>
      </c>
      <c r="N117" s="4">
        <f>IF($B$116=0,0,IF(N$2&gt;=$A117,IF(N$2=$A117,($B117/$B$116)*$B$113,IF(N$2&lt;=$A117+$B$116-1,$B117/$B$116,$B117-SUM($C117:M117))),0))</f>
        <v>0</v>
      </c>
      <c r="O117" s="4">
        <f>IF($B$116=0,0,IF(O$2&gt;=$A117,IF(O$2=$A117,($B117/$B$116)*$B$113,IF(O$2&lt;=$A117+$B$116-1,$B117/$B$116,$B117-SUM($C117:N117))),0))</f>
        <v>0</v>
      </c>
      <c r="P117" s="4">
        <f>IF($B$116=0,0,IF(P$2&gt;=$A117,IF(P$2=$A117,($B117/$B$116)*$B$113,IF(P$2&lt;=$A117+$B$116-1,$B117/$B$116,$B117-SUM($C117:O117))),0))</f>
        <v>0</v>
      </c>
      <c r="Q117" s="4">
        <f>IF($B$116=0,0,IF(Q$2&gt;=$A117,IF(Q$2=$A117,($B117/$B$116)*$B$113,IF(Q$2&lt;=$A117+$B$116-1,$B117/$B$116,$B117-SUM($C117:P117))),0))</f>
        <v>0</v>
      </c>
      <c r="R117" s="4">
        <f>IF($B$116=0,0,IF(R$2&gt;=$A117,IF(R$2=$A117,($B117/$B$116)*$B$113,IF(R$2&lt;=$A117+$B$116-1,$B117/$B$116,$B117-SUM($C117:Q117))),0))</f>
        <v>0</v>
      </c>
      <c r="S117" s="4">
        <f>IF($B$116=0,0,IF(S$2&gt;=$A117,IF(S$2=$A117,($B117/$B$116)*$B$113,IF(S$2&lt;=$A117+$B$116-1,$B117/$B$116,$B117-SUM($C117:R117))),0))</f>
        <v>0</v>
      </c>
      <c r="T117" s="4">
        <f>IF($B$116=0,0,IF(T$2&gt;=$A117,IF(T$2=$A117,($B117/$B$116)*$B$113,IF(T$2&lt;=$A117+$B$116-1,$B117/$B$116,$B117-SUM($C117:S117))),0))</f>
        <v>0</v>
      </c>
      <c r="U117" s="4">
        <f>IF($B$116=0,0,IF(U$2&gt;=$A117,IF(U$2=$A117,($B117/$B$116)*$B$113,IF(U$2&lt;=$A117+$B$116-1,$B117/$B$116,$B117-SUM($C117:T117))),0))</f>
        <v>0</v>
      </c>
      <c r="V117" s="4">
        <f>IF($B$116=0,0,IF(V$2&gt;=$A117,IF(V$2=$A117,($B117/$B$116)*$B$113,IF(V$2&lt;=$A117+$B$116-1,$B117/$B$116,$B117-SUM($C117:U117))),0))</f>
        <v>0</v>
      </c>
      <c r="W117" s="4">
        <f>IF($B$116=0,0,IF(W$2&gt;=$A117,IF(W$2=$A117,($B117/$B$116)*$B$113,IF(W$2&lt;=$A117+$B$116-1,$B117/$B$116,$B117-SUM($C117:V117))),0))</f>
        <v>0</v>
      </c>
      <c r="X117" s="4">
        <f>IF($B$116=0,0,IF(X$2&gt;=$A117,IF(X$2=$A117,($B117/$B$116)*$B$113,IF(X$2&lt;=$A117+$B$116-1,$B117/$B$116,$B117-SUM($C117:W117))),0))</f>
        <v>0</v>
      </c>
      <c r="Y117" s="4">
        <f>IF($B$116=0,0,IF(Y$2&gt;=$A117,IF(Y$2=$A117,($B117/$B$116)*$B$113,IF(Y$2&lt;=$A117+$B$116-1,$B117/$B$116,$B117-SUM($C117:X117))),0))</f>
        <v>0</v>
      </c>
      <c r="Z117" s="4">
        <f>IF($B$116=0,0,IF(Z$2&gt;=$A117,IF(Z$2=$A117,($B117/$B$116)*$B$113,IF(Z$2&lt;=$A117+$B$116-1,$B117/$B$116,$B117-SUM($C117:Y117))),0))</f>
        <v>0</v>
      </c>
      <c r="AA117" s="4">
        <f>IF($B$116=0,0,IF(AA$2&gt;=$A117,IF(AA$2=$A117,($B117/$B$116)*$B$113,IF(AA$2&lt;=$A117+$B$116-1,$B117/$B$116,$B117-SUM($C117:Z117))),0))</f>
        <v>0</v>
      </c>
      <c r="AB117" s="4">
        <f>IF($B$116=0,0,IF(AB$2&gt;=$A117,IF(AB$2=$A117,($B117/$B$116)*$B$113,IF(AB$2&lt;=$A117+$B$116-1,$B117/$B$116,$B117-SUM($C117:AA117))),0))</f>
        <v>0</v>
      </c>
      <c r="AC117" s="4">
        <f>IF($B$116=0,0,IF(AC$2&gt;=$A117,IF(AC$2=$A117,($B117/$B$116)*$B$113,IF(AC$2&lt;=$A117+$B$116-1,$B117/$B$116,$B117-SUM($C117:AB117))),0))</f>
        <v>0</v>
      </c>
      <c r="AD117" s="4">
        <f>IF($B$116=0,0,IF(AD$2&gt;=$A117,IF(AD$2=$A117,($B117/$B$116)*$B$113,IF(AD$2&lt;=$A117+$B$116-1,$B117/$B$116,$B117-SUM($C117:AC117))),0))</f>
        <v>0</v>
      </c>
      <c r="AE117" s="4">
        <f>IF($B$116=0,0,IF(AE$2&gt;=$A117,IF(AE$2=$A117,($B117/$B$116)*$B$113,IF(AE$2&lt;=$A117+$B$116-1,$B117/$B$116,$B117-SUM($C117:AD117))),0))</f>
        <v>0</v>
      </c>
      <c r="AF117" s="4">
        <f>IF($B$116=0,0,IF(AF$2&gt;=$A117,IF(AF$2=$A117,($B117/$B$116)*$B$113,IF(AF$2&lt;=$A117+$B$116-1,$B117/$B$116,$B117-SUM($C117:AE117))),0))</f>
        <v>0</v>
      </c>
      <c r="AG117" s="4">
        <f t="shared" ref="AG117:AG141" si="70">SUM(C117:AF117)</f>
        <v>0</v>
      </c>
    </row>
    <row r="118" spans="1:33">
      <c r="A118" s="6">
        <f>+A117+1</f>
        <v>2023</v>
      </c>
      <c r="B118" s="4">
        <f t="shared" si="69"/>
        <v>0</v>
      </c>
      <c r="C118" s="4">
        <f>IF($B$116=0,0,IF(C$2&gt;=$A118,IF(C$2=$A118,($B118/$B$116)*$B$113,IF(C$2&lt;=$A118+$B$116-1,$B118/$B$116,$B118-SUM(B118:$C118))),0))</f>
        <v>0</v>
      </c>
      <c r="D118" s="4">
        <f>IF($B$116=0,0,IF(D$2&gt;=$A118,IF(D$2=$A118,($B118/$B$116)*$B$113,IF(D$2&lt;=$A118+$B$116-1,$B118/$B$116,$B118-SUM(C118:$C118))),0))</f>
        <v>0</v>
      </c>
      <c r="E118" s="4">
        <f>IF($B$116=0,0,IF(E$2&gt;=$A118,IF(E$2=$A118,($B118/$B$116)*$B$113,IF(E$2&lt;=$A118+$B$116-1,$B118/$B$116,$B118-SUM($C118:D118))),0))</f>
        <v>0</v>
      </c>
      <c r="F118" s="4">
        <f>IF($B$116=0,0,IF(F$2&gt;=$A118,IF(F$2=$A118,($B118/$B$116)*$B$113,IF(F$2&lt;=$A118+$B$116-1,$B118/$B$116,$B118-SUM($C118:E118))),0))</f>
        <v>0</v>
      </c>
      <c r="G118" s="4">
        <f>IF($B$116=0,0,IF(G$2&gt;=$A118,IF(G$2=$A118,($B118/$B$116)*$B$113,IF(G$2&lt;=$A118+$B$116-1,$B118/$B$116,$B118-SUM($C118:F118))),0))</f>
        <v>0</v>
      </c>
      <c r="H118" s="4">
        <f>IF($B$116=0,0,IF(H$2&gt;=$A118,IF(H$2=$A118,($B118/$B$116)*$B$113,IF(H$2&lt;=$A118+$B$116-1,$B118/$B$116,$B118-SUM($C118:G118))),0))</f>
        <v>0</v>
      </c>
      <c r="I118" s="4">
        <f>IF($B$116=0,0,IF(I$2&gt;=$A118,IF(I$2=$A118,($B118/$B$116)*$B$113,IF(I$2&lt;=$A118+$B$116-1,$B118/$B$116,$B118-SUM($C118:H118))),0))</f>
        <v>0</v>
      </c>
      <c r="J118" s="4">
        <f>IF($B$116=0,0,IF(J$2&gt;=$A118,IF(J$2=$A118,($B118/$B$116)*$B$113,IF(J$2&lt;=$A118+$B$116-1,$B118/$B$116,$B118-SUM($C118:I118))),0))</f>
        <v>0</v>
      </c>
      <c r="K118" s="4">
        <f>IF($B$116=0,0,IF(K$2&gt;=$A118,IF(K$2=$A118,($B118/$B$116)*$B$113,IF(K$2&lt;=$A118+$B$116-1,$B118/$B$116,$B118-SUM($C118:J118))),0))</f>
        <v>0</v>
      </c>
      <c r="L118" s="4">
        <f>IF($B$116=0,0,IF(L$2&gt;=$A118,IF(L$2=$A118,($B118/$B$116)*$B$113,IF(L$2&lt;=$A118+$B$116-1,$B118/$B$116,$B118-SUM($C118:K118))),0))</f>
        <v>0</v>
      </c>
      <c r="M118" s="4">
        <f>IF($B$116=0,0,IF(M$2&gt;=$A118,IF(M$2=$A118,($B118/$B$116)*$B$113,IF(M$2&lt;=$A118+$B$116-1,$B118/$B$116,$B118-SUM($C118:L118))),0))</f>
        <v>0</v>
      </c>
      <c r="N118" s="4">
        <f>IF($B$116=0,0,IF(N$2&gt;=$A118,IF(N$2=$A118,($B118/$B$116)*$B$113,IF(N$2&lt;=$A118+$B$116-1,$B118/$B$116,$B118-SUM($C118:M118))),0))</f>
        <v>0</v>
      </c>
      <c r="O118" s="4">
        <f>IF($B$116=0,0,IF(O$2&gt;=$A118,IF(O$2=$A118,($B118/$B$116)*$B$113,IF(O$2&lt;=$A118+$B$116-1,$B118/$B$116,$B118-SUM($C118:N118))),0))</f>
        <v>0</v>
      </c>
      <c r="P118" s="4">
        <f>IF($B$116=0,0,IF(P$2&gt;=$A118,IF(P$2=$A118,($B118/$B$116)*$B$113,IF(P$2&lt;=$A118+$B$116-1,$B118/$B$116,$B118-SUM($C118:O118))),0))</f>
        <v>0</v>
      </c>
      <c r="Q118" s="4">
        <f>IF($B$116=0,0,IF(Q$2&gt;=$A118,IF(Q$2=$A118,($B118/$B$116)*$B$113,IF(Q$2&lt;=$A118+$B$116-1,$B118/$B$116,$B118-SUM($C118:P118))),0))</f>
        <v>0</v>
      </c>
      <c r="R118" s="4">
        <f>IF($B$116=0,0,IF(R$2&gt;=$A118,IF(R$2=$A118,($B118/$B$116)*$B$113,IF(R$2&lt;=$A118+$B$116-1,$B118/$B$116,$B118-SUM($C118:Q118))),0))</f>
        <v>0</v>
      </c>
      <c r="S118" s="4">
        <f>IF($B$116=0,0,IF(S$2&gt;=$A118,IF(S$2=$A118,($B118/$B$116)*$B$113,IF(S$2&lt;=$A118+$B$116-1,$B118/$B$116,$B118-SUM($C118:R118))),0))</f>
        <v>0</v>
      </c>
      <c r="T118" s="4">
        <f>IF($B$116=0,0,IF(T$2&gt;=$A118,IF(T$2=$A118,($B118/$B$116)*$B$113,IF(T$2&lt;=$A118+$B$116-1,$B118/$B$116,$B118-SUM($C118:S118))),0))</f>
        <v>0</v>
      </c>
      <c r="U118" s="4">
        <f>IF($B$116=0,0,IF(U$2&gt;=$A118,IF(U$2=$A118,($B118/$B$116)*$B$113,IF(U$2&lt;=$A118+$B$116-1,$B118/$B$116,$B118-SUM($C118:T118))),0))</f>
        <v>0</v>
      </c>
      <c r="V118" s="4">
        <f>IF($B$116=0,0,IF(V$2&gt;=$A118,IF(V$2=$A118,($B118/$B$116)*$B$113,IF(V$2&lt;=$A118+$B$116-1,$B118/$B$116,$B118-SUM($C118:U118))),0))</f>
        <v>0</v>
      </c>
      <c r="W118" s="4">
        <f>IF($B$116=0,0,IF(W$2&gt;=$A118,IF(W$2=$A118,($B118/$B$116)*$B$113,IF(W$2&lt;=$A118+$B$116-1,$B118/$B$116,$B118-SUM($C118:V118))),0))</f>
        <v>0</v>
      </c>
      <c r="X118" s="4">
        <f>IF($B$116=0,0,IF(X$2&gt;=$A118,IF(X$2=$A118,($B118/$B$116)*$B$113,IF(X$2&lt;=$A118+$B$116-1,$B118/$B$116,$B118-SUM($C118:W118))),0))</f>
        <v>0</v>
      </c>
      <c r="Y118" s="4">
        <f>IF($B$116=0,0,IF(Y$2&gt;=$A118,IF(Y$2=$A118,($B118/$B$116)*$B$113,IF(Y$2&lt;=$A118+$B$116-1,$B118/$B$116,$B118-SUM($C118:X118))),0))</f>
        <v>0</v>
      </c>
      <c r="Z118" s="4">
        <f>IF($B$116=0,0,IF(Z$2&gt;=$A118,IF(Z$2=$A118,($B118/$B$116)*$B$113,IF(Z$2&lt;=$A118+$B$116-1,$B118/$B$116,$B118-SUM($C118:Y118))),0))</f>
        <v>0</v>
      </c>
      <c r="AA118" s="4">
        <f>IF($B$116=0,0,IF(AA$2&gt;=$A118,IF(AA$2=$A118,($B118/$B$116)*$B$113,IF(AA$2&lt;=$A118+$B$116-1,$B118/$B$116,$B118-SUM($C118:Z118))),0))</f>
        <v>0</v>
      </c>
      <c r="AB118" s="4">
        <f>IF($B$116=0,0,IF(AB$2&gt;=$A118,IF(AB$2=$A118,($B118/$B$116)*$B$113,IF(AB$2&lt;=$A118+$B$116-1,$B118/$B$116,$B118-SUM($C118:AA118))),0))</f>
        <v>0</v>
      </c>
      <c r="AC118" s="4">
        <f>IF($B$116=0,0,IF(AC$2&gt;=$A118,IF(AC$2=$A118,($B118/$B$116)*$B$113,IF(AC$2&lt;=$A118+$B$116-1,$B118/$B$116,$B118-SUM($C118:AB118))),0))</f>
        <v>0</v>
      </c>
      <c r="AD118" s="4">
        <f>IF($B$116=0,0,IF(AD$2&gt;=$A118,IF(AD$2=$A118,($B118/$B$116)*$B$113,IF(AD$2&lt;=$A118+$B$116-1,$B118/$B$116,$B118-SUM($C118:AC118))),0))</f>
        <v>0</v>
      </c>
      <c r="AE118" s="4">
        <f>IF($B$116=0,0,IF(AE$2&gt;=$A118,IF(AE$2=$A118,($B118/$B$116)*$B$113,IF(AE$2&lt;=$A118+$B$116-1,$B118/$B$116,$B118-SUM($C118:AD118))),0))</f>
        <v>0</v>
      </c>
      <c r="AF118" s="4">
        <f>IF($B$116=0,0,IF(AF$2&gt;=$A118,IF(AF$2=$A118,($B118/$B$116)*$B$113,IF(AF$2&lt;=$A118+$B$116-1,$B118/$B$116,$B118-SUM($C118:AE118))),0))</f>
        <v>0</v>
      </c>
      <c r="AG118" s="4">
        <f t="shared" si="70"/>
        <v>0</v>
      </c>
    </row>
    <row r="119" spans="1:33">
      <c r="A119" s="6">
        <f t="shared" ref="A119:A146" si="71">+A118+1</f>
        <v>2024</v>
      </c>
      <c r="B119" s="4">
        <f t="shared" si="69"/>
        <v>0</v>
      </c>
      <c r="C119" s="4">
        <f>IF($B$116=0,0,IF(C$2&gt;=$A119,IF(C$2=$A119,($B119/$B$116)*$B$113,IF(C$2&lt;=$A119+$B$116-1,$B119/$B$116,$B119-SUM(B119:$C119))),0))</f>
        <v>0</v>
      </c>
      <c r="D119" s="4">
        <f>IF($B$116=0,0,IF(D$2&gt;=$A119,IF(D$2=$A119,($B119/$B$116)*$B$113,IF(D$2&lt;=$A119+$B$116-1,$B119/$B$116,$B119-SUM(C119:$C119))),0))</f>
        <v>0</v>
      </c>
      <c r="E119" s="4">
        <f>IF($B$116=0,0,IF(E$2&gt;=$A119,IF(E$2=$A119,($B119/$B$116)*$B$113,IF(E$2&lt;=$A119+$B$116-1,$B119/$B$116,$B119-SUM($C119:D119))),0))</f>
        <v>0</v>
      </c>
      <c r="F119" s="4">
        <f>IF($B$116=0,0,IF(F$2&gt;=$A119,IF(F$2=$A119,($B119/$B$116)*$B$113,IF(F$2&lt;=$A119+$B$116-1,$B119/$B$116,$B119-SUM($C119:E119))),0))</f>
        <v>0</v>
      </c>
      <c r="G119" s="4">
        <f>IF($B$116=0,0,IF(G$2&gt;=$A119,IF(G$2=$A119,($B119/$B$116)*$B$113,IF(G$2&lt;=$A119+$B$116-1,$B119/$B$116,$B119-SUM($C119:F119))),0))</f>
        <v>0</v>
      </c>
      <c r="H119" s="4">
        <f>IF($B$116=0,0,IF(H$2&gt;=$A119,IF(H$2=$A119,($B119/$B$116)*$B$113,IF(H$2&lt;=$A119+$B$116-1,$B119/$B$116,$B119-SUM($C119:G119))),0))</f>
        <v>0</v>
      </c>
      <c r="I119" s="4">
        <f>IF($B$116=0,0,IF(I$2&gt;=$A119,IF(I$2=$A119,($B119/$B$116)*$B$113,IF(I$2&lt;=$A119+$B$116-1,$B119/$B$116,$B119-SUM($C119:H119))),0))</f>
        <v>0</v>
      </c>
      <c r="J119" s="4">
        <f>IF($B$116=0,0,IF(J$2&gt;=$A119,IF(J$2=$A119,($B119/$B$116)*$B$113,IF(J$2&lt;=$A119+$B$116-1,$B119/$B$116,$B119-SUM($C119:I119))),0))</f>
        <v>0</v>
      </c>
      <c r="K119" s="4">
        <f>IF($B$116=0,0,IF(K$2&gt;=$A119,IF(K$2=$A119,($B119/$B$116)*$B$113,IF(K$2&lt;=$A119+$B$116-1,$B119/$B$116,$B119-SUM($C119:J119))),0))</f>
        <v>0</v>
      </c>
      <c r="L119" s="4">
        <f>IF($B$116=0,0,IF(L$2&gt;=$A119,IF(L$2=$A119,($B119/$B$116)*$B$113,IF(L$2&lt;=$A119+$B$116-1,$B119/$B$116,$B119-SUM($C119:K119))),0))</f>
        <v>0</v>
      </c>
      <c r="M119" s="4">
        <f>IF($B$116=0,0,IF(M$2&gt;=$A119,IF(M$2=$A119,($B119/$B$116)*$B$113,IF(M$2&lt;=$A119+$B$116-1,$B119/$B$116,$B119-SUM($C119:L119))),0))</f>
        <v>0</v>
      </c>
      <c r="N119" s="4">
        <f>IF($B$116=0,0,IF(N$2&gt;=$A119,IF(N$2=$A119,($B119/$B$116)*$B$113,IF(N$2&lt;=$A119+$B$116-1,$B119/$B$116,$B119-SUM($C119:M119))),0))</f>
        <v>0</v>
      </c>
      <c r="O119" s="4">
        <f>IF($B$116=0,0,IF(O$2&gt;=$A119,IF(O$2=$A119,($B119/$B$116)*$B$113,IF(O$2&lt;=$A119+$B$116-1,$B119/$B$116,$B119-SUM($C119:N119))),0))</f>
        <v>0</v>
      </c>
      <c r="P119" s="4">
        <f>IF($B$116=0,0,IF(P$2&gt;=$A119,IF(P$2=$A119,($B119/$B$116)*$B$113,IF(P$2&lt;=$A119+$B$116-1,$B119/$B$116,$B119-SUM($C119:O119))),0))</f>
        <v>0</v>
      </c>
      <c r="Q119" s="4">
        <f>IF($B$116=0,0,IF(Q$2&gt;=$A119,IF(Q$2=$A119,($B119/$B$116)*$B$113,IF(Q$2&lt;=$A119+$B$116-1,$B119/$B$116,$B119-SUM($C119:P119))),0))</f>
        <v>0</v>
      </c>
      <c r="R119" s="4">
        <f>IF($B$116=0,0,IF(R$2&gt;=$A119,IF(R$2=$A119,($B119/$B$116)*$B$113,IF(R$2&lt;=$A119+$B$116-1,$B119/$B$116,$B119-SUM($C119:Q119))),0))</f>
        <v>0</v>
      </c>
      <c r="S119" s="4">
        <f>IF($B$116=0,0,IF(S$2&gt;=$A119,IF(S$2=$A119,($B119/$B$116)*$B$113,IF(S$2&lt;=$A119+$B$116-1,$B119/$B$116,$B119-SUM($C119:R119))),0))</f>
        <v>0</v>
      </c>
      <c r="T119" s="4">
        <f>IF($B$116=0,0,IF(T$2&gt;=$A119,IF(T$2=$A119,($B119/$B$116)*$B$113,IF(T$2&lt;=$A119+$B$116-1,$B119/$B$116,$B119-SUM($C119:S119))),0))</f>
        <v>0</v>
      </c>
      <c r="U119" s="4">
        <f>IF($B$116=0,0,IF(U$2&gt;=$A119,IF(U$2=$A119,($B119/$B$116)*$B$113,IF(U$2&lt;=$A119+$B$116-1,$B119/$B$116,$B119-SUM($C119:T119))),0))</f>
        <v>0</v>
      </c>
      <c r="V119" s="4">
        <f>IF($B$116=0,0,IF(V$2&gt;=$A119,IF(V$2=$A119,($B119/$B$116)*$B$113,IF(V$2&lt;=$A119+$B$116-1,$B119/$B$116,$B119-SUM($C119:U119))),0))</f>
        <v>0</v>
      </c>
      <c r="W119" s="4">
        <f>IF($B$116=0,0,IF(W$2&gt;=$A119,IF(W$2=$A119,($B119/$B$116)*$B$113,IF(W$2&lt;=$A119+$B$116-1,$B119/$B$116,$B119-SUM($C119:V119))),0))</f>
        <v>0</v>
      </c>
      <c r="X119" s="4">
        <f>IF($B$116=0,0,IF(X$2&gt;=$A119,IF(X$2=$A119,($B119/$B$116)*$B$113,IF(X$2&lt;=$A119+$B$116-1,$B119/$B$116,$B119-SUM($C119:W119))),0))</f>
        <v>0</v>
      </c>
      <c r="Y119" s="4">
        <f>IF($B$116=0,0,IF(Y$2&gt;=$A119,IF(Y$2=$A119,($B119/$B$116)*$B$113,IF(Y$2&lt;=$A119+$B$116-1,$B119/$B$116,$B119-SUM($C119:X119))),0))</f>
        <v>0</v>
      </c>
      <c r="Z119" s="4">
        <f>IF($B$116=0,0,IF(Z$2&gt;=$A119,IF(Z$2=$A119,($B119/$B$116)*$B$113,IF(Z$2&lt;=$A119+$B$116-1,$B119/$B$116,$B119-SUM($C119:Y119))),0))</f>
        <v>0</v>
      </c>
      <c r="AA119" s="4">
        <f>IF($B$116=0,0,IF(AA$2&gt;=$A119,IF(AA$2=$A119,($B119/$B$116)*$B$113,IF(AA$2&lt;=$A119+$B$116-1,$B119/$B$116,$B119-SUM($C119:Z119))),0))</f>
        <v>0</v>
      </c>
      <c r="AB119" s="4">
        <f>IF($B$116=0,0,IF(AB$2&gt;=$A119,IF(AB$2=$A119,($B119/$B$116)*$B$113,IF(AB$2&lt;=$A119+$B$116-1,$B119/$B$116,$B119-SUM($C119:AA119))),0))</f>
        <v>0</v>
      </c>
      <c r="AC119" s="4">
        <f>IF($B$116=0,0,IF(AC$2&gt;=$A119,IF(AC$2=$A119,($B119/$B$116)*$B$113,IF(AC$2&lt;=$A119+$B$116-1,$B119/$B$116,$B119-SUM($C119:AB119))),0))</f>
        <v>0</v>
      </c>
      <c r="AD119" s="4">
        <f>IF($B$116=0,0,IF(AD$2&gt;=$A119,IF(AD$2=$A119,($B119/$B$116)*$B$113,IF(AD$2&lt;=$A119+$B$116-1,$B119/$B$116,$B119-SUM($C119:AC119))),0))</f>
        <v>0</v>
      </c>
      <c r="AE119" s="4">
        <f>IF($B$116=0,0,IF(AE$2&gt;=$A119,IF(AE$2=$A119,($B119/$B$116)*$B$113,IF(AE$2&lt;=$A119+$B$116-1,$B119/$B$116,$B119-SUM($C119:AD119))),0))</f>
        <v>0</v>
      </c>
      <c r="AF119" s="4">
        <f>IF($B$116=0,0,IF(AF$2&gt;=$A119,IF(AF$2=$A119,($B119/$B$116)*$B$113,IF(AF$2&lt;=$A119+$B$116-1,$B119/$B$116,$B119-SUM($C119:AE119))),0))</f>
        <v>0</v>
      </c>
      <c r="AG119" s="4">
        <f t="shared" si="70"/>
        <v>0</v>
      </c>
    </row>
    <row r="120" spans="1:33">
      <c r="A120" s="6">
        <f t="shared" si="71"/>
        <v>2025</v>
      </c>
      <c r="B120" s="4">
        <f t="shared" si="69"/>
        <v>1550095.5124418859</v>
      </c>
      <c r="C120" s="4">
        <f>IF($B$116=0,0,IF(C$2&gt;=$A120,IF(C$2=$A120,($B120/$B$116)*$B$113,IF(C$2&lt;=$A120+$B$116-1,$B120/$B$116,$B120-SUM(B120:$C120))),0))</f>
        <v>0</v>
      </c>
      <c r="D120" s="4">
        <f>IF($B$116=0,0,IF(D$2&gt;=$A120,IF(D$2=$A120,($B120/$B$116)*$B$113,IF(D$2&lt;=$A120+$B$116-1,$B120/$B$116,$B120-SUM(C120:$C120))),0))</f>
        <v>0</v>
      </c>
      <c r="E120" s="4">
        <f>IF($B$116=0,0,IF(E$2&gt;=$A120,IF(E$2=$A120,($B120/$B$116)*$B$113,IF(E$2&lt;=$A120+$B$116-1,$B120/$B$116,$B120-SUM($C120:D120))),0))</f>
        <v>0</v>
      </c>
      <c r="F120" s="4">
        <f>IF($B$116=0,0,IF(F$2&gt;=$A120,IF(F$2=$A120,($B120/$B$116)*$B$113,IF(F$2&lt;=$A120+$B$116-1,$B120/$B$116,$B120-SUM($C120:E120))),0))</f>
        <v>12917.462603682383</v>
      </c>
      <c r="G120" s="4">
        <f>IF($B$116=0,0,IF(G$2&gt;=$A120,IF(G$2=$A120,($B120/$B$116)*$B$113,IF(G$2&lt;=$A120+$B$116-1,$B120/$B$116,$B120-SUM($C120:F120))),0))</f>
        <v>25834.925207364766</v>
      </c>
      <c r="H120" s="4">
        <f>IF($B$116=0,0,IF(H$2&gt;=$A120,IF(H$2=$A120,($B120/$B$116)*$B$113,IF(H$2&lt;=$A120+$B$116-1,$B120/$B$116,$B120-SUM($C120:G120))),0))</f>
        <v>25834.925207364766</v>
      </c>
      <c r="I120" s="4">
        <f>IF($B$116=0,0,IF(I$2&gt;=$A120,IF(I$2=$A120,($B120/$B$116)*$B$113,IF(I$2&lt;=$A120+$B$116-1,$B120/$B$116,$B120-SUM($C120:H120))),0))</f>
        <v>25834.925207364766</v>
      </c>
      <c r="J120" s="4">
        <f>IF($B$116=0,0,IF(J$2&gt;=$A120,IF(J$2=$A120,($B120/$B$116)*$B$113,IF(J$2&lt;=$A120+$B$116-1,$B120/$B$116,$B120-SUM($C120:I120))),0))</f>
        <v>25834.925207364766</v>
      </c>
      <c r="K120" s="4">
        <f>IF($B$116=0,0,IF(K$2&gt;=$A120,IF(K$2=$A120,($B120/$B$116)*$B$113,IF(K$2&lt;=$A120+$B$116-1,$B120/$B$116,$B120-SUM($C120:J120))),0))</f>
        <v>25834.925207364766</v>
      </c>
      <c r="L120" s="4">
        <f>IF($B$116=0,0,IF(L$2&gt;=$A120,IF(L$2=$A120,($B120/$B$116)*$B$113,IF(L$2&lt;=$A120+$B$116-1,$B120/$B$116,$B120-SUM($C120:K120))),0))</f>
        <v>25834.925207364766</v>
      </c>
      <c r="M120" s="4">
        <f>IF($B$116=0,0,IF(M$2&gt;=$A120,IF(M$2=$A120,($B120/$B$116)*$B$113,IF(M$2&lt;=$A120+$B$116-1,$B120/$B$116,$B120-SUM($C120:L120))),0))</f>
        <v>25834.925207364766</v>
      </c>
      <c r="N120" s="4">
        <f>IF($B$116=0,0,IF(N$2&gt;=$A120,IF(N$2=$A120,($B120/$B$116)*$B$113,IF(N$2&lt;=$A120+$B$116-1,$B120/$B$116,$B120-SUM($C120:M120))),0))</f>
        <v>25834.925207364766</v>
      </c>
      <c r="O120" s="4">
        <f>IF($B$116=0,0,IF(O$2&gt;=$A120,IF(O$2=$A120,($B120/$B$116)*$B$113,IF(O$2&lt;=$A120+$B$116-1,$B120/$B$116,$B120-SUM($C120:N120))),0))</f>
        <v>25834.925207364766</v>
      </c>
      <c r="P120" s="4">
        <f>IF($B$116=0,0,IF(P$2&gt;=$A120,IF(P$2=$A120,($B120/$B$116)*$B$113,IF(P$2&lt;=$A120+$B$116-1,$B120/$B$116,$B120-SUM($C120:O120))),0))</f>
        <v>25834.925207364766</v>
      </c>
      <c r="Q120" s="4">
        <f>IF($B$116=0,0,IF(Q$2&gt;=$A120,IF(Q$2=$A120,($B120/$B$116)*$B$113,IF(Q$2&lt;=$A120+$B$116-1,$B120/$B$116,$B120-SUM($C120:P120))),0))</f>
        <v>25834.925207364766</v>
      </c>
      <c r="R120" s="4">
        <f>IF($B$116=0,0,IF(R$2&gt;=$A120,IF(R$2=$A120,($B120/$B$116)*$B$113,IF(R$2&lt;=$A120+$B$116-1,$B120/$B$116,$B120-SUM($C120:Q120))),0))</f>
        <v>25834.925207364766</v>
      </c>
      <c r="S120" s="4">
        <f>IF($B$116=0,0,IF(S$2&gt;=$A120,IF(S$2=$A120,($B120/$B$116)*$B$113,IF(S$2&lt;=$A120+$B$116-1,$B120/$B$116,$B120-SUM($C120:R120))),0))</f>
        <v>25834.925207364766</v>
      </c>
      <c r="T120" s="4">
        <f>IF($B$116=0,0,IF(T$2&gt;=$A120,IF(T$2=$A120,($B120/$B$116)*$B$113,IF(T$2&lt;=$A120+$B$116-1,$B120/$B$116,$B120-SUM($C120:S120))),0))</f>
        <v>25834.925207364766</v>
      </c>
      <c r="U120" s="4">
        <f>IF($B$116=0,0,IF(U$2&gt;=$A120,IF(U$2=$A120,($B120/$B$116)*$B$113,IF(U$2&lt;=$A120+$B$116-1,$B120/$B$116,$B120-SUM($C120:T120))),0))</f>
        <v>25834.925207364766</v>
      </c>
      <c r="V120" s="4">
        <f>IF($B$116=0,0,IF(V$2&gt;=$A120,IF(V$2=$A120,($B120/$B$116)*$B$113,IF(V$2&lt;=$A120+$B$116-1,$B120/$B$116,$B120-SUM($C120:U120))),0))</f>
        <v>25834.925207364766</v>
      </c>
      <c r="W120" s="4">
        <f>IF($B$116=0,0,IF(W$2&gt;=$A120,IF(W$2=$A120,($B120/$B$116)*$B$113,IF(W$2&lt;=$A120+$B$116-1,$B120/$B$116,$B120-SUM($C120:V120))),0))</f>
        <v>25834.925207364766</v>
      </c>
      <c r="X120" s="4">
        <f>IF($B$116=0,0,IF(X$2&gt;=$A120,IF(X$2=$A120,($B120/$B$116)*$B$113,IF(X$2&lt;=$A120+$B$116-1,$B120/$B$116,$B120-SUM($C120:W120))),0))</f>
        <v>25834.925207364766</v>
      </c>
      <c r="Y120" s="4">
        <f>IF($B$116=0,0,IF(Y$2&gt;=$A120,IF(Y$2=$A120,($B120/$B$116)*$B$113,IF(Y$2&lt;=$A120+$B$116-1,$B120/$B$116,$B120-SUM($C120:X120))),0))</f>
        <v>25834.925207364766</v>
      </c>
      <c r="Z120" s="4">
        <f>IF($B$116=0,0,IF(Z$2&gt;=$A120,IF(Z$2=$A120,($B120/$B$116)*$B$113,IF(Z$2&lt;=$A120+$B$116-1,$B120/$B$116,$B120-SUM($C120:Y120))),0))</f>
        <v>25834.925207364766</v>
      </c>
      <c r="AA120" s="4">
        <f>IF($B$116=0,0,IF(AA$2&gt;=$A120,IF(AA$2=$A120,($B120/$B$116)*$B$113,IF(AA$2&lt;=$A120+$B$116-1,$B120/$B$116,$B120-SUM($C120:Z120))),0))</f>
        <v>25834.925207364766</v>
      </c>
      <c r="AB120" s="4">
        <f>IF($B$116=0,0,IF(AB$2&gt;=$A120,IF(AB$2=$A120,($B120/$B$116)*$B$113,IF(AB$2&lt;=$A120+$B$116-1,$B120/$B$116,$B120-SUM($C120:AA120))),0))</f>
        <v>25834.925207364766</v>
      </c>
      <c r="AC120" s="4">
        <f>IF($B$116=0,0,IF(AC$2&gt;=$A120,IF(AC$2=$A120,($B120/$B$116)*$B$113,IF(AC$2&lt;=$A120+$B$116-1,$B120/$B$116,$B120-SUM($C120:AB120))),0))</f>
        <v>25834.925207364766</v>
      </c>
      <c r="AD120" s="4">
        <f>IF($B$116=0,0,IF(AD$2&gt;=$A120,IF(AD$2=$A120,($B120/$B$116)*$B$113,IF(AD$2&lt;=$A120+$B$116-1,$B120/$B$116,$B120-SUM($C120:AC120))),0))</f>
        <v>25834.925207364766</v>
      </c>
      <c r="AE120" s="4">
        <f>IF($B$116=0,0,IF(AE$2&gt;=$A120,IF(AE$2=$A120,($B120/$B$116)*$B$113,IF(AE$2&lt;=$A120+$B$116-1,$B120/$B$116,$B120-SUM($C120:AD120))),0))</f>
        <v>25834.925207364766</v>
      </c>
      <c r="AF120" s="4">
        <f>IF($B$116=0,0,IF(AF$2&gt;=$A120,IF(AF$2=$A120,($B120/$B$116)*$B$113,IF(AF$2&lt;=$A120+$B$116-1,$B120/$B$116,$B120-SUM($C120:AE120))),0))</f>
        <v>25834.925207364766</v>
      </c>
      <c r="AG120" s="4">
        <f t="shared" si="70"/>
        <v>684625.51799516624</v>
      </c>
    </row>
    <row r="121" spans="1:33">
      <c r="A121" s="6">
        <f t="shared" si="71"/>
        <v>2026</v>
      </c>
      <c r="B121" s="4">
        <f t="shared" si="69"/>
        <v>0</v>
      </c>
      <c r="C121" s="4">
        <f>IF($B$116=0,0,IF(C$2&gt;=$A121,IF(C$2=$A121,($B121/$B$116)*$B$113,IF(C$2&lt;=$A121+$B$116-1,$B121/$B$116,$B121-SUM(B121:$C121))),0))</f>
        <v>0</v>
      </c>
      <c r="D121" s="4">
        <f>IF($B$116=0,0,IF(D$2&gt;=$A121,IF(D$2=$A121,($B121/$B$116)*$B$113,IF(D$2&lt;=$A121+$B$116-1,$B121/$B$116,$B121-SUM(C121:$C121))),0))</f>
        <v>0</v>
      </c>
      <c r="E121" s="4">
        <f>IF($B$116=0,0,IF(E$2&gt;=$A121,IF(E$2=$A121,($B121/$B$116)*$B$113,IF(E$2&lt;=$A121+$B$116-1,$B121/$B$116,$B121-SUM($C121:D121))),0))</f>
        <v>0</v>
      </c>
      <c r="F121" s="4">
        <f>IF($B$116=0,0,IF(F$2&gt;=$A121,IF(F$2=$A121,($B121/$B$116)*$B$113,IF(F$2&lt;=$A121+$B$116-1,$B121/$B$116,$B121-SUM($C121:E121))),0))</f>
        <v>0</v>
      </c>
      <c r="G121" s="4">
        <f>IF($B$116=0,0,IF(G$2&gt;=$A121,IF(G$2=$A121,($B121/$B$116)*$B$113,IF(G$2&lt;=$A121+$B$116-1,$B121/$B$116,$B121-SUM($C121:F121))),0))</f>
        <v>0</v>
      </c>
      <c r="H121" s="4">
        <f>IF($B$116=0,0,IF(H$2&gt;=$A121,IF(H$2=$A121,($B121/$B$116)*$B$113,IF(H$2&lt;=$A121+$B$116-1,$B121/$B$116,$B121-SUM($C121:G121))),0))</f>
        <v>0</v>
      </c>
      <c r="I121" s="4">
        <f>IF($B$116=0,0,IF(I$2&gt;=$A121,IF(I$2=$A121,($B121/$B$116)*$B$113,IF(I$2&lt;=$A121+$B$116-1,$B121/$B$116,$B121-SUM($C121:H121))),0))</f>
        <v>0</v>
      </c>
      <c r="J121" s="4">
        <f>IF($B$116=0,0,IF(J$2&gt;=$A121,IF(J$2=$A121,($B121/$B$116)*$B$113,IF(J$2&lt;=$A121+$B$116-1,$B121/$B$116,$B121-SUM($C121:I121))),0))</f>
        <v>0</v>
      </c>
      <c r="K121" s="4">
        <f>IF($B$116=0,0,IF(K$2&gt;=$A121,IF(K$2=$A121,($B121/$B$116)*$B$113,IF(K$2&lt;=$A121+$B$116-1,$B121/$B$116,$B121-SUM($C121:J121))),0))</f>
        <v>0</v>
      </c>
      <c r="L121" s="4">
        <f>IF($B$116=0,0,IF(L$2&gt;=$A121,IF(L$2=$A121,($B121/$B$116)*$B$113,IF(L$2&lt;=$A121+$B$116-1,$B121/$B$116,$B121-SUM($C121:K121))),0))</f>
        <v>0</v>
      </c>
      <c r="M121" s="4">
        <f>IF($B$116=0,0,IF(M$2&gt;=$A121,IF(M$2=$A121,($B121/$B$116)*$B$113,IF(M$2&lt;=$A121+$B$116-1,$B121/$B$116,$B121-SUM($C121:L121))),0))</f>
        <v>0</v>
      </c>
      <c r="N121" s="4">
        <f>IF($B$116=0,0,IF(N$2&gt;=$A121,IF(N$2=$A121,($B121/$B$116)*$B$113,IF(N$2&lt;=$A121+$B$116-1,$B121/$B$116,$B121-SUM($C121:M121))),0))</f>
        <v>0</v>
      </c>
      <c r="O121" s="4">
        <f>IF($B$116=0,0,IF(O$2&gt;=$A121,IF(O$2=$A121,($B121/$B$116)*$B$113,IF(O$2&lt;=$A121+$B$116-1,$B121/$B$116,$B121-SUM($C121:N121))),0))</f>
        <v>0</v>
      </c>
      <c r="P121" s="4">
        <f>IF($B$116=0,0,IF(P$2&gt;=$A121,IF(P$2=$A121,($B121/$B$116)*$B$113,IF(P$2&lt;=$A121+$B$116-1,$B121/$B$116,$B121-SUM($C121:O121))),0))</f>
        <v>0</v>
      </c>
      <c r="Q121" s="4">
        <f>IF($B$116=0,0,IF(Q$2&gt;=$A121,IF(Q$2=$A121,($B121/$B$116)*$B$113,IF(Q$2&lt;=$A121+$B$116-1,$B121/$B$116,$B121-SUM($C121:P121))),0))</f>
        <v>0</v>
      </c>
      <c r="R121" s="4">
        <f>IF($B$116=0,0,IF(R$2&gt;=$A121,IF(R$2=$A121,($B121/$B$116)*$B$113,IF(R$2&lt;=$A121+$B$116-1,$B121/$B$116,$B121-SUM($C121:Q121))),0))</f>
        <v>0</v>
      </c>
      <c r="S121" s="4">
        <f>IF($B$116=0,0,IF(S$2&gt;=$A121,IF(S$2=$A121,($B121/$B$116)*$B$113,IF(S$2&lt;=$A121+$B$116-1,$B121/$B$116,$B121-SUM($C121:R121))),0))</f>
        <v>0</v>
      </c>
      <c r="T121" s="4">
        <f>IF($B$116=0,0,IF(T$2&gt;=$A121,IF(T$2=$A121,($B121/$B$116)*$B$113,IF(T$2&lt;=$A121+$B$116-1,$B121/$B$116,$B121-SUM($C121:S121))),0))</f>
        <v>0</v>
      </c>
      <c r="U121" s="4">
        <f>IF($B$116=0,0,IF(U$2&gt;=$A121,IF(U$2=$A121,($B121/$B$116)*$B$113,IF(U$2&lt;=$A121+$B$116-1,$B121/$B$116,$B121-SUM($C121:T121))),0))</f>
        <v>0</v>
      </c>
      <c r="V121" s="4">
        <f>IF($B$116=0,0,IF(V$2&gt;=$A121,IF(V$2=$A121,($B121/$B$116)*$B$113,IF(V$2&lt;=$A121+$B$116-1,$B121/$B$116,$B121-SUM($C121:U121))),0))</f>
        <v>0</v>
      </c>
      <c r="W121" s="4">
        <f>IF($B$116=0,0,IF(W$2&gt;=$A121,IF(W$2=$A121,($B121/$B$116)*$B$113,IF(W$2&lt;=$A121+$B$116-1,$B121/$B$116,$B121-SUM($C121:V121))),0))</f>
        <v>0</v>
      </c>
      <c r="X121" s="4">
        <f>IF($B$116=0,0,IF(X$2&gt;=$A121,IF(X$2=$A121,($B121/$B$116)*$B$113,IF(X$2&lt;=$A121+$B$116-1,$B121/$B$116,$B121-SUM($C121:W121))),0))</f>
        <v>0</v>
      </c>
      <c r="Y121" s="4">
        <f>IF($B$116=0,0,IF(Y$2&gt;=$A121,IF(Y$2=$A121,($B121/$B$116)*$B$113,IF(Y$2&lt;=$A121+$B$116-1,$B121/$B$116,$B121-SUM($C121:X121))),0))</f>
        <v>0</v>
      </c>
      <c r="Z121" s="4">
        <f>IF($B$116=0,0,IF(Z$2&gt;=$A121,IF(Z$2=$A121,($B121/$B$116)*$B$113,IF(Z$2&lt;=$A121+$B$116-1,$B121/$B$116,$B121-SUM($C121:Y121))),0))</f>
        <v>0</v>
      </c>
      <c r="AA121" s="4">
        <f>IF($B$116=0,0,IF(AA$2&gt;=$A121,IF(AA$2=$A121,($B121/$B$116)*$B$113,IF(AA$2&lt;=$A121+$B$116-1,$B121/$B$116,$B121-SUM($C121:Z121))),0))</f>
        <v>0</v>
      </c>
      <c r="AB121" s="4">
        <f>IF($B$116=0,0,IF(AB$2&gt;=$A121,IF(AB$2=$A121,($B121/$B$116)*$B$113,IF(AB$2&lt;=$A121+$B$116-1,$B121/$B$116,$B121-SUM($C121:AA121))),0))</f>
        <v>0</v>
      </c>
      <c r="AC121" s="4">
        <f>IF($B$116=0,0,IF(AC$2&gt;=$A121,IF(AC$2=$A121,($B121/$B$116)*$B$113,IF(AC$2&lt;=$A121+$B$116-1,$B121/$B$116,$B121-SUM($C121:AB121))),0))</f>
        <v>0</v>
      </c>
      <c r="AD121" s="4">
        <f>IF($B$116=0,0,IF(AD$2&gt;=$A121,IF(AD$2=$A121,($B121/$B$116)*$B$113,IF(AD$2&lt;=$A121+$B$116-1,$B121/$B$116,$B121-SUM($C121:AC121))),0))</f>
        <v>0</v>
      </c>
      <c r="AE121" s="4">
        <f>IF($B$116=0,0,IF(AE$2&gt;=$A121,IF(AE$2=$A121,($B121/$B$116)*$B$113,IF(AE$2&lt;=$A121+$B$116-1,$B121/$B$116,$B121-SUM($C121:AD121))),0))</f>
        <v>0</v>
      </c>
      <c r="AF121" s="4">
        <f>IF($B$116=0,0,IF(AF$2&gt;=$A121,IF(AF$2=$A121,($B121/$B$116)*$B$113,IF(AF$2&lt;=$A121+$B$116-1,$B121/$B$116,$B121-SUM($C121:AE121))),0))</f>
        <v>0</v>
      </c>
      <c r="AG121" s="4">
        <f t="shared" si="70"/>
        <v>0</v>
      </c>
    </row>
    <row r="122" spans="1:33">
      <c r="A122" s="6">
        <f t="shared" si="71"/>
        <v>2027</v>
      </c>
      <c r="B122" s="4">
        <f t="shared" si="69"/>
        <v>0</v>
      </c>
      <c r="C122" s="4">
        <f>IF($B$116=0,0,IF(C$2&gt;=$A122,IF(C$2=$A122,($B122/$B$116)*$B$113,IF(C$2&lt;=$A122+$B$116-1,$B122/$B$116,$B122-SUM(B122:$C122))),0))</f>
        <v>0</v>
      </c>
      <c r="D122" s="4">
        <f>IF($B$116=0,0,IF(D$2&gt;=$A122,IF(D$2=$A122,($B122/$B$116)*$B$113,IF(D$2&lt;=$A122+$B$116-1,$B122/$B$116,$B122-SUM(C122:$C122))),0))</f>
        <v>0</v>
      </c>
      <c r="E122" s="4">
        <f>IF($B$116=0,0,IF(E$2&gt;=$A122,IF(E$2=$A122,($B122/$B$116)*$B$113,IF(E$2&lt;=$A122+$B$116-1,$B122/$B$116,$B122-SUM($C122:D122))),0))</f>
        <v>0</v>
      </c>
      <c r="F122" s="4">
        <f>IF($B$116=0,0,IF(F$2&gt;=$A122,IF(F$2=$A122,($B122/$B$116)*$B$113,IF(F$2&lt;=$A122+$B$116-1,$B122/$B$116,$B122-SUM($C122:E122))),0))</f>
        <v>0</v>
      </c>
      <c r="G122" s="4">
        <f>IF($B$116=0,0,IF(G$2&gt;=$A122,IF(G$2=$A122,($B122/$B$116)*$B$113,IF(G$2&lt;=$A122+$B$116-1,$B122/$B$116,$B122-SUM($C122:F122))),0))</f>
        <v>0</v>
      </c>
      <c r="H122" s="4">
        <f>IF($B$116=0,0,IF(H$2&gt;=$A122,IF(H$2=$A122,($B122/$B$116)*$B$113,IF(H$2&lt;=$A122+$B$116-1,$B122/$B$116,$B122-SUM($C122:G122))),0))</f>
        <v>0</v>
      </c>
      <c r="I122" s="4">
        <f>IF($B$116=0,0,IF(I$2&gt;=$A122,IF(I$2=$A122,($B122/$B$116)*$B$113,IF(I$2&lt;=$A122+$B$116-1,$B122/$B$116,$B122-SUM($C122:H122))),0))</f>
        <v>0</v>
      </c>
      <c r="J122" s="4">
        <f>IF($B$116=0,0,IF(J$2&gt;=$A122,IF(J$2=$A122,($B122/$B$116)*$B$113,IF(J$2&lt;=$A122+$B$116-1,$B122/$B$116,$B122-SUM($C122:I122))),0))</f>
        <v>0</v>
      </c>
      <c r="K122" s="4">
        <f>IF($B$116=0,0,IF(K$2&gt;=$A122,IF(K$2=$A122,($B122/$B$116)*$B$113,IF(K$2&lt;=$A122+$B$116-1,$B122/$B$116,$B122-SUM($C122:J122))),0))</f>
        <v>0</v>
      </c>
      <c r="L122" s="4">
        <f>IF($B$116=0,0,IF(L$2&gt;=$A122,IF(L$2=$A122,($B122/$B$116)*$B$113,IF(L$2&lt;=$A122+$B$116-1,$B122/$B$116,$B122-SUM($C122:K122))),0))</f>
        <v>0</v>
      </c>
      <c r="M122" s="4">
        <f>IF($B$116=0,0,IF(M$2&gt;=$A122,IF(M$2=$A122,($B122/$B$116)*$B$113,IF(M$2&lt;=$A122+$B$116-1,$B122/$B$116,$B122-SUM($C122:L122))),0))</f>
        <v>0</v>
      </c>
      <c r="N122" s="4">
        <f>IF($B$116=0,0,IF(N$2&gt;=$A122,IF(N$2=$A122,($B122/$B$116)*$B$113,IF(N$2&lt;=$A122+$B$116-1,$B122/$B$116,$B122-SUM($C122:M122))),0))</f>
        <v>0</v>
      </c>
      <c r="O122" s="4">
        <f>IF($B$116=0,0,IF(O$2&gt;=$A122,IF(O$2=$A122,($B122/$B$116)*$B$113,IF(O$2&lt;=$A122+$B$116-1,$B122/$B$116,$B122-SUM($C122:N122))),0))</f>
        <v>0</v>
      </c>
      <c r="P122" s="4">
        <f>IF($B$116=0,0,IF(P$2&gt;=$A122,IF(P$2=$A122,($B122/$B$116)*$B$113,IF(P$2&lt;=$A122+$B$116-1,$B122/$B$116,$B122-SUM($C122:O122))),0))</f>
        <v>0</v>
      </c>
      <c r="Q122" s="4">
        <f>IF($B$116=0,0,IF(Q$2&gt;=$A122,IF(Q$2=$A122,($B122/$B$116)*$B$113,IF(Q$2&lt;=$A122+$B$116-1,$B122/$B$116,$B122-SUM($C122:P122))),0))</f>
        <v>0</v>
      </c>
      <c r="R122" s="4">
        <f>IF($B$116=0,0,IF(R$2&gt;=$A122,IF(R$2=$A122,($B122/$B$116)*$B$113,IF(R$2&lt;=$A122+$B$116-1,$B122/$B$116,$B122-SUM($C122:Q122))),0))</f>
        <v>0</v>
      </c>
      <c r="S122" s="4">
        <f>IF($B$116=0,0,IF(S$2&gt;=$A122,IF(S$2=$A122,($B122/$B$116)*$B$113,IF(S$2&lt;=$A122+$B$116-1,$B122/$B$116,$B122-SUM($C122:R122))),0))</f>
        <v>0</v>
      </c>
      <c r="T122" s="4">
        <f>IF($B$116=0,0,IF(T$2&gt;=$A122,IF(T$2=$A122,($B122/$B$116)*$B$113,IF(T$2&lt;=$A122+$B$116-1,$B122/$B$116,$B122-SUM($C122:S122))),0))</f>
        <v>0</v>
      </c>
      <c r="U122" s="4">
        <f>IF($B$116=0,0,IF(U$2&gt;=$A122,IF(U$2=$A122,($B122/$B$116)*$B$113,IF(U$2&lt;=$A122+$B$116-1,$B122/$B$116,$B122-SUM($C122:T122))),0))</f>
        <v>0</v>
      </c>
      <c r="V122" s="4">
        <f>IF($B$116=0,0,IF(V$2&gt;=$A122,IF(V$2=$A122,($B122/$B$116)*$B$113,IF(V$2&lt;=$A122+$B$116-1,$B122/$B$116,$B122-SUM($C122:U122))),0))</f>
        <v>0</v>
      </c>
      <c r="W122" s="4">
        <f>IF($B$116=0,0,IF(W$2&gt;=$A122,IF(W$2=$A122,($B122/$B$116)*$B$113,IF(W$2&lt;=$A122+$B$116-1,$B122/$B$116,$B122-SUM($C122:V122))),0))</f>
        <v>0</v>
      </c>
      <c r="X122" s="4">
        <f>IF($B$116=0,0,IF(X$2&gt;=$A122,IF(X$2=$A122,($B122/$B$116)*$B$113,IF(X$2&lt;=$A122+$B$116-1,$B122/$B$116,$B122-SUM($C122:W122))),0))</f>
        <v>0</v>
      </c>
      <c r="Y122" s="4">
        <f>IF($B$116=0,0,IF(Y$2&gt;=$A122,IF(Y$2=$A122,($B122/$B$116)*$B$113,IF(Y$2&lt;=$A122+$B$116-1,$B122/$B$116,$B122-SUM($C122:X122))),0))</f>
        <v>0</v>
      </c>
      <c r="Z122" s="4">
        <f>IF($B$116=0,0,IF(Z$2&gt;=$A122,IF(Z$2=$A122,($B122/$B$116)*$B$113,IF(Z$2&lt;=$A122+$B$116-1,$B122/$B$116,$B122-SUM($C122:Y122))),0))</f>
        <v>0</v>
      </c>
      <c r="AA122" s="4">
        <f>IF($B$116=0,0,IF(AA$2&gt;=$A122,IF(AA$2=$A122,($B122/$B$116)*$B$113,IF(AA$2&lt;=$A122+$B$116-1,$B122/$B$116,$B122-SUM($C122:Z122))),0))</f>
        <v>0</v>
      </c>
      <c r="AB122" s="4">
        <f>IF($B$116=0,0,IF(AB$2&gt;=$A122,IF(AB$2=$A122,($B122/$B$116)*$B$113,IF(AB$2&lt;=$A122+$B$116-1,$B122/$B$116,$B122-SUM($C122:AA122))),0))</f>
        <v>0</v>
      </c>
      <c r="AC122" s="4">
        <f>IF($B$116=0,0,IF(AC$2&gt;=$A122,IF(AC$2=$A122,($B122/$B$116)*$B$113,IF(AC$2&lt;=$A122+$B$116-1,$B122/$B$116,$B122-SUM($C122:AB122))),0))</f>
        <v>0</v>
      </c>
      <c r="AD122" s="4">
        <f>IF($B$116=0,0,IF(AD$2&gt;=$A122,IF(AD$2=$A122,($B122/$B$116)*$B$113,IF(AD$2&lt;=$A122+$B$116-1,$B122/$B$116,$B122-SUM($C122:AC122))),0))</f>
        <v>0</v>
      </c>
      <c r="AE122" s="4">
        <f>IF($B$116=0,0,IF(AE$2&gt;=$A122,IF(AE$2=$A122,($B122/$B$116)*$B$113,IF(AE$2&lt;=$A122+$B$116-1,$B122/$B$116,$B122-SUM($C122:AD122))),0))</f>
        <v>0</v>
      </c>
      <c r="AF122" s="4">
        <f>IF($B$116=0,0,IF(AF$2&gt;=$A122,IF(AF$2=$A122,($B122/$B$116)*$B$113,IF(AF$2&lt;=$A122+$B$116-1,$B122/$B$116,$B122-SUM($C122:AE122))),0))</f>
        <v>0</v>
      </c>
      <c r="AG122" s="4">
        <f t="shared" si="70"/>
        <v>0</v>
      </c>
    </row>
    <row r="123" spans="1:33">
      <c r="A123" s="6">
        <f t="shared" si="71"/>
        <v>2028</v>
      </c>
      <c r="B123" s="4">
        <f t="shared" si="69"/>
        <v>0</v>
      </c>
      <c r="C123" s="4">
        <f>IF($B$116=0,0,IF(C$2&gt;=$A123,IF(C$2=$A123,($B123/$B$116)*$B$113,IF(C$2&lt;=$A123+$B$116-1,$B123/$B$116,$B123-SUM(B123:$C123))),0))</f>
        <v>0</v>
      </c>
      <c r="D123" s="4">
        <f>IF($B$116=0,0,IF(D$2&gt;=$A123,IF(D$2=$A123,($B123/$B$116)*$B$113,IF(D$2&lt;=$A123+$B$116-1,$B123/$B$116,$B123-SUM(C123:$C123))),0))</f>
        <v>0</v>
      </c>
      <c r="E123" s="4">
        <f>IF($B$116=0,0,IF(E$2&gt;=$A123,IF(E$2=$A123,($B123/$B$116)*$B$113,IF(E$2&lt;=$A123+$B$116-1,$B123/$B$116,$B123-SUM($C123:D123))),0))</f>
        <v>0</v>
      </c>
      <c r="F123" s="4">
        <f>IF($B$116=0,0,IF(F$2&gt;=$A123,IF(F$2=$A123,($B123/$B$116)*$B$113,IF(F$2&lt;=$A123+$B$116-1,$B123/$B$116,$B123-SUM($C123:E123))),0))</f>
        <v>0</v>
      </c>
      <c r="G123" s="4">
        <f>IF($B$116=0,0,IF(G$2&gt;=$A123,IF(G$2=$A123,($B123/$B$116)*$B$113,IF(G$2&lt;=$A123+$B$116-1,$B123/$B$116,$B123-SUM($C123:F123))),0))</f>
        <v>0</v>
      </c>
      <c r="H123" s="4">
        <f>IF($B$116=0,0,IF(H$2&gt;=$A123,IF(H$2=$A123,($B123/$B$116)*$B$113,IF(H$2&lt;=$A123+$B$116-1,$B123/$B$116,$B123-SUM($C123:G123))),0))</f>
        <v>0</v>
      </c>
      <c r="I123" s="4">
        <f>IF($B$116=0,0,IF(I$2&gt;=$A123,IF(I$2=$A123,($B123/$B$116)*$B$113,IF(I$2&lt;=$A123+$B$116-1,$B123/$B$116,$B123-SUM($C123:H123))),0))</f>
        <v>0</v>
      </c>
      <c r="J123" s="4">
        <f>IF($B$116=0,0,IF(J$2&gt;=$A123,IF(J$2=$A123,($B123/$B$116)*$B$113,IF(J$2&lt;=$A123+$B$116-1,$B123/$B$116,$B123-SUM($C123:I123))),0))</f>
        <v>0</v>
      </c>
      <c r="K123" s="4">
        <f>IF($B$116=0,0,IF(K$2&gt;=$A123,IF(K$2=$A123,($B123/$B$116)*$B$113,IF(K$2&lt;=$A123+$B$116-1,$B123/$B$116,$B123-SUM($C123:J123))),0))</f>
        <v>0</v>
      </c>
      <c r="L123" s="4">
        <f>IF($B$116=0,0,IF(L$2&gt;=$A123,IF(L$2=$A123,($B123/$B$116)*$B$113,IF(L$2&lt;=$A123+$B$116-1,$B123/$B$116,$B123-SUM($C123:K123))),0))</f>
        <v>0</v>
      </c>
      <c r="M123" s="4">
        <f>IF($B$116=0,0,IF(M$2&gt;=$A123,IF(M$2=$A123,($B123/$B$116)*$B$113,IF(M$2&lt;=$A123+$B$116-1,$B123/$B$116,$B123-SUM($C123:L123))),0))</f>
        <v>0</v>
      </c>
      <c r="N123" s="4">
        <f>IF($B$116=0,0,IF(N$2&gt;=$A123,IF(N$2=$A123,($B123/$B$116)*$B$113,IF(N$2&lt;=$A123+$B$116-1,$B123/$B$116,$B123-SUM($C123:M123))),0))</f>
        <v>0</v>
      </c>
      <c r="O123" s="4">
        <f>IF($B$116=0,0,IF(O$2&gt;=$A123,IF(O$2=$A123,($B123/$B$116)*$B$113,IF(O$2&lt;=$A123+$B$116-1,$B123/$B$116,$B123-SUM($C123:N123))),0))</f>
        <v>0</v>
      </c>
      <c r="P123" s="4">
        <f>IF($B$116=0,0,IF(P$2&gt;=$A123,IF(P$2=$A123,($B123/$B$116)*$B$113,IF(P$2&lt;=$A123+$B$116-1,$B123/$B$116,$B123-SUM($C123:O123))),0))</f>
        <v>0</v>
      </c>
      <c r="Q123" s="4">
        <f>IF($B$116=0,0,IF(Q$2&gt;=$A123,IF(Q$2=$A123,($B123/$B$116)*$B$113,IF(Q$2&lt;=$A123+$B$116-1,$B123/$B$116,$B123-SUM($C123:P123))),0))</f>
        <v>0</v>
      </c>
      <c r="R123" s="4">
        <f>IF($B$116=0,0,IF(R$2&gt;=$A123,IF(R$2=$A123,($B123/$B$116)*$B$113,IF(R$2&lt;=$A123+$B$116-1,$B123/$B$116,$B123-SUM($C123:Q123))),0))</f>
        <v>0</v>
      </c>
      <c r="S123" s="4">
        <f>IF($B$116=0,0,IF(S$2&gt;=$A123,IF(S$2=$A123,($B123/$B$116)*$B$113,IF(S$2&lt;=$A123+$B$116-1,$B123/$B$116,$B123-SUM($C123:R123))),0))</f>
        <v>0</v>
      </c>
      <c r="T123" s="4">
        <f>IF($B$116=0,0,IF(T$2&gt;=$A123,IF(T$2=$A123,($B123/$B$116)*$B$113,IF(T$2&lt;=$A123+$B$116-1,$B123/$B$116,$B123-SUM($C123:S123))),0))</f>
        <v>0</v>
      </c>
      <c r="U123" s="4">
        <f>IF($B$116=0,0,IF(U$2&gt;=$A123,IF(U$2=$A123,($B123/$B$116)*$B$113,IF(U$2&lt;=$A123+$B$116-1,$B123/$B$116,$B123-SUM($C123:T123))),0))</f>
        <v>0</v>
      </c>
      <c r="V123" s="4">
        <f>IF($B$116=0,0,IF(V$2&gt;=$A123,IF(V$2=$A123,($B123/$B$116)*$B$113,IF(V$2&lt;=$A123+$B$116-1,$B123/$B$116,$B123-SUM($C123:U123))),0))</f>
        <v>0</v>
      </c>
      <c r="W123" s="4">
        <f>IF($B$116=0,0,IF(W$2&gt;=$A123,IF(W$2=$A123,($B123/$B$116)*$B$113,IF(W$2&lt;=$A123+$B$116-1,$B123/$B$116,$B123-SUM($C123:V123))),0))</f>
        <v>0</v>
      </c>
      <c r="X123" s="4">
        <f>IF($B$116=0,0,IF(X$2&gt;=$A123,IF(X$2=$A123,($B123/$B$116)*$B$113,IF(X$2&lt;=$A123+$B$116-1,$B123/$B$116,$B123-SUM($C123:W123))),0))</f>
        <v>0</v>
      </c>
      <c r="Y123" s="4">
        <f>IF($B$116=0,0,IF(Y$2&gt;=$A123,IF(Y$2=$A123,($B123/$B$116)*$B$113,IF(Y$2&lt;=$A123+$B$116-1,$B123/$B$116,$B123-SUM($C123:X123))),0))</f>
        <v>0</v>
      </c>
      <c r="Z123" s="4">
        <f>IF($B$116=0,0,IF(Z$2&gt;=$A123,IF(Z$2=$A123,($B123/$B$116)*$B$113,IF(Z$2&lt;=$A123+$B$116-1,$B123/$B$116,$B123-SUM($C123:Y123))),0))</f>
        <v>0</v>
      </c>
      <c r="AA123" s="4">
        <f>IF($B$116=0,0,IF(AA$2&gt;=$A123,IF(AA$2=$A123,($B123/$B$116)*$B$113,IF(AA$2&lt;=$A123+$B$116-1,$B123/$B$116,$B123-SUM($C123:Z123))),0))</f>
        <v>0</v>
      </c>
      <c r="AB123" s="4">
        <f>IF($B$116=0,0,IF(AB$2&gt;=$A123,IF(AB$2=$A123,($B123/$B$116)*$B$113,IF(AB$2&lt;=$A123+$B$116-1,$B123/$B$116,$B123-SUM($C123:AA123))),0))</f>
        <v>0</v>
      </c>
      <c r="AC123" s="4">
        <f>IF($B$116=0,0,IF(AC$2&gt;=$A123,IF(AC$2=$A123,($B123/$B$116)*$B$113,IF(AC$2&lt;=$A123+$B$116-1,$B123/$B$116,$B123-SUM($C123:AB123))),0))</f>
        <v>0</v>
      </c>
      <c r="AD123" s="4">
        <f>IF($B$116=0,0,IF(AD$2&gt;=$A123,IF(AD$2=$A123,($B123/$B$116)*$B$113,IF(AD$2&lt;=$A123+$B$116-1,$B123/$B$116,$B123-SUM($C123:AC123))),0))</f>
        <v>0</v>
      </c>
      <c r="AE123" s="4">
        <f>IF($B$116=0,0,IF(AE$2&gt;=$A123,IF(AE$2=$A123,($B123/$B$116)*$B$113,IF(AE$2&lt;=$A123+$B$116-1,$B123/$B$116,$B123-SUM($C123:AD123))),0))</f>
        <v>0</v>
      </c>
      <c r="AF123" s="4">
        <f>IF($B$116=0,0,IF(AF$2&gt;=$A123,IF(AF$2=$A123,($B123/$B$116)*$B$113,IF(AF$2&lt;=$A123+$B$116-1,$B123/$B$116,$B123-SUM($C123:AE123))),0))</f>
        <v>0</v>
      </c>
      <c r="AG123" s="4">
        <f t="shared" si="70"/>
        <v>0</v>
      </c>
    </row>
    <row r="124" spans="1:33">
      <c r="A124" s="6">
        <f t="shared" si="71"/>
        <v>2029</v>
      </c>
      <c r="B124" s="4">
        <f t="shared" si="69"/>
        <v>0</v>
      </c>
      <c r="C124" s="4">
        <f>IF($B$116=0,0,IF(C$2&gt;=$A124,IF(C$2=$A124,($B124/$B$116)*$B$113,IF(C$2&lt;=$A124+$B$116-1,$B124/$B$116,$B124-SUM(B124:$C124))),0))</f>
        <v>0</v>
      </c>
      <c r="D124" s="4">
        <f>IF($B$116=0,0,IF(D$2&gt;=$A124,IF(D$2=$A124,($B124/$B$116)*$B$113,IF(D$2&lt;=$A124+$B$116-1,$B124/$B$116,$B124-SUM(C124:$C124))),0))</f>
        <v>0</v>
      </c>
      <c r="E124" s="4">
        <f>IF($B$116=0,0,IF(E$2&gt;=$A124,IF(E$2=$A124,($B124/$B$116)*$B$113,IF(E$2&lt;=$A124+$B$116-1,$B124/$B$116,$B124-SUM($C124:D124))),0))</f>
        <v>0</v>
      </c>
      <c r="F124" s="4">
        <f>IF($B$116=0,0,IF(F$2&gt;=$A124,IF(F$2=$A124,($B124/$B$116)*$B$113,IF(F$2&lt;=$A124+$B$116-1,$B124/$B$116,$B124-SUM($C124:E124))),0))</f>
        <v>0</v>
      </c>
      <c r="G124" s="4">
        <f>IF($B$116=0,0,IF(G$2&gt;=$A124,IF(G$2=$A124,($B124/$B$116)*$B$113,IF(G$2&lt;=$A124+$B$116-1,$B124/$B$116,$B124-SUM($C124:F124))),0))</f>
        <v>0</v>
      </c>
      <c r="H124" s="4">
        <f>IF($B$116=0,0,IF(H$2&gt;=$A124,IF(H$2=$A124,($B124/$B$116)*$B$113,IF(H$2&lt;=$A124+$B$116-1,$B124/$B$116,$B124-SUM($C124:G124))),0))</f>
        <v>0</v>
      </c>
      <c r="I124" s="4">
        <f>IF($B$116=0,0,IF(I$2&gt;=$A124,IF(I$2=$A124,($B124/$B$116)*$B$113,IF(I$2&lt;=$A124+$B$116-1,$B124/$B$116,$B124-SUM($C124:H124))),0))</f>
        <v>0</v>
      </c>
      <c r="J124" s="4">
        <f>IF($B$116=0,0,IF(J$2&gt;=$A124,IF(J$2=$A124,($B124/$B$116)*$B$113,IF(J$2&lt;=$A124+$B$116-1,$B124/$B$116,$B124-SUM($C124:I124))),0))</f>
        <v>0</v>
      </c>
      <c r="K124" s="4">
        <f>IF($B$116=0,0,IF(K$2&gt;=$A124,IF(K$2=$A124,($B124/$B$116)*$B$113,IF(K$2&lt;=$A124+$B$116-1,$B124/$B$116,$B124-SUM($C124:J124))),0))</f>
        <v>0</v>
      </c>
      <c r="L124" s="4">
        <f>IF($B$116=0,0,IF(L$2&gt;=$A124,IF(L$2=$A124,($B124/$B$116)*$B$113,IF(L$2&lt;=$A124+$B$116-1,$B124/$B$116,$B124-SUM($C124:K124))),0))</f>
        <v>0</v>
      </c>
      <c r="M124" s="4">
        <f>IF($B$116=0,0,IF(M$2&gt;=$A124,IF(M$2=$A124,($B124/$B$116)*$B$113,IF(M$2&lt;=$A124+$B$116-1,$B124/$B$116,$B124-SUM($C124:L124))),0))</f>
        <v>0</v>
      </c>
      <c r="N124" s="4">
        <f>IF($B$116=0,0,IF(N$2&gt;=$A124,IF(N$2=$A124,($B124/$B$116)*$B$113,IF(N$2&lt;=$A124+$B$116-1,$B124/$B$116,$B124-SUM($C124:M124))),0))</f>
        <v>0</v>
      </c>
      <c r="O124" s="4">
        <f>IF($B$116=0,0,IF(O$2&gt;=$A124,IF(O$2=$A124,($B124/$B$116)*$B$113,IF(O$2&lt;=$A124+$B$116-1,$B124/$B$116,$B124-SUM($C124:N124))),0))</f>
        <v>0</v>
      </c>
      <c r="P124" s="4">
        <f>IF($B$116=0,0,IF(P$2&gt;=$A124,IF(P$2=$A124,($B124/$B$116)*$B$113,IF(P$2&lt;=$A124+$B$116-1,$B124/$B$116,$B124-SUM($C124:O124))),0))</f>
        <v>0</v>
      </c>
      <c r="Q124" s="4">
        <f>IF($B$116=0,0,IF(Q$2&gt;=$A124,IF(Q$2=$A124,($B124/$B$116)*$B$113,IF(Q$2&lt;=$A124+$B$116-1,$B124/$B$116,$B124-SUM($C124:P124))),0))</f>
        <v>0</v>
      </c>
      <c r="R124" s="4">
        <f>IF($B$116=0,0,IF(R$2&gt;=$A124,IF(R$2=$A124,($B124/$B$116)*$B$113,IF(R$2&lt;=$A124+$B$116-1,$B124/$B$116,$B124-SUM($C124:Q124))),0))</f>
        <v>0</v>
      </c>
      <c r="S124" s="4">
        <f>IF($B$116=0,0,IF(S$2&gt;=$A124,IF(S$2=$A124,($B124/$B$116)*$B$113,IF(S$2&lt;=$A124+$B$116-1,$B124/$B$116,$B124-SUM($C124:R124))),0))</f>
        <v>0</v>
      </c>
      <c r="T124" s="4">
        <f>IF($B$116=0,0,IF(T$2&gt;=$A124,IF(T$2=$A124,($B124/$B$116)*$B$113,IF(T$2&lt;=$A124+$B$116-1,$B124/$B$116,$B124-SUM($C124:S124))),0))</f>
        <v>0</v>
      </c>
      <c r="U124" s="4">
        <f>IF($B$116=0,0,IF(U$2&gt;=$A124,IF(U$2=$A124,($B124/$B$116)*$B$113,IF(U$2&lt;=$A124+$B$116-1,$B124/$B$116,$B124-SUM($C124:T124))),0))</f>
        <v>0</v>
      </c>
      <c r="V124" s="4">
        <f>IF($B$116=0,0,IF(V$2&gt;=$A124,IF(V$2=$A124,($B124/$B$116)*$B$113,IF(V$2&lt;=$A124+$B$116-1,$B124/$B$116,$B124-SUM($C124:U124))),0))</f>
        <v>0</v>
      </c>
      <c r="W124" s="4">
        <f>IF($B$116=0,0,IF(W$2&gt;=$A124,IF(W$2=$A124,($B124/$B$116)*$B$113,IF(W$2&lt;=$A124+$B$116-1,$B124/$B$116,$B124-SUM($C124:V124))),0))</f>
        <v>0</v>
      </c>
      <c r="X124" s="4">
        <f>IF($B$116=0,0,IF(X$2&gt;=$A124,IF(X$2=$A124,($B124/$B$116)*$B$113,IF(X$2&lt;=$A124+$B$116-1,$B124/$B$116,$B124-SUM($C124:W124))),0))</f>
        <v>0</v>
      </c>
      <c r="Y124" s="4">
        <f>IF($B$116=0,0,IF(Y$2&gt;=$A124,IF(Y$2=$A124,($B124/$B$116)*$B$113,IF(Y$2&lt;=$A124+$B$116-1,$B124/$B$116,$B124-SUM($C124:X124))),0))</f>
        <v>0</v>
      </c>
      <c r="Z124" s="4">
        <f>IF($B$116=0,0,IF(Z$2&gt;=$A124,IF(Z$2=$A124,($B124/$B$116)*$B$113,IF(Z$2&lt;=$A124+$B$116-1,$B124/$B$116,$B124-SUM($C124:Y124))),0))</f>
        <v>0</v>
      </c>
      <c r="AA124" s="4">
        <f>IF($B$116=0,0,IF(AA$2&gt;=$A124,IF(AA$2=$A124,($B124/$B$116)*$B$113,IF(AA$2&lt;=$A124+$B$116-1,$B124/$B$116,$B124-SUM($C124:Z124))),0))</f>
        <v>0</v>
      </c>
      <c r="AB124" s="4">
        <f>IF($B$116=0,0,IF(AB$2&gt;=$A124,IF(AB$2=$A124,($B124/$B$116)*$B$113,IF(AB$2&lt;=$A124+$B$116-1,$B124/$B$116,$B124-SUM($C124:AA124))),0))</f>
        <v>0</v>
      </c>
      <c r="AC124" s="4">
        <f>IF($B$116=0,0,IF(AC$2&gt;=$A124,IF(AC$2=$A124,($B124/$B$116)*$B$113,IF(AC$2&lt;=$A124+$B$116-1,$B124/$B$116,$B124-SUM($C124:AB124))),0))</f>
        <v>0</v>
      </c>
      <c r="AD124" s="4">
        <f>IF($B$116=0,0,IF(AD$2&gt;=$A124,IF(AD$2=$A124,($B124/$B$116)*$B$113,IF(AD$2&lt;=$A124+$B$116-1,$B124/$B$116,$B124-SUM($C124:AC124))),0))</f>
        <v>0</v>
      </c>
      <c r="AE124" s="4">
        <f>IF($B$116=0,0,IF(AE$2&gt;=$A124,IF(AE$2=$A124,($B124/$B$116)*$B$113,IF(AE$2&lt;=$A124+$B$116-1,$B124/$B$116,$B124-SUM($C124:AD124))),0))</f>
        <v>0</v>
      </c>
      <c r="AF124" s="4">
        <f>IF($B$116=0,0,IF(AF$2&gt;=$A124,IF(AF$2=$A124,($B124/$B$116)*$B$113,IF(AF$2&lt;=$A124+$B$116-1,$B124/$B$116,$B124-SUM($C124:AE124))),0))</f>
        <v>0</v>
      </c>
      <c r="AG124" s="4">
        <f t="shared" si="70"/>
        <v>0</v>
      </c>
    </row>
    <row r="125" spans="1:33">
      <c r="A125" s="6">
        <f t="shared" si="71"/>
        <v>2030</v>
      </c>
      <c r="B125" s="4">
        <f t="shared" si="69"/>
        <v>0</v>
      </c>
      <c r="C125" s="4">
        <f>IF($B$116=0,0,IF(C$2&gt;=$A125,IF(C$2=$A125,($B125/$B$116)*$B$113,IF(C$2&lt;=$A125+$B$116-1,$B125/$B$116,$B125-SUM(B125:$C125))),0))</f>
        <v>0</v>
      </c>
      <c r="D125" s="4">
        <f>IF($B$116=0,0,IF(D$2&gt;=$A125,IF(D$2=$A125,($B125/$B$116)*$B$113,IF(D$2&lt;=$A125+$B$116-1,$B125/$B$116,$B125-SUM(C125:$C125))),0))</f>
        <v>0</v>
      </c>
      <c r="E125" s="4">
        <f>IF($B$116=0,0,IF(E$2&gt;=$A125,IF(E$2=$A125,($B125/$B$116)*$B$113,IF(E$2&lt;=$A125+$B$116-1,$B125/$B$116,$B125-SUM($C125:D125))),0))</f>
        <v>0</v>
      </c>
      <c r="F125" s="4">
        <f>IF($B$116=0,0,IF(F$2&gt;=$A125,IF(F$2=$A125,($B125/$B$116)*$B$113,IF(F$2&lt;=$A125+$B$116-1,$B125/$B$116,$B125-SUM($C125:E125))),0))</f>
        <v>0</v>
      </c>
      <c r="G125" s="4">
        <f>IF($B$116=0,0,IF(G$2&gt;=$A125,IF(G$2=$A125,($B125/$B$116)*$B$113,IF(G$2&lt;=$A125+$B$116-1,$B125/$B$116,$B125-SUM($C125:F125))),0))</f>
        <v>0</v>
      </c>
      <c r="H125" s="4">
        <f>IF($B$116=0,0,IF(H$2&gt;=$A125,IF(H$2=$A125,($B125/$B$116)*$B$113,IF(H$2&lt;=$A125+$B$116-1,$B125/$B$116,$B125-SUM($C125:G125))),0))</f>
        <v>0</v>
      </c>
      <c r="I125" s="4">
        <f>IF($B$116=0,0,IF(I$2&gt;=$A125,IF(I$2=$A125,($B125/$B$116)*$B$113,IF(I$2&lt;=$A125+$B$116-1,$B125/$B$116,$B125-SUM($C125:H125))),0))</f>
        <v>0</v>
      </c>
      <c r="J125" s="4">
        <f>IF($B$116=0,0,IF(J$2&gt;=$A125,IF(J$2=$A125,($B125/$B$116)*$B$113,IF(J$2&lt;=$A125+$B$116-1,$B125/$B$116,$B125-SUM($C125:I125))),0))</f>
        <v>0</v>
      </c>
      <c r="K125" s="4">
        <f>IF($B$116=0,0,IF(K$2&gt;=$A125,IF(K$2=$A125,($B125/$B$116)*$B$113,IF(K$2&lt;=$A125+$B$116-1,$B125/$B$116,$B125-SUM($C125:J125))),0))</f>
        <v>0</v>
      </c>
      <c r="L125" s="4">
        <f>IF($B$116=0,0,IF(L$2&gt;=$A125,IF(L$2=$A125,($B125/$B$116)*$B$113,IF(L$2&lt;=$A125+$B$116-1,$B125/$B$116,$B125-SUM($C125:K125))),0))</f>
        <v>0</v>
      </c>
      <c r="M125" s="4">
        <f>IF($B$116=0,0,IF(M$2&gt;=$A125,IF(M$2=$A125,($B125/$B$116)*$B$113,IF(M$2&lt;=$A125+$B$116-1,$B125/$B$116,$B125-SUM($C125:L125))),0))</f>
        <v>0</v>
      </c>
      <c r="N125" s="4">
        <f>IF($B$116=0,0,IF(N$2&gt;=$A125,IF(N$2=$A125,($B125/$B$116)*$B$113,IF(N$2&lt;=$A125+$B$116-1,$B125/$B$116,$B125-SUM($C125:M125))),0))</f>
        <v>0</v>
      </c>
      <c r="O125" s="4">
        <f>IF($B$116=0,0,IF(O$2&gt;=$A125,IF(O$2=$A125,($B125/$B$116)*$B$113,IF(O$2&lt;=$A125+$B$116-1,$B125/$B$116,$B125-SUM($C125:N125))),0))</f>
        <v>0</v>
      </c>
      <c r="P125" s="4">
        <f>IF($B$116=0,0,IF(P$2&gt;=$A125,IF(P$2=$A125,($B125/$B$116)*$B$113,IF(P$2&lt;=$A125+$B$116-1,$B125/$B$116,$B125-SUM($C125:O125))),0))</f>
        <v>0</v>
      </c>
      <c r="Q125" s="4">
        <f>IF($B$116=0,0,IF(Q$2&gt;=$A125,IF(Q$2=$A125,($B125/$B$116)*$B$113,IF(Q$2&lt;=$A125+$B$116-1,$B125/$B$116,$B125-SUM($C125:P125))),0))</f>
        <v>0</v>
      </c>
      <c r="R125" s="4">
        <f>IF($B$116=0,0,IF(R$2&gt;=$A125,IF(R$2=$A125,($B125/$B$116)*$B$113,IF(R$2&lt;=$A125+$B$116-1,$B125/$B$116,$B125-SUM($C125:Q125))),0))</f>
        <v>0</v>
      </c>
      <c r="S125" s="4">
        <f>IF($B$116=0,0,IF(S$2&gt;=$A125,IF(S$2=$A125,($B125/$B$116)*$B$113,IF(S$2&lt;=$A125+$B$116-1,$B125/$B$116,$B125-SUM($C125:R125))),0))</f>
        <v>0</v>
      </c>
      <c r="T125" s="4">
        <f>IF($B$116=0,0,IF(T$2&gt;=$A125,IF(T$2=$A125,($B125/$B$116)*$B$113,IF(T$2&lt;=$A125+$B$116-1,$B125/$B$116,$B125-SUM($C125:S125))),0))</f>
        <v>0</v>
      </c>
      <c r="U125" s="4">
        <f>IF($B$116=0,0,IF(U$2&gt;=$A125,IF(U$2=$A125,($B125/$B$116)*$B$113,IF(U$2&lt;=$A125+$B$116-1,$B125/$B$116,$B125-SUM($C125:T125))),0))</f>
        <v>0</v>
      </c>
      <c r="V125" s="4">
        <f>IF($B$116=0,0,IF(V$2&gt;=$A125,IF(V$2=$A125,($B125/$B$116)*$B$113,IF(V$2&lt;=$A125+$B$116-1,$B125/$B$116,$B125-SUM($C125:U125))),0))</f>
        <v>0</v>
      </c>
      <c r="W125" s="4">
        <f>IF($B$116=0,0,IF(W$2&gt;=$A125,IF(W$2=$A125,($B125/$B$116)*$B$113,IF(W$2&lt;=$A125+$B$116-1,$B125/$B$116,$B125-SUM($C125:V125))),0))</f>
        <v>0</v>
      </c>
      <c r="X125" s="4">
        <f>IF($B$116=0,0,IF(X$2&gt;=$A125,IF(X$2=$A125,($B125/$B$116)*$B$113,IF(X$2&lt;=$A125+$B$116-1,$B125/$B$116,$B125-SUM($C125:W125))),0))</f>
        <v>0</v>
      </c>
      <c r="Y125" s="4">
        <f>IF($B$116=0,0,IF(Y$2&gt;=$A125,IF(Y$2=$A125,($B125/$B$116)*$B$113,IF(Y$2&lt;=$A125+$B$116-1,$B125/$B$116,$B125-SUM($C125:X125))),0))</f>
        <v>0</v>
      </c>
      <c r="Z125" s="4">
        <f>IF($B$116=0,0,IF(Z$2&gt;=$A125,IF(Z$2=$A125,($B125/$B$116)*$B$113,IF(Z$2&lt;=$A125+$B$116-1,$B125/$B$116,$B125-SUM($C125:Y125))),0))</f>
        <v>0</v>
      </c>
      <c r="AA125" s="4">
        <f>IF($B$116=0,0,IF(AA$2&gt;=$A125,IF(AA$2=$A125,($B125/$B$116)*$B$113,IF(AA$2&lt;=$A125+$B$116-1,$B125/$B$116,$B125-SUM($C125:Z125))),0))</f>
        <v>0</v>
      </c>
      <c r="AB125" s="4">
        <f>IF($B$116=0,0,IF(AB$2&gt;=$A125,IF(AB$2=$A125,($B125/$B$116)*$B$113,IF(AB$2&lt;=$A125+$B$116-1,$B125/$B$116,$B125-SUM($C125:AA125))),0))</f>
        <v>0</v>
      </c>
      <c r="AC125" s="4">
        <f>IF($B$116=0,0,IF(AC$2&gt;=$A125,IF(AC$2=$A125,($B125/$B$116)*$B$113,IF(AC$2&lt;=$A125+$B$116-1,$B125/$B$116,$B125-SUM($C125:AB125))),0))</f>
        <v>0</v>
      </c>
      <c r="AD125" s="4">
        <f>IF($B$116=0,0,IF(AD$2&gt;=$A125,IF(AD$2=$A125,($B125/$B$116)*$B$113,IF(AD$2&lt;=$A125+$B$116-1,$B125/$B$116,$B125-SUM($C125:AC125))),0))</f>
        <v>0</v>
      </c>
      <c r="AE125" s="4">
        <f>IF($B$116=0,0,IF(AE$2&gt;=$A125,IF(AE$2=$A125,($B125/$B$116)*$B$113,IF(AE$2&lt;=$A125+$B$116-1,$B125/$B$116,$B125-SUM($C125:AD125))),0))</f>
        <v>0</v>
      </c>
      <c r="AF125" s="4">
        <f>IF($B$116=0,0,IF(AF$2&gt;=$A125,IF(AF$2=$A125,($B125/$B$116)*$B$113,IF(AF$2&lt;=$A125+$B$116-1,$B125/$B$116,$B125-SUM($C125:AE125))),0))</f>
        <v>0</v>
      </c>
      <c r="AG125" s="4">
        <f t="shared" si="70"/>
        <v>0</v>
      </c>
    </row>
    <row r="126" spans="1:33">
      <c r="A126" s="6">
        <f t="shared" si="71"/>
        <v>2031</v>
      </c>
      <c r="B126" s="4">
        <f t="shared" si="69"/>
        <v>0</v>
      </c>
      <c r="C126" s="4">
        <f>IF($B$116=0,0,IF(C$2&gt;=$A126,IF(C$2=$A126,($B126/$B$116)*$B$113,IF(C$2&lt;=$A126+$B$116-1,$B126/$B$116,$B126-SUM(B126:$C126))),0))</f>
        <v>0</v>
      </c>
      <c r="D126" s="4">
        <f>IF($B$116=0,0,IF(D$2&gt;=$A126,IF(D$2=$A126,($B126/$B$116)*$B$113,IF(D$2&lt;=$A126+$B$116-1,$B126/$B$116,$B126-SUM(C126:$C126))),0))</f>
        <v>0</v>
      </c>
      <c r="E126" s="4">
        <f>IF($B$116=0,0,IF(E$2&gt;=$A126,IF(E$2=$A126,($B126/$B$116)*$B$113,IF(E$2&lt;=$A126+$B$116-1,$B126/$B$116,$B126-SUM($C126:D126))),0))</f>
        <v>0</v>
      </c>
      <c r="F126" s="4">
        <f>IF($B$116=0,0,IF(F$2&gt;=$A126,IF(F$2=$A126,($B126/$B$116)*$B$113,IF(F$2&lt;=$A126+$B$116-1,$B126/$B$116,$B126-SUM($C126:E126))),0))</f>
        <v>0</v>
      </c>
      <c r="G126" s="4">
        <f>IF($B$116=0,0,IF(G$2&gt;=$A126,IF(G$2=$A126,($B126/$B$116)*$B$113,IF(G$2&lt;=$A126+$B$116-1,$B126/$B$116,$B126-SUM($C126:F126))),0))</f>
        <v>0</v>
      </c>
      <c r="H126" s="4">
        <f>IF($B$116=0,0,IF(H$2&gt;=$A126,IF(H$2=$A126,($B126/$B$116)*$B$113,IF(H$2&lt;=$A126+$B$116-1,$B126/$B$116,$B126-SUM($C126:G126))),0))</f>
        <v>0</v>
      </c>
      <c r="I126" s="4">
        <f>IF($B$116=0,0,IF(I$2&gt;=$A126,IF(I$2=$A126,($B126/$B$116)*$B$113,IF(I$2&lt;=$A126+$B$116-1,$B126/$B$116,$B126-SUM($C126:H126))),0))</f>
        <v>0</v>
      </c>
      <c r="J126" s="4">
        <f>IF($B$116=0,0,IF(J$2&gt;=$A126,IF(J$2=$A126,($B126/$B$116)*$B$113,IF(J$2&lt;=$A126+$B$116-1,$B126/$B$116,$B126-SUM($C126:I126))),0))</f>
        <v>0</v>
      </c>
      <c r="K126" s="4">
        <f>IF($B$116=0,0,IF(K$2&gt;=$A126,IF(K$2=$A126,($B126/$B$116)*$B$113,IF(K$2&lt;=$A126+$B$116-1,$B126/$B$116,$B126-SUM($C126:J126))),0))</f>
        <v>0</v>
      </c>
      <c r="L126" s="4">
        <f>IF($B$116=0,0,IF(L$2&gt;=$A126,IF(L$2=$A126,($B126/$B$116)*$B$113,IF(L$2&lt;=$A126+$B$116-1,$B126/$B$116,$B126-SUM($C126:K126))),0))</f>
        <v>0</v>
      </c>
      <c r="M126" s="4">
        <f>IF($B$116=0,0,IF(M$2&gt;=$A126,IF(M$2=$A126,($B126/$B$116)*$B$113,IF(M$2&lt;=$A126+$B$116-1,$B126/$B$116,$B126-SUM($C126:L126))),0))</f>
        <v>0</v>
      </c>
      <c r="N126" s="4">
        <f>IF($B$116=0,0,IF(N$2&gt;=$A126,IF(N$2=$A126,($B126/$B$116)*$B$113,IF(N$2&lt;=$A126+$B$116-1,$B126/$B$116,$B126-SUM($C126:M126))),0))</f>
        <v>0</v>
      </c>
      <c r="O126" s="4">
        <f>IF($B$116=0,0,IF(O$2&gt;=$A126,IF(O$2=$A126,($B126/$B$116)*$B$113,IF(O$2&lt;=$A126+$B$116-1,$B126/$B$116,$B126-SUM($C126:N126))),0))</f>
        <v>0</v>
      </c>
      <c r="P126" s="4">
        <f>IF($B$116=0,0,IF(P$2&gt;=$A126,IF(P$2=$A126,($B126/$B$116)*$B$113,IF(P$2&lt;=$A126+$B$116-1,$B126/$B$116,$B126-SUM($C126:O126))),0))</f>
        <v>0</v>
      </c>
      <c r="Q126" s="4">
        <f>IF($B$116=0,0,IF(Q$2&gt;=$A126,IF(Q$2=$A126,($B126/$B$116)*$B$113,IF(Q$2&lt;=$A126+$B$116-1,$B126/$B$116,$B126-SUM($C126:P126))),0))</f>
        <v>0</v>
      </c>
      <c r="R126" s="4">
        <f>IF($B$116=0,0,IF(R$2&gt;=$A126,IF(R$2=$A126,($B126/$B$116)*$B$113,IF(R$2&lt;=$A126+$B$116-1,$B126/$B$116,$B126-SUM($C126:Q126))),0))</f>
        <v>0</v>
      </c>
      <c r="S126" s="4">
        <f>IF($B$116=0,0,IF(S$2&gt;=$A126,IF(S$2=$A126,($B126/$B$116)*$B$113,IF(S$2&lt;=$A126+$B$116-1,$B126/$B$116,$B126-SUM($C126:R126))),0))</f>
        <v>0</v>
      </c>
      <c r="T126" s="4">
        <f>IF($B$116=0,0,IF(T$2&gt;=$A126,IF(T$2=$A126,($B126/$B$116)*$B$113,IF(T$2&lt;=$A126+$B$116-1,$B126/$B$116,$B126-SUM($C126:S126))),0))</f>
        <v>0</v>
      </c>
      <c r="U126" s="4">
        <f>IF($B$116=0,0,IF(U$2&gt;=$A126,IF(U$2=$A126,($B126/$B$116)*$B$113,IF(U$2&lt;=$A126+$B$116-1,$B126/$B$116,$B126-SUM($C126:T126))),0))</f>
        <v>0</v>
      </c>
      <c r="V126" s="4">
        <f>IF($B$116=0,0,IF(V$2&gt;=$A126,IF(V$2=$A126,($B126/$B$116)*$B$113,IF(V$2&lt;=$A126+$B$116-1,$B126/$B$116,$B126-SUM($C126:U126))),0))</f>
        <v>0</v>
      </c>
      <c r="W126" s="4">
        <f>IF($B$116=0,0,IF(W$2&gt;=$A126,IF(W$2=$A126,($B126/$B$116)*$B$113,IF(W$2&lt;=$A126+$B$116-1,$B126/$B$116,$B126-SUM($C126:V126))),0))</f>
        <v>0</v>
      </c>
      <c r="X126" s="4">
        <f>IF($B$116=0,0,IF(X$2&gt;=$A126,IF(X$2=$A126,($B126/$B$116)*$B$113,IF(X$2&lt;=$A126+$B$116-1,$B126/$B$116,$B126-SUM($C126:W126))),0))</f>
        <v>0</v>
      </c>
      <c r="Y126" s="4">
        <f>IF($B$116=0,0,IF(Y$2&gt;=$A126,IF(Y$2=$A126,($B126/$B$116)*$B$113,IF(Y$2&lt;=$A126+$B$116-1,$B126/$B$116,$B126-SUM($C126:X126))),0))</f>
        <v>0</v>
      </c>
      <c r="Z126" s="4">
        <f>IF($B$116=0,0,IF(Z$2&gt;=$A126,IF(Z$2=$A126,($B126/$B$116)*$B$113,IF(Z$2&lt;=$A126+$B$116-1,$B126/$B$116,$B126-SUM($C126:Y126))),0))</f>
        <v>0</v>
      </c>
      <c r="AA126" s="4">
        <f>IF($B$116=0,0,IF(AA$2&gt;=$A126,IF(AA$2=$A126,($B126/$B$116)*$B$113,IF(AA$2&lt;=$A126+$B$116-1,$B126/$B$116,$B126-SUM($C126:Z126))),0))</f>
        <v>0</v>
      </c>
      <c r="AB126" s="4">
        <f>IF($B$116=0,0,IF(AB$2&gt;=$A126,IF(AB$2=$A126,($B126/$B$116)*$B$113,IF(AB$2&lt;=$A126+$B$116-1,$B126/$B$116,$B126-SUM($C126:AA126))),0))</f>
        <v>0</v>
      </c>
      <c r="AC126" s="4">
        <f>IF($B$116=0,0,IF(AC$2&gt;=$A126,IF(AC$2=$A126,($B126/$B$116)*$B$113,IF(AC$2&lt;=$A126+$B$116-1,$B126/$B$116,$B126-SUM($C126:AB126))),0))</f>
        <v>0</v>
      </c>
      <c r="AD126" s="4">
        <f>IF($B$116=0,0,IF(AD$2&gt;=$A126,IF(AD$2=$A126,($B126/$B$116)*$B$113,IF(AD$2&lt;=$A126+$B$116-1,$B126/$B$116,$B126-SUM($C126:AC126))),0))</f>
        <v>0</v>
      </c>
      <c r="AE126" s="4">
        <f>IF($B$116=0,0,IF(AE$2&gt;=$A126,IF(AE$2=$A126,($B126/$B$116)*$B$113,IF(AE$2&lt;=$A126+$B$116-1,$B126/$B$116,$B126-SUM($C126:AD126))),0))</f>
        <v>0</v>
      </c>
      <c r="AF126" s="4">
        <f>IF($B$116=0,0,IF(AF$2&gt;=$A126,IF(AF$2=$A126,($B126/$B$116)*$B$113,IF(AF$2&lt;=$A126+$B$116-1,$B126/$B$116,$B126-SUM($C126:AE126))),0))</f>
        <v>0</v>
      </c>
      <c r="AG126" s="4">
        <f t="shared" si="70"/>
        <v>0</v>
      </c>
    </row>
    <row r="127" spans="1:33">
      <c r="A127" s="6">
        <f t="shared" si="71"/>
        <v>2032</v>
      </c>
      <c r="B127" s="4">
        <f t="shared" si="69"/>
        <v>0</v>
      </c>
      <c r="C127" s="4">
        <f>IF($B$116=0,0,IF(C$2&gt;=$A127,IF(C$2=$A127,($B127/$B$116)*$B$113,IF(C$2&lt;=$A127+$B$116-1,$B127/$B$116,$B127-SUM(B127:$C127))),0))</f>
        <v>0</v>
      </c>
      <c r="D127" s="4">
        <f>IF($B$116=0,0,IF(D$2&gt;=$A127,IF(D$2=$A127,($B127/$B$116)*$B$113,IF(D$2&lt;=$A127+$B$116-1,$B127/$B$116,$B127-SUM(C127:$C127))),0))</f>
        <v>0</v>
      </c>
      <c r="E127" s="4">
        <f>IF($B$116=0,0,IF(E$2&gt;=$A127,IF(E$2=$A127,($B127/$B$116)*$B$113,IF(E$2&lt;=$A127+$B$116-1,$B127/$B$116,$B127-SUM($C127:D127))),0))</f>
        <v>0</v>
      </c>
      <c r="F127" s="4">
        <f>IF($B$116=0,0,IF(F$2&gt;=$A127,IF(F$2=$A127,($B127/$B$116)*$B$113,IF(F$2&lt;=$A127+$B$116-1,$B127/$B$116,$B127-SUM($C127:E127))),0))</f>
        <v>0</v>
      </c>
      <c r="G127" s="4">
        <f>IF($B$116=0,0,IF(G$2&gt;=$A127,IF(G$2=$A127,($B127/$B$116)*$B$113,IF(G$2&lt;=$A127+$B$116-1,$B127/$B$116,$B127-SUM($C127:F127))),0))</f>
        <v>0</v>
      </c>
      <c r="H127" s="4">
        <f>IF($B$116=0,0,IF(H$2&gt;=$A127,IF(H$2=$A127,($B127/$B$116)*$B$113,IF(H$2&lt;=$A127+$B$116-1,$B127/$B$116,$B127-SUM($C127:G127))),0))</f>
        <v>0</v>
      </c>
      <c r="I127" s="4">
        <f>IF($B$116=0,0,IF(I$2&gt;=$A127,IF(I$2=$A127,($B127/$B$116)*$B$113,IF(I$2&lt;=$A127+$B$116-1,$B127/$B$116,$B127-SUM($C127:H127))),0))</f>
        <v>0</v>
      </c>
      <c r="J127" s="4">
        <f>IF($B$116=0,0,IF(J$2&gt;=$A127,IF(J$2=$A127,($B127/$B$116)*$B$113,IF(J$2&lt;=$A127+$B$116-1,$B127/$B$116,$B127-SUM($C127:I127))),0))</f>
        <v>0</v>
      </c>
      <c r="K127" s="4">
        <f>IF($B$116=0,0,IF(K$2&gt;=$A127,IF(K$2=$A127,($B127/$B$116)*$B$113,IF(K$2&lt;=$A127+$B$116-1,$B127/$B$116,$B127-SUM($C127:J127))),0))</f>
        <v>0</v>
      </c>
      <c r="L127" s="4">
        <f>IF($B$116=0,0,IF(L$2&gt;=$A127,IF(L$2=$A127,($B127/$B$116)*$B$113,IF(L$2&lt;=$A127+$B$116-1,$B127/$B$116,$B127-SUM($C127:K127))),0))</f>
        <v>0</v>
      </c>
      <c r="M127" s="4">
        <f>IF($B$116=0,0,IF(M$2&gt;=$A127,IF(M$2=$A127,($B127/$B$116)*$B$113,IF(M$2&lt;=$A127+$B$116-1,$B127/$B$116,$B127-SUM($C127:L127))),0))</f>
        <v>0</v>
      </c>
      <c r="N127" s="4">
        <f>IF($B$116=0,0,IF(N$2&gt;=$A127,IF(N$2=$A127,($B127/$B$116)*$B$113,IF(N$2&lt;=$A127+$B$116-1,$B127/$B$116,$B127-SUM($C127:M127))),0))</f>
        <v>0</v>
      </c>
      <c r="O127" s="4">
        <f>IF($B$116=0,0,IF(O$2&gt;=$A127,IF(O$2=$A127,($B127/$B$116)*$B$113,IF(O$2&lt;=$A127+$B$116-1,$B127/$B$116,$B127-SUM($C127:N127))),0))</f>
        <v>0</v>
      </c>
      <c r="P127" s="4">
        <f>IF($B$116=0,0,IF(P$2&gt;=$A127,IF(P$2=$A127,($B127/$B$116)*$B$113,IF(P$2&lt;=$A127+$B$116-1,$B127/$B$116,$B127-SUM($C127:O127))),0))</f>
        <v>0</v>
      </c>
      <c r="Q127" s="4">
        <f>IF($B$116=0,0,IF(Q$2&gt;=$A127,IF(Q$2=$A127,($B127/$B$116)*$B$113,IF(Q$2&lt;=$A127+$B$116-1,$B127/$B$116,$B127-SUM($C127:P127))),0))</f>
        <v>0</v>
      </c>
      <c r="R127" s="4">
        <f>IF($B$116=0,0,IF(R$2&gt;=$A127,IF(R$2=$A127,($B127/$B$116)*$B$113,IF(R$2&lt;=$A127+$B$116-1,$B127/$B$116,$B127-SUM($C127:Q127))),0))</f>
        <v>0</v>
      </c>
      <c r="S127" s="4">
        <f>IF($B$116=0,0,IF(S$2&gt;=$A127,IF(S$2=$A127,($B127/$B$116)*$B$113,IF(S$2&lt;=$A127+$B$116-1,$B127/$B$116,$B127-SUM($C127:R127))),0))</f>
        <v>0</v>
      </c>
      <c r="T127" s="4">
        <f>IF($B$116=0,0,IF(T$2&gt;=$A127,IF(T$2=$A127,($B127/$B$116)*$B$113,IF(T$2&lt;=$A127+$B$116-1,$B127/$B$116,$B127-SUM($C127:S127))),0))</f>
        <v>0</v>
      </c>
      <c r="U127" s="4">
        <f>IF($B$116=0,0,IF(U$2&gt;=$A127,IF(U$2=$A127,($B127/$B$116)*$B$113,IF(U$2&lt;=$A127+$B$116-1,$B127/$B$116,$B127-SUM($C127:T127))),0))</f>
        <v>0</v>
      </c>
      <c r="V127" s="4">
        <f>IF($B$116=0,0,IF(V$2&gt;=$A127,IF(V$2=$A127,($B127/$B$116)*$B$113,IF(V$2&lt;=$A127+$B$116-1,$B127/$B$116,$B127-SUM($C127:U127))),0))</f>
        <v>0</v>
      </c>
      <c r="W127" s="4">
        <f>IF($B$116=0,0,IF(W$2&gt;=$A127,IF(W$2=$A127,($B127/$B$116)*$B$113,IF(W$2&lt;=$A127+$B$116-1,$B127/$B$116,$B127-SUM($C127:V127))),0))</f>
        <v>0</v>
      </c>
      <c r="X127" s="4">
        <f>IF($B$116=0,0,IF(X$2&gt;=$A127,IF(X$2=$A127,($B127/$B$116)*$B$113,IF(X$2&lt;=$A127+$B$116-1,$B127/$B$116,$B127-SUM($C127:W127))),0))</f>
        <v>0</v>
      </c>
      <c r="Y127" s="4">
        <f>IF($B$116=0,0,IF(Y$2&gt;=$A127,IF(Y$2=$A127,($B127/$B$116)*$B$113,IF(Y$2&lt;=$A127+$B$116-1,$B127/$B$116,$B127-SUM($C127:X127))),0))</f>
        <v>0</v>
      </c>
      <c r="Z127" s="4">
        <f>IF($B$116=0,0,IF(Z$2&gt;=$A127,IF(Z$2=$A127,($B127/$B$116)*$B$113,IF(Z$2&lt;=$A127+$B$116-1,$B127/$B$116,$B127-SUM($C127:Y127))),0))</f>
        <v>0</v>
      </c>
      <c r="AA127" s="4">
        <f>IF($B$116=0,0,IF(AA$2&gt;=$A127,IF(AA$2=$A127,($B127/$B$116)*$B$113,IF(AA$2&lt;=$A127+$B$116-1,$B127/$B$116,$B127-SUM($C127:Z127))),0))</f>
        <v>0</v>
      </c>
      <c r="AB127" s="4">
        <f>IF($B$116=0,0,IF(AB$2&gt;=$A127,IF(AB$2=$A127,($B127/$B$116)*$B$113,IF(AB$2&lt;=$A127+$B$116-1,$B127/$B$116,$B127-SUM($C127:AA127))),0))</f>
        <v>0</v>
      </c>
      <c r="AC127" s="4">
        <f>IF($B$116=0,0,IF(AC$2&gt;=$A127,IF(AC$2=$A127,($B127/$B$116)*$B$113,IF(AC$2&lt;=$A127+$B$116-1,$B127/$B$116,$B127-SUM($C127:AB127))),0))</f>
        <v>0</v>
      </c>
      <c r="AD127" s="4">
        <f>IF($B$116=0,0,IF(AD$2&gt;=$A127,IF(AD$2=$A127,($B127/$B$116)*$B$113,IF(AD$2&lt;=$A127+$B$116-1,$B127/$B$116,$B127-SUM($C127:AC127))),0))</f>
        <v>0</v>
      </c>
      <c r="AE127" s="4">
        <f>IF($B$116=0,0,IF(AE$2&gt;=$A127,IF(AE$2=$A127,($B127/$B$116)*$B$113,IF(AE$2&lt;=$A127+$B$116-1,$B127/$B$116,$B127-SUM($C127:AD127))),0))</f>
        <v>0</v>
      </c>
      <c r="AF127" s="4">
        <f>IF($B$116=0,0,IF(AF$2&gt;=$A127,IF(AF$2=$A127,($B127/$B$116)*$B$113,IF(AF$2&lt;=$A127+$B$116-1,$B127/$B$116,$B127-SUM($C127:AE127))),0))</f>
        <v>0</v>
      </c>
      <c r="AG127" s="4">
        <f t="shared" si="70"/>
        <v>0</v>
      </c>
    </row>
    <row r="128" spans="1:33">
      <c r="A128" s="6">
        <f t="shared" si="71"/>
        <v>2033</v>
      </c>
      <c r="B128" s="4">
        <f t="shared" si="69"/>
        <v>0</v>
      </c>
      <c r="C128" s="4">
        <f>IF($B$116=0,0,IF(C$2&gt;=$A128,IF(C$2=$A128,($B128/$B$116)*$B$113,IF(C$2&lt;=$A128+$B$116-1,$B128/$B$116,$B128-SUM(B128:$C128))),0))</f>
        <v>0</v>
      </c>
      <c r="D128" s="4">
        <f>IF($B$116=0,0,IF(D$2&gt;=$A128,IF(D$2=$A128,($B128/$B$116)*$B$113,IF(D$2&lt;=$A128+$B$116-1,$B128/$B$116,$B128-SUM(C128:$C128))),0))</f>
        <v>0</v>
      </c>
      <c r="E128" s="4">
        <f>IF($B$116=0,0,IF(E$2&gt;=$A128,IF(E$2=$A128,($B128/$B$116)*$B$113,IF(E$2&lt;=$A128+$B$116-1,$B128/$B$116,$B128-SUM($C128:D128))),0))</f>
        <v>0</v>
      </c>
      <c r="F128" s="4">
        <f>IF($B$116=0,0,IF(F$2&gt;=$A128,IF(F$2=$A128,($B128/$B$116)*$B$113,IF(F$2&lt;=$A128+$B$116-1,$B128/$B$116,$B128-SUM($C128:E128))),0))</f>
        <v>0</v>
      </c>
      <c r="G128" s="4">
        <f>IF($B$116=0,0,IF(G$2&gt;=$A128,IF(G$2=$A128,($B128/$B$116)*$B$113,IF(G$2&lt;=$A128+$B$116-1,$B128/$B$116,$B128-SUM($C128:F128))),0))</f>
        <v>0</v>
      </c>
      <c r="H128" s="4">
        <f>IF($B$116=0,0,IF(H$2&gt;=$A128,IF(H$2=$A128,($B128/$B$116)*$B$113,IF(H$2&lt;=$A128+$B$116-1,$B128/$B$116,$B128-SUM($C128:G128))),0))</f>
        <v>0</v>
      </c>
      <c r="I128" s="4">
        <f>IF($B$116=0,0,IF(I$2&gt;=$A128,IF(I$2=$A128,($B128/$B$116)*$B$113,IF(I$2&lt;=$A128+$B$116-1,$B128/$B$116,$B128-SUM($C128:H128))),0))</f>
        <v>0</v>
      </c>
      <c r="J128" s="4">
        <f>IF($B$116=0,0,IF(J$2&gt;=$A128,IF(J$2=$A128,($B128/$B$116)*$B$113,IF(J$2&lt;=$A128+$B$116-1,$B128/$B$116,$B128-SUM($C128:I128))),0))</f>
        <v>0</v>
      </c>
      <c r="K128" s="4">
        <f>IF($B$116=0,0,IF(K$2&gt;=$A128,IF(K$2=$A128,($B128/$B$116)*$B$113,IF(K$2&lt;=$A128+$B$116-1,$B128/$B$116,$B128-SUM($C128:J128))),0))</f>
        <v>0</v>
      </c>
      <c r="L128" s="4">
        <f>IF($B$116=0,0,IF(L$2&gt;=$A128,IF(L$2=$A128,($B128/$B$116)*$B$113,IF(L$2&lt;=$A128+$B$116-1,$B128/$B$116,$B128-SUM($C128:K128))),0))</f>
        <v>0</v>
      </c>
      <c r="M128" s="4">
        <f>IF($B$116=0,0,IF(M$2&gt;=$A128,IF(M$2=$A128,($B128/$B$116)*$B$113,IF(M$2&lt;=$A128+$B$116-1,$B128/$B$116,$B128-SUM($C128:L128))),0))</f>
        <v>0</v>
      </c>
      <c r="N128" s="4">
        <f>IF($B$116=0,0,IF(N$2&gt;=$A128,IF(N$2=$A128,($B128/$B$116)*$B$113,IF(N$2&lt;=$A128+$B$116-1,$B128/$B$116,$B128-SUM($C128:M128))),0))</f>
        <v>0</v>
      </c>
      <c r="O128" s="4">
        <f>IF($B$116=0,0,IF(O$2&gt;=$A128,IF(O$2=$A128,($B128/$B$116)*$B$113,IF(O$2&lt;=$A128+$B$116-1,$B128/$B$116,$B128-SUM($C128:N128))),0))</f>
        <v>0</v>
      </c>
      <c r="P128" s="4">
        <f>IF($B$116=0,0,IF(P$2&gt;=$A128,IF(P$2=$A128,($B128/$B$116)*$B$113,IF(P$2&lt;=$A128+$B$116-1,$B128/$B$116,$B128-SUM($C128:O128))),0))</f>
        <v>0</v>
      </c>
      <c r="Q128" s="4">
        <f>IF($B$116=0,0,IF(Q$2&gt;=$A128,IF(Q$2=$A128,($B128/$B$116)*$B$113,IF(Q$2&lt;=$A128+$B$116-1,$B128/$B$116,$B128-SUM($C128:P128))),0))</f>
        <v>0</v>
      </c>
      <c r="R128" s="4">
        <f>IF($B$116=0,0,IF(R$2&gt;=$A128,IF(R$2=$A128,($B128/$B$116)*$B$113,IF(R$2&lt;=$A128+$B$116-1,$B128/$B$116,$B128-SUM($C128:Q128))),0))</f>
        <v>0</v>
      </c>
      <c r="S128" s="4">
        <f>IF($B$116=0,0,IF(S$2&gt;=$A128,IF(S$2=$A128,($B128/$B$116)*$B$113,IF(S$2&lt;=$A128+$B$116-1,$B128/$B$116,$B128-SUM($C128:R128))),0))</f>
        <v>0</v>
      </c>
      <c r="T128" s="4">
        <f>IF($B$116=0,0,IF(T$2&gt;=$A128,IF(T$2=$A128,($B128/$B$116)*$B$113,IF(T$2&lt;=$A128+$B$116-1,$B128/$B$116,$B128-SUM($C128:S128))),0))</f>
        <v>0</v>
      </c>
      <c r="U128" s="4">
        <f>IF($B$116=0,0,IF(U$2&gt;=$A128,IF(U$2=$A128,($B128/$B$116)*$B$113,IF(U$2&lt;=$A128+$B$116-1,$B128/$B$116,$B128-SUM($C128:T128))),0))</f>
        <v>0</v>
      </c>
      <c r="V128" s="4">
        <f>IF($B$116=0,0,IF(V$2&gt;=$A128,IF(V$2=$A128,($B128/$B$116)*$B$113,IF(V$2&lt;=$A128+$B$116-1,$B128/$B$116,$B128-SUM($C128:U128))),0))</f>
        <v>0</v>
      </c>
      <c r="W128" s="4">
        <f>IF($B$116=0,0,IF(W$2&gt;=$A128,IF(W$2=$A128,($B128/$B$116)*$B$113,IF(W$2&lt;=$A128+$B$116-1,$B128/$B$116,$B128-SUM($C128:V128))),0))</f>
        <v>0</v>
      </c>
      <c r="X128" s="4">
        <f>IF($B$116=0,0,IF(X$2&gt;=$A128,IF(X$2=$A128,($B128/$B$116)*$B$113,IF(X$2&lt;=$A128+$B$116-1,$B128/$B$116,$B128-SUM($C128:W128))),0))</f>
        <v>0</v>
      </c>
      <c r="Y128" s="4">
        <f>IF($B$116=0,0,IF(Y$2&gt;=$A128,IF(Y$2=$A128,($B128/$B$116)*$B$113,IF(Y$2&lt;=$A128+$B$116-1,$B128/$B$116,$B128-SUM($C128:X128))),0))</f>
        <v>0</v>
      </c>
      <c r="Z128" s="4">
        <f>IF($B$116=0,0,IF(Z$2&gt;=$A128,IF(Z$2=$A128,($B128/$B$116)*$B$113,IF(Z$2&lt;=$A128+$B$116-1,$B128/$B$116,$B128-SUM($C128:Y128))),0))</f>
        <v>0</v>
      </c>
      <c r="AA128" s="4">
        <f>IF($B$116=0,0,IF(AA$2&gt;=$A128,IF(AA$2=$A128,($B128/$B$116)*$B$113,IF(AA$2&lt;=$A128+$B$116-1,$B128/$B$116,$B128-SUM($C128:Z128))),0))</f>
        <v>0</v>
      </c>
      <c r="AB128" s="4">
        <f>IF($B$116=0,0,IF(AB$2&gt;=$A128,IF(AB$2=$A128,($B128/$B$116)*$B$113,IF(AB$2&lt;=$A128+$B$116-1,$B128/$B$116,$B128-SUM($C128:AA128))),0))</f>
        <v>0</v>
      </c>
      <c r="AC128" s="4">
        <f>IF($B$116=0,0,IF(AC$2&gt;=$A128,IF(AC$2=$A128,($B128/$B$116)*$B$113,IF(AC$2&lt;=$A128+$B$116-1,$B128/$B$116,$B128-SUM($C128:AB128))),0))</f>
        <v>0</v>
      </c>
      <c r="AD128" s="4">
        <f>IF($B$116=0,0,IF(AD$2&gt;=$A128,IF(AD$2=$A128,($B128/$B$116)*$B$113,IF(AD$2&lt;=$A128+$B$116-1,$B128/$B$116,$B128-SUM($C128:AC128))),0))</f>
        <v>0</v>
      </c>
      <c r="AE128" s="4">
        <f>IF($B$116=0,0,IF(AE$2&gt;=$A128,IF(AE$2=$A128,($B128/$B$116)*$B$113,IF(AE$2&lt;=$A128+$B$116-1,$B128/$B$116,$B128-SUM($C128:AD128))),0))</f>
        <v>0</v>
      </c>
      <c r="AF128" s="4">
        <f>IF($B$116=0,0,IF(AF$2&gt;=$A128,IF(AF$2=$A128,($B128/$B$116)*$B$113,IF(AF$2&lt;=$A128+$B$116-1,$B128/$B$116,$B128-SUM($C128:AE128))),0))</f>
        <v>0</v>
      </c>
      <c r="AG128" s="4">
        <f t="shared" si="70"/>
        <v>0</v>
      </c>
    </row>
    <row r="129" spans="1:33">
      <c r="A129" s="6">
        <f t="shared" si="71"/>
        <v>2034</v>
      </c>
      <c r="B129" s="4">
        <f t="shared" si="69"/>
        <v>0</v>
      </c>
      <c r="C129" s="4">
        <f>IF($B$116=0,0,IF(C$2&gt;=$A129,IF(C$2=$A129,($B129/$B$116)*$B$113,IF(C$2&lt;=$A129+$B$116-1,$B129/$B$116,$B129-SUM(B129:$C129))),0))</f>
        <v>0</v>
      </c>
      <c r="D129" s="4">
        <f>IF($B$116=0,0,IF(D$2&gt;=$A129,IF(D$2=$A129,($B129/$B$116)*$B$113,IF(D$2&lt;=$A129+$B$116-1,$B129/$B$116,$B129-SUM(C129:$C129))),0))</f>
        <v>0</v>
      </c>
      <c r="E129" s="4">
        <f>IF($B$116=0,0,IF(E$2&gt;=$A129,IF(E$2=$A129,($B129/$B$116)*$B$113,IF(E$2&lt;=$A129+$B$116-1,$B129/$B$116,$B129-SUM($C129:D129))),0))</f>
        <v>0</v>
      </c>
      <c r="F129" s="4">
        <f>IF($B$116=0,0,IF(F$2&gt;=$A129,IF(F$2=$A129,($B129/$B$116)*$B$113,IF(F$2&lt;=$A129+$B$116-1,$B129/$B$116,$B129-SUM($C129:E129))),0))</f>
        <v>0</v>
      </c>
      <c r="G129" s="4">
        <f>IF($B$116=0,0,IF(G$2&gt;=$A129,IF(G$2=$A129,($B129/$B$116)*$B$113,IF(G$2&lt;=$A129+$B$116-1,$B129/$B$116,$B129-SUM($C129:F129))),0))</f>
        <v>0</v>
      </c>
      <c r="H129" s="4">
        <f>IF($B$116=0,0,IF(H$2&gt;=$A129,IF(H$2=$A129,($B129/$B$116)*$B$113,IF(H$2&lt;=$A129+$B$116-1,$B129/$B$116,$B129-SUM($C129:G129))),0))</f>
        <v>0</v>
      </c>
      <c r="I129" s="4">
        <f>IF($B$116=0,0,IF(I$2&gt;=$A129,IF(I$2=$A129,($B129/$B$116)*$B$113,IF(I$2&lt;=$A129+$B$116-1,$B129/$B$116,$B129-SUM($C129:H129))),0))</f>
        <v>0</v>
      </c>
      <c r="J129" s="4">
        <f>IF($B$116=0,0,IF(J$2&gt;=$A129,IF(J$2=$A129,($B129/$B$116)*$B$113,IF(J$2&lt;=$A129+$B$116-1,$B129/$B$116,$B129-SUM($C129:I129))),0))</f>
        <v>0</v>
      </c>
      <c r="K129" s="4">
        <f>IF($B$116=0,0,IF(K$2&gt;=$A129,IF(K$2=$A129,($B129/$B$116)*$B$113,IF(K$2&lt;=$A129+$B$116-1,$B129/$B$116,$B129-SUM($C129:J129))),0))</f>
        <v>0</v>
      </c>
      <c r="L129" s="4">
        <f>IF($B$116=0,0,IF(L$2&gt;=$A129,IF(L$2=$A129,($B129/$B$116)*$B$113,IF(L$2&lt;=$A129+$B$116-1,$B129/$B$116,$B129-SUM($C129:K129))),0))</f>
        <v>0</v>
      </c>
      <c r="M129" s="4">
        <f>IF($B$116=0,0,IF(M$2&gt;=$A129,IF(M$2=$A129,($B129/$B$116)*$B$113,IF(M$2&lt;=$A129+$B$116-1,$B129/$B$116,$B129-SUM($C129:L129))),0))</f>
        <v>0</v>
      </c>
      <c r="N129" s="4">
        <f>IF($B$116=0,0,IF(N$2&gt;=$A129,IF(N$2=$A129,($B129/$B$116)*$B$113,IF(N$2&lt;=$A129+$B$116-1,$B129/$B$116,$B129-SUM($C129:M129))),0))</f>
        <v>0</v>
      </c>
      <c r="O129" s="4">
        <f>IF($B$116=0,0,IF(O$2&gt;=$A129,IF(O$2=$A129,($B129/$B$116)*$B$113,IF(O$2&lt;=$A129+$B$116-1,$B129/$B$116,$B129-SUM($C129:N129))),0))</f>
        <v>0</v>
      </c>
      <c r="P129" s="4">
        <f>IF($B$116=0,0,IF(P$2&gt;=$A129,IF(P$2=$A129,($B129/$B$116)*$B$113,IF(P$2&lt;=$A129+$B$116-1,$B129/$B$116,$B129-SUM($C129:O129))),0))</f>
        <v>0</v>
      </c>
      <c r="Q129" s="4">
        <f>IF($B$116=0,0,IF(Q$2&gt;=$A129,IF(Q$2=$A129,($B129/$B$116)*$B$113,IF(Q$2&lt;=$A129+$B$116-1,$B129/$B$116,$B129-SUM($C129:P129))),0))</f>
        <v>0</v>
      </c>
      <c r="R129" s="4">
        <f>IF($B$116=0,0,IF(R$2&gt;=$A129,IF(R$2=$A129,($B129/$B$116)*$B$113,IF(R$2&lt;=$A129+$B$116-1,$B129/$B$116,$B129-SUM($C129:Q129))),0))</f>
        <v>0</v>
      </c>
      <c r="S129" s="4">
        <f>IF($B$116=0,0,IF(S$2&gt;=$A129,IF(S$2=$A129,($B129/$B$116)*$B$113,IF(S$2&lt;=$A129+$B$116-1,$B129/$B$116,$B129-SUM($C129:R129))),0))</f>
        <v>0</v>
      </c>
      <c r="T129" s="4">
        <f>IF($B$116=0,0,IF(T$2&gt;=$A129,IF(T$2=$A129,($B129/$B$116)*$B$113,IF(T$2&lt;=$A129+$B$116-1,$B129/$B$116,$B129-SUM($C129:S129))),0))</f>
        <v>0</v>
      </c>
      <c r="U129" s="4">
        <f>IF($B$116=0,0,IF(U$2&gt;=$A129,IF(U$2=$A129,($B129/$B$116)*$B$113,IF(U$2&lt;=$A129+$B$116-1,$B129/$B$116,$B129-SUM($C129:T129))),0))</f>
        <v>0</v>
      </c>
      <c r="V129" s="4">
        <f>IF($B$116=0,0,IF(V$2&gt;=$A129,IF(V$2=$A129,($B129/$B$116)*$B$113,IF(V$2&lt;=$A129+$B$116-1,$B129/$B$116,$B129-SUM($C129:U129))),0))</f>
        <v>0</v>
      </c>
      <c r="W129" s="4">
        <f>IF($B$116=0,0,IF(W$2&gt;=$A129,IF(W$2=$A129,($B129/$B$116)*$B$113,IF(W$2&lt;=$A129+$B$116-1,$B129/$B$116,$B129-SUM($C129:V129))),0))</f>
        <v>0</v>
      </c>
      <c r="X129" s="4">
        <f>IF($B$116=0,0,IF(X$2&gt;=$A129,IF(X$2=$A129,($B129/$B$116)*$B$113,IF(X$2&lt;=$A129+$B$116-1,$B129/$B$116,$B129-SUM($C129:W129))),0))</f>
        <v>0</v>
      </c>
      <c r="Y129" s="4">
        <f>IF($B$116=0,0,IF(Y$2&gt;=$A129,IF(Y$2=$A129,($B129/$B$116)*$B$113,IF(Y$2&lt;=$A129+$B$116-1,$B129/$B$116,$B129-SUM($C129:X129))),0))</f>
        <v>0</v>
      </c>
      <c r="Z129" s="4">
        <f>IF($B$116=0,0,IF(Z$2&gt;=$A129,IF(Z$2=$A129,($B129/$B$116)*$B$113,IF(Z$2&lt;=$A129+$B$116-1,$B129/$B$116,$B129-SUM($C129:Y129))),0))</f>
        <v>0</v>
      </c>
      <c r="AA129" s="4">
        <f>IF($B$116=0,0,IF(AA$2&gt;=$A129,IF(AA$2=$A129,($B129/$B$116)*$B$113,IF(AA$2&lt;=$A129+$B$116-1,$B129/$B$116,$B129-SUM($C129:Z129))),0))</f>
        <v>0</v>
      </c>
      <c r="AB129" s="4">
        <f>IF($B$116=0,0,IF(AB$2&gt;=$A129,IF(AB$2=$A129,($B129/$B$116)*$B$113,IF(AB$2&lt;=$A129+$B$116-1,$B129/$B$116,$B129-SUM($C129:AA129))),0))</f>
        <v>0</v>
      </c>
      <c r="AC129" s="4">
        <f>IF($B$116=0,0,IF(AC$2&gt;=$A129,IF(AC$2=$A129,($B129/$B$116)*$B$113,IF(AC$2&lt;=$A129+$B$116-1,$B129/$B$116,$B129-SUM($C129:AB129))),0))</f>
        <v>0</v>
      </c>
      <c r="AD129" s="4">
        <f>IF($B$116=0,0,IF(AD$2&gt;=$A129,IF(AD$2=$A129,($B129/$B$116)*$B$113,IF(AD$2&lt;=$A129+$B$116-1,$B129/$B$116,$B129-SUM($C129:AC129))),0))</f>
        <v>0</v>
      </c>
      <c r="AE129" s="4">
        <f>IF($B$116=0,0,IF(AE$2&gt;=$A129,IF(AE$2=$A129,($B129/$B$116)*$B$113,IF(AE$2&lt;=$A129+$B$116-1,$B129/$B$116,$B129-SUM($C129:AD129))),0))</f>
        <v>0</v>
      </c>
      <c r="AF129" s="4">
        <f>IF($B$116=0,0,IF(AF$2&gt;=$A129,IF(AF$2=$A129,($B129/$B$116)*$B$113,IF(AF$2&lt;=$A129+$B$116-1,$B129/$B$116,$B129-SUM($C129:AE129))),0))</f>
        <v>0</v>
      </c>
      <c r="AG129" s="4">
        <f t="shared" si="70"/>
        <v>0</v>
      </c>
    </row>
    <row r="130" spans="1:33">
      <c r="A130" s="6">
        <f t="shared" si="71"/>
        <v>2035</v>
      </c>
      <c r="B130" s="4">
        <f t="shared" si="69"/>
        <v>0</v>
      </c>
      <c r="C130" s="4">
        <f>IF($B$116=0,0,IF(C$2&gt;=$A130,IF(C$2=$A130,($B130/$B$116)*$B$113,IF(C$2&lt;=$A130+$B$116-1,$B130/$B$116,$B130-SUM(B130:$C130))),0))</f>
        <v>0</v>
      </c>
      <c r="D130" s="4">
        <f>IF($B$116=0,0,IF(D$2&gt;=$A130,IF(D$2=$A130,($B130/$B$116)*$B$113,IF(D$2&lt;=$A130+$B$116-1,$B130/$B$116,$B130-SUM(C130:$C130))),0))</f>
        <v>0</v>
      </c>
      <c r="E130" s="4">
        <f>IF($B$116=0,0,IF(E$2&gt;=$A130,IF(E$2=$A130,($B130/$B$116)*$B$113,IF(E$2&lt;=$A130+$B$116-1,$B130/$B$116,$B130-SUM($C130:D130))),0))</f>
        <v>0</v>
      </c>
      <c r="F130" s="4">
        <f>IF($B$116=0,0,IF(F$2&gt;=$A130,IF(F$2=$A130,($B130/$B$116)*$B$113,IF(F$2&lt;=$A130+$B$116-1,$B130/$B$116,$B130-SUM($C130:E130))),0))</f>
        <v>0</v>
      </c>
      <c r="G130" s="4">
        <f>IF($B$116=0,0,IF(G$2&gt;=$A130,IF(G$2=$A130,($B130/$B$116)*$B$113,IF(G$2&lt;=$A130+$B$116-1,$B130/$B$116,$B130-SUM($C130:F130))),0))</f>
        <v>0</v>
      </c>
      <c r="H130" s="4">
        <f>IF($B$116=0,0,IF(H$2&gt;=$A130,IF(H$2=$A130,($B130/$B$116)*$B$113,IF(H$2&lt;=$A130+$B$116-1,$B130/$B$116,$B130-SUM($C130:G130))),0))</f>
        <v>0</v>
      </c>
      <c r="I130" s="4">
        <f>IF($B$116=0,0,IF(I$2&gt;=$A130,IF(I$2=$A130,($B130/$B$116)*$B$113,IF(I$2&lt;=$A130+$B$116-1,$B130/$B$116,$B130-SUM($C130:H130))),0))</f>
        <v>0</v>
      </c>
      <c r="J130" s="4">
        <f>IF($B$116=0,0,IF(J$2&gt;=$A130,IF(J$2=$A130,($B130/$B$116)*$B$113,IF(J$2&lt;=$A130+$B$116-1,$B130/$B$116,$B130-SUM($C130:I130))),0))</f>
        <v>0</v>
      </c>
      <c r="K130" s="4">
        <f>IF($B$116=0,0,IF(K$2&gt;=$A130,IF(K$2=$A130,($B130/$B$116)*$B$113,IF(K$2&lt;=$A130+$B$116-1,$B130/$B$116,$B130-SUM($C130:J130))),0))</f>
        <v>0</v>
      </c>
      <c r="L130" s="4">
        <f>IF($B$116=0,0,IF(L$2&gt;=$A130,IF(L$2=$A130,($B130/$B$116)*$B$113,IF(L$2&lt;=$A130+$B$116-1,$B130/$B$116,$B130-SUM($C130:K130))),0))</f>
        <v>0</v>
      </c>
      <c r="M130" s="4">
        <f>IF($B$116=0,0,IF(M$2&gt;=$A130,IF(M$2=$A130,($B130/$B$116)*$B$113,IF(M$2&lt;=$A130+$B$116-1,$B130/$B$116,$B130-SUM($C130:L130))),0))</f>
        <v>0</v>
      </c>
      <c r="N130" s="4">
        <f>IF($B$116=0,0,IF(N$2&gt;=$A130,IF(N$2=$A130,($B130/$B$116)*$B$113,IF(N$2&lt;=$A130+$B$116-1,$B130/$B$116,$B130-SUM($C130:M130))),0))</f>
        <v>0</v>
      </c>
      <c r="O130" s="4">
        <f>IF($B$116=0,0,IF(O$2&gt;=$A130,IF(O$2=$A130,($B130/$B$116)*$B$113,IF(O$2&lt;=$A130+$B$116-1,$B130/$B$116,$B130-SUM($C130:N130))),0))</f>
        <v>0</v>
      </c>
      <c r="P130" s="4">
        <f>IF($B$116=0,0,IF(P$2&gt;=$A130,IF(P$2=$A130,($B130/$B$116)*$B$113,IF(P$2&lt;=$A130+$B$116-1,$B130/$B$116,$B130-SUM($C130:O130))),0))</f>
        <v>0</v>
      </c>
      <c r="Q130" s="4">
        <f>IF($B$116=0,0,IF(Q$2&gt;=$A130,IF(Q$2=$A130,($B130/$B$116)*$B$113,IF(Q$2&lt;=$A130+$B$116-1,$B130/$B$116,$B130-SUM($C130:P130))),0))</f>
        <v>0</v>
      </c>
      <c r="R130" s="4">
        <f>IF($B$116=0,0,IF(R$2&gt;=$A130,IF(R$2=$A130,($B130/$B$116)*$B$113,IF(R$2&lt;=$A130+$B$116-1,$B130/$B$116,$B130-SUM($C130:Q130))),0))</f>
        <v>0</v>
      </c>
      <c r="S130" s="4">
        <f>IF($B$116=0,0,IF(S$2&gt;=$A130,IF(S$2=$A130,($B130/$B$116)*$B$113,IF(S$2&lt;=$A130+$B$116-1,$B130/$B$116,$B130-SUM($C130:R130))),0))</f>
        <v>0</v>
      </c>
      <c r="T130" s="4">
        <f>IF($B$116=0,0,IF(T$2&gt;=$A130,IF(T$2=$A130,($B130/$B$116)*$B$113,IF(T$2&lt;=$A130+$B$116-1,$B130/$B$116,$B130-SUM($C130:S130))),0))</f>
        <v>0</v>
      </c>
      <c r="U130" s="4">
        <f>IF($B$116=0,0,IF(U$2&gt;=$A130,IF(U$2=$A130,($B130/$B$116)*$B$113,IF(U$2&lt;=$A130+$B$116-1,$B130/$B$116,$B130-SUM($C130:T130))),0))</f>
        <v>0</v>
      </c>
      <c r="V130" s="4">
        <f>IF($B$116=0,0,IF(V$2&gt;=$A130,IF(V$2=$A130,($B130/$B$116)*$B$113,IF(V$2&lt;=$A130+$B$116-1,$B130/$B$116,$B130-SUM($C130:U130))),0))</f>
        <v>0</v>
      </c>
      <c r="W130" s="4">
        <f>IF($B$116=0,0,IF(W$2&gt;=$A130,IF(W$2=$A130,($B130/$B$116)*$B$113,IF(W$2&lt;=$A130+$B$116-1,$B130/$B$116,$B130-SUM($C130:V130))),0))</f>
        <v>0</v>
      </c>
      <c r="X130" s="4">
        <f>IF($B$116=0,0,IF(X$2&gt;=$A130,IF(X$2=$A130,($B130/$B$116)*$B$113,IF(X$2&lt;=$A130+$B$116-1,$B130/$B$116,$B130-SUM($C130:W130))),0))</f>
        <v>0</v>
      </c>
      <c r="Y130" s="4">
        <f>IF($B$116=0,0,IF(Y$2&gt;=$A130,IF(Y$2=$A130,($B130/$B$116)*$B$113,IF(Y$2&lt;=$A130+$B$116-1,$B130/$B$116,$B130-SUM($C130:X130))),0))</f>
        <v>0</v>
      </c>
      <c r="Z130" s="4">
        <f>IF($B$116=0,0,IF(Z$2&gt;=$A130,IF(Z$2=$A130,($B130/$B$116)*$B$113,IF(Z$2&lt;=$A130+$B$116-1,$B130/$B$116,$B130-SUM($C130:Y130))),0))</f>
        <v>0</v>
      </c>
      <c r="AA130" s="4">
        <f>IF($B$116=0,0,IF(AA$2&gt;=$A130,IF(AA$2=$A130,($B130/$B$116)*$B$113,IF(AA$2&lt;=$A130+$B$116-1,$B130/$B$116,$B130-SUM($C130:Z130))),0))</f>
        <v>0</v>
      </c>
      <c r="AB130" s="4">
        <f>IF($B$116=0,0,IF(AB$2&gt;=$A130,IF(AB$2=$A130,($B130/$B$116)*$B$113,IF(AB$2&lt;=$A130+$B$116-1,$B130/$B$116,$B130-SUM($C130:AA130))),0))</f>
        <v>0</v>
      </c>
      <c r="AC130" s="4">
        <f>IF($B$116=0,0,IF(AC$2&gt;=$A130,IF(AC$2=$A130,($B130/$B$116)*$B$113,IF(AC$2&lt;=$A130+$B$116-1,$B130/$B$116,$B130-SUM($C130:AB130))),0))</f>
        <v>0</v>
      </c>
      <c r="AD130" s="4">
        <f>IF($B$116=0,0,IF(AD$2&gt;=$A130,IF(AD$2=$A130,($B130/$B$116)*$B$113,IF(AD$2&lt;=$A130+$B$116-1,$B130/$B$116,$B130-SUM($C130:AC130))),0))</f>
        <v>0</v>
      </c>
      <c r="AE130" s="4">
        <f>IF($B$116=0,0,IF(AE$2&gt;=$A130,IF(AE$2=$A130,($B130/$B$116)*$B$113,IF(AE$2&lt;=$A130+$B$116-1,$B130/$B$116,$B130-SUM($C130:AD130))),0))</f>
        <v>0</v>
      </c>
      <c r="AF130" s="4">
        <f>IF($B$116=0,0,IF(AF$2&gt;=$A130,IF(AF$2=$A130,($B130/$B$116)*$B$113,IF(AF$2&lt;=$A130+$B$116-1,$B130/$B$116,$B130-SUM($C130:AE130))),0))</f>
        <v>0</v>
      </c>
      <c r="AG130" s="4">
        <f t="shared" si="70"/>
        <v>0</v>
      </c>
    </row>
    <row r="131" spans="1:33">
      <c r="A131" s="6">
        <f t="shared" si="71"/>
        <v>2036</v>
      </c>
      <c r="B131" s="4">
        <f t="shared" si="69"/>
        <v>0</v>
      </c>
      <c r="C131" s="4">
        <f>IF($B$116=0,0,IF(C$2&gt;=$A131,IF(C$2=$A131,($B131/$B$116)*$B$113,IF(C$2&lt;=$A131+$B$116-1,$B131/$B$116,$B131-SUM(B131:$C131))),0))</f>
        <v>0</v>
      </c>
      <c r="D131" s="4">
        <f>IF($B$116=0,0,IF(D$2&gt;=$A131,IF(D$2=$A131,($B131/$B$116)*$B$113,IF(D$2&lt;=$A131+$B$116-1,$B131/$B$116,$B131-SUM(C131:$C131))),0))</f>
        <v>0</v>
      </c>
      <c r="E131" s="4">
        <f>IF($B$116=0,0,IF(E$2&gt;=$A131,IF(E$2=$A131,($B131/$B$116)*$B$113,IF(E$2&lt;=$A131+$B$116-1,$B131/$B$116,$B131-SUM($C131:D131))),0))</f>
        <v>0</v>
      </c>
      <c r="F131" s="4">
        <f>IF($B$116=0,0,IF(F$2&gt;=$A131,IF(F$2=$A131,($B131/$B$116)*$B$113,IF(F$2&lt;=$A131+$B$116-1,$B131/$B$116,$B131-SUM($C131:E131))),0))</f>
        <v>0</v>
      </c>
      <c r="G131" s="4">
        <f>IF($B$116=0,0,IF(G$2&gt;=$A131,IF(G$2=$A131,($B131/$B$116)*$B$113,IF(G$2&lt;=$A131+$B$116-1,$B131/$B$116,$B131-SUM($C131:F131))),0))</f>
        <v>0</v>
      </c>
      <c r="H131" s="4">
        <f>IF($B$116=0,0,IF(H$2&gt;=$A131,IF(H$2=$A131,($B131/$B$116)*$B$113,IF(H$2&lt;=$A131+$B$116-1,$B131/$B$116,$B131-SUM($C131:G131))),0))</f>
        <v>0</v>
      </c>
      <c r="I131" s="4">
        <f>IF($B$116=0,0,IF(I$2&gt;=$A131,IF(I$2=$A131,($B131/$B$116)*$B$113,IF(I$2&lt;=$A131+$B$116-1,$B131/$B$116,$B131-SUM($C131:H131))),0))</f>
        <v>0</v>
      </c>
      <c r="J131" s="4">
        <f>IF($B$116=0,0,IF(J$2&gt;=$A131,IF(J$2=$A131,($B131/$B$116)*$B$113,IF(J$2&lt;=$A131+$B$116-1,$B131/$B$116,$B131-SUM($C131:I131))),0))</f>
        <v>0</v>
      </c>
      <c r="K131" s="4">
        <f>IF($B$116=0,0,IF(K$2&gt;=$A131,IF(K$2=$A131,($B131/$B$116)*$B$113,IF(K$2&lt;=$A131+$B$116-1,$B131/$B$116,$B131-SUM($C131:J131))),0))</f>
        <v>0</v>
      </c>
      <c r="L131" s="4">
        <f>IF($B$116=0,0,IF(L$2&gt;=$A131,IF(L$2=$A131,($B131/$B$116)*$B$113,IF(L$2&lt;=$A131+$B$116-1,$B131/$B$116,$B131-SUM($C131:K131))),0))</f>
        <v>0</v>
      </c>
      <c r="M131" s="4">
        <f>IF($B$116=0,0,IF(M$2&gt;=$A131,IF(M$2=$A131,($B131/$B$116)*$B$113,IF(M$2&lt;=$A131+$B$116-1,$B131/$B$116,$B131-SUM($C131:L131))),0))</f>
        <v>0</v>
      </c>
      <c r="N131" s="4">
        <f>IF($B$116=0,0,IF(N$2&gt;=$A131,IF(N$2=$A131,($B131/$B$116)*$B$113,IF(N$2&lt;=$A131+$B$116-1,$B131/$B$116,$B131-SUM($C131:M131))),0))</f>
        <v>0</v>
      </c>
      <c r="O131" s="4">
        <f>IF($B$116=0,0,IF(O$2&gt;=$A131,IF(O$2=$A131,($B131/$B$116)*$B$113,IF(O$2&lt;=$A131+$B$116-1,$B131/$B$116,$B131-SUM($C131:N131))),0))</f>
        <v>0</v>
      </c>
      <c r="P131" s="4">
        <f>IF($B$116=0,0,IF(P$2&gt;=$A131,IF(P$2=$A131,($B131/$B$116)*$B$113,IF(P$2&lt;=$A131+$B$116-1,$B131/$B$116,$B131-SUM($C131:O131))),0))</f>
        <v>0</v>
      </c>
      <c r="Q131" s="4">
        <f>IF($B$116=0,0,IF(Q$2&gt;=$A131,IF(Q$2=$A131,($B131/$B$116)*$B$113,IF(Q$2&lt;=$A131+$B$116-1,$B131/$B$116,$B131-SUM($C131:P131))),0))</f>
        <v>0</v>
      </c>
      <c r="R131" s="4">
        <f>IF($B$116=0,0,IF(R$2&gt;=$A131,IF(R$2=$A131,($B131/$B$116)*$B$113,IF(R$2&lt;=$A131+$B$116-1,$B131/$B$116,$B131-SUM($C131:Q131))),0))</f>
        <v>0</v>
      </c>
      <c r="S131" s="4">
        <f>IF($B$116=0,0,IF(S$2&gt;=$A131,IF(S$2=$A131,($B131/$B$116)*$B$113,IF(S$2&lt;=$A131+$B$116-1,$B131/$B$116,$B131-SUM($C131:R131))),0))</f>
        <v>0</v>
      </c>
      <c r="T131" s="4">
        <f>IF($B$116=0,0,IF(T$2&gt;=$A131,IF(T$2=$A131,($B131/$B$116)*$B$113,IF(T$2&lt;=$A131+$B$116-1,$B131/$B$116,$B131-SUM($C131:S131))),0))</f>
        <v>0</v>
      </c>
      <c r="U131" s="4">
        <f>IF($B$116=0,0,IF(U$2&gt;=$A131,IF(U$2=$A131,($B131/$B$116)*$B$113,IF(U$2&lt;=$A131+$B$116-1,$B131/$B$116,$B131-SUM($C131:T131))),0))</f>
        <v>0</v>
      </c>
      <c r="V131" s="4">
        <f>IF($B$116=0,0,IF(V$2&gt;=$A131,IF(V$2=$A131,($B131/$B$116)*$B$113,IF(V$2&lt;=$A131+$B$116-1,$B131/$B$116,$B131-SUM($C131:U131))),0))</f>
        <v>0</v>
      </c>
      <c r="W131" s="4">
        <f>IF($B$116=0,0,IF(W$2&gt;=$A131,IF(W$2=$A131,($B131/$B$116)*$B$113,IF(W$2&lt;=$A131+$B$116-1,$B131/$B$116,$B131-SUM($C131:V131))),0))</f>
        <v>0</v>
      </c>
      <c r="X131" s="4">
        <f>IF($B$116=0,0,IF(X$2&gt;=$A131,IF(X$2=$A131,($B131/$B$116)*$B$113,IF(X$2&lt;=$A131+$B$116-1,$B131/$B$116,$B131-SUM($C131:W131))),0))</f>
        <v>0</v>
      </c>
      <c r="Y131" s="4">
        <f>IF($B$116=0,0,IF(Y$2&gt;=$A131,IF(Y$2=$A131,($B131/$B$116)*$B$113,IF(Y$2&lt;=$A131+$B$116-1,$B131/$B$116,$B131-SUM($C131:X131))),0))</f>
        <v>0</v>
      </c>
      <c r="Z131" s="4">
        <f>IF($B$116=0,0,IF(Z$2&gt;=$A131,IF(Z$2=$A131,($B131/$B$116)*$B$113,IF(Z$2&lt;=$A131+$B$116-1,$B131/$B$116,$B131-SUM($C131:Y131))),0))</f>
        <v>0</v>
      </c>
      <c r="AA131" s="4">
        <f>IF($B$116=0,0,IF(AA$2&gt;=$A131,IF(AA$2=$A131,($B131/$B$116)*$B$113,IF(AA$2&lt;=$A131+$B$116-1,$B131/$B$116,$B131-SUM($C131:Z131))),0))</f>
        <v>0</v>
      </c>
      <c r="AB131" s="4">
        <f>IF($B$116=0,0,IF(AB$2&gt;=$A131,IF(AB$2=$A131,($B131/$B$116)*$B$113,IF(AB$2&lt;=$A131+$B$116-1,$B131/$B$116,$B131-SUM($C131:AA131))),0))</f>
        <v>0</v>
      </c>
      <c r="AC131" s="4">
        <f>IF($B$116=0,0,IF(AC$2&gt;=$A131,IF(AC$2=$A131,($B131/$B$116)*$B$113,IF(AC$2&lt;=$A131+$B$116-1,$B131/$B$116,$B131-SUM($C131:AB131))),0))</f>
        <v>0</v>
      </c>
      <c r="AD131" s="4">
        <f>IF($B$116=0,0,IF(AD$2&gt;=$A131,IF(AD$2=$A131,($B131/$B$116)*$B$113,IF(AD$2&lt;=$A131+$B$116-1,$B131/$B$116,$B131-SUM($C131:AC131))),0))</f>
        <v>0</v>
      </c>
      <c r="AE131" s="4">
        <f>IF($B$116=0,0,IF(AE$2&gt;=$A131,IF(AE$2=$A131,($B131/$B$116)*$B$113,IF(AE$2&lt;=$A131+$B$116-1,$B131/$B$116,$B131-SUM($C131:AD131))),0))</f>
        <v>0</v>
      </c>
      <c r="AF131" s="4">
        <f>IF($B$116=0,0,IF(AF$2&gt;=$A131,IF(AF$2=$A131,($B131/$B$116)*$B$113,IF(AF$2&lt;=$A131+$B$116-1,$B131/$B$116,$B131-SUM($C131:AE131))),0))</f>
        <v>0</v>
      </c>
      <c r="AG131" s="4">
        <f t="shared" si="70"/>
        <v>0</v>
      </c>
    </row>
    <row r="132" spans="1:33">
      <c r="A132" s="6">
        <f t="shared" si="71"/>
        <v>2037</v>
      </c>
      <c r="B132" s="4">
        <f t="shared" si="69"/>
        <v>0</v>
      </c>
      <c r="C132" s="4">
        <f>IF($B$116=0,0,IF(C$2&gt;=$A132,IF(C$2=$A132,($B132/$B$116)*$B$113,IF(C$2&lt;=$A132+$B$116-1,$B132/$B$116,$B132-SUM(B132:$C132))),0))</f>
        <v>0</v>
      </c>
      <c r="D132" s="4">
        <f>IF($B$116=0,0,IF(D$2&gt;=$A132,IF(D$2=$A132,($B132/$B$116)*$B$113,IF(D$2&lt;=$A132+$B$116-1,$B132/$B$116,$B132-SUM(C132:$C132))),0))</f>
        <v>0</v>
      </c>
      <c r="E132" s="4">
        <f>IF($B$116=0,0,IF(E$2&gt;=$A132,IF(E$2=$A132,($B132/$B$116)*$B$113,IF(E$2&lt;=$A132+$B$116-1,$B132/$B$116,$B132-SUM($C132:D132))),0))</f>
        <v>0</v>
      </c>
      <c r="F132" s="4">
        <f>IF($B$116=0,0,IF(F$2&gt;=$A132,IF(F$2=$A132,($B132/$B$116)*$B$113,IF(F$2&lt;=$A132+$B$116-1,$B132/$B$116,$B132-SUM($C132:E132))),0))</f>
        <v>0</v>
      </c>
      <c r="G132" s="4">
        <f>IF($B$116=0,0,IF(G$2&gt;=$A132,IF(G$2=$A132,($B132/$B$116)*$B$113,IF(G$2&lt;=$A132+$B$116-1,$B132/$B$116,$B132-SUM($C132:F132))),0))</f>
        <v>0</v>
      </c>
      <c r="H132" s="4">
        <f>IF($B$116=0,0,IF(H$2&gt;=$A132,IF(H$2=$A132,($B132/$B$116)*$B$113,IF(H$2&lt;=$A132+$B$116-1,$B132/$B$116,$B132-SUM($C132:G132))),0))</f>
        <v>0</v>
      </c>
      <c r="I132" s="4">
        <f>IF($B$116=0,0,IF(I$2&gt;=$A132,IF(I$2=$A132,($B132/$B$116)*$B$113,IF(I$2&lt;=$A132+$B$116-1,$B132/$B$116,$B132-SUM($C132:H132))),0))</f>
        <v>0</v>
      </c>
      <c r="J132" s="4">
        <f>IF($B$116=0,0,IF(J$2&gt;=$A132,IF(J$2=$A132,($B132/$B$116)*$B$113,IF(J$2&lt;=$A132+$B$116-1,$B132/$B$116,$B132-SUM($C132:I132))),0))</f>
        <v>0</v>
      </c>
      <c r="K132" s="4">
        <f>IF($B$116=0,0,IF(K$2&gt;=$A132,IF(K$2=$A132,($B132/$B$116)*$B$113,IF(K$2&lt;=$A132+$B$116-1,$B132/$B$116,$B132-SUM($C132:J132))),0))</f>
        <v>0</v>
      </c>
      <c r="L132" s="4">
        <f>IF($B$116=0,0,IF(L$2&gt;=$A132,IF(L$2=$A132,($B132/$B$116)*$B$113,IF(L$2&lt;=$A132+$B$116-1,$B132/$B$116,$B132-SUM($C132:K132))),0))</f>
        <v>0</v>
      </c>
      <c r="M132" s="4">
        <f>IF($B$116=0,0,IF(M$2&gt;=$A132,IF(M$2=$A132,($B132/$B$116)*$B$113,IF(M$2&lt;=$A132+$B$116-1,$B132/$B$116,$B132-SUM($C132:L132))),0))</f>
        <v>0</v>
      </c>
      <c r="N132" s="4">
        <f>IF($B$116=0,0,IF(N$2&gt;=$A132,IF(N$2=$A132,($B132/$B$116)*$B$113,IF(N$2&lt;=$A132+$B$116-1,$B132/$B$116,$B132-SUM($C132:M132))),0))</f>
        <v>0</v>
      </c>
      <c r="O132" s="4">
        <f>IF($B$116=0,0,IF(O$2&gt;=$A132,IF(O$2=$A132,($B132/$B$116)*$B$113,IF(O$2&lt;=$A132+$B$116-1,$B132/$B$116,$B132-SUM($C132:N132))),0))</f>
        <v>0</v>
      </c>
      <c r="P132" s="4">
        <f>IF($B$116=0,0,IF(P$2&gt;=$A132,IF(P$2=$A132,($B132/$B$116)*$B$113,IF(P$2&lt;=$A132+$B$116-1,$B132/$B$116,$B132-SUM($C132:O132))),0))</f>
        <v>0</v>
      </c>
      <c r="Q132" s="4">
        <f>IF($B$116=0,0,IF(Q$2&gt;=$A132,IF(Q$2=$A132,($B132/$B$116)*$B$113,IF(Q$2&lt;=$A132+$B$116-1,$B132/$B$116,$B132-SUM($C132:P132))),0))</f>
        <v>0</v>
      </c>
      <c r="R132" s="4">
        <f>IF($B$116=0,0,IF(R$2&gt;=$A132,IF(R$2=$A132,($B132/$B$116)*$B$113,IF(R$2&lt;=$A132+$B$116-1,$B132/$B$116,$B132-SUM($C132:Q132))),0))</f>
        <v>0</v>
      </c>
      <c r="S132" s="4">
        <f>IF($B$116=0,0,IF(S$2&gt;=$A132,IF(S$2=$A132,($B132/$B$116)*$B$113,IF(S$2&lt;=$A132+$B$116-1,$B132/$B$116,$B132-SUM($C132:R132))),0))</f>
        <v>0</v>
      </c>
      <c r="T132" s="4">
        <f>IF($B$116=0,0,IF(T$2&gt;=$A132,IF(T$2=$A132,($B132/$B$116)*$B$113,IF(T$2&lt;=$A132+$B$116-1,$B132/$B$116,$B132-SUM($C132:S132))),0))</f>
        <v>0</v>
      </c>
      <c r="U132" s="4">
        <f>IF($B$116=0,0,IF(U$2&gt;=$A132,IF(U$2=$A132,($B132/$B$116)*$B$113,IF(U$2&lt;=$A132+$B$116-1,$B132/$B$116,$B132-SUM($C132:T132))),0))</f>
        <v>0</v>
      </c>
      <c r="V132" s="4">
        <f>IF($B$116=0,0,IF(V$2&gt;=$A132,IF(V$2=$A132,($B132/$B$116)*$B$113,IF(V$2&lt;=$A132+$B$116-1,$B132/$B$116,$B132-SUM($C132:U132))),0))</f>
        <v>0</v>
      </c>
      <c r="W132" s="4">
        <f>IF($B$116=0,0,IF(W$2&gt;=$A132,IF(W$2=$A132,($B132/$B$116)*$B$113,IF(W$2&lt;=$A132+$B$116-1,$B132/$B$116,$B132-SUM($C132:V132))),0))</f>
        <v>0</v>
      </c>
      <c r="X132" s="4">
        <f>IF($B$116=0,0,IF(X$2&gt;=$A132,IF(X$2=$A132,($B132/$B$116)*$B$113,IF(X$2&lt;=$A132+$B$116-1,$B132/$B$116,$B132-SUM($C132:W132))),0))</f>
        <v>0</v>
      </c>
      <c r="Y132" s="4">
        <f>IF($B$116=0,0,IF(Y$2&gt;=$A132,IF(Y$2=$A132,($B132/$B$116)*$B$113,IF(Y$2&lt;=$A132+$B$116-1,$B132/$B$116,$B132-SUM($C132:X132))),0))</f>
        <v>0</v>
      </c>
      <c r="Z132" s="4">
        <f>IF($B$116=0,0,IF(Z$2&gt;=$A132,IF(Z$2=$A132,($B132/$B$116)*$B$113,IF(Z$2&lt;=$A132+$B$116-1,$B132/$B$116,$B132-SUM($C132:Y132))),0))</f>
        <v>0</v>
      </c>
      <c r="AA132" s="4">
        <f>IF($B$116=0,0,IF(AA$2&gt;=$A132,IF(AA$2=$A132,($B132/$B$116)*$B$113,IF(AA$2&lt;=$A132+$B$116-1,$B132/$B$116,$B132-SUM($C132:Z132))),0))</f>
        <v>0</v>
      </c>
      <c r="AB132" s="4">
        <f>IF($B$116=0,0,IF(AB$2&gt;=$A132,IF(AB$2=$A132,($B132/$B$116)*$B$113,IF(AB$2&lt;=$A132+$B$116-1,$B132/$B$116,$B132-SUM($C132:AA132))),0))</f>
        <v>0</v>
      </c>
      <c r="AC132" s="4">
        <f>IF($B$116=0,0,IF(AC$2&gt;=$A132,IF(AC$2=$A132,($B132/$B$116)*$B$113,IF(AC$2&lt;=$A132+$B$116-1,$B132/$B$116,$B132-SUM($C132:AB132))),0))</f>
        <v>0</v>
      </c>
      <c r="AD132" s="4">
        <f>IF($B$116=0,0,IF(AD$2&gt;=$A132,IF(AD$2=$A132,($B132/$B$116)*$B$113,IF(AD$2&lt;=$A132+$B$116-1,$B132/$B$116,$B132-SUM($C132:AC132))),0))</f>
        <v>0</v>
      </c>
      <c r="AE132" s="4">
        <f>IF($B$116=0,0,IF(AE$2&gt;=$A132,IF(AE$2=$A132,($B132/$B$116)*$B$113,IF(AE$2&lt;=$A132+$B$116-1,$B132/$B$116,$B132-SUM($C132:AD132))),0))</f>
        <v>0</v>
      </c>
      <c r="AF132" s="4">
        <f>IF($B$116=0,0,IF(AF$2&gt;=$A132,IF(AF$2=$A132,($B132/$B$116)*$B$113,IF(AF$2&lt;=$A132+$B$116-1,$B132/$B$116,$B132-SUM($C132:AE132))),0))</f>
        <v>0</v>
      </c>
      <c r="AG132" s="4">
        <f t="shared" si="70"/>
        <v>0</v>
      </c>
    </row>
    <row r="133" spans="1:33">
      <c r="A133" s="6">
        <f t="shared" si="71"/>
        <v>2038</v>
      </c>
      <c r="B133" s="4">
        <f t="shared" si="69"/>
        <v>0</v>
      </c>
      <c r="C133" s="4">
        <f>IF($B$116=0,0,IF(C$2&gt;=$A133,IF(C$2=$A133,($B133/$B$116)*$B$113,IF(C$2&lt;=$A133+$B$116-1,$B133/$B$116,$B133-SUM(B133:$C133))),0))</f>
        <v>0</v>
      </c>
      <c r="D133" s="4">
        <f>IF($B$116=0,0,IF(D$2&gt;=$A133,IF(D$2=$A133,($B133/$B$116)*$B$113,IF(D$2&lt;=$A133+$B$116-1,$B133/$B$116,$B133-SUM(C133:$C133))),0))</f>
        <v>0</v>
      </c>
      <c r="E133" s="4">
        <f>IF($B$116=0,0,IF(E$2&gt;=$A133,IF(E$2=$A133,($B133/$B$116)*$B$113,IF(E$2&lt;=$A133+$B$116-1,$B133/$B$116,$B133-SUM($C133:D133))),0))</f>
        <v>0</v>
      </c>
      <c r="F133" s="4">
        <f>IF($B$116=0,0,IF(F$2&gt;=$A133,IF(F$2=$A133,($B133/$B$116)*$B$113,IF(F$2&lt;=$A133+$B$116-1,$B133/$B$116,$B133-SUM($C133:E133))),0))</f>
        <v>0</v>
      </c>
      <c r="G133" s="4">
        <f>IF($B$116=0,0,IF(G$2&gt;=$A133,IF(G$2=$A133,($B133/$B$116)*$B$113,IF(G$2&lt;=$A133+$B$116-1,$B133/$B$116,$B133-SUM($C133:F133))),0))</f>
        <v>0</v>
      </c>
      <c r="H133" s="4">
        <f>IF($B$116=0,0,IF(H$2&gt;=$A133,IF(H$2=$A133,($B133/$B$116)*$B$113,IF(H$2&lt;=$A133+$B$116-1,$B133/$B$116,$B133-SUM($C133:G133))),0))</f>
        <v>0</v>
      </c>
      <c r="I133" s="4">
        <f>IF($B$116=0,0,IF(I$2&gt;=$A133,IF(I$2=$A133,($B133/$B$116)*$B$113,IF(I$2&lt;=$A133+$B$116-1,$B133/$B$116,$B133-SUM($C133:H133))),0))</f>
        <v>0</v>
      </c>
      <c r="J133" s="4">
        <f>IF($B$116=0,0,IF(J$2&gt;=$A133,IF(J$2=$A133,($B133/$B$116)*$B$113,IF(J$2&lt;=$A133+$B$116-1,$B133/$B$116,$B133-SUM($C133:I133))),0))</f>
        <v>0</v>
      </c>
      <c r="K133" s="4">
        <f>IF($B$116=0,0,IF(K$2&gt;=$A133,IF(K$2=$A133,($B133/$B$116)*$B$113,IF(K$2&lt;=$A133+$B$116-1,$B133/$B$116,$B133-SUM($C133:J133))),0))</f>
        <v>0</v>
      </c>
      <c r="L133" s="4">
        <f>IF($B$116=0,0,IF(L$2&gt;=$A133,IF(L$2=$A133,($B133/$B$116)*$B$113,IF(L$2&lt;=$A133+$B$116-1,$B133/$B$116,$B133-SUM($C133:K133))),0))</f>
        <v>0</v>
      </c>
      <c r="M133" s="4">
        <f>IF($B$116=0,0,IF(M$2&gt;=$A133,IF(M$2=$A133,($B133/$B$116)*$B$113,IF(M$2&lt;=$A133+$B$116-1,$B133/$B$116,$B133-SUM($C133:L133))),0))</f>
        <v>0</v>
      </c>
      <c r="N133" s="4">
        <f>IF($B$116=0,0,IF(N$2&gt;=$A133,IF(N$2=$A133,($B133/$B$116)*$B$113,IF(N$2&lt;=$A133+$B$116-1,$B133/$B$116,$B133-SUM($C133:M133))),0))</f>
        <v>0</v>
      </c>
      <c r="O133" s="4">
        <f>IF($B$116=0,0,IF(O$2&gt;=$A133,IF(O$2=$A133,($B133/$B$116)*$B$113,IF(O$2&lt;=$A133+$B$116-1,$B133/$B$116,$B133-SUM($C133:N133))),0))</f>
        <v>0</v>
      </c>
      <c r="P133" s="4">
        <f>IF($B$116=0,0,IF(P$2&gt;=$A133,IF(P$2=$A133,($B133/$B$116)*$B$113,IF(P$2&lt;=$A133+$B$116-1,$B133/$B$116,$B133-SUM($C133:O133))),0))</f>
        <v>0</v>
      </c>
      <c r="Q133" s="4">
        <f>IF($B$116=0,0,IF(Q$2&gt;=$A133,IF(Q$2=$A133,($B133/$B$116)*$B$113,IF(Q$2&lt;=$A133+$B$116-1,$B133/$B$116,$B133-SUM($C133:P133))),0))</f>
        <v>0</v>
      </c>
      <c r="R133" s="4">
        <f>IF($B$116=0,0,IF(R$2&gt;=$A133,IF(R$2=$A133,($B133/$B$116)*$B$113,IF(R$2&lt;=$A133+$B$116-1,$B133/$B$116,$B133-SUM($C133:Q133))),0))</f>
        <v>0</v>
      </c>
      <c r="S133" s="4">
        <f>IF($B$116=0,0,IF(S$2&gt;=$A133,IF(S$2=$A133,($B133/$B$116)*$B$113,IF(S$2&lt;=$A133+$B$116-1,$B133/$B$116,$B133-SUM($C133:R133))),0))</f>
        <v>0</v>
      </c>
      <c r="T133" s="4">
        <f>IF($B$116=0,0,IF(T$2&gt;=$A133,IF(T$2=$A133,($B133/$B$116)*$B$113,IF(T$2&lt;=$A133+$B$116-1,$B133/$B$116,$B133-SUM($C133:S133))),0))</f>
        <v>0</v>
      </c>
      <c r="U133" s="4">
        <f>IF($B$116=0,0,IF(U$2&gt;=$A133,IF(U$2=$A133,($B133/$B$116)*$B$113,IF(U$2&lt;=$A133+$B$116-1,$B133/$B$116,$B133-SUM($C133:T133))),0))</f>
        <v>0</v>
      </c>
      <c r="V133" s="4">
        <f>IF($B$116=0,0,IF(V$2&gt;=$A133,IF(V$2=$A133,($B133/$B$116)*$B$113,IF(V$2&lt;=$A133+$B$116-1,$B133/$B$116,$B133-SUM($C133:U133))),0))</f>
        <v>0</v>
      </c>
      <c r="W133" s="4">
        <f>IF($B$116=0,0,IF(W$2&gt;=$A133,IF(W$2=$A133,($B133/$B$116)*$B$113,IF(W$2&lt;=$A133+$B$116-1,$B133/$B$116,$B133-SUM($C133:V133))),0))</f>
        <v>0</v>
      </c>
      <c r="X133" s="4">
        <f>IF($B$116=0,0,IF(X$2&gt;=$A133,IF(X$2=$A133,($B133/$B$116)*$B$113,IF(X$2&lt;=$A133+$B$116-1,$B133/$B$116,$B133-SUM($C133:W133))),0))</f>
        <v>0</v>
      </c>
      <c r="Y133" s="4">
        <f>IF($B$116=0,0,IF(Y$2&gt;=$A133,IF(Y$2=$A133,($B133/$B$116)*$B$113,IF(Y$2&lt;=$A133+$B$116-1,$B133/$B$116,$B133-SUM($C133:X133))),0))</f>
        <v>0</v>
      </c>
      <c r="Z133" s="4">
        <f>IF($B$116=0,0,IF(Z$2&gt;=$A133,IF(Z$2=$A133,($B133/$B$116)*$B$113,IF(Z$2&lt;=$A133+$B$116-1,$B133/$B$116,$B133-SUM($C133:Y133))),0))</f>
        <v>0</v>
      </c>
      <c r="AA133" s="4">
        <f>IF($B$116=0,0,IF(AA$2&gt;=$A133,IF(AA$2=$A133,($B133/$B$116)*$B$113,IF(AA$2&lt;=$A133+$B$116-1,$B133/$B$116,$B133-SUM($C133:Z133))),0))</f>
        <v>0</v>
      </c>
      <c r="AB133" s="4">
        <f>IF($B$116=0,0,IF(AB$2&gt;=$A133,IF(AB$2=$A133,($B133/$B$116)*$B$113,IF(AB$2&lt;=$A133+$B$116-1,$B133/$B$116,$B133-SUM($C133:AA133))),0))</f>
        <v>0</v>
      </c>
      <c r="AC133" s="4">
        <f>IF($B$116=0,0,IF(AC$2&gt;=$A133,IF(AC$2=$A133,($B133/$B$116)*$B$113,IF(AC$2&lt;=$A133+$B$116-1,$B133/$B$116,$B133-SUM($C133:AB133))),0))</f>
        <v>0</v>
      </c>
      <c r="AD133" s="4">
        <f>IF($B$116=0,0,IF(AD$2&gt;=$A133,IF(AD$2=$A133,($B133/$B$116)*$B$113,IF(AD$2&lt;=$A133+$B$116-1,$B133/$B$116,$B133-SUM($C133:AC133))),0))</f>
        <v>0</v>
      </c>
      <c r="AE133" s="4">
        <f>IF($B$116=0,0,IF(AE$2&gt;=$A133,IF(AE$2=$A133,($B133/$B$116)*$B$113,IF(AE$2&lt;=$A133+$B$116-1,$B133/$B$116,$B133-SUM($C133:AD133))),0))</f>
        <v>0</v>
      </c>
      <c r="AF133" s="4">
        <f>IF($B$116=0,0,IF(AF$2&gt;=$A133,IF(AF$2=$A133,($B133/$B$116)*$B$113,IF(AF$2&lt;=$A133+$B$116-1,$B133/$B$116,$B133-SUM($C133:AE133))),0))</f>
        <v>0</v>
      </c>
      <c r="AG133" s="4">
        <f t="shared" si="70"/>
        <v>0</v>
      </c>
    </row>
    <row r="134" spans="1:33">
      <c r="A134" s="6">
        <f t="shared" si="71"/>
        <v>2039</v>
      </c>
      <c r="B134" s="4">
        <f t="shared" si="69"/>
        <v>0</v>
      </c>
      <c r="C134" s="4">
        <f>IF($B$116=0,0,IF(C$2&gt;=$A134,IF(C$2=$A134,($B134/$B$116)*$B$113,IF(C$2&lt;=$A134+$B$116-1,$B134/$B$116,$B134-SUM(B134:$C134))),0))</f>
        <v>0</v>
      </c>
      <c r="D134" s="4">
        <f>IF($B$116=0,0,IF(D$2&gt;=$A134,IF(D$2=$A134,($B134/$B$116)*$B$113,IF(D$2&lt;=$A134+$B$116-1,$B134/$B$116,$B134-SUM(C134:$C134))),0))</f>
        <v>0</v>
      </c>
      <c r="E134" s="4">
        <f>IF($B$116=0,0,IF(E$2&gt;=$A134,IF(E$2=$A134,($B134/$B$116)*$B$113,IF(E$2&lt;=$A134+$B$116-1,$B134/$B$116,$B134-SUM($C134:D134))),0))</f>
        <v>0</v>
      </c>
      <c r="F134" s="4">
        <f>IF($B$116=0,0,IF(F$2&gt;=$A134,IF(F$2=$A134,($B134/$B$116)*$B$113,IF(F$2&lt;=$A134+$B$116-1,$B134/$B$116,$B134-SUM($C134:E134))),0))</f>
        <v>0</v>
      </c>
      <c r="G134" s="4">
        <f>IF($B$116=0,0,IF(G$2&gt;=$A134,IF(G$2=$A134,($B134/$B$116)*$B$113,IF(G$2&lt;=$A134+$B$116-1,$B134/$B$116,$B134-SUM($C134:F134))),0))</f>
        <v>0</v>
      </c>
      <c r="H134" s="4">
        <f>IF($B$116=0,0,IF(H$2&gt;=$A134,IF(H$2=$A134,($B134/$B$116)*$B$113,IF(H$2&lt;=$A134+$B$116-1,$B134/$B$116,$B134-SUM($C134:G134))),0))</f>
        <v>0</v>
      </c>
      <c r="I134" s="4">
        <f>IF($B$116=0,0,IF(I$2&gt;=$A134,IF(I$2=$A134,($B134/$B$116)*$B$113,IF(I$2&lt;=$A134+$B$116-1,$B134/$B$116,$B134-SUM($C134:H134))),0))</f>
        <v>0</v>
      </c>
      <c r="J134" s="4">
        <f>IF($B$116=0,0,IF(J$2&gt;=$A134,IF(J$2=$A134,($B134/$B$116)*$B$113,IF(J$2&lt;=$A134+$B$116-1,$B134/$B$116,$B134-SUM($C134:I134))),0))</f>
        <v>0</v>
      </c>
      <c r="K134" s="4">
        <f>IF($B$116=0,0,IF(K$2&gt;=$A134,IF(K$2=$A134,($B134/$B$116)*$B$113,IF(K$2&lt;=$A134+$B$116-1,$B134/$B$116,$B134-SUM($C134:J134))),0))</f>
        <v>0</v>
      </c>
      <c r="L134" s="4">
        <f>IF($B$116=0,0,IF(L$2&gt;=$A134,IF(L$2=$A134,($B134/$B$116)*$B$113,IF(L$2&lt;=$A134+$B$116-1,$B134/$B$116,$B134-SUM($C134:K134))),0))</f>
        <v>0</v>
      </c>
      <c r="M134" s="4">
        <f>IF($B$116=0,0,IF(M$2&gt;=$A134,IF(M$2=$A134,($B134/$B$116)*$B$113,IF(M$2&lt;=$A134+$B$116-1,$B134/$B$116,$B134-SUM($C134:L134))),0))</f>
        <v>0</v>
      </c>
      <c r="N134" s="4">
        <f>IF($B$116=0,0,IF(N$2&gt;=$A134,IF(N$2=$A134,($B134/$B$116)*$B$113,IF(N$2&lt;=$A134+$B$116-1,$B134/$B$116,$B134-SUM($C134:M134))),0))</f>
        <v>0</v>
      </c>
      <c r="O134" s="4">
        <f>IF($B$116=0,0,IF(O$2&gt;=$A134,IF(O$2=$A134,($B134/$B$116)*$B$113,IF(O$2&lt;=$A134+$B$116-1,$B134/$B$116,$B134-SUM($C134:N134))),0))</f>
        <v>0</v>
      </c>
      <c r="P134" s="4">
        <f>IF($B$116=0,0,IF(P$2&gt;=$A134,IF(P$2=$A134,($B134/$B$116)*$B$113,IF(P$2&lt;=$A134+$B$116-1,$B134/$B$116,$B134-SUM($C134:O134))),0))</f>
        <v>0</v>
      </c>
      <c r="Q134" s="4">
        <f>IF($B$116=0,0,IF(Q$2&gt;=$A134,IF(Q$2=$A134,($B134/$B$116)*$B$113,IF(Q$2&lt;=$A134+$B$116-1,$B134/$B$116,$B134-SUM($C134:P134))),0))</f>
        <v>0</v>
      </c>
      <c r="R134" s="4">
        <f>IF($B$116=0,0,IF(R$2&gt;=$A134,IF(R$2=$A134,($B134/$B$116)*$B$113,IF(R$2&lt;=$A134+$B$116-1,$B134/$B$116,$B134-SUM($C134:Q134))),0))</f>
        <v>0</v>
      </c>
      <c r="S134" s="4">
        <f>IF($B$116=0,0,IF(S$2&gt;=$A134,IF(S$2=$A134,($B134/$B$116)*$B$113,IF(S$2&lt;=$A134+$B$116-1,$B134/$B$116,$B134-SUM($C134:R134))),0))</f>
        <v>0</v>
      </c>
      <c r="T134" s="4">
        <f>IF($B$116=0,0,IF(T$2&gt;=$A134,IF(T$2=$A134,($B134/$B$116)*$B$113,IF(T$2&lt;=$A134+$B$116-1,$B134/$B$116,$B134-SUM($C134:S134))),0))</f>
        <v>0</v>
      </c>
      <c r="U134" s="4">
        <f>IF($B$116=0,0,IF(U$2&gt;=$A134,IF(U$2=$A134,($B134/$B$116)*$B$113,IF(U$2&lt;=$A134+$B$116-1,$B134/$B$116,$B134-SUM($C134:T134))),0))</f>
        <v>0</v>
      </c>
      <c r="V134" s="4">
        <f>IF($B$116=0,0,IF(V$2&gt;=$A134,IF(V$2=$A134,($B134/$B$116)*$B$113,IF(V$2&lt;=$A134+$B$116-1,$B134/$B$116,$B134-SUM($C134:U134))),0))</f>
        <v>0</v>
      </c>
      <c r="W134" s="4">
        <f>IF($B$116=0,0,IF(W$2&gt;=$A134,IF(W$2=$A134,($B134/$B$116)*$B$113,IF(W$2&lt;=$A134+$B$116-1,$B134/$B$116,$B134-SUM($C134:V134))),0))</f>
        <v>0</v>
      </c>
      <c r="X134" s="4">
        <f>IF($B$116=0,0,IF(X$2&gt;=$A134,IF(X$2=$A134,($B134/$B$116)*$B$113,IF(X$2&lt;=$A134+$B$116-1,$B134/$B$116,$B134-SUM($C134:W134))),0))</f>
        <v>0</v>
      </c>
      <c r="Y134" s="4">
        <f>IF($B$116=0,0,IF(Y$2&gt;=$A134,IF(Y$2=$A134,($B134/$B$116)*$B$113,IF(Y$2&lt;=$A134+$B$116-1,$B134/$B$116,$B134-SUM($C134:X134))),0))</f>
        <v>0</v>
      </c>
      <c r="Z134" s="4">
        <f>IF($B$116=0,0,IF(Z$2&gt;=$A134,IF(Z$2=$A134,($B134/$B$116)*$B$113,IF(Z$2&lt;=$A134+$B$116-1,$B134/$B$116,$B134-SUM($C134:Y134))),0))</f>
        <v>0</v>
      </c>
      <c r="AA134" s="4">
        <f>IF($B$116=0,0,IF(AA$2&gt;=$A134,IF(AA$2=$A134,($B134/$B$116)*$B$113,IF(AA$2&lt;=$A134+$B$116-1,$B134/$B$116,$B134-SUM($C134:Z134))),0))</f>
        <v>0</v>
      </c>
      <c r="AB134" s="4">
        <f>IF($B$116=0,0,IF(AB$2&gt;=$A134,IF(AB$2=$A134,($B134/$B$116)*$B$113,IF(AB$2&lt;=$A134+$B$116-1,$B134/$B$116,$B134-SUM($C134:AA134))),0))</f>
        <v>0</v>
      </c>
      <c r="AC134" s="4">
        <f>IF($B$116=0,0,IF(AC$2&gt;=$A134,IF(AC$2=$A134,($B134/$B$116)*$B$113,IF(AC$2&lt;=$A134+$B$116-1,$B134/$B$116,$B134-SUM($C134:AB134))),0))</f>
        <v>0</v>
      </c>
      <c r="AD134" s="4">
        <f>IF($B$116=0,0,IF(AD$2&gt;=$A134,IF(AD$2=$A134,($B134/$B$116)*$B$113,IF(AD$2&lt;=$A134+$B$116-1,$B134/$B$116,$B134-SUM($C134:AC134))),0))</f>
        <v>0</v>
      </c>
      <c r="AE134" s="4">
        <f>IF($B$116=0,0,IF(AE$2&gt;=$A134,IF(AE$2=$A134,($B134/$B$116)*$B$113,IF(AE$2&lt;=$A134+$B$116-1,$B134/$B$116,$B134-SUM($C134:AD134))),0))</f>
        <v>0</v>
      </c>
      <c r="AF134" s="4">
        <f>IF($B$116=0,0,IF(AF$2&gt;=$A134,IF(AF$2=$A134,($B134/$B$116)*$B$113,IF(AF$2&lt;=$A134+$B$116-1,$B134/$B$116,$B134-SUM($C134:AE134))),0))</f>
        <v>0</v>
      </c>
      <c r="AG134" s="4">
        <f t="shared" si="70"/>
        <v>0</v>
      </c>
    </row>
    <row r="135" spans="1:33">
      <c r="A135" s="6">
        <f t="shared" si="71"/>
        <v>2040</v>
      </c>
      <c r="B135" s="4">
        <f t="shared" si="69"/>
        <v>0</v>
      </c>
      <c r="C135" s="4">
        <f>IF($B$116=0,0,IF(C$2&gt;=$A135,IF(C$2=$A135,($B135/$B$116)*$B$113,IF(C$2&lt;=$A135+$B$116-1,$B135/$B$116,$B135-SUM(B135:$C135))),0))</f>
        <v>0</v>
      </c>
      <c r="D135" s="4">
        <f>IF($B$116=0,0,IF(D$2&gt;=$A135,IF(D$2=$A135,($B135/$B$116)*$B$113,IF(D$2&lt;=$A135+$B$116-1,$B135/$B$116,$B135-SUM(C135:$C135))),0))</f>
        <v>0</v>
      </c>
      <c r="E135" s="4">
        <f>IF($B$116=0,0,IF(E$2&gt;=$A135,IF(E$2=$A135,($B135/$B$116)*$B$113,IF(E$2&lt;=$A135+$B$116-1,$B135/$B$116,$B135-SUM($C135:D135))),0))</f>
        <v>0</v>
      </c>
      <c r="F135" s="4">
        <f>IF($B$116=0,0,IF(F$2&gt;=$A135,IF(F$2=$A135,($B135/$B$116)*$B$113,IF(F$2&lt;=$A135+$B$116-1,$B135/$B$116,$B135-SUM($C135:E135))),0))</f>
        <v>0</v>
      </c>
      <c r="G135" s="4">
        <f>IF($B$116=0,0,IF(G$2&gt;=$A135,IF(G$2=$A135,($B135/$B$116)*$B$113,IF(G$2&lt;=$A135+$B$116-1,$B135/$B$116,$B135-SUM($C135:F135))),0))</f>
        <v>0</v>
      </c>
      <c r="H135" s="4">
        <f>IF($B$116=0,0,IF(H$2&gt;=$A135,IF(H$2=$A135,($B135/$B$116)*$B$113,IF(H$2&lt;=$A135+$B$116-1,$B135/$B$116,$B135-SUM($C135:G135))),0))</f>
        <v>0</v>
      </c>
      <c r="I135" s="4">
        <f>IF($B$116=0,0,IF(I$2&gt;=$A135,IF(I$2=$A135,($B135/$B$116)*$B$113,IF(I$2&lt;=$A135+$B$116-1,$B135/$B$116,$B135-SUM($C135:H135))),0))</f>
        <v>0</v>
      </c>
      <c r="J135" s="4">
        <f>IF($B$116=0,0,IF(J$2&gt;=$A135,IF(J$2=$A135,($B135/$B$116)*$B$113,IF(J$2&lt;=$A135+$B$116-1,$B135/$B$116,$B135-SUM($C135:I135))),0))</f>
        <v>0</v>
      </c>
      <c r="K135" s="4">
        <f>IF($B$116=0,0,IF(K$2&gt;=$A135,IF(K$2=$A135,($B135/$B$116)*$B$113,IF(K$2&lt;=$A135+$B$116-1,$B135/$B$116,$B135-SUM($C135:J135))),0))</f>
        <v>0</v>
      </c>
      <c r="L135" s="4">
        <f>IF($B$116=0,0,IF(L$2&gt;=$A135,IF(L$2=$A135,($B135/$B$116)*$B$113,IF(L$2&lt;=$A135+$B$116-1,$B135/$B$116,$B135-SUM($C135:K135))),0))</f>
        <v>0</v>
      </c>
      <c r="M135" s="4">
        <f>IF($B$116=0,0,IF(M$2&gt;=$A135,IF(M$2=$A135,($B135/$B$116)*$B$113,IF(M$2&lt;=$A135+$B$116-1,$B135/$B$116,$B135-SUM($C135:L135))),0))</f>
        <v>0</v>
      </c>
      <c r="N135" s="4">
        <f>IF($B$116=0,0,IF(N$2&gt;=$A135,IF(N$2=$A135,($B135/$B$116)*$B$113,IF(N$2&lt;=$A135+$B$116-1,$B135/$B$116,$B135-SUM($C135:M135))),0))</f>
        <v>0</v>
      </c>
      <c r="O135" s="4">
        <f>IF($B$116=0,0,IF(O$2&gt;=$A135,IF(O$2=$A135,($B135/$B$116)*$B$113,IF(O$2&lt;=$A135+$B$116-1,$B135/$B$116,$B135-SUM($C135:N135))),0))</f>
        <v>0</v>
      </c>
      <c r="P135" s="4">
        <f>IF($B$116=0,0,IF(P$2&gt;=$A135,IF(P$2=$A135,($B135/$B$116)*$B$113,IF(P$2&lt;=$A135+$B$116-1,$B135/$B$116,$B135-SUM($C135:O135))),0))</f>
        <v>0</v>
      </c>
      <c r="Q135" s="4">
        <f>IF($B$116=0,0,IF(Q$2&gt;=$A135,IF(Q$2=$A135,($B135/$B$116)*$B$113,IF(Q$2&lt;=$A135+$B$116-1,$B135/$B$116,$B135-SUM($C135:P135))),0))</f>
        <v>0</v>
      </c>
      <c r="R135" s="4">
        <f>IF($B$116=0,0,IF(R$2&gt;=$A135,IF(R$2=$A135,($B135/$B$116)*$B$113,IF(R$2&lt;=$A135+$B$116-1,$B135/$B$116,$B135-SUM($C135:Q135))),0))</f>
        <v>0</v>
      </c>
      <c r="S135" s="4">
        <f>IF($B$116=0,0,IF(S$2&gt;=$A135,IF(S$2=$A135,($B135/$B$116)*$B$113,IF(S$2&lt;=$A135+$B$116-1,$B135/$B$116,$B135-SUM($C135:R135))),0))</f>
        <v>0</v>
      </c>
      <c r="T135" s="4">
        <f>IF($B$116=0,0,IF(T$2&gt;=$A135,IF(T$2=$A135,($B135/$B$116)*$B$113,IF(T$2&lt;=$A135+$B$116-1,$B135/$B$116,$B135-SUM($C135:S135))),0))</f>
        <v>0</v>
      </c>
      <c r="U135" s="4">
        <f>IF($B$116=0,0,IF(U$2&gt;=$A135,IF(U$2=$A135,($B135/$B$116)*$B$113,IF(U$2&lt;=$A135+$B$116-1,$B135/$B$116,$B135-SUM($C135:T135))),0))</f>
        <v>0</v>
      </c>
      <c r="V135" s="4">
        <f>IF($B$116=0,0,IF(V$2&gt;=$A135,IF(V$2=$A135,($B135/$B$116)*$B$113,IF(V$2&lt;=$A135+$B$116-1,$B135/$B$116,$B135-SUM($C135:U135))),0))</f>
        <v>0</v>
      </c>
      <c r="W135" s="4">
        <f>IF($B$116=0,0,IF(W$2&gt;=$A135,IF(W$2=$A135,($B135/$B$116)*$B$113,IF(W$2&lt;=$A135+$B$116-1,$B135/$B$116,$B135-SUM($C135:V135))),0))</f>
        <v>0</v>
      </c>
      <c r="X135" s="4">
        <f>IF($B$116=0,0,IF(X$2&gt;=$A135,IF(X$2=$A135,($B135/$B$116)*$B$113,IF(X$2&lt;=$A135+$B$116-1,$B135/$B$116,$B135-SUM($C135:W135))),0))</f>
        <v>0</v>
      </c>
      <c r="Y135" s="4">
        <f>IF($B$116=0,0,IF(Y$2&gt;=$A135,IF(Y$2=$A135,($B135/$B$116)*$B$113,IF(Y$2&lt;=$A135+$B$116-1,$B135/$B$116,$B135-SUM($C135:X135))),0))</f>
        <v>0</v>
      </c>
      <c r="Z135" s="4">
        <f>IF($B$116=0,0,IF(Z$2&gt;=$A135,IF(Z$2=$A135,($B135/$B$116)*$B$113,IF(Z$2&lt;=$A135+$B$116-1,$B135/$B$116,$B135-SUM($C135:Y135))),0))</f>
        <v>0</v>
      </c>
      <c r="AA135" s="4">
        <f>IF($B$116=0,0,IF(AA$2&gt;=$A135,IF(AA$2=$A135,($B135/$B$116)*$B$113,IF(AA$2&lt;=$A135+$B$116-1,$B135/$B$116,$B135-SUM($C135:Z135))),0))</f>
        <v>0</v>
      </c>
      <c r="AB135" s="4">
        <f>IF($B$116=0,0,IF(AB$2&gt;=$A135,IF(AB$2=$A135,($B135/$B$116)*$B$113,IF(AB$2&lt;=$A135+$B$116-1,$B135/$B$116,$B135-SUM($C135:AA135))),0))</f>
        <v>0</v>
      </c>
      <c r="AC135" s="4">
        <f>IF($B$116=0,0,IF(AC$2&gt;=$A135,IF(AC$2=$A135,($B135/$B$116)*$B$113,IF(AC$2&lt;=$A135+$B$116-1,$B135/$B$116,$B135-SUM($C135:AB135))),0))</f>
        <v>0</v>
      </c>
      <c r="AD135" s="4">
        <f>IF($B$116=0,0,IF(AD$2&gt;=$A135,IF(AD$2=$A135,($B135/$B$116)*$B$113,IF(AD$2&lt;=$A135+$B$116-1,$B135/$B$116,$B135-SUM($C135:AC135))),0))</f>
        <v>0</v>
      </c>
      <c r="AE135" s="4">
        <f>IF($B$116=0,0,IF(AE$2&gt;=$A135,IF(AE$2=$A135,($B135/$B$116)*$B$113,IF(AE$2&lt;=$A135+$B$116-1,$B135/$B$116,$B135-SUM($C135:AD135))),0))</f>
        <v>0</v>
      </c>
      <c r="AF135" s="4">
        <f>IF($B$116=0,0,IF(AF$2&gt;=$A135,IF(AF$2=$A135,($B135/$B$116)*$B$113,IF(AF$2&lt;=$A135+$B$116-1,$B135/$B$116,$B135-SUM($C135:AE135))),0))</f>
        <v>0</v>
      </c>
      <c r="AG135" s="4">
        <f t="shared" si="70"/>
        <v>0</v>
      </c>
    </row>
    <row r="136" spans="1:33">
      <c r="A136" s="6">
        <f t="shared" si="71"/>
        <v>2041</v>
      </c>
      <c r="B136" s="4">
        <f t="shared" si="69"/>
        <v>0</v>
      </c>
      <c r="C136" s="4">
        <f>IF($B$116=0,0,IF(C$2&gt;=$A136,IF(C$2=$A136,($B136/$B$116)*$B$113,IF(C$2&lt;=$A136+$B$116-1,$B136/$B$116,$B136-SUM(B136:$C136))),0))</f>
        <v>0</v>
      </c>
      <c r="D136" s="4">
        <f>IF($B$116=0,0,IF(D$2&gt;=$A136,IF(D$2=$A136,($B136/$B$116)*$B$113,IF(D$2&lt;=$A136+$B$116-1,$B136/$B$116,$B136-SUM(C136:$C136))),0))</f>
        <v>0</v>
      </c>
      <c r="E136" s="4">
        <f>IF($B$116=0,0,IF(E$2&gt;=$A136,IF(E$2=$A136,($B136/$B$116)*$B$113,IF(E$2&lt;=$A136+$B$116-1,$B136/$B$116,$B136-SUM($C136:D136))),0))</f>
        <v>0</v>
      </c>
      <c r="F136" s="4">
        <f>IF($B$116=0,0,IF(F$2&gt;=$A136,IF(F$2=$A136,($B136/$B$116)*$B$113,IF(F$2&lt;=$A136+$B$116-1,$B136/$B$116,$B136-SUM($C136:E136))),0))</f>
        <v>0</v>
      </c>
      <c r="G136" s="4">
        <f>IF($B$116=0,0,IF(G$2&gt;=$A136,IF(G$2=$A136,($B136/$B$116)*$B$113,IF(G$2&lt;=$A136+$B$116-1,$B136/$B$116,$B136-SUM($C136:F136))),0))</f>
        <v>0</v>
      </c>
      <c r="H136" s="4">
        <f>IF($B$116=0,0,IF(H$2&gt;=$A136,IF(H$2=$A136,($B136/$B$116)*$B$113,IF(H$2&lt;=$A136+$B$116-1,$B136/$B$116,$B136-SUM($C136:G136))),0))</f>
        <v>0</v>
      </c>
      <c r="I136" s="4">
        <f>IF($B$116=0,0,IF(I$2&gt;=$A136,IF(I$2=$A136,($B136/$B$116)*$B$113,IF(I$2&lt;=$A136+$B$116-1,$B136/$B$116,$B136-SUM($C136:H136))),0))</f>
        <v>0</v>
      </c>
      <c r="J136" s="4">
        <f>IF($B$116=0,0,IF(J$2&gt;=$A136,IF(J$2=$A136,($B136/$B$116)*$B$113,IF(J$2&lt;=$A136+$B$116-1,$B136/$B$116,$B136-SUM($C136:I136))),0))</f>
        <v>0</v>
      </c>
      <c r="K136" s="4">
        <f>IF($B$116=0,0,IF(K$2&gt;=$A136,IF(K$2=$A136,($B136/$B$116)*$B$113,IF(K$2&lt;=$A136+$B$116-1,$B136/$B$116,$B136-SUM($C136:J136))),0))</f>
        <v>0</v>
      </c>
      <c r="L136" s="4">
        <f>IF($B$116=0,0,IF(L$2&gt;=$A136,IF(L$2=$A136,($B136/$B$116)*$B$113,IF(L$2&lt;=$A136+$B$116-1,$B136/$B$116,$B136-SUM($C136:K136))),0))</f>
        <v>0</v>
      </c>
      <c r="M136" s="4">
        <f>IF($B$116=0,0,IF(M$2&gt;=$A136,IF(M$2=$A136,($B136/$B$116)*$B$113,IF(M$2&lt;=$A136+$B$116-1,$B136/$B$116,$B136-SUM($C136:L136))),0))</f>
        <v>0</v>
      </c>
      <c r="N136" s="4">
        <f>IF($B$116=0,0,IF(N$2&gt;=$A136,IF(N$2=$A136,($B136/$B$116)*$B$113,IF(N$2&lt;=$A136+$B$116-1,$B136/$B$116,$B136-SUM($C136:M136))),0))</f>
        <v>0</v>
      </c>
      <c r="O136" s="4">
        <f>IF($B$116=0,0,IF(O$2&gt;=$A136,IF(O$2=$A136,($B136/$B$116)*$B$113,IF(O$2&lt;=$A136+$B$116-1,$B136/$B$116,$B136-SUM($C136:N136))),0))</f>
        <v>0</v>
      </c>
      <c r="P136" s="4">
        <f>IF($B$116=0,0,IF(P$2&gt;=$A136,IF(P$2=$A136,($B136/$B$116)*$B$113,IF(P$2&lt;=$A136+$B$116-1,$B136/$B$116,$B136-SUM($C136:O136))),0))</f>
        <v>0</v>
      </c>
      <c r="Q136" s="4">
        <f>IF($B$116=0,0,IF(Q$2&gt;=$A136,IF(Q$2=$A136,($B136/$B$116)*$B$113,IF(Q$2&lt;=$A136+$B$116-1,$B136/$B$116,$B136-SUM($C136:P136))),0))</f>
        <v>0</v>
      </c>
      <c r="R136" s="4">
        <f>IF($B$116=0,0,IF(R$2&gt;=$A136,IF(R$2=$A136,($B136/$B$116)*$B$113,IF(R$2&lt;=$A136+$B$116-1,$B136/$B$116,$B136-SUM($C136:Q136))),0))</f>
        <v>0</v>
      </c>
      <c r="S136" s="4">
        <f>IF($B$116=0,0,IF(S$2&gt;=$A136,IF(S$2=$A136,($B136/$B$116)*$B$113,IF(S$2&lt;=$A136+$B$116-1,$B136/$B$116,$B136-SUM($C136:R136))),0))</f>
        <v>0</v>
      </c>
      <c r="T136" s="4">
        <f>IF($B$116=0,0,IF(T$2&gt;=$A136,IF(T$2=$A136,($B136/$B$116)*$B$113,IF(T$2&lt;=$A136+$B$116-1,$B136/$B$116,$B136-SUM($C136:S136))),0))</f>
        <v>0</v>
      </c>
      <c r="U136" s="4">
        <f>IF($B$116=0,0,IF(U$2&gt;=$A136,IF(U$2=$A136,($B136/$B$116)*$B$113,IF(U$2&lt;=$A136+$B$116-1,$B136/$B$116,$B136-SUM($C136:T136))),0))</f>
        <v>0</v>
      </c>
      <c r="V136" s="4">
        <f>IF($B$116=0,0,IF(V$2&gt;=$A136,IF(V$2=$A136,($B136/$B$116)*$B$113,IF(V$2&lt;=$A136+$B$116-1,$B136/$B$116,$B136-SUM($C136:U136))),0))</f>
        <v>0</v>
      </c>
      <c r="W136" s="4">
        <f>IF($B$116=0,0,IF(W$2&gt;=$A136,IF(W$2=$A136,($B136/$B$116)*$B$113,IF(W$2&lt;=$A136+$B$116-1,$B136/$B$116,$B136-SUM($C136:V136))),0))</f>
        <v>0</v>
      </c>
      <c r="X136" s="4">
        <f>IF($B$116=0,0,IF(X$2&gt;=$A136,IF(X$2=$A136,($B136/$B$116)*$B$113,IF(X$2&lt;=$A136+$B$116-1,$B136/$B$116,$B136-SUM($C136:W136))),0))</f>
        <v>0</v>
      </c>
      <c r="Y136" s="4">
        <f>IF($B$116=0,0,IF(Y$2&gt;=$A136,IF(Y$2=$A136,($B136/$B$116)*$B$113,IF(Y$2&lt;=$A136+$B$116-1,$B136/$B$116,$B136-SUM($C136:X136))),0))</f>
        <v>0</v>
      </c>
      <c r="Z136" s="4">
        <f>IF($B$116=0,0,IF(Z$2&gt;=$A136,IF(Z$2=$A136,($B136/$B$116)*$B$113,IF(Z$2&lt;=$A136+$B$116-1,$B136/$B$116,$B136-SUM($C136:Y136))),0))</f>
        <v>0</v>
      </c>
      <c r="AA136" s="4">
        <f>IF($B$116=0,0,IF(AA$2&gt;=$A136,IF(AA$2=$A136,($B136/$B$116)*$B$113,IF(AA$2&lt;=$A136+$B$116-1,$B136/$B$116,$B136-SUM($C136:Z136))),0))</f>
        <v>0</v>
      </c>
      <c r="AB136" s="4">
        <f>IF($B$116=0,0,IF(AB$2&gt;=$A136,IF(AB$2=$A136,($B136/$B$116)*$B$113,IF(AB$2&lt;=$A136+$B$116-1,$B136/$B$116,$B136-SUM($C136:AA136))),0))</f>
        <v>0</v>
      </c>
      <c r="AC136" s="4">
        <f>IF($B$116=0,0,IF(AC$2&gt;=$A136,IF(AC$2=$A136,($B136/$B$116)*$B$113,IF(AC$2&lt;=$A136+$B$116-1,$B136/$B$116,$B136-SUM($C136:AB136))),0))</f>
        <v>0</v>
      </c>
      <c r="AD136" s="4">
        <f>IF($B$116=0,0,IF(AD$2&gt;=$A136,IF(AD$2=$A136,($B136/$B$116)*$B$113,IF(AD$2&lt;=$A136+$B$116-1,$B136/$B$116,$B136-SUM($C136:AC136))),0))</f>
        <v>0</v>
      </c>
      <c r="AE136" s="4">
        <f>IF($B$116=0,0,IF(AE$2&gt;=$A136,IF(AE$2=$A136,($B136/$B$116)*$B$113,IF(AE$2&lt;=$A136+$B$116-1,$B136/$B$116,$B136-SUM($C136:AD136))),0))</f>
        <v>0</v>
      </c>
      <c r="AF136" s="4">
        <f>IF($B$116=0,0,IF(AF$2&gt;=$A136,IF(AF$2=$A136,($B136/$B$116)*$B$113,IF(AF$2&lt;=$A136+$B$116-1,$B136/$B$116,$B136-SUM($C136:AE136))),0))</f>
        <v>0</v>
      </c>
      <c r="AG136" s="4">
        <f t="shared" si="70"/>
        <v>0</v>
      </c>
    </row>
    <row r="137" spans="1:33">
      <c r="A137" s="6">
        <f t="shared" si="71"/>
        <v>2042</v>
      </c>
      <c r="B137" s="4">
        <f t="shared" si="69"/>
        <v>0</v>
      </c>
      <c r="C137" s="4">
        <f>IF($B$116=0,0,IF(C$2&gt;=$A137,IF(C$2=$A137,($B137/$B$116)*$B$113,IF(C$2&lt;=$A137+$B$116-1,$B137/$B$116,$B137-SUM(B137:$C137))),0))</f>
        <v>0</v>
      </c>
      <c r="D137" s="4">
        <f>IF($B$116=0,0,IF(D$2&gt;=$A137,IF(D$2=$A137,($B137/$B$116)*$B$113,IF(D$2&lt;=$A137+$B$116-1,$B137/$B$116,$B137-SUM(C137:$C137))),0))</f>
        <v>0</v>
      </c>
      <c r="E137" s="4">
        <f>IF($B$116=0,0,IF(E$2&gt;=$A137,IF(E$2=$A137,($B137/$B$116)*$B$113,IF(E$2&lt;=$A137+$B$116-1,$B137/$B$116,$B137-SUM($C137:D137))),0))</f>
        <v>0</v>
      </c>
      <c r="F137" s="4">
        <f>IF($B$116=0,0,IF(F$2&gt;=$A137,IF(F$2=$A137,($B137/$B$116)*$B$113,IF(F$2&lt;=$A137+$B$116-1,$B137/$B$116,$B137-SUM($C137:E137))),0))</f>
        <v>0</v>
      </c>
      <c r="G137" s="4">
        <f>IF($B$116=0,0,IF(G$2&gt;=$A137,IF(G$2=$A137,($B137/$B$116)*$B$113,IF(G$2&lt;=$A137+$B$116-1,$B137/$B$116,$B137-SUM($C137:F137))),0))</f>
        <v>0</v>
      </c>
      <c r="H137" s="4">
        <f>IF($B$116=0,0,IF(H$2&gt;=$A137,IF(H$2=$A137,($B137/$B$116)*$B$113,IF(H$2&lt;=$A137+$B$116-1,$B137/$B$116,$B137-SUM($C137:G137))),0))</f>
        <v>0</v>
      </c>
      <c r="I137" s="4">
        <f>IF($B$116=0,0,IF(I$2&gt;=$A137,IF(I$2=$A137,($B137/$B$116)*$B$113,IF(I$2&lt;=$A137+$B$116-1,$B137/$B$116,$B137-SUM($C137:H137))),0))</f>
        <v>0</v>
      </c>
      <c r="J137" s="4">
        <f>IF($B$116=0,0,IF(J$2&gt;=$A137,IF(J$2=$A137,($B137/$B$116)*$B$113,IF(J$2&lt;=$A137+$B$116-1,$B137/$B$116,$B137-SUM($C137:I137))),0))</f>
        <v>0</v>
      </c>
      <c r="K137" s="4">
        <f>IF($B$116=0,0,IF(K$2&gt;=$A137,IF(K$2=$A137,($B137/$B$116)*$B$113,IF(K$2&lt;=$A137+$B$116-1,$B137/$B$116,$B137-SUM($C137:J137))),0))</f>
        <v>0</v>
      </c>
      <c r="L137" s="4">
        <f>IF($B$116=0,0,IF(L$2&gt;=$A137,IF(L$2=$A137,($B137/$B$116)*$B$113,IF(L$2&lt;=$A137+$B$116-1,$B137/$B$116,$B137-SUM($C137:K137))),0))</f>
        <v>0</v>
      </c>
      <c r="M137" s="4">
        <f>IF($B$116=0,0,IF(M$2&gt;=$A137,IF(M$2=$A137,($B137/$B$116)*$B$113,IF(M$2&lt;=$A137+$B$116-1,$B137/$B$116,$B137-SUM($C137:L137))),0))</f>
        <v>0</v>
      </c>
      <c r="N137" s="4">
        <f>IF($B$116=0,0,IF(N$2&gt;=$A137,IF(N$2=$A137,($B137/$B$116)*$B$113,IF(N$2&lt;=$A137+$B$116-1,$B137/$B$116,$B137-SUM($C137:M137))),0))</f>
        <v>0</v>
      </c>
      <c r="O137" s="4">
        <f>IF($B$116=0,0,IF(O$2&gt;=$A137,IF(O$2=$A137,($B137/$B$116)*$B$113,IF(O$2&lt;=$A137+$B$116-1,$B137/$B$116,$B137-SUM($C137:N137))),0))</f>
        <v>0</v>
      </c>
      <c r="P137" s="4">
        <f>IF($B$116=0,0,IF(P$2&gt;=$A137,IF(P$2=$A137,($B137/$B$116)*$B$113,IF(P$2&lt;=$A137+$B$116-1,$B137/$B$116,$B137-SUM($C137:O137))),0))</f>
        <v>0</v>
      </c>
      <c r="Q137" s="4">
        <f>IF($B$116=0,0,IF(Q$2&gt;=$A137,IF(Q$2=$A137,($B137/$B$116)*$B$113,IF(Q$2&lt;=$A137+$B$116-1,$B137/$B$116,$B137-SUM($C137:P137))),0))</f>
        <v>0</v>
      </c>
      <c r="R137" s="4">
        <f>IF($B$116=0,0,IF(R$2&gt;=$A137,IF(R$2=$A137,($B137/$B$116)*$B$113,IF(R$2&lt;=$A137+$B$116-1,$B137/$B$116,$B137-SUM($C137:Q137))),0))</f>
        <v>0</v>
      </c>
      <c r="S137" s="4">
        <f>IF($B$116=0,0,IF(S$2&gt;=$A137,IF(S$2=$A137,($B137/$B$116)*$B$113,IF(S$2&lt;=$A137+$B$116-1,$B137/$B$116,$B137-SUM($C137:R137))),0))</f>
        <v>0</v>
      </c>
      <c r="T137" s="4">
        <f>IF($B$116=0,0,IF(T$2&gt;=$A137,IF(T$2=$A137,($B137/$B$116)*$B$113,IF(T$2&lt;=$A137+$B$116-1,$B137/$B$116,$B137-SUM($C137:S137))),0))</f>
        <v>0</v>
      </c>
      <c r="U137" s="4">
        <f>IF($B$116=0,0,IF(U$2&gt;=$A137,IF(U$2=$A137,($B137/$B$116)*$B$113,IF(U$2&lt;=$A137+$B$116-1,$B137/$B$116,$B137-SUM($C137:T137))),0))</f>
        <v>0</v>
      </c>
      <c r="V137" s="4">
        <f>IF($B$116=0,0,IF(V$2&gt;=$A137,IF(V$2=$A137,($B137/$B$116)*$B$113,IF(V$2&lt;=$A137+$B$116-1,$B137/$B$116,$B137-SUM($C137:U137))),0))</f>
        <v>0</v>
      </c>
      <c r="W137" s="4">
        <f>IF($B$116=0,0,IF(W$2&gt;=$A137,IF(W$2=$A137,($B137/$B$116)*$B$113,IF(W$2&lt;=$A137+$B$116-1,$B137/$B$116,$B137-SUM($C137:V137))),0))</f>
        <v>0</v>
      </c>
      <c r="X137" s="4">
        <f>IF($B$116=0,0,IF(X$2&gt;=$A137,IF(X$2=$A137,($B137/$B$116)*$B$113,IF(X$2&lt;=$A137+$B$116-1,$B137/$B$116,$B137-SUM($C137:W137))),0))</f>
        <v>0</v>
      </c>
      <c r="Y137" s="4">
        <f>IF($B$116=0,0,IF(Y$2&gt;=$A137,IF(Y$2=$A137,($B137/$B$116)*$B$113,IF(Y$2&lt;=$A137+$B$116-1,$B137/$B$116,$B137-SUM($C137:X137))),0))</f>
        <v>0</v>
      </c>
      <c r="Z137" s="4">
        <f>IF($B$116=0,0,IF(Z$2&gt;=$A137,IF(Z$2=$A137,($B137/$B$116)*$B$113,IF(Z$2&lt;=$A137+$B$116-1,$B137/$B$116,$B137-SUM($C137:Y137))),0))</f>
        <v>0</v>
      </c>
      <c r="AA137" s="4">
        <f>IF($B$116=0,0,IF(AA$2&gt;=$A137,IF(AA$2=$A137,($B137/$B$116)*$B$113,IF(AA$2&lt;=$A137+$B$116-1,$B137/$B$116,$B137-SUM($C137:Z137))),0))</f>
        <v>0</v>
      </c>
      <c r="AB137" s="4">
        <f>IF($B$116=0,0,IF(AB$2&gt;=$A137,IF(AB$2=$A137,($B137/$B$116)*$B$113,IF(AB$2&lt;=$A137+$B$116-1,$B137/$B$116,$B137-SUM($C137:AA137))),0))</f>
        <v>0</v>
      </c>
      <c r="AC137" s="4">
        <f>IF($B$116=0,0,IF(AC$2&gt;=$A137,IF(AC$2=$A137,($B137/$B$116)*$B$113,IF(AC$2&lt;=$A137+$B$116-1,$B137/$B$116,$B137-SUM($C137:AB137))),0))</f>
        <v>0</v>
      </c>
      <c r="AD137" s="4">
        <f>IF($B$116=0,0,IF(AD$2&gt;=$A137,IF(AD$2=$A137,($B137/$B$116)*$B$113,IF(AD$2&lt;=$A137+$B$116-1,$B137/$B$116,$B137-SUM($C137:AC137))),0))</f>
        <v>0</v>
      </c>
      <c r="AE137" s="4">
        <f>IF($B$116=0,0,IF(AE$2&gt;=$A137,IF(AE$2=$A137,($B137/$B$116)*$B$113,IF(AE$2&lt;=$A137+$B$116-1,$B137/$B$116,$B137-SUM($C137:AD137))),0))</f>
        <v>0</v>
      </c>
      <c r="AF137" s="4">
        <f>IF($B$116=0,0,IF(AF$2&gt;=$A137,IF(AF$2=$A137,($B137/$B$116)*$B$113,IF(AF$2&lt;=$A137+$B$116-1,$B137/$B$116,$B137-SUM($C137:AE137))),0))</f>
        <v>0</v>
      </c>
      <c r="AG137" s="4">
        <f t="shared" si="70"/>
        <v>0</v>
      </c>
    </row>
    <row r="138" spans="1:33">
      <c r="A138" s="6">
        <f t="shared" si="71"/>
        <v>2043</v>
      </c>
      <c r="B138" s="4">
        <f t="shared" si="69"/>
        <v>0</v>
      </c>
      <c r="C138" s="4">
        <f>IF($B$116=0,0,IF(C$2&gt;=$A138,IF(C$2=$A138,($B138/$B$116)*$B$113,IF(C$2&lt;=$A138+$B$116-1,$B138/$B$116,$B138-SUM(B138:$C138))),0))</f>
        <v>0</v>
      </c>
      <c r="D138" s="4">
        <f>IF($B$116=0,0,IF(D$2&gt;=$A138,IF(D$2=$A138,($B138/$B$116)*$B$113,IF(D$2&lt;=$A138+$B$116-1,$B138/$B$116,$B138-SUM(C138:$C138))),0))</f>
        <v>0</v>
      </c>
      <c r="E138" s="4">
        <f>IF($B$116=0,0,IF(E$2&gt;=$A138,IF(E$2=$A138,($B138/$B$116)*$B$113,IF(E$2&lt;=$A138+$B$116-1,$B138/$B$116,$B138-SUM($C138:D138))),0))</f>
        <v>0</v>
      </c>
      <c r="F138" s="4">
        <f>IF($B$116=0,0,IF(F$2&gt;=$A138,IF(F$2=$A138,($B138/$B$116)*$B$113,IF(F$2&lt;=$A138+$B$116-1,$B138/$B$116,$B138-SUM($C138:E138))),0))</f>
        <v>0</v>
      </c>
      <c r="G138" s="4">
        <f>IF($B$116=0,0,IF(G$2&gt;=$A138,IF(G$2=$A138,($B138/$B$116)*$B$113,IF(G$2&lt;=$A138+$B$116-1,$B138/$B$116,$B138-SUM($C138:F138))),0))</f>
        <v>0</v>
      </c>
      <c r="H138" s="4">
        <f>IF($B$116=0,0,IF(H$2&gt;=$A138,IF(H$2=$A138,($B138/$B$116)*$B$113,IF(H$2&lt;=$A138+$B$116-1,$B138/$B$116,$B138-SUM($C138:G138))),0))</f>
        <v>0</v>
      </c>
      <c r="I138" s="4">
        <f>IF($B$116=0,0,IF(I$2&gt;=$A138,IF(I$2=$A138,($B138/$B$116)*$B$113,IF(I$2&lt;=$A138+$B$116-1,$B138/$B$116,$B138-SUM($C138:H138))),0))</f>
        <v>0</v>
      </c>
      <c r="J138" s="4">
        <f>IF($B$116=0,0,IF(J$2&gt;=$A138,IF(J$2=$A138,($B138/$B$116)*$B$113,IF(J$2&lt;=$A138+$B$116-1,$B138/$B$116,$B138-SUM($C138:I138))),0))</f>
        <v>0</v>
      </c>
      <c r="K138" s="4">
        <f>IF($B$116=0,0,IF(K$2&gt;=$A138,IF(K$2=$A138,($B138/$B$116)*$B$113,IF(K$2&lt;=$A138+$B$116-1,$B138/$B$116,$B138-SUM($C138:J138))),0))</f>
        <v>0</v>
      </c>
      <c r="L138" s="4">
        <f>IF($B$116=0,0,IF(L$2&gt;=$A138,IF(L$2=$A138,($B138/$B$116)*$B$113,IF(L$2&lt;=$A138+$B$116-1,$B138/$B$116,$B138-SUM($C138:K138))),0))</f>
        <v>0</v>
      </c>
      <c r="M138" s="4">
        <f>IF($B$116=0,0,IF(M$2&gt;=$A138,IF(M$2=$A138,($B138/$B$116)*$B$113,IF(M$2&lt;=$A138+$B$116-1,$B138/$B$116,$B138-SUM($C138:L138))),0))</f>
        <v>0</v>
      </c>
      <c r="N138" s="4">
        <f>IF($B$116=0,0,IF(N$2&gt;=$A138,IF(N$2=$A138,($B138/$B$116)*$B$113,IF(N$2&lt;=$A138+$B$116-1,$B138/$B$116,$B138-SUM($C138:M138))),0))</f>
        <v>0</v>
      </c>
      <c r="O138" s="4">
        <f>IF($B$116=0,0,IF(O$2&gt;=$A138,IF(O$2=$A138,($B138/$B$116)*$B$113,IF(O$2&lt;=$A138+$B$116-1,$B138/$B$116,$B138-SUM($C138:N138))),0))</f>
        <v>0</v>
      </c>
      <c r="P138" s="4">
        <f>IF($B$116=0,0,IF(P$2&gt;=$A138,IF(P$2=$A138,($B138/$B$116)*$B$113,IF(P$2&lt;=$A138+$B$116-1,$B138/$B$116,$B138-SUM($C138:O138))),0))</f>
        <v>0</v>
      </c>
      <c r="Q138" s="4">
        <f>IF($B$116=0,0,IF(Q$2&gt;=$A138,IF(Q$2=$A138,($B138/$B$116)*$B$113,IF(Q$2&lt;=$A138+$B$116-1,$B138/$B$116,$B138-SUM($C138:P138))),0))</f>
        <v>0</v>
      </c>
      <c r="R138" s="4">
        <f>IF($B$116=0,0,IF(R$2&gt;=$A138,IF(R$2=$A138,($B138/$B$116)*$B$113,IF(R$2&lt;=$A138+$B$116-1,$B138/$B$116,$B138-SUM($C138:Q138))),0))</f>
        <v>0</v>
      </c>
      <c r="S138" s="4">
        <f>IF($B$116=0,0,IF(S$2&gt;=$A138,IF(S$2=$A138,($B138/$B$116)*$B$113,IF(S$2&lt;=$A138+$B$116-1,$B138/$B$116,$B138-SUM($C138:R138))),0))</f>
        <v>0</v>
      </c>
      <c r="T138" s="4">
        <f>IF($B$116=0,0,IF(T$2&gt;=$A138,IF(T$2=$A138,($B138/$B$116)*$B$113,IF(T$2&lt;=$A138+$B$116-1,$B138/$B$116,$B138-SUM($C138:S138))),0))</f>
        <v>0</v>
      </c>
      <c r="U138" s="4">
        <f>IF($B$116=0,0,IF(U$2&gt;=$A138,IF(U$2=$A138,($B138/$B$116)*$B$113,IF(U$2&lt;=$A138+$B$116-1,$B138/$B$116,$B138-SUM($C138:T138))),0))</f>
        <v>0</v>
      </c>
      <c r="V138" s="4">
        <f>IF($B$116=0,0,IF(V$2&gt;=$A138,IF(V$2=$A138,($B138/$B$116)*$B$113,IF(V$2&lt;=$A138+$B$116-1,$B138/$B$116,$B138-SUM($C138:U138))),0))</f>
        <v>0</v>
      </c>
      <c r="W138" s="4">
        <f>IF($B$116=0,0,IF(W$2&gt;=$A138,IF(W$2=$A138,($B138/$B$116)*$B$113,IF(W$2&lt;=$A138+$B$116-1,$B138/$B$116,$B138-SUM($C138:V138))),0))</f>
        <v>0</v>
      </c>
      <c r="X138" s="4">
        <f>IF($B$116=0,0,IF(X$2&gt;=$A138,IF(X$2=$A138,($B138/$B$116)*$B$113,IF(X$2&lt;=$A138+$B$116-1,$B138/$B$116,$B138-SUM($C138:W138))),0))</f>
        <v>0</v>
      </c>
      <c r="Y138" s="4">
        <f>IF($B$116=0,0,IF(Y$2&gt;=$A138,IF(Y$2=$A138,($B138/$B$116)*$B$113,IF(Y$2&lt;=$A138+$B$116-1,$B138/$B$116,$B138-SUM($C138:X138))),0))</f>
        <v>0</v>
      </c>
      <c r="Z138" s="4">
        <f>IF($B$116=0,0,IF(Z$2&gt;=$A138,IF(Z$2=$A138,($B138/$B$116)*$B$113,IF(Z$2&lt;=$A138+$B$116-1,$B138/$B$116,$B138-SUM($C138:Y138))),0))</f>
        <v>0</v>
      </c>
      <c r="AA138" s="4">
        <f>IF($B$116=0,0,IF(AA$2&gt;=$A138,IF(AA$2=$A138,($B138/$B$116)*$B$113,IF(AA$2&lt;=$A138+$B$116-1,$B138/$B$116,$B138-SUM($C138:Z138))),0))</f>
        <v>0</v>
      </c>
      <c r="AB138" s="4">
        <f>IF($B$116=0,0,IF(AB$2&gt;=$A138,IF(AB$2=$A138,($B138/$B$116)*$B$113,IF(AB$2&lt;=$A138+$B$116-1,$B138/$B$116,$B138-SUM($C138:AA138))),0))</f>
        <v>0</v>
      </c>
      <c r="AC138" s="4">
        <f>IF($B$116=0,0,IF(AC$2&gt;=$A138,IF(AC$2=$A138,($B138/$B$116)*$B$113,IF(AC$2&lt;=$A138+$B$116-1,$B138/$B$116,$B138-SUM($C138:AB138))),0))</f>
        <v>0</v>
      </c>
      <c r="AD138" s="4">
        <f>IF($B$116=0,0,IF(AD$2&gt;=$A138,IF(AD$2=$A138,($B138/$B$116)*$B$113,IF(AD$2&lt;=$A138+$B$116-1,$B138/$B$116,$B138-SUM($C138:AC138))),0))</f>
        <v>0</v>
      </c>
      <c r="AE138" s="4">
        <f>IF($B$116=0,0,IF(AE$2&gt;=$A138,IF(AE$2=$A138,($B138/$B$116)*$B$113,IF(AE$2&lt;=$A138+$B$116-1,$B138/$B$116,$B138-SUM($C138:AD138))),0))</f>
        <v>0</v>
      </c>
      <c r="AF138" s="4">
        <f>IF($B$116=0,0,IF(AF$2&gt;=$A138,IF(AF$2=$A138,($B138/$B$116)*$B$113,IF(AF$2&lt;=$A138+$B$116-1,$B138/$B$116,$B138-SUM($C138:AE138))),0))</f>
        <v>0</v>
      </c>
      <c r="AG138" s="4">
        <f t="shared" si="70"/>
        <v>0</v>
      </c>
    </row>
    <row r="139" spans="1:33">
      <c r="A139" s="6">
        <f t="shared" si="71"/>
        <v>2044</v>
      </c>
      <c r="B139" s="4">
        <f t="shared" si="69"/>
        <v>0</v>
      </c>
      <c r="C139" s="4">
        <f>IF($B$116=0,0,IF(C$2&gt;=$A139,IF(C$2=$A139,($B139/$B$116)*$B$113,IF(C$2&lt;=$A139+$B$116-1,$B139/$B$116,$B139-SUM(B139:$C139))),0))</f>
        <v>0</v>
      </c>
      <c r="D139" s="4">
        <f>IF($B$116=0,0,IF(D$2&gt;=$A139,IF(D$2=$A139,($B139/$B$116)*$B$113,IF(D$2&lt;=$A139+$B$116-1,$B139/$B$116,$B139-SUM(C139:$C139))),0))</f>
        <v>0</v>
      </c>
      <c r="E139" s="4">
        <f>IF($B$116=0,0,IF(E$2&gt;=$A139,IF(E$2=$A139,($B139/$B$116)*$B$113,IF(E$2&lt;=$A139+$B$116-1,$B139/$B$116,$B139-SUM($C139:D139))),0))</f>
        <v>0</v>
      </c>
      <c r="F139" s="4">
        <f>IF($B$116=0,0,IF(F$2&gt;=$A139,IF(F$2=$A139,($B139/$B$116)*$B$113,IF(F$2&lt;=$A139+$B$116-1,$B139/$B$116,$B139-SUM($C139:E139))),0))</f>
        <v>0</v>
      </c>
      <c r="G139" s="4">
        <f>IF($B$116=0,0,IF(G$2&gt;=$A139,IF(G$2=$A139,($B139/$B$116)*$B$113,IF(G$2&lt;=$A139+$B$116-1,$B139/$B$116,$B139-SUM($C139:F139))),0))</f>
        <v>0</v>
      </c>
      <c r="H139" s="4">
        <f>IF($B$116=0,0,IF(H$2&gt;=$A139,IF(H$2=$A139,($B139/$B$116)*$B$113,IF(H$2&lt;=$A139+$B$116-1,$B139/$B$116,$B139-SUM($C139:G139))),0))</f>
        <v>0</v>
      </c>
      <c r="I139" s="4">
        <f>IF($B$116=0,0,IF(I$2&gt;=$A139,IF(I$2=$A139,($B139/$B$116)*$B$113,IF(I$2&lt;=$A139+$B$116-1,$B139/$B$116,$B139-SUM($C139:H139))),0))</f>
        <v>0</v>
      </c>
      <c r="J139" s="4">
        <f>IF($B$116=0,0,IF(J$2&gt;=$A139,IF(J$2=$A139,($B139/$B$116)*$B$113,IF(J$2&lt;=$A139+$B$116-1,$B139/$B$116,$B139-SUM($C139:I139))),0))</f>
        <v>0</v>
      </c>
      <c r="K139" s="4">
        <f>IF($B$116=0,0,IF(K$2&gt;=$A139,IF(K$2=$A139,($B139/$B$116)*$B$113,IF(K$2&lt;=$A139+$B$116-1,$B139/$B$116,$B139-SUM($C139:J139))),0))</f>
        <v>0</v>
      </c>
      <c r="L139" s="4">
        <f>IF($B$116=0,0,IF(L$2&gt;=$A139,IF(L$2=$A139,($B139/$B$116)*$B$113,IF(L$2&lt;=$A139+$B$116-1,$B139/$B$116,$B139-SUM($C139:K139))),0))</f>
        <v>0</v>
      </c>
      <c r="M139" s="4">
        <f>IF($B$116=0,0,IF(M$2&gt;=$A139,IF(M$2=$A139,($B139/$B$116)*$B$113,IF(M$2&lt;=$A139+$B$116-1,$B139/$B$116,$B139-SUM($C139:L139))),0))</f>
        <v>0</v>
      </c>
      <c r="N139" s="4">
        <f>IF($B$116=0,0,IF(N$2&gt;=$A139,IF(N$2=$A139,($B139/$B$116)*$B$113,IF(N$2&lt;=$A139+$B$116-1,$B139/$B$116,$B139-SUM($C139:M139))),0))</f>
        <v>0</v>
      </c>
      <c r="O139" s="4">
        <f>IF($B$116=0,0,IF(O$2&gt;=$A139,IF(O$2=$A139,($B139/$B$116)*$B$113,IF(O$2&lt;=$A139+$B$116-1,$B139/$B$116,$B139-SUM($C139:N139))),0))</f>
        <v>0</v>
      </c>
      <c r="P139" s="4">
        <f>IF($B$116=0,0,IF(P$2&gt;=$A139,IF(P$2=$A139,($B139/$B$116)*$B$113,IF(P$2&lt;=$A139+$B$116-1,$B139/$B$116,$B139-SUM($C139:O139))),0))</f>
        <v>0</v>
      </c>
      <c r="Q139" s="4">
        <f>IF($B$116=0,0,IF(Q$2&gt;=$A139,IF(Q$2=$A139,($B139/$B$116)*$B$113,IF(Q$2&lt;=$A139+$B$116-1,$B139/$B$116,$B139-SUM($C139:P139))),0))</f>
        <v>0</v>
      </c>
      <c r="R139" s="4">
        <f>IF($B$116=0,0,IF(R$2&gt;=$A139,IF(R$2=$A139,($B139/$B$116)*$B$113,IF(R$2&lt;=$A139+$B$116-1,$B139/$B$116,$B139-SUM($C139:Q139))),0))</f>
        <v>0</v>
      </c>
      <c r="S139" s="4">
        <f>IF($B$116=0,0,IF(S$2&gt;=$A139,IF(S$2=$A139,($B139/$B$116)*$B$113,IF(S$2&lt;=$A139+$B$116-1,$B139/$B$116,$B139-SUM($C139:R139))),0))</f>
        <v>0</v>
      </c>
      <c r="T139" s="4">
        <f>IF($B$116=0,0,IF(T$2&gt;=$A139,IF(T$2=$A139,($B139/$B$116)*$B$113,IF(T$2&lt;=$A139+$B$116-1,$B139/$B$116,$B139-SUM($C139:S139))),0))</f>
        <v>0</v>
      </c>
      <c r="U139" s="4">
        <f>IF($B$116=0,0,IF(U$2&gt;=$A139,IF(U$2=$A139,($B139/$B$116)*$B$113,IF(U$2&lt;=$A139+$B$116-1,$B139/$B$116,$B139-SUM($C139:T139))),0))</f>
        <v>0</v>
      </c>
      <c r="V139" s="4">
        <f>IF($B$116=0,0,IF(V$2&gt;=$A139,IF(V$2=$A139,($B139/$B$116)*$B$113,IF(V$2&lt;=$A139+$B$116-1,$B139/$B$116,$B139-SUM($C139:U139))),0))</f>
        <v>0</v>
      </c>
      <c r="W139" s="4">
        <f>IF($B$116=0,0,IF(W$2&gt;=$A139,IF(W$2=$A139,($B139/$B$116)*$B$113,IF(W$2&lt;=$A139+$B$116-1,$B139/$B$116,$B139-SUM($C139:V139))),0))</f>
        <v>0</v>
      </c>
      <c r="X139" s="4">
        <f>IF($B$116=0,0,IF(X$2&gt;=$A139,IF(X$2=$A139,($B139/$B$116)*$B$113,IF(X$2&lt;=$A139+$B$116-1,$B139/$B$116,$B139-SUM($C139:W139))),0))</f>
        <v>0</v>
      </c>
      <c r="Y139" s="4">
        <f>IF($B$116=0,0,IF(Y$2&gt;=$A139,IF(Y$2=$A139,($B139/$B$116)*$B$113,IF(Y$2&lt;=$A139+$B$116-1,$B139/$B$116,$B139-SUM($C139:X139))),0))</f>
        <v>0</v>
      </c>
      <c r="Z139" s="4">
        <f>IF($B$116=0,0,IF(Z$2&gt;=$A139,IF(Z$2=$A139,($B139/$B$116)*$B$113,IF(Z$2&lt;=$A139+$B$116-1,$B139/$B$116,$B139-SUM($C139:Y139))),0))</f>
        <v>0</v>
      </c>
      <c r="AA139" s="4">
        <f>IF($B$116=0,0,IF(AA$2&gt;=$A139,IF(AA$2=$A139,($B139/$B$116)*$B$113,IF(AA$2&lt;=$A139+$B$116-1,$B139/$B$116,$B139-SUM($C139:Z139))),0))</f>
        <v>0</v>
      </c>
      <c r="AB139" s="4">
        <f>IF($B$116=0,0,IF(AB$2&gt;=$A139,IF(AB$2=$A139,($B139/$B$116)*$B$113,IF(AB$2&lt;=$A139+$B$116-1,$B139/$B$116,$B139-SUM($C139:AA139))),0))</f>
        <v>0</v>
      </c>
      <c r="AC139" s="4">
        <f>IF($B$116=0,0,IF(AC$2&gt;=$A139,IF(AC$2=$A139,($B139/$B$116)*$B$113,IF(AC$2&lt;=$A139+$B$116-1,$B139/$B$116,$B139-SUM($C139:AB139))),0))</f>
        <v>0</v>
      </c>
      <c r="AD139" s="4">
        <f>IF($B$116=0,0,IF(AD$2&gt;=$A139,IF(AD$2=$A139,($B139/$B$116)*$B$113,IF(AD$2&lt;=$A139+$B$116-1,$B139/$B$116,$B139-SUM($C139:AC139))),0))</f>
        <v>0</v>
      </c>
      <c r="AE139" s="4">
        <f>IF($B$116=0,0,IF(AE$2&gt;=$A139,IF(AE$2=$A139,($B139/$B$116)*$B$113,IF(AE$2&lt;=$A139+$B$116-1,$B139/$B$116,$B139-SUM($C139:AD139))),0))</f>
        <v>0</v>
      </c>
      <c r="AF139" s="4">
        <f>IF($B$116=0,0,IF(AF$2&gt;=$A139,IF(AF$2=$A139,($B139/$B$116)*$B$113,IF(AF$2&lt;=$A139+$B$116-1,$B139/$B$116,$B139-SUM($C139:AE139))),0))</f>
        <v>0</v>
      </c>
      <c r="AG139" s="4">
        <f t="shared" si="70"/>
        <v>0</v>
      </c>
    </row>
    <row r="140" spans="1:33">
      <c r="A140" s="6">
        <f t="shared" si="71"/>
        <v>2045</v>
      </c>
      <c r="B140" s="4">
        <f t="shared" si="69"/>
        <v>0</v>
      </c>
      <c r="C140" s="4">
        <f>IF($B$116=0,0,IF(C$2&gt;=$A140,IF(C$2=$A140,($B140/$B$116)*$B$113,IF(C$2&lt;=$A140+$B$116-1,$B140/$B$116,$B140-SUM(B140:$C140))),0))</f>
        <v>0</v>
      </c>
      <c r="D140" s="4">
        <f>IF($B$116=0,0,IF(D$2&gt;=$A140,IF(D$2=$A140,($B140/$B$116)*$B$113,IF(D$2&lt;=$A140+$B$116-1,$B140/$B$116,$B140-SUM(C140:$C140))),0))</f>
        <v>0</v>
      </c>
      <c r="E140" s="4">
        <f>IF($B$116=0,0,IF(E$2&gt;=$A140,IF(E$2=$A140,($B140/$B$116)*$B$113,IF(E$2&lt;=$A140+$B$116-1,$B140/$B$116,$B140-SUM($C140:D140))),0))</f>
        <v>0</v>
      </c>
      <c r="F140" s="4">
        <f>IF($B$116=0,0,IF(F$2&gt;=$A140,IF(F$2=$A140,($B140/$B$116)*$B$113,IF(F$2&lt;=$A140+$B$116-1,$B140/$B$116,$B140-SUM($C140:E140))),0))</f>
        <v>0</v>
      </c>
      <c r="G140" s="4">
        <f>IF($B$116=0,0,IF(G$2&gt;=$A140,IF(G$2=$A140,($B140/$B$116)*$B$113,IF(G$2&lt;=$A140+$B$116-1,$B140/$B$116,$B140-SUM($C140:F140))),0))</f>
        <v>0</v>
      </c>
      <c r="H140" s="4">
        <f>IF($B$116=0,0,IF(H$2&gt;=$A140,IF(H$2=$A140,($B140/$B$116)*$B$113,IF(H$2&lt;=$A140+$B$116-1,$B140/$B$116,$B140-SUM($C140:G140))),0))</f>
        <v>0</v>
      </c>
      <c r="I140" s="4">
        <f>IF($B$116=0,0,IF(I$2&gt;=$A140,IF(I$2=$A140,($B140/$B$116)*$B$113,IF(I$2&lt;=$A140+$B$116-1,$B140/$B$116,$B140-SUM($C140:H140))),0))</f>
        <v>0</v>
      </c>
      <c r="J140" s="4">
        <f>IF($B$116=0,0,IF(J$2&gt;=$A140,IF(J$2=$A140,($B140/$B$116)*$B$113,IF(J$2&lt;=$A140+$B$116-1,$B140/$B$116,$B140-SUM($C140:I140))),0))</f>
        <v>0</v>
      </c>
      <c r="K140" s="4">
        <f>IF($B$116=0,0,IF(K$2&gt;=$A140,IF(K$2=$A140,($B140/$B$116)*$B$113,IF(K$2&lt;=$A140+$B$116-1,$B140/$B$116,$B140-SUM($C140:J140))),0))</f>
        <v>0</v>
      </c>
      <c r="L140" s="4">
        <f>IF($B$116=0,0,IF(L$2&gt;=$A140,IF(L$2=$A140,($B140/$B$116)*$B$113,IF(L$2&lt;=$A140+$B$116-1,$B140/$B$116,$B140-SUM($C140:K140))),0))</f>
        <v>0</v>
      </c>
      <c r="M140" s="4">
        <f>IF($B$116=0,0,IF(M$2&gt;=$A140,IF(M$2=$A140,($B140/$B$116)*$B$113,IF(M$2&lt;=$A140+$B$116-1,$B140/$B$116,$B140-SUM($C140:L140))),0))</f>
        <v>0</v>
      </c>
      <c r="N140" s="4">
        <f>IF($B$116=0,0,IF(N$2&gt;=$A140,IF(N$2=$A140,($B140/$B$116)*$B$113,IF(N$2&lt;=$A140+$B$116-1,$B140/$B$116,$B140-SUM($C140:M140))),0))</f>
        <v>0</v>
      </c>
      <c r="O140" s="4">
        <f>IF($B$116=0,0,IF(O$2&gt;=$A140,IF(O$2=$A140,($B140/$B$116)*$B$113,IF(O$2&lt;=$A140+$B$116-1,$B140/$B$116,$B140-SUM($C140:N140))),0))</f>
        <v>0</v>
      </c>
      <c r="P140" s="4">
        <f>IF($B$116=0,0,IF(P$2&gt;=$A140,IF(P$2=$A140,($B140/$B$116)*$B$113,IF(P$2&lt;=$A140+$B$116-1,$B140/$B$116,$B140-SUM($C140:O140))),0))</f>
        <v>0</v>
      </c>
      <c r="Q140" s="4">
        <f>IF($B$116=0,0,IF(Q$2&gt;=$A140,IF(Q$2=$A140,($B140/$B$116)*$B$113,IF(Q$2&lt;=$A140+$B$116-1,$B140/$B$116,$B140-SUM($C140:P140))),0))</f>
        <v>0</v>
      </c>
      <c r="R140" s="4">
        <f>IF($B$116=0,0,IF(R$2&gt;=$A140,IF(R$2=$A140,($B140/$B$116)*$B$113,IF(R$2&lt;=$A140+$B$116-1,$B140/$B$116,$B140-SUM($C140:Q140))),0))</f>
        <v>0</v>
      </c>
      <c r="S140" s="4">
        <f>IF($B$116=0,0,IF(S$2&gt;=$A140,IF(S$2=$A140,($B140/$B$116)*$B$113,IF(S$2&lt;=$A140+$B$116-1,$B140/$B$116,$B140-SUM($C140:R140))),0))</f>
        <v>0</v>
      </c>
      <c r="T140" s="4">
        <f>IF($B$116=0,0,IF(T$2&gt;=$A140,IF(T$2=$A140,($B140/$B$116)*$B$113,IF(T$2&lt;=$A140+$B$116-1,$B140/$B$116,$B140-SUM($C140:S140))),0))</f>
        <v>0</v>
      </c>
      <c r="U140" s="4">
        <f>IF($B$116=0,0,IF(U$2&gt;=$A140,IF(U$2=$A140,($B140/$B$116)*$B$113,IF(U$2&lt;=$A140+$B$116-1,$B140/$B$116,$B140-SUM($C140:T140))),0))</f>
        <v>0</v>
      </c>
      <c r="V140" s="4">
        <f>IF($B$116=0,0,IF(V$2&gt;=$A140,IF(V$2=$A140,($B140/$B$116)*$B$113,IF(V$2&lt;=$A140+$B$116-1,$B140/$B$116,$B140-SUM($C140:U140))),0))</f>
        <v>0</v>
      </c>
      <c r="W140" s="4">
        <f>IF($B$116=0,0,IF(W$2&gt;=$A140,IF(W$2=$A140,($B140/$B$116)*$B$113,IF(W$2&lt;=$A140+$B$116-1,$B140/$B$116,$B140-SUM($C140:V140))),0))</f>
        <v>0</v>
      </c>
      <c r="X140" s="4">
        <f>IF($B$116=0,0,IF(X$2&gt;=$A140,IF(X$2=$A140,($B140/$B$116)*$B$113,IF(X$2&lt;=$A140+$B$116-1,$B140/$B$116,$B140-SUM($C140:W140))),0))</f>
        <v>0</v>
      </c>
      <c r="Y140" s="4">
        <f>IF($B$116=0,0,IF(Y$2&gt;=$A140,IF(Y$2=$A140,($B140/$B$116)*$B$113,IF(Y$2&lt;=$A140+$B$116-1,$B140/$B$116,$B140-SUM($C140:X140))),0))</f>
        <v>0</v>
      </c>
      <c r="Z140" s="4">
        <f>IF($B$116=0,0,IF(Z$2&gt;=$A140,IF(Z$2=$A140,($B140/$B$116)*$B$113,IF(Z$2&lt;=$A140+$B$116-1,$B140/$B$116,$B140-SUM($C140:Y140))),0))</f>
        <v>0</v>
      </c>
      <c r="AA140" s="4">
        <f>IF($B$116=0,0,IF(AA$2&gt;=$A140,IF(AA$2=$A140,($B140/$B$116)*$B$113,IF(AA$2&lt;=$A140+$B$116-1,$B140/$B$116,$B140-SUM($C140:Z140))),0))</f>
        <v>0</v>
      </c>
      <c r="AB140" s="4">
        <f>IF($B$116=0,0,IF(AB$2&gt;=$A140,IF(AB$2=$A140,($B140/$B$116)*$B$113,IF(AB$2&lt;=$A140+$B$116-1,$B140/$B$116,$B140-SUM($C140:AA140))),0))</f>
        <v>0</v>
      </c>
      <c r="AC140" s="4">
        <f>IF($B$116=0,0,IF(AC$2&gt;=$A140,IF(AC$2=$A140,($B140/$B$116)*$B$113,IF(AC$2&lt;=$A140+$B$116-1,$B140/$B$116,$B140-SUM($C140:AB140))),0))</f>
        <v>0</v>
      </c>
      <c r="AD140" s="4">
        <f>IF($B$116=0,0,IF(AD$2&gt;=$A140,IF(AD$2=$A140,($B140/$B$116)*$B$113,IF(AD$2&lt;=$A140+$B$116-1,$B140/$B$116,$B140-SUM($C140:AC140))),0))</f>
        <v>0</v>
      </c>
      <c r="AE140" s="4">
        <f>IF($B$116=0,0,IF(AE$2&gt;=$A140,IF(AE$2=$A140,($B140/$B$116)*$B$113,IF(AE$2&lt;=$A140+$B$116-1,$B140/$B$116,$B140-SUM($C140:AD140))),0))</f>
        <v>0</v>
      </c>
      <c r="AF140" s="4">
        <f>IF($B$116=0,0,IF(AF$2&gt;=$A140,IF(AF$2=$A140,($B140/$B$116)*$B$113,IF(AF$2&lt;=$A140+$B$116-1,$B140/$B$116,$B140-SUM($C140:AE140))),0))</f>
        <v>0</v>
      </c>
      <c r="AG140" s="4">
        <f t="shared" si="70"/>
        <v>0</v>
      </c>
    </row>
    <row r="141" spans="1:33">
      <c r="A141" s="6">
        <f t="shared" si="71"/>
        <v>2046</v>
      </c>
      <c r="B141" s="4">
        <f t="shared" si="69"/>
        <v>0</v>
      </c>
      <c r="C141" s="4">
        <f>IF($B$116=0,0,IF(C$2&gt;=$A141,IF(C$2=$A141,($B141/$B$116)*$B$113,IF(C$2&lt;=$A141+$B$116-1,$B141/$B$116,$B141-SUM(B141:$C141))),0))</f>
        <v>0</v>
      </c>
      <c r="D141" s="4">
        <f>IF($B$116=0,0,IF(D$2&gt;=$A141,IF(D$2=$A141,($B141/$B$116)*$B$113,IF(D$2&lt;=$A141+$B$116-1,$B141/$B$116,$B141-SUM(C141:$C141))),0))</f>
        <v>0</v>
      </c>
      <c r="E141" s="4">
        <f>IF($B$116=0,0,IF(E$2&gt;=$A141,IF(E$2=$A141,($B141/$B$116)*$B$113,IF(E$2&lt;=$A141+$B$116-1,$B141/$B$116,$B141-SUM($C141:D141))),0))</f>
        <v>0</v>
      </c>
      <c r="F141" s="4">
        <f>IF($B$116=0,0,IF(F$2&gt;=$A141,IF(F$2=$A141,($B141/$B$116)*$B$113,IF(F$2&lt;=$A141+$B$116-1,$B141/$B$116,$B141-SUM($C141:E141))),0))</f>
        <v>0</v>
      </c>
      <c r="G141" s="4">
        <f>IF($B$116=0,0,IF(G$2&gt;=$A141,IF(G$2=$A141,($B141/$B$116)*$B$113,IF(G$2&lt;=$A141+$B$116-1,$B141/$B$116,$B141-SUM($C141:F141))),0))</f>
        <v>0</v>
      </c>
      <c r="H141" s="4">
        <f>IF($B$116=0,0,IF(H$2&gt;=$A141,IF(H$2=$A141,($B141/$B$116)*$B$113,IF(H$2&lt;=$A141+$B$116-1,$B141/$B$116,$B141-SUM($C141:G141))),0))</f>
        <v>0</v>
      </c>
      <c r="I141" s="4">
        <f>IF($B$116=0,0,IF(I$2&gt;=$A141,IF(I$2=$A141,($B141/$B$116)*$B$113,IF(I$2&lt;=$A141+$B$116-1,$B141/$B$116,$B141-SUM($C141:H141))),0))</f>
        <v>0</v>
      </c>
      <c r="J141" s="4">
        <f>IF($B$116=0,0,IF(J$2&gt;=$A141,IF(J$2=$A141,($B141/$B$116)*$B$113,IF(J$2&lt;=$A141+$B$116-1,$B141/$B$116,$B141-SUM($C141:I141))),0))</f>
        <v>0</v>
      </c>
      <c r="K141" s="4">
        <f>IF($B$116=0,0,IF(K$2&gt;=$A141,IF(K$2=$A141,($B141/$B$116)*$B$113,IF(K$2&lt;=$A141+$B$116-1,$B141/$B$116,$B141-SUM($C141:J141))),0))</f>
        <v>0</v>
      </c>
      <c r="L141" s="4">
        <f>IF($B$116=0,0,IF(L$2&gt;=$A141,IF(L$2=$A141,($B141/$B$116)*$B$113,IF(L$2&lt;=$A141+$B$116-1,$B141/$B$116,$B141-SUM($C141:K141))),0))</f>
        <v>0</v>
      </c>
      <c r="M141" s="4">
        <f>IF($B$116=0,0,IF(M$2&gt;=$A141,IF(M$2=$A141,($B141/$B$116)*$B$113,IF(M$2&lt;=$A141+$B$116-1,$B141/$B$116,$B141-SUM($C141:L141))),0))</f>
        <v>0</v>
      </c>
      <c r="N141" s="4">
        <f>IF($B$116=0,0,IF(N$2&gt;=$A141,IF(N$2=$A141,($B141/$B$116)*$B$113,IF(N$2&lt;=$A141+$B$116-1,$B141/$B$116,$B141-SUM($C141:M141))),0))</f>
        <v>0</v>
      </c>
      <c r="O141" s="4">
        <f>IF($B$116=0,0,IF(O$2&gt;=$A141,IF(O$2=$A141,($B141/$B$116)*$B$113,IF(O$2&lt;=$A141+$B$116-1,$B141/$B$116,$B141-SUM($C141:N141))),0))</f>
        <v>0</v>
      </c>
      <c r="P141" s="4">
        <f>IF($B$116=0,0,IF(P$2&gt;=$A141,IF(P$2=$A141,($B141/$B$116)*$B$113,IF(P$2&lt;=$A141+$B$116-1,$B141/$B$116,$B141-SUM($C141:O141))),0))</f>
        <v>0</v>
      </c>
      <c r="Q141" s="4">
        <f>IF($B$116=0,0,IF(Q$2&gt;=$A141,IF(Q$2=$A141,($B141/$B$116)*$B$113,IF(Q$2&lt;=$A141+$B$116-1,$B141/$B$116,$B141-SUM($C141:P141))),0))</f>
        <v>0</v>
      </c>
      <c r="R141" s="4">
        <f>IF($B$116=0,0,IF(R$2&gt;=$A141,IF(R$2=$A141,($B141/$B$116)*$B$113,IF(R$2&lt;=$A141+$B$116-1,$B141/$B$116,$B141-SUM($C141:Q141))),0))</f>
        <v>0</v>
      </c>
      <c r="S141" s="4">
        <f>IF($B$116=0,0,IF(S$2&gt;=$A141,IF(S$2=$A141,($B141/$B$116)*$B$113,IF(S$2&lt;=$A141+$B$116-1,$B141/$B$116,$B141-SUM($C141:R141))),0))</f>
        <v>0</v>
      </c>
      <c r="T141" s="4">
        <f>IF($B$116=0,0,IF(T$2&gt;=$A141,IF(T$2=$A141,($B141/$B$116)*$B$113,IF(T$2&lt;=$A141+$B$116-1,$B141/$B$116,$B141-SUM($C141:S141))),0))</f>
        <v>0</v>
      </c>
      <c r="U141" s="4">
        <f>IF($B$116=0,0,IF(U$2&gt;=$A141,IF(U$2=$A141,($B141/$B$116)*$B$113,IF(U$2&lt;=$A141+$B$116-1,$B141/$B$116,$B141-SUM($C141:T141))),0))</f>
        <v>0</v>
      </c>
      <c r="V141" s="4">
        <f>IF($B$116=0,0,IF(V$2&gt;=$A141,IF(V$2=$A141,($B141/$B$116)*$B$113,IF(V$2&lt;=$A141+$B$116-1,$B141/$B$116,$B141-SUM($C141:U141))),0))</f>
        <v>0</v>
      </c>
      <c r="W141" s="4">
        <f>IF($B$116=0,0,IF(W$2&gt;=$A141,IF(W$2=$A141,($B141/$B$116)*$B$113,IF(W$2&lt;=$A141+$B$116-1,$B141/$B$116,$B141-SUM($C141:V141))),0))</f>
        <v>0</v>
      </c>
      <c r="X141" s="4">
        <f>IF($B$116=0,0,IF(X$2&gt;=$A141,IF(X$2=$A141,($B141/$B$116)*$B$113,IF(X$2&lt;=$A141+$B$116-1,$B141/$B$116,$B141-SUM($C141:W141))),0))</f>
        <v>0</v>
      </c>
      <c r="Y141" s="4">
        <f>IF($B$116=0,0,IF(Y$2&gt;=$A141,IF(Y$2=$A141,($B141/$B$116)*$B$113,IF(Y$2&lt;=$A141+$B$116-1,$B141/$B$116,$B141-SUM($C141:X141))),0))</f>
        <v>0</v>
      </c>
      <c r="Z141" s="4">
        <f>IF($B$116=0,0,IF(Z$2&gt;=$A141,IF(Z$2=$A141,($B141/$B$116)*$B$113,IF(Z$2&lt;=$A141+$B$116-1,$B141/$B$116,$B141-SUM($C141:Y141))),0))</f>
        <v>0</v>
      </c>
      <c r="AA141" s="4">
        <f>IF($B$116=0,0,IF(AA$2&gt;=$A141,IF(AA$2=$A141,($B141/$B$116)*$B$113,IF(AA$2&lt;=$A141+$B$116-1,$B141/$B$116,$B141-SUM($C141:Z141))),0))</f>
        <v>0</v>
      </c>
      <c r="AB141" s="4">
        <f>IF($B$116=0,0,IF(AB$2&gt;=$A141,IF(AB$2=$A141,($B141/$B$116)*$B$113,IF(AB$2&lt;=$A141+$B$116-1,$B141/$B$116,$B141-SUM($C141:AA141))),0))</f>
        <v>0</v>
      </c>
      <c r="AC141" s="4">
        <f>IF($B$116=0,0,IF(AC$2&gt;=$A141,IF(AC$2=$A141,($B141/$B$116)*$B$113,IF(AC$2&lt;=$A141+$B$116-1,$B141/$B$116,$B141-SUM($C141:AB141))),0))</f>
        <v>0</v>
      </c>
      <c r="AD141" s="4">
        <f>IF($B$116=0,0,IF(AD$2&gt;=$A141,IF(AD$2=$A141,($B141/$B$116)*$B$113,IF(AD$2&lt;=$A141+$B$116-1,$B141/$B$116,$B141-SUM($C141:AC141))),0))</f>
        <v>0</v>
      </c>
      <c r="AE141" s="4">
        <f>IF($B$116=0,0,IF(AE$2&gt;=$A141,IF(AE$2=$A141,($B141/$B$116)*$B$113,IF(AE$2&lt;=$A141+$B$116-1,$B141/$B$116,$B141-SUM($C141:AD141))),0))</f>
        <v>0</v>
      </c>
      <c r="AF141" s="4">
        <f>IF($B$116=0,0,IF(AF$2&gt;=$A141,IF(AF$2=$A141,($B141/$B$116)*$B$113,IF(AF$2&lt;=$A141+$B$116-1,$B141/$B$116,$B141-SUM($C141:AE141))),0))</f>
        <v>0</v>
      </c>
      <c r="AG141" s="4">
        <f t="shared" si="70"/>
        <v>0</v>
      </c>
    </row>
    <row r="142" spans="1:33">
      <c r="A142" s="6">
        <f t="shared" si="71"/>
        <v>2047</v>
      </c>
      <c r="B142" s="4">
        <f t="shared" si="69"/>
        <v>0</v>
      </c>
      <c r="C142" s="4">
        <f>IF($B$116=0,0,IF(C$2&gt;=$A142,IF(C$2=$A142,($B142/$B$116)*$B$113,IF(C$2&lt;=$A142+$B$116-1,$B142/$B$116,$B142-SUM(B142:$C142))),0))</f>
        <v>0</v>
      </c>
      <c r="D142" s="4">
        <f>IF($B$116=0,0,IF(D$2&gt;=$A142,IF(D$2=$A142,($B142/$B$116)*$B$113,IF(D$2&lt;=$A142+$B$116-1,$B142/$B$116,$B142-SUM(C142:$C142))),0))</f>
        <v>0</v>
      </c>
      <c r="E142" s="4">
        <f>IF($B$116=0,0,IF(E$2&gt;=$A142,IF(E$2=$A142,($B142/$B$116)*$B$113,IF(E$2&lt;=$A142+$B$116-1,$B142/$B$116,$B142-SUM($C142:D142))),0))</f>
        <v>0</v>
      </c>
      <c r="F142" s="4">
        <f>IF($B$116=0,0,IF(F$2&gt;=$A142,IF(F$2=$A142,($B142/$B$116)*$B$113,IF(F$2&lt;=$A142+$B$116-1,$B142/$B$116,$B142-SUM($C142:E142))),0))</f>
        <v>0</v>
      </c>
      <c r="G142" s="4">
        <f>IF($B$116=0,0,IF(G$2&gt;=$A142,IF(G$2=$A142,($B142/$B$116)*$B$113,IF(G$2&lt;=$A142+$B$116-1,$B142/$B$116,$B142-SUM($C142:F142))),0))</f>
        <v>0</v>
      </c>
      <c r="H142" s="4">
        <f>IF($B$116=0,0,IF(H$2&gt;=$A142,IF(H$2=$A142,($B142/$B$116)*$B$113,IF(H$2&lt;=$A142+$B$116-1,$B142/$B$116,$B142-SUM($C142:G142))),0))</f>
        <v>0</v>
      </c>
      <c r="I142" s="4">
        <f>IF($B$116=0,0,IF(I$2&gt;=$A142,IF(I$2=$A142,($B142/$B$116)*$B$113,IF(I$2&lt;=$A142+$B$116-1,$B142/$B$116,$B142-SUM($C142:H142))),0))</f>
        <v>0</v>
      </c>
      <c r="J142" s="4">
        <f>IF($B$116=0,0,IF(J$2&gt;=$A142,IF(J$2=$A142,($B142/$B$116)*$B$113,IF(J$2&lt;=$A142+$B$116-1,$B142/$B$116,$B142-SUM($C142:I142))),0))</f>
        <v>0</v>
      </c>
      <c r="K142" s="4">
        <f>IF($B$116=0,0,IF(K$2&gt;=$A142,IF(K$2=$A142,($B142/$B$116)*$B$113,IF(K$2&lt;=$A142+$B$116-1,$B142/$B$116,$B142-SUM($C142:J142))),0))</f>
        <v>0</v>
      </c>
      <c r="L142" s="4">
        <f>IF($B$116=0,0,IF(L$2&gt;=$A142,IF(L$2=$A142,($B142/$B$116)*$B$113,IF(L$2&lt;=$A142+$B$116-1,$B142/$B$116,$B142-SUM($C142:K142))),0))</f>
        <v>0</v>
      </c>
      <c r="M142" s="4">
        <f>IF($B$116=0,0,IF(M$2&gt;=$A142,IF(M$2=$A142,($B142/$B$116)*$B$113,IF(M$2&lt;=$A142+$B$116-1,$B142/$B$116,$B142-SUM($C142:L142))),0))</f>
        <v>0</v>
      </c>
      <c r="N142" s="4">
        <f>IF($B$116=0,0,IF(N$2&gt;=$A142,IF(N$2=$A142,($B142/$B$116)*$B$113,IF(N$2&lt;=$A142+$B$116-1,$B142/$B$116,$B142-SUM($C142:M142))),0))</f>
        <v>0</v>
      </c>
      <c r="O142" s="4">
        <f>IF($B$116=0,0,IF(O$2&gt;=$A142,IF(O$2=$A142,($B142/$B$116)*$B$113,IF(O$2&lt;=$A142+$B$116-1,$B142/$B$116,$B142-SUM($C142:N142))),0))</f>
        <v>0</v>
      </c>
      <c r="P142" s="4">
        <f>IF($B$116=0,0,IF(P$2&gt;=$A142,IF(P$2=$A142,($B142/$B$116)*$B$113,IF(P$2&lt;=$A142+$B$116-1,$B142/$B$116,$B142-SUM($C142:O142))),0))</f>
        <v>0</v>
      </c>
      <c r="Q142" s="4">
        <f>IF($B$116=0,0,IF(Q$2&gt;=$A142,IF(Q$2=$A142,($B142/$B$116)*$B$113,IF(Q$2&lt;=$A142+$B$116-1,$B142/$B$116,$B142-SUM($C142:P142))),0))</f>
        <v>0</v>
      </c>
      <c r="R142" s="4">
        <f>IF($B$116=0,0,IF(R$2&gt;=$A142,IF(R$2=$A142,($B142/$B$116)*$B$113,IF(R$2&lt;=$A142+$B$116-1,$B142/$B$116,$B142-SUM($C142:Q142))),0))</f>
        <v>0</v>
      </c>
      <c r="S142" s="4">
        <f>IF($B$116=0,0,IF(S$2&gt;=$A142,IF(S$2=$A142,($B142/$B$116)*$B$113,IF(S$2&lt;=$A142+$B$116-1,$B142/$B$116,$B142-SUM($C142:R142))),0))</f>
        <v>0</v>
      </c>
      <c r="T142" s="4">
        <f>IF($B$116=0,0,IF(T$2&gt;=$A142,IF(T$2=$A142,($B142/$B$116)*$B$113,IF(T$2&lt;=$A142+$B$116-1,$B142/$B$116,$B142-SUM($C142:S142))),0))</f>
        <v>0</v>
      </c>
      <c r="U142" s="4">
        <f>IF($B$116=0,0,IF(U$2&gt;=$A142,IF(U$2=$A142,($B142/$B$116)*$B$113,IF(U$2&lt;=$A142+$B$116-1,$B142/$B$116,$B142-SUM($C142:T142))),0))</f>
        <v>0</v>
      </c>
      <c r="V142" s="4">
        <f>IF($B$116=0,0,IF(V$2&gt;=$A142,IF(V$2=$A142,($B142/$B$116)*$B$113,IF(V$2&lt;=$A142+$B$116-1,$B142/$B$116,$B142-SUM($C142:U142))),0))</f>
        <v>0</v>
      </c>
      <c r="W142" s="4">
        <f>IF($B$116=0,0,IF(W$2&gt;=$A142,IF(W$2=$A142,($B142/$B$116)*$B$113,IF(W$2&lt;=$A142+$B$116-1,$B142/$B$116,$B142-SUM($C142:V142))),0))</f>
        <v>0</v>
      </c>
      <c r="X142" s="4">
        <f>IF($B$116=0,0,IF(X$2&gt;=$A142,IF(X$2=$A142,($B142/$B$116)*$B$113,IF(X$2&lt;=$A142+$B$116-1,$B142/$B$116,$B142-SUM($C142:W142))),0))</f>
        <v>0</v>
      </c>
      <c r="Y142" s="4">
        <f>IF($B$116=0,0,IF(Y$2&gt;=$A142,IF(Y$2=$A142,($B142/$B$116)*$B$113,IF(Y$2&lt;=$A142+$B$116-1,$B142/$B$116,$B142-SUM($C142:X142))),0))</f>
        <v>0</v>
      </c>
      <c r="Z142" s="4">
        <f>IF($B$116=0,0,IF(Z$2&gt;=$A142,IF(Z$2=$A142,($B142/$B$116)*$B$113,IF(Z$2&lt;=$A142+$B$116-1,$B142/$B$116,$B142-SUM($C142:Y142))),0))</f>
        <v>0</v>
      </c>
      <c r="AA142" s="4">
        <f>IF($B$116=0,0,IF(AA$2&gt;=$A142,IF(AA$2=$A142,($B142/$B$116)*$B$113,IF(AA$2&lt;=$A142+$B$116-1,$B142/$B$116,$B142-SUM($C142:Z142))),0))</f>
        <v>0</v>
      </c>
      <c r="AB142" s="4">
        <f>IF($B$116=0,0,IF(AB$2&gt;=$A142,IF(AB$2=$A142,($B142/$B$116)*$B$113,IF(AB$2&lt;=$A142+$B$116-1,$B142/$B$116,$B142-SUM($C142:AA142))),0))</f>
        <v>0</v>
      </c>
      <c r="AC142" s="4">
        <f>IF($B$116=0,0,IF(AC$2&gt;=$A142,IF(AC$2=$A142,($B142/$B$116)*$B$113,IF(AC$2&lt;=$A142+$B$116-1,$B142/$B$116,$B142-SUM($C142:AB142))),0))</f>
        <v>0</v>
      </c>
      <c r="AD142" s="4">
        <f>IF($B$116=0,0,IF(AD$2&gt;=$A142,IF(AD$2=$A142,($B142/$B$116)*$B$113,IF(AD$2&lt;=$A142+$B$116-1,$B142/$B$116,$B142-SUM($C142:AC142))),0))</f>
        <v>0</v>
      </c>
      <c r="AE142" s="4">
        <f>IF($B$116=0,0,IF(AE$2&gt;=$A142,IF(AE$2=$A142,($B142/$B$116)*$B$113,IF(AE$2&lt;=$A142+$B$116-1,$B142/$B$116,$B142-SUM($C142:AD142))),0))</f>
        <v>0</v>
      </c>
      <c r="AF142" s="4">
        <f>IF($B$116=0,0,IF(AF$2&gt;=$A142,IF(AF$2=$A142,($B142/$B$116)*$B$113,IF(AF$2&lt;=$A142+$B$116-1,$B142/$B$116,$B142-SUM($C142:AE142))),0))</f>
        <v>0</v>
      </c>
      <c r="AG142" s="4">
        <f t="shared" ref="AG142:AG146" si="72">SUM(C142:AF142)</f>
        <v>0</v>
      </c>
    </row>
    <row r="143" spans="1:33">
      <c r="A143" s="6">
        <f t="shared" si="71"/>
        <v>2048</v>
      </c>
      <c r="B143" s="4">
        <f t="shared" si="69"/>
        <v>0</v>
      </c>
      <c r="C143" s="4">
        <f>IF($B$116=0,0,IF(C$2&gt;=$A143,IF(C$2=$A143,($B143/$B$116)*$B$113,IF(C$2&lt;=$A143+$B$116-1,$B143/$B$116,$B143-SUM(B143:$C143))),0))</f>
        <v>0</v>
      </c>
      <c r="D143" s="4">
        <f>IF($B$116=0,0,IF(D$2&gt;=$A143,IF(D$2=$A143,($B143/$B$116)*$B$113,IF(D$2&lt;=$A143+$B$116-1,$B143/$B$116,$B143-SUM(C143:$C143))),0))</f>
        <v>0</v>
      </c>
      <c r="E143" s="4">
        <f>IF($B$116=0,0,IF(E$2&gt;=$A143,IF(E$2=$A143,($B143/$B$116)*$B$113,IF(E$2&lt;=$A143+$B$116-1,$B143/$B$116,$B143-SUM($C143:D143))),0))</f>
        <v>0</v>
      </c>
      <c r="F143" s="4">
        <f>IF($B$116=0,0,IF(F$2&gt;=$A143,IF(F$2=$A143,($B143/$B$116)*$B$113,IF(F$2&lt;=$A143+$B$116-1,$B143/$B$116,$B143-SUM($C143:E143))),0))</f>
        <v>0</v>
      </c>
      <c r="G143" s="4">
        <f>IF($B$116=0,0,IF(G$2&gt;=$A143,IF(G$2=$A143,($B143/$B$116)*$B$113,IF(G$2&lt;=$A143+$B$116-1,$B143/$B$116,$B143-SUM($C143:F143))),0))</f>
        <v>0</v>
      </c>
      <c r="H143" s="4">
        <f>IF($B$116=0,0,IF(H$2&gt;=$A143,IF(H$2=$A143,($B143/$B$116)*$B$113,IF(H$2&lt;=$A143+$B$116-1,$B143/$B$116,$B143-SUM($C143:G143))),0))</f>
        <v>0</v>
      </c>
      <c r="I143" s="4">
        <f>IF($B$116=0,0,IF(I$2&gt;=$A143,IF(I$2=$A143,($B143/$B$116)*$B$113,IF(I$2&lt;=$A143+$B$116-1,$B143/$B$116,$B143-SUM($C143:H143))),0))</f>
        <v>0</v>
      </c>
      <c r="J143" s="4">
        <f>IF($B$116=0,0,IF(J$2&gt;=$A143,IF(J$2=$A143,($B143/$B$116)*$B$113,IF(J$2&lt;=$A143+$B$116-1,$B143/$B$116,$B143-SUM($C143:I143))),0))</f>
        <v>0</v>
      </c>
      <c r="K143" s="4">
        <f>IF($B$116=0,0,IF(K$2&gt;=$A143,IF(K$2=$A143,($B143/$B$116)*$B$113,IF(K$2&lt;=$A143+$B$116-1,$B143/$B$116,$B143-SUM($C143:J143))),0))</f>
        <v>0</v>
      </c>
      <c r="L143" s="4">
        <f>IF($B$116=0,0,IF(L$2&gt;=$A143,IF(L$2=$A143,($B143/$B$116)*$B$113,IF(L$2&lt;=$A143+$B$116-1,$B143/$B$116,$B143-SUM($C143:K143))),0))</f>
        <v>0</v>
      </c>
      <c r="M143" s="4">
        <f>IF($B$116=0,0,IF(M$2&gt;=$A143,IF(M$2=$A143,($B143/$B$116)*$B$113,IF(M$2&lt;=$A143+$B$116-1,$B143/$B$116,$B143-SUM($C143:L143))),0))</f>
        <v>0</v>
      </c>
      <c r="N143" s="4">
        <f>IF($B$116=0,0,IF(N$2&gt;=$A143,IF(N$2=$A143,($B143/$B$116)*$B$113,IF(N$2&lt;=$A143+$B$116-1,$B143/$B$116,$B143-SUM($C143:M143))),0))</f>
        <v>0</v>
      </c>
      <c r="O143" s="4">
        <f>IF($B$116=0,0,IF(O$2&gt;=$A143,IF(O$2=$A143,($B143/$B$116)*$B$113,IF(O$2&lt;=$A143+$B$116-1,$B143/$B$116,$B143-SUM($C143:N143))),0))</f>
        <v>0</v>
      </c>
      <c r="P143" s="4">
        <f>IF($B$116=0,0,IF(P$2&gt;=$A143,IF(P$2=$A143,($B143/$B$116)*$B$113,IF(P$2&lt;=$A143+$B$116-1,$B143/$B$116,$B143-SUM($C143:O143))),0))</f>
        <v>0</v>
      </c>
      <c r="Q143" s="4">
        <f>IF($B$116=0,0,IF(Q$2&gt;=$A143,IF(Q$2=$A143,($B143/$B$116)*$B$113,IF(Q$2&lt;=$A143+$B$116-1,$B143/$B$116,$B143-SUM($C143:P143))),0))</f>
        <v>0</v>
      </c>
      <c r="R143" s="4">
        <f>IF($B$116=0,0,IF(R$2&gt;=$A143,IF(R$2=$A143,($B143/$B$116)*$B$113,IF(R$2&lt;=$A143+$B$116-1,$B143/$B$116,$B143-SUM($C143:Q143))),0))</f>
        <v>0</v>
      </c>
      <c r="S143" s="4">
        <f>IF($B$116=0,0,IF(S$2&gt;=$A143,IF(S$2=$A143,($B143/$B$116)*$B$113,IF(S$2&lt;=$A143+$B$116-1,$B143/$B$116,$B143-SUM($C143:R143))),0))</f>
        <v>0</v>
      </c>
      <c r="T143" s="4">
        <f>IF($B$116=0,0,IF(T$2&gt;=$A143,IF(T$2=$A143,($B143/$B$116)*$B$113,IF(T$2&lt;=$A143+$B$116-1,$B143/$B$116,$B143-SUM($C143:S143))),0))</f>
        <v>0</v>
      </c>
      <c r="U143" s="4">
        <f>IF($B$116=0,0,IF(U$2&gt;=$A143,IF(U$2=$A143,($B143/$B$116)*$B$113,IF(U$2&lt;=$A143+$B$116-1,$B143/$B$116,$B143-SUM($C143:T143))),0))</f>
        <v>0</v>
      </c>
      <c r="V143" s="4">
        <f>IF($B$116=0,0,IF(V$2&gt;=$A143,IF(V$2=$A143,($B143/$B$116)*$B$113,IF(V$2&lt;=$A143+$B$116-1,$B143/$B$116,$B143-SUM($C143:U143))),0))</f>
        <v>0</v>
      </c>
      <c r="W143" s="4">
        <f>IF($B$116=0,0,IF(W$2&gt;=$A143,IF(W$2=$A143,($B143/$B$116)*$B$113,IF(W$2&lt;=$A143+$B$116-1,$B143/$B$116,$B143-SUM($C143:V143))),0))</f>
        <v>0</v>
      </c>
      <c r="X143" s="4">
        <f>IF($B$116=0,0,IF(X$2&gt;=$A143,IF(X$2=$A143,($B143/$B$116)*$B$113,IF(X$2&lt;=$A143+$B$116-1,$B143/$B$116,$B143-SUM($C143:W143))),0))</f>
        <v>0</v>
      </c>
      <c r="Y143" s="4">
        <f>IF($B$116=0,0,IF(Y$2&gt;=$A143,IF(Y$2=$A143,($B143/$B$116)*$B$113,IF(Y$2&lt;=$A143+$B$116-1,$B143/$B$116,$B143-SUM($C143:X143))),0))</f>
        <v>0</v>
      </c>
      <c r="Z143" s="4">
        <f>IF($B$116=0,0,IF(Z$2&gt;=$A143,IF(Z$2=$A143,($B143/$B$116)*$B$113,IF(Z$2&lt;=$A143+$B$116-1,$B143/$B$116,$B143-SUM($C143:Y143))),0))</f>
        <v>0</v>
      </c>
      <c r="AA143" s="4">
        <f>IF($B$116=0,0,IF(AA$2&gt;=$A143,IF(AA$2=$A143,($B143/$B$116)*$B$113,IF(AA$2&lt;=$A143+$B$116-1,$B143/$B$116,$B143-SUM($C143:Z143))),0))</f>
        <v>0</v>
      </c>
      <c r="AB143" s="4">
        <f>IF($B$116=0,0,IF(AB$2&gt;=$A143,IF(AB$2=$A143,($B143/$B$116)*$B$113,IF(AB$2&lt;=$A143+$B$116-1,$B143/$B$116,$B143-SUM($C143:AA143))),0))</f>
        <v>0</v>
      </c>
      <c r="AC143" s="4">
        <f>IF($B$116=0,0,IF(AC$2&gt;=$A143,IF(AC$2=$A143,($B143/$B$116)*$B$113,IF(AC$2&lt;=$A143+$B$116-1,$B143/$B$116,$B143-SUM($C143:AB143))),0))</f>
        <v>0</v>
      </c>
      <c r="AD143" s="4">
        <f>IF($B$116=0,0,IF(AD$2&gt;=$A143,IF(AD$2=$A143,($B143/$B$116)*$B$113,IF(AD$2&lt;=$A143+$B$116-1,$B143/$B$116,$B143-SUM($C143:AC143))),0))</f>
        <v>0</v>
      </c>
      <c r="AE143" s="4">
        <f>IF($B$116=0,0,IF(AE$2&gt;=$A143,IF(AE$2=$A143,($B143/$B$116)*$B$113,IF(AE$2&lt;=$A143+$B$116-1,$B143/$B$116,$B143-SUM($C143:AD143))),0))</f>
        <v>0</v>
      </c>
      <c r="AF143" s="4">
        <f>IF($B$116=0,0,IF(AF$2&gt;=$A143,IF(AF$2=$A143,($B143/$B$116)*$B$113,IF(AF$2&lt;=$A143+$B$116-1,$B143/$B$116,$B143-SUM($C143:AE143))),0))</f>
        <v>0</v>
      </c>
      <c r="AG143" s="4">
        <f t="shared" si="72"/>
        <v>0</v>
      </c>
    </row>
    <row r="144" spans="1:33">
      <c r="A144" s="6">
        <f t="shared" si="71"/>
        <v>2049</v>
      </c>
      <c r="B144" s="4">
        <f t="shared" si="69"/>
        <v>0</v>
      </c>
      <c r="C144" s="4">
        <f>IF($B$116=0,0,IF(C$2&gt;=$A144,IF(C$2=$A144,($B144/$B$116)*$B$113,IF(C$2&lt;=$A144+$B$116-1,$B144/$B$116,$B144-SUM(B144:$C144))),0))</f>
        <v>0</v>
      </c>
      <c r="D144" s="4">
        <f>IF($B$116=0,0,IF(D$2&gt;=$A144,IF(D$2=$A144,($B144/$B$116)*$B$113,IF(D$2&lt;=$A144+$B$116-1,$B144/$B$116,$B144-SUM(C144:$C144))),0))</f>
        <v>0</v>
      </c>
      <c r="E144" s="4">
        <f>IF($B$116=0,0,IF(E$2&gt;=$A144,IF(E$2=$A144,($B144/$B$116)*$B$113,IF(E$2&lt;=$A144+$B$116-1,$B144/$B$116,$B144-SUM($C144:D144))),0))</f>
        <v>0</v>
      </c>
      <c r="F144" s="4">
        <f>IF($B$116=0,0,IF(F$2&gt;=$A144,IF(F$2=$A144,($B144/$B$116)*$B$113,IF(F$2&lt;=$A144+$B$116-1,$B144/$B$116,$B144-SUM($C144:E144))),0))</f>
        <v>0</v>
      </c>
      <c r="G144" s="4">
        <f>IF($B$116=0,0,IF(G$2&gt;=$A144,IF(G$2=$A144,($B144/$B$116)*$B$113,IF(G$2&lt;=$A144+$B$116-1,$B144/$B$116,$B144-SUM($C144:F144))),0))</f>
        <v>0</v>
      </c>
      <c r="H144" s="4">
        <f>IF($B$116=0,0,IF(H$2&gt;=$A144,IF(H$2=$A144,($B144/$B$116)*$B$113,IF(H$2&lt;=$A144+$B$116-1,$B144/$B$116,$B144-SUM($C144:G144))),0))</f>
        <v>0</v>
      </c>
      <c r="I144" s="4">
        <f>IF($B$116=0,0,IF(I$2&gt;=$A144,IF(I$2=$A144,($B144/$B$116)*$B$113,IF(I$2&lt;=$A144+$B$116-1,$B144/$B$116,$B144-SUM($C144:H144))),0))</f>
        <v>0</v>
      </c>
      <c r="J144" s="4">
        <f>IF($B$116=0,0,IF(J$2&gt;=$A144,IF(J$2=$A144,($B144/$B$116)*$B$113,IF(J$2&lt;=$A144+$B$116-1,$B144/$B$116,$B144-SUM($C144:I144))),0))</f>
        <v>0</v>
      </c>
      <c r="K144" s="4">
        <f>IF($B$116=0,0,IF(K$2&gt;=$A144,IF(K$2=$A144,($B144/$B$116)*$B$113,IF(K$2&lt;=$A144+$B$116-1,$B144/$B$116,$B144-SUM($C144:J144))),0))</f>
        <v>0</v>
      </c>
      <c r="L144" s="4">
        <f>IF($B$116=0,0,IF(L$2&gt;=$A144,IF(L$2=$A144,($B144/$B$116)*$B$113,IF(L$2&lt;=$A144+$B$116-1,$B144/$B$116,$B144-SUM($C144:K144))),0))</f>
        <v>0</v>
      </c>
      <c r="M144" s="4">
        <f>IF($B$116=0,0,IF(M$2&gt;=$A144,IF(M$2=$A144,($B144/$B$116)*$B$113,IF(M$2&lt;=$A144+$B$116-1,$B144/$B$116,$B144-SUM($C144:L144))),0))</f>
        <v>0</v>
      </c>
      <c r="N144" s="4">
        <f>IF($B$116=0,0,IF(N$2&gt;=$A144,IF(N$2=$A144,($B144/$B$116)*$B$113,IF(N$2&lt;=$A144+$B$116-1,$B144/$B$116,$B144-SUM($C144:M144))),0))</f>
        <v>0</v>
      </c>
      <c r="O144" s="4">
        <f>IF($B$116=0,0,IF(O$2&gt;=$A144,IF(O$2=$A144,($B144/$B$116)*$B$113,IF(O$2&lt;=$A144+$B$116-1,$B144/$B$116,$B144-SUM($C144:N144))),0))</f>
        <v>0</v>
      </c>
      <c r="P144" s="4">
        <f>IF($B$116=0,0,IF(P$2&gt;=$A144,IF(P$2=$A144,($B144/$B$116)*$B$113,IF(P$2&lt;=$A144+$B$116-1,$B144/$B$116,$B144-SUM($C144:O144))),0))</f>
        <v>0</v>
      </c>
      <c r="Q144" s="4">
        <f>IF($B$116=0,0,IF(Q$2&gt;=$A144,IF(Q$2=$A144,($B144/$B$116)*$B$113,IF(Q$2&lt;=$A144+$B$116-1,$B144/$B$116,$B144-SUM($C144:P144))),0))</f>
        <v>0</v>
      </c>
      <c r="R144" s="4">
        <f>IF($B$116=0,0,IF(R$2&gt;=$A144,IF(R$2=$A144,($B144/$B$116)*$B$113,IF(R$2&lt;=$A144+$B$116-1,$B144/$B$116,$B144-SUM($C144:Q144))),0))</f>
        <v>0</v>
      </c>
      <c r="S144" s="4">
        <f>IF($B$116=0,0,IF(S$2&gt;=$A144,IF(S$2=$A144,($B144/$B$116)*$B$113,IF(S$2&lt;=$A144+$B$116-1,$B144/$B$116,$B144-SUM($C144:R144))),0))</f>
        <v>0</v>
      </c>
      <c r="T144" s="4">
        <f>IF($B$116=0,0,IF(T$2&gt;=$A144,IF(T$2=$A144,($B144/$B$116)*$B$113,IF(T$2&lt;=$A144+$B$116-1,$B144/$B$116,$B144-SUM($C144:S144))),0))</f>
        <v>0</v>
      </c>
      <c r="U144" s="4">
        <f>IF($B$116=0,0,IF(U$2&gt;=$A144,IF(U$2=$A144,($B144/$B$116)*$B$113,IF(U$2&lt;=$A144+$B$116-1,$B144/$B$116,$B144-SUM($C144:T144))),0))</f>
        <v>0</v>
      </c>
      <c r="V144" s="4">
        <f>IF($B$116=0,0,IF(V$2&gt;=$A144,IF(V$2=$A144,($B144/$B$116)*$B$113,IF(V$2&lt;=$A144+$B$116-1,$B144/$B$116,$B144-SUM($C144:U144))),0))</f>
        <v>0</v>
      </c>
      <c r="W144" s="4">
        <f>IF($B$116=0,0,IF(W$2&gt;=$A144,IF(W$2=$A144,($B144/$B$116)*$B$113,IF(W$2&lt;=$A144+$B$116-1,$B144/$B$116,$B144-SUM($C144:V144))),0))</f>
        <v>0</v>
      </c>
      <c r="X144" s="4">
        <f>IF($B$116=0,0,IF(X$2&gt;=$A144,IF(X$2=$A144,($B144/$B$116)*$B$113,IF(X$2&lt;=$A144+$B$116-1,$B144/$B$116,$B144-SUM($C144:W144))),0))</f>
        <v>0</v>
      </c>
      <c r="Y144" s="4">
        <f>IF($B$116=0,0,IF(Y$2&gt;=$A144,IF(Y$2=$A144,($B144/$B$116)*$B$113,IF(Y$2&lt;=$A144+$B$116-1,$B144/$B$116,$B144-SUM($C144:X144))),0))</f>
        <v>0</v>
      </c>
      <c r="Z144" s="4">
        <f>IF($B$116=0,0,IF(Z$2&gt;=$A144,IF(Z$2=$A144,($B144/$B$116)*$B$113,IF(Z$2&lt;=$A144+$B$116-1,$B144/$B$116,$B144-SUM($C144:Y144))),0))</f>
        <v>0</v>
      </c>
      <c r="AA144" s="4">
        <f>IF($B$116=0,0,IF(AA$2&gt;=$A144,IF(AA$2=$A144,($B144/$B$116)*$B$113,IF(AA$2&lt;=$A144+$B$116-1,$B144/$B$116,$B144-SUM($C144:Z144))),0))</f>
        <v>0</v>
      </c>
      <c r="AB144" s="4">
        <f>IF($B$116=0,0,IF(AB$2&gt;=$A144,IF(AB$2=$A144,($B144/$B$116)*$B$113,IF(AB$2&lt;=$A144+$B$116-1,$B144/$B$116,$B144-SUM($C144:AA144))),0))</f>
        <v>0</v>
      </c>
      <c r="AC144" s="4">
        <f>IF($B$116=0,0,IF(AC$2&gt;=$A144,IF(AC$2=$A144,($B144/$B$116)*$B$113,IF(AC$2&lt;=$A144+$B$116-1,$B144/$B$116,$B144-SUM($C144:AB144))),0))</f>
        <v>0</v>
      </c>
      <c r="AD144" s="4">
        <f>IF($B$116=0,0,IF(AD$2&gt;=$A144,IF(AD$2=$A144,($B144/$B$116)*$B$113,IF(AD$2&lt;=$A144+$B$116-1,$B144/$B$116,$B144-SUM($C144:AC144))),0))</f>
        <v>0</v>
      </c>
      <c r="AE144" s="4">
        <f>IF($B$116=0,0,IF(AE$2&gt;=$A144,IF(AE$2=$A144,($B144/$B$116)*$B$113,IF(AE$2&lt;=$A144+$B$116-1,$B144/$B$116,$B144-SUM($C144:AD144))),0))</f>
        <v>0</v>
      </c>
      <c r="AF144" s="4">
        <f>IF($B$116=0,0,IF(AF$2&gt;=$A144,IF(AF$2=$A144,($B144/$B$116)*$B$113,IF(AF$2&lt;=$A144+$B$116-1,$B144/$B$116,$B144-SUM($C144:AE144))),0))</f>
        <v>0</v>
      </c>
      <c r="AG144" s="4">
        <f t="shared" si="72"/>
        <v>0</v>
      </c>
    </row>
    <row r="145" spans="1:33">
      <c r="A145" s="6">
        <f t="shared" si="71"/>
        <v>2050</v>
      </c>
      <c r="B145" s="4">
        <f t="shared" si="69"/>
        <v>0</v>
      </c>
      <c r="C145" s="4">
        <f>IF($B$116=0,0,IF(C$2&gt;=$A145,IF(C$2=$A145,($B145/$B$116)*$B$113,IF(C$2&lt;=$A145+$B$116-1,$B145/$B$116,$B145-SUM(B145:$C145))),0))</f>
        <v>0</v>
      </c>
      <c r="D145" s="4">
        <f>IF($B$116=0,0,IF(D$2&gt;=$A145,IF(D$2=$A145,($B145/$B$116)*$B$113,IF(D$2&lt;=$A145+$B$116-1,$B145/$B$116,$B145-SUM(C145:$C145))),0))</f>
        <v>0</v>
      </c>
      <c r="E145" s="4">
        <f>IF($B$116=0,0,IF(E$2&gt;=$A145,IF(E$2=$A145,($B145/$B$116)*$B$113,IF(E$2&lt;=$A145+$B$116-1,$B145/$B$116,$B145-SUM($C145:D145))),0))</f>
        <v>0</v>
      </c>
      <c r="F145" s="4">
        <f>IF($B$116=0,0,IF(F$2&gt;=$A145,IF(F$2=$A145,($B145/$B$116)*$B$113,IF(F$2&lt;=$A145+$B$116-1,$B145/$B$116,$B145-SUM($C145:E145))),0))</f>
        <v>0</v>
      </c>
      <c r="G145" s="4">
        <f>IF($B$116=0,0,IF(G$2&gt;=$A145,IF(G$2=$A145,($B145/$B$116)*$B$113,IF(G$2&lt;=$A145+$B$116-1,$B145/$B$116,$B145-SUM($C145:F145))),0))</f>
        <v>0</v>
      </c>
      <c r="H145" s="4">
        <f>IF($B$116=0,0,IF(H$2&gt;=$A145,IF(H$2=$A145,($B145/$B$116)*$B$113,IF(H$2&lt;=$A145+$B$116-1,$B145/$B$116,$B145-SUM($C145:G145))),0))</f>
        <v>0</v>
      </c>
      <c r="I145" s="4">
        <f>IF($B$116=0,0,IF(I$2&gt;=$A145,IF(I$2=$A145,($B145/$B$116)*$B$113,IF(I$2&lt;=$A145+$B$116-1,$B145/$B$116,$B145-SUM($C145:H145))),0))</f>
        <v>0</v>
      </c>
      <c r="J145" s="4">
        <f>IF($B$116=0,0,IF(J$2&gt;=$A145,IF(J$2=$A145,($B145/$B$116)*$B$113,IF(J$2&lt;=$A145+$B$116-1,$B145/$B$116,$B145-SUM($C145:I145))),0))</f>
        <v>0</v>
      </c>
      <c r="K145" s="4">
        <f>IF($B$116=0,0,IF(K$2&gt;=$A145,IF(K$2=$A145,($B145/$B$116)*$B$113,IF(K$2&lt;=$A145+$B$116-1,$B145/$B$116,$B145-SUM($C145:J145))),0))</f>
        <v>0</v>
      </c>
      <c r="L145" s="4">
        <f>IF($B$116=0,0,IF(L$2&gt;=$A145,IF(L$2=$A145,($B145/$B$116)*$B$113,IF(L$2&lt;=$A145+$B$116-1,$B145/$B$116,$B145-SUM($C145:K145))),0))</f>
        <v>0</v>
      </c>
      <c r="M145" s="4">
        <f>IF($B$116=0,0,IF(M$2&gt;=$A145,IF(M$2=$A145,($B145/$B$116)*$B$113,IF(M$2&lt;=$A145+$B$116-1,$B145/$B$116,$B145-SUM($C145:L145))),0))</f>
        <v>0</v>
      </c>
      <c r="N145" s="4">
        <f>IF($B$116=0,0,IF(N$2&gt;=$A145,IF(N$2=$A145,($B145/$B$116)*$B$113,IF(N$2&lt;=$A145+$B$116-1,$B145/$B$116,$B145-SUM($C145:M145))),0))</f>
        <v>0</v>
      </c>
      <c r="O145" s="4">
        <f>IF($B$116=0,0,IF(O$2&gt;=$A145,IF(O$2=$A145,($B145/$B$116)*$B$113,IF(O$2&lt;=$A145+$B$116-1,$B145/$B$116,$B145-SUM($C145:N145))),0))</f>
        <v>0</v>
      </c>
      <c r="P145" s="4">
        <f>IF($B$116=0,0,IF(P$2&gt;=$A145,IF(P$2=$A145,($B145/$B$116)*$B$113,IF(P$2&lt;=$A145+$B$116-1,$B145/$B$116,$B145-SUM($C145:O145))),0))</f>
        <v>0</v>
      </c>
      <c r="Q145" s="4">
        <f>IF($B$116=0,0,IF(Q$2&gt;=$A145,IF(Q$2=$A145,($B145/$B$116)*$B$113,IF(Q$2&lt;=$A145+$B$116-1,$B145/$B$116,$B145-SUM($C145:P145))),0))</f>
        <v>0</v>
      </c>
      <c r="R145" s="4">
        <f>IF($B$116=0,0,IF(R$2&gt;=$A145,IF(R$2=$A145,($B145/$B$116)*$B$113,IF(R$2&lt;=$A145+$B$116-1,$B145/$B$116,$B145-SUM($C145:Q145))),0))</f>
        <v>0</v>
      </c>
      <c r="S145" s="4">
        <f>IF($B$116=0,0,IF(S$2&gt;=$A145,IF(S$2=$A145,($B145/$B$116)*$B$113,IF(S$2&lt;=$A145+$B$116-1,$B145/$B$116,$B145-SUM($C145:R145))),0))</f>
        <v>0</v>
      </c>
      <c r="T145" s="4">
        <f>IF($B$116=0,0,IF(T$2&gt;=$A145,IF(T$2=$A145,($B145/$B$116)*$B$113,IF(T$2&lt;=$A145+$B$116-1,$B145/$B$116,$B145-SUM($C145:S145))),0))</f>
        <v>0</v>
      </c>
      <c r="U145" s="4">
        <f>IF($B$116=0,0,IF(U$2&gt;=$A145,IF(U$2=$A145,($B145/$B$116)*$B$113,IF(U$2&lt;=$A145+$B$116-1,$B145/$B$116,$B145-SUM($C145:T145))),0))</f>
        <v>0</v>
      </c>
      <c r="V145" s="4">
        <f>IF($B$116=0,0,IF(V$2&gt;=$A145,IF(V$2=$A145,($B145/$B$116)*$B$113,IF(V$2&lt;=$A145+$B$116-1,$B145/$B$116,$B145-SUM($C145:U145))),0))</f>
        <v>0</v>
      </c>
      <c r="W145" s="4">
        <f>IF($B$116=0,0,IF(W$2&gt;=$A145,IF(W$2=$A145,($B145/$B$116)*$B$113,IF(W$2&lt;=$A145+$B$116-1,$B145/$B$116,$B145-SUM($C145:V145))),0))</f>
        <v>0</v>
      </c>
      <c r="X145" s="4">
        <f>IF($B$116=0,0,IF(X$2&gt;=$A145,IF(X$2=$A145,($B145/$B$116)*$B$113,IF(X$2&lt;=$A145+$B$116-1,$B145/$B$116,$B145-SUM($C145:W145))),0))</f>
        <v>0</v>
      </c>
      <c r="Y145" s="4">
        <f>IF($B$116=0,0,IF(Y$2&gt;=$A145,IF(Y$2=$A145,($B145/$B$116)*$B$113,IF(Y$2&lt;=$A145+$B$116-1,$B145/$B$116,$B145-SUM($C145:X145))),0))</f>
        <v>0</v>
      </c>
      <c r="Z145" s="4">
        <f>IF($B$116=0,0,IF(Z$2&gt;=$A145,IF(Z$2=$A145,($B145/$B$116)*$B$113,IF(Z$2&lt;=$A145+$B$116-1,$B145/$B$116,$B145-SUM($C145:Y145))),0))</f>
        <v>0</v>
      </c>
      <c r="AA145" s="4">
        <f>IF($B$116=0,0,IF(AA$2&gt;=$A145,IF(AA$2=$A145,($B145/$B$116)*$B$113,IF(AA$2&lt;=$A145+$B$116-1,$B145/$B$116,$B145-SUM($C145:Z145))),0))</f>
        <v>0</v>
      </c>
      <c r="AB145" s="4">
        <f>IF($B$116=0,0,IF(AB$2&gt;=$A145,IF(AB$2=$A145,($B145/$B$116)*$B$113,IF(AB$2&lt;=$A145+$B$116-1,$B145/$B$116,$B145-SUM($C145:AA145))),0))</f>
        <v>0</v>
      </c>
      <c r="AC145" s="4">
        <f>IF($B$116=0,0,IF(AC$2&gt;=$A145,IF(AC$2=$A145,($B145/$B$116)*$B$113,IF(AC$2&lt;=$A145+$B$116-1,$B145/$B$116,$B145-SUM($C145:AB145))),0))</f>
        <v>0</v>
      </c>
      <c r="AD145" s="4">
        <f>IF($B$116=0,0,IF(AD$2&gt;=$A145,IF(AD$2=$A145,($B145/$B$116)*$B$113,IF(AD$2&lt;=$A145+$B$116-1,$B145/$B$116,$B145-SUM($C145:AC145))),0))</f>
        <v>0</v>
      </c>
      <c r="AE145" s="4">
        <f>IF($B$116=0,0,IF(AE$2&gt;=$A145,IF(AE$2=$A145,($B145/$B$116)*$B$113,IF(AE$2&lt;=$A145+$B$116-1,$B145/$B$116,$B145-SUM($C145:AD145))),0))</f>
        <v>0</v>
      </c>
      <c r="AF145" s="4">
        <f>IF($B$116=0,0,IF(AF$2&gt;=$A145,IF(AF$2=$A145,($B145/$B$116)*$B$113,IF(AF$2&lt;=$A145+$B$116-1,$B145/$B$116,$B145-SUM($C145:AE145))),0))</f>
        <v>0</v>
      </c>
      <c r="AG145" s="4">
        <f t="shared" si="72"/>
        <v>0</v>
      </c>
    </row>
    <row r="146" spans="1:33">
      <c r="A146" s="6">
        <f t="shared" si="71"/>
        <v>2051</v>
      </c>
      <c r="B146" s="4">
        <f t="shared" si="69"/>
        <v>0</v>
      </c>
      <c r="C146" s="4">
        <f>IF($B$116=0,0,IF(C$2&gt;=$A146,IF(C$2=$A146,($B146/$B$116)*$B$113,IF(C$2&lt;=$A146+$B$116-1,$B146/$B$116,$B146-SUM(B146:$C146))),0))</f>
        <v>0</v>
      </c>
      <c r="D146" s="4">
        <f>IF($B$116=0,0,IF(D$2&gt;=$A146,IF(D$2=$A146,($B146/$B$116)*$B$113,IF(D$2&lt;=$A146+$B$116-1,$B146/$B$116,$B146-SUM(C146:$C146))),0))</f>
        <v>0</v>
      </c>
      <c r="E146" s="4">
        <f>IF($B$116=0,0,IF(E$2&gt;=$A146,IF(E$2=$A146,($B146/$B$116)*$B$113,IF(E$2&lt;=$A146+$B$116-1,$B146/$B$116,$B146-SUM($C146:D146))),0))</f>
        <v>0</v>
      </c>
      <c r="F146" s="4">
        <f>IF($B$116=0,0,IF(F$2&gt;=$A146,IF(F$2=$A146,($B146/$B$116)*$B$113,IF(F$2&lt;=$A146+$B$116-1,$B146/$B$116,$B146-SUM($C146:E146))),0))</f>
        <v>0</v>
      </c>
      <c r="G146" s="4">
        <f>IF($B$116=0,0,IF(G$2&gt;=$A146,IF(G$2=$A146,($B146/$B$116)*$B$113,IF(G$2&lt;=$A146+$B$116-1,$B146/$B$116,$B146-SUM($C146:F146))),0))</f>
        <v>0</v>
      </c>
      <c r="H146" s="4">
        <f>IF($B$116=0,0,IF(H$2&gt;=$A146,IF(H$2=$A146,($B146/$B$116)*$B$113,IF(H$2&lt;=$A146+$B$116-1,$B146/$B$116,$B146-SUM($C146:G146))),0))</f>
        <v>0</v>
      </c>
      <c r="I146" s="4">
        <f>IF($B$116=0,0,IF(I$2&gt;=$A146,IF(I$2=$A146,($B146/$B$116)*$B$113,IF(I$2&lt;=$A146+$B$116-1,$B146/$B$116,$B146-SUM($C146:H146))),0))</f>
        <v>0</v>
      </c>
      <c r="J146" s="4">
        <f>IF($B$116=0,0,IF(J$2&gt;=$A146,IF(J$2=$A146,($B146/$B$116)*$B$113,IF(J$2&lt;=$A146+$B$116-1,$B146/$B$116,$B146-SUM($C146:I146))),0))</f>
        <v>0</v>
      </c>
      <c r="K146" s="4">
        <f>IF($B$116=0,0,IF(K$2&gt;=$A146,IF(K$2=$A146,($B146/$B$116)*$B$113,IF(K$2&lt;=$A146+$B$116-1,$B146/$B$116,$B146-SUM($C146:J146))),0))</f>
        <v>0</v>
      </c>
      <c r="L146" s="4">
        <f>IF($B$116=0,0,IF(L$2&gt;=$A146,IF(L$2=$A146,($B146/$B$116)*$B$113,IF(L$2&lt;=$A146+$B$116-1,$B146/$B$116,$B146-SUM($C146:K146))),0))</f>
        <v>0</v>
      </c>
      <c r="M146" s="4">
        <f>IF($B$116=0,0,IF(M$2&gt;=$A146,IF(M$2=$A146,($B146/$B$116)*$B$113,IF(M$2&lt;=$A146+$B$116-1,$B146/$B$116,$B146-SUM($C146:L146))),0))</f>
        <v>0</v>
      </c>
      <c r="N146" s="4">
        <f>IF($B$116=0,0,IF(N$2&gt;=$A146,IF(N$2=$A146,($B146/$B$116)*$B$113,IF(N$2&lt;=$A146+$B$116-1,$B146/$B$116,$B146-SUM($C146:M146))),0))</f>
        <v>0</v>
      </c>
      <c r="O146" s="4">
        <f>IF($B$116=0,0,IF(O$2&gt;=$A146,IF(O$2=$A146,($B146/$B$116)*$B$113,IF(O$2&lt;=$A146+$B$116-1,$B146/$B$116,$B146-SUM($C146:N146))),0))</f>
        <v>0</v>
      </c>
      <c r="P146" s="4">
        <f>IF($B$116=0,0,IF(P$2&gt;=$A146,IF(P$2=$A146,($B146/$B$116)*$B$113,IF(P$2&lt;=$A146+$B$116-1,$B146/$B$116,$B146-SUM($C146:O146))),0))</f>
        <v>0</v>
      </c>
      <c r="Q146" s="4">
        <f>IF($B$116=0,0,IF(Q$2&gt;=$A146,IF(Q$2=$A146,($B146/$B$116)*$B$113,IF(Q$2&lt;=$A146+$B$116-1,$B146/$B$116,$B146-SUM($C146:P146))),0))</f>
        <v>0</v>
      </c>
      <c r="R146" s="4">
        <f>IF($B$116=0,0,IF(R$2&gt;=$A146,IF(R$2=$A146,($B146/$B$116)*$B$113,IF(R$2&lt;=$A146+$B$116-1,$B146/$B$116,$B146-SUM($C146:Q146))),0))</f>
        <v>0</v>
      </c>
      <c r="S146" s="4">
        <f>IF($B$116=0,0,IF(S$2&gt;=$A146,IF(S$2=$A146,($B146/$B$116)*$B$113,IF(S$2&lt;=$A146+$B$116-1,$B146/$B$116,$B146-SUM($C146:R146))),0))</f>
        <v>0</v>
      </c>
      <c r="T146" s="4">
        <f>IF($B$116=0,0,IF(T$2&gt;=$A146,IF(T$2=$A146,($B146/$B$116)*$B$113,IF(T$2&lt;=$A146+$B$116-1,$B146/$B$116,$B146-SUM($C146:S146))),0))</f>
        <v>0</v>
      </c>
      <c r="U146" s="4">
        <f>IF($B$116=0,0,IF(U$2&gt;=$A146,IF(U$2=$A146,($B146/$B$116)*$B$113,IF(U$2&lt;=$A146+$B$116-1,$B146/$B$116,$B146-SUM($C146:T146))),0))</f>
        <v>0</v>
      </c>
      <c r="V146" s="4">
        <f>IF($B$116=0,0,IF(V$2&gt;=$A146,IF(V$2=$A146,($B146/$B$116)*$B$113,IF(V$2&lt;=$A146+$B$116-1,$B146/$B$116,$B146-SUM($C146:U146))),0))</f>
        <v>0</v>
      </c>
      <c r="W146" s="4">
        <f>IF($B$116=0,0,IF(W$2&gt;=$A146,IF(W$2=$A146,($B146/$B$116)*$B$113,IF(W$2&lt;=$A146+$B$116-1,$B146/$B$116,$B146-SUM($C146:V146))),0))</f>
        <v>0</v>
      </c>
      <c r="X146" s="4">
        <f>IF($B$116=0,0,IF(X$2&gt;=$A146,IF(X$2=$A146,($B146/$B$116)*$B$113,IF(X$2&lt;=$A146+$B$116-1,$B146/$B$116,$B146-SUM($C146:W146))),0))</f>
        <v>0</v>
      </c>
      <c r="Y146" s="4">
        <f>IF($B$116=0,0,IF(Y$2&gt;=$A146,IF(Y$2=$A146,($B146/$B$116)*$B$113,IF(Y$2&lt;=$A146+$B$116-1,$B146/$B$116,$B146-SUM($C146:X146))),0))</f>
        <v>0</v>
      </c>
      <c r="Z146" s="4">
        <f>IF($B$116=0,0,IF(Z$2&gt;=$A146,IF(Z$2=$A146,($B146/$B$116)*$B$113,IF(Z$2&lt;=$A146+$B$116-1,$B146/$B$116,$B146-SUM($C146:Y146))),0))</f>
        <v>0</v>
      </c>
      <c r="AA146" s="4">
        <f>IF($B$116=0,0,IF(AA$2&gt;=$A146,IF(AA$2=$A146,($B146/$B$116)*$B$113,IF(AA$2&lt;=$A146+$B$116-1,$B146/$B$116,$B146-SUM($C146:Z146))),0))</f>
        <v>0</v>
      </c>
      <c r="AB146" s="4">
        <f>IF($B$116=0,0,IF(AB$2&gt;=$A146,IF(AB$2=$A146,($B146/$B$116)*$B$113,IF(AB$2&lt;=$A146+$B$116-1,$B146/$B$116,$B146-SUM($C146:AA146))),0))</f>
        <v>0</v>
      </c>
      <c r="AC146" s="4">
        <f>IF($B$116=0,0,IF(AC$2&gt;=$A146,IF(AC$2=$A146,($B146/$B$116)*$B$113,IF(AC$2&lt;=$A146+$B$116-1,$B146/$B$116,$B146-SUM($C146:AB146))),0))</f>
        <v>0</v>
      </c>
      <c r="AD146" s="4">
        <f>IF($B$116=0,0,IF(AD$2&gt;=$A146,IF(AD$2=$A146,($B146/$B$116)*$B$113,IF(AD$2&lt;=$A146+$B$116-1,$B146/$B$116,$B146-SUM($C146:AC146))),0))</f>
        <v>0</v>
      </c>
      <c r="AE146" s="4">
        <f>IF($B$116=0,0,IF(AE$2&gt;=$A146,IF(AE$2=$A146,($B146/$B$116)*$B$113,IF(AE$2&lt;=$A146+$B$116-1,$B146/$B$116,$B146-SUM($C146:AD146))),0))</f>
        <v>0</v>
      </c>
      <c r="AF146" s="4">
        <f>IF($B$116=0,0,IF(AF$2&gt;=$A146,IF(AF$2=$A146,($B146/$B$116)*$B$113,IF(AF$2&lt;=$A146+$B$116-1,$B146/$B$116,$B146-SUM($C146:AE146))),0))</f>
        <v>0</v>
      </c>
      <c r="AG146" s="4">
        <f t="shared" si="72"/>
        <v>0</v>
      </c>
    </row>
    <row r="147" spans="1:33" ht="15" thickBot="1">
      <c r="A147" s="6" t="str">
        <f>"Total Depreciation - "&amp;A113</f>
        <v>Total Depreciation - LEED Design Costs</v>
      </c>
      <c r="B147" s="43">
        <f>SUM(B117:B146)</f>
        <v>1550095.5124418859</v>
      </c>
      <c r="C147" s="43">
        <f>SUM(C117:C146)</f>
        <v>0</v>
      </c>
      <c r="D147" s="43">
        <f t="shared" ref="D147:AF147" si="73">SUM(D117:D146)</f>
        <v>0</v>
      </c>
      <c r="E147" s="43">
        <f t="shared" si="73"/>
        <v>0</v>
      </c>
      <c r="F147" s="43">
        <f t="shared" si="73"/>
        <v>12917.462603682383</v>
      </c>
      <c r="G147" s="43">
        <f t="shared" si="73"/>
        <v>25834.925207364766</v>
      </c>
      <c r="H147" s="43">
        <f t="shared" si="73"/>
        <v>25834.925207364766</v>
      </c>
      <c r="I147" s="43">
        <f t="shared" si="73"/>
        <v>25834.925207364766</v>
      </c>
      <c r="J147" s="43">
        <f t="shared" si="73"/>
        <v>25834.925207364766</v>
      </c>
      <c r="K147" s="43">
        <f t="shared" si="73"/>
        <v>25834.925207364766</v>
      </c>
      <c r="L147" s="43">
        <f t="shared" si="73"/>
        <v>25834.925207364766</v>
      </c>
      <c r="M147" s="43">
        <f t="shared" si="73"/>
        <v>25834.925207364766</v>
      </c>
      <c r="N147" s="43">
        <f t="shared" si="73"/>
        <v>25834.925207364766</v>
      </c>
      <c r="O147" s="43">
        <f t="shared" si="73"/>
        <v>25834.925207364766</v>
      </c>
      <c r="P147" s="43">
        <f t="shared" si="73"/>
        <v>25834.925207364766</v>
      </c>
      <c r="Q147" s="43">
        <f t="shared" si="73"/>
        <v>25834.925207364766</v>
      </c>
      <c r="R147" s="43">
        <f t="shared" si="73"/>
        <v>25834.925207364766</v>
      </c>
      <c r="S147" s="43">
        <f t="shared" si="73"/>
        <v>25834.925207364766</v>
      </c>
      <c r="T147" s="43">
        <f t="shared" si="73"/>
        <v>25834.925207364766</v>
      </c>
      <c r="U147" s="43">
        <f t="shared" si="73"/>
        <v>25834.925207364766</v>
      </c>
      <c r="V147" s="43">
        <f t="shared" si="73"/>
        <v>25834.925207364766</v>
      </c>
      <c r="W147" s="43">
        <f t="shared" si="73"/>
        <v>25834.925207364766</v>
      </c>
      <c r="X147" s="43">
        <f t="shared" si="73"/>
        <v>25834.925207364766</v>
      </c>
      <c r="Y147" s="43">
        <f t="shared" si="73"/>
        <v>25834.925207364766</v>
      </c>
      <c r="Z147" s="43">
        <f t="shared" si="73"/>
        <v>25834.925207364766</v>
      </c>
      <c r="AA147" s="43">
        <f t="shared" si="73"/>
        <v>25834.925207364766</v>
      </c>
      <c r="AB147" s="43">
        <f t="shared" si="73"/>
        <v>25834.925207364766</v>
      </c>
      <c r="AC147" s="43">
        <f t="shared" si="73"/>
        <v>25834.925207364766</v>
      </c>
      <c r="AD147" s="43">
        <f t="shared" si="73"/>
        <v>25834.925207364766</v>
      </c>
      <c r="AE147" s="43">
        <f t="shared" si="73"/>
        <v>25834.925207364766</v>
      </c>
      <c r="AF147" s="43">
        <f t="shared" si="73"/>
        <v>25834.925207364766</v>
      </c>
      <c r="AG147" s="43">
        <f>SUM(C147:AF147)</f>
        <v>684625.51799516624</v>
      </c>
    </row>
    <row r="149" spans="1:33">
      <c r="A149" s="302" t="str">
        <f>+Capex!$A$10</f>
        <v>Capital Plug</v>
      </c>
      <c r="B149" s="324">
        <f>+Capex!$C$10/12</f>
        <v>0.5</v>
      </c>
    </row>
    <row r="150" spans="1:33">
      <c r="A150" s="6" t="s">
        <v>399</v>
      </c>
      <c r="C150" s="40">
        <f>IF(Capex!$B$10=0,Capex!G$10,IF(Capex!$B$10=Capex!G$4,Capex!$AK$10,0))+IF(Capex!$B$10=0,Capex!G$24,IF(Capex!$B$10=Capex!G$4,Capex!$AK$24,0))</f>
        <v>0</v>
      </c>
      <c r="D150" s="40">
        <f>IF(Capex!$B$10=0,Capex!H$10,IF(Capex!$B$10=Capex!H$4,Capex!$AK$10,0))+IF(Capex!$B$10=0,Capex!H$24,IF(Capex!$B$10=Capex!H$4,Capex!$AK$24,0))</f>
        <v>0</v>
      </c>
      <c r="E150" s="40">
        <f>IF(Capex!$B$10=0,Capex!I$10,IF(Capex!$B$10=Capex!I$4,Capex!$AK$10,0))+IF(Capex!$B$10=0,Capex!I$24,IF(Capex!$B$10=Capex!I$4,Capex!$AK$24,0))</f>
        <v>0</v>
      </c>
      <c r="F150" s="40">
        <f>IF(Capex!$B$10=0,Capex!J$10,IF(Capex!$B$10=Capex!J$4,Capex!$AK$10,0))+IF(Capex!$B$10=0,Capex!J$24,IF(Capex!$B$10=Capex!J$4,Capex!$AK$24,0))</f>
        <v>5435990.2360561565</v>
      </c>
      <c r="G150" s="40">
        <f>IF(Capex!$B$10=0,Capex!K$10,IF(Capex!$B$10=Capex!K$4,Capex!$AK$10,0))+IF(Capex!$B$10=0,Capex!K$24,IF(Capex!$B$10=Capex!K$4,Capex!$AK$24,0))</f>
        <v>0</v>
      </c>
      <c r="H150" s="40">
        <f>IF(Capex!$B$10=0,Capex!L$10,IF(Capex!$B$10=Capex!L$4,Capex!$AK$10,0))+IF(Capex!$B$10=0,Capex!L$24,IF(Capex!$B$10=Capex!L$4,Capex!$AK$24,0))</f>
        <v>0</v>
      </c>
      <c r="I150" s="40">
        <f>IF(Capex!$B$10=0,Capex!M$10,IF(Capex!$B$10=Capex!M$4,Capex!$AK$10,0))+IF(Capex!$B$10=0,Capex!M$24,IF(Capex!$B$10=Capex!M$4,Capex!$AK$24,0))</f>
        <v>0</v>
      </c>
      <c r="J150" s="40">
        <f>IF(Capex!$B$10=0,Capex!N$10,IF(Capex!$B$10=Capex!N$4,Capex!$AK$10,0))+IF(Capex!$B$10=0,Capex!N$24,IF(Capex!$B$10=Capex!N$4,Capex!$AK$24,0))</f>
        <v>0</v>
      </c>
      <c r="K150" s="40">
        <f>IF(Capex!$B$10=0,Capex!O$10,IF(Capex!$B$10=Capex!O$4,Capex!$AK$10,0))+IF(Capex!$B$10=0,Capex!O$24,IF(Capex!$B$10=Capex!O$4,Capex!$AK$24,0))</f>
        <v>0</v>
      </c>
      <c r="L150" s="40">
        <f>IF(Capex!$B$10=0,Capex!P$10,IF(Capex!$B$10=Capex!P$4,Capex!$AK$10,0))+IF(Capex!$B$10=0,Capex!P$24,IF(Capex!$B$10=Capex!P$4,Capex!$AK$24,0))</f>
        <v>0</v>
      </c>
      <c r="M150" s="40">
        <f>IF(Capex!$B$10=0,Capex!Q$10,IF(Capex!$B$10=Capex!Q$4,Capex!$AK$10,0))+IF(Capex!$B$10=0,Capex!Q$24,IF(Capex!$B$10=Capex!Q$4,Capex!$AK$24,0))</f>
        <v>0</v>
      </c>
      <c r="N150" s="40">
        <f>IF(Capex!$B$10=0,Capex!R$10,IF(Capex!$B$10=Capex!R$4,Capex!$AK$10,0))+IF(Capex!$B$10=0,Capex!R$24,IF(Capex!$B$10=Capex!R$4,Capex!$AK$24,0))</f>
        <v>0</v>
      </c>
      <c r="O150" s="40">
        <f>IF(Capex!$B$10=0,Capex!S$10,IF(Capex!$B$10=Capex!S$4,Capex!$AK$10,0))+IF(Capex!$B$10=0,Capex!S$24,IF(Capex!$B$10=Capex!S$4,Capex!$AK$24,0))</f>
        <v>0</v>
      </c>
      <c r="P150" s="40">
        <f>IF(Capex!$B$10=0,Capex!T$10,IF(Capex!$B$10=Capex!T$4,Capex!$AK$10,0))+IF(Capex!$B$10=0,Capex!T$24,IF(Capex!$B$10=Capex!T$4,Capex!$AK$24,0))</f>
        <v>0</v>
      </c>
      <c r="Q150" s="40">
        <f>IF(Capex!$B$10=0,Capex!U$10,IF(Capex!$B$10=Capex!U$4,Capex!$AK$10,0))+IF(Capex!$B$10=0,Capex!U$24,IF(Capex!$B$10=Capex!U$4,Capex!$AK$24,0))</f>
        <v>0</v>
      </c>
      <c r="R150" s="40">
        <f>IF(Capex!$B$10=0,Capex!V$10,IF(Capex!$B$10=Capex!V$4,Capex!$AK$10,0))+IF(Capex!$B$10=0,Capex!V$24,IF(Capex!$B$10=Capex!V$4,Capex!$AK$24,0))</f>
        <v>0</v>
      </c>
      <c r="S150" s="40">
        <f>IF(Capex!$B$10=0,Capex!W$10,IF(Capex!$B$10=Capex!W$4,Capex!$AK$10,0))+IF(Capex!$B$10=0,Capex!W$24,IF(Capex!$B$10=Capex!W$4,Capex!$AK$24,0))</f>
        <v>0</v>
      </c>
      <c r="T150" s="40">
        <f>IF(Capex!$B$10=0,Capex!X$10,IF(Capex!$B$10=Capex!X$4,Capex!$AK$10,0))+IF(Capex!$B$10=0,Capex!X$24,IF(Capex!$B$10=Capex!X$4,Capex!$AK$24,0))</f>
        <v>0</v>
      </c>
      <c r="U150" s="40">
        <f>IF(Capex!$B$10=0,Capex!Y$10,IF(Capex!$B$10=Capex!Y$4,Capex!$AK$10,0))+IF(Capex!$B$10=0,Capex!Y$24,IF(Capex!$B$10=Capex!Y$4,Capex!$AK$24,0))</f>
        <v>0</v>
      </c>
      <c r="V150" s="40">
        <f>IF(Capex!$B$10=0,Capex!Z$10,IF(Capex!$B$10=Capex!Z$4,Capex!$AK$10,0))+IF(Capex!$B$10=0,Capex!Z$24,IF(Capex!$B$10=Capex!Z$4,Capex!$AK$24,0))</f>
        <v>0</v>
      </c>
      <c r="W150" s="40">
        <f>IF(Capex!$B$10=0,Capex!AA$10,IF(Capex!$B$10=Capex!AA$4,Capex!$AK$10,0))+IF(Capex!$B$10=0,Capex!AA$24,IF(Capex!$B$10=Capex!AA$4,Capex!$AK$24,0))</f>
        <v>0</v>
      </c>
      <c r="X150" s="40">
        <f>IF(Capex!$B$10=0,Capex!AB$10,IF(Capex!$B$10=Capex!AB$4,Capex!$AK$10,0))+IF(Capex!$B$10=0,Capex!AB$24,IF(Capex!$B$10=Capex!AB$4,Capex!$AK$24,0))</f>
        <v>0</v>
      </c>
      <c r="Y150" s="40">
        <f>IF(Capex!$B$10=0,Capex!AC$10,IF(Capex!$B$10=Capex!AC$4,Capex!$AK$10,0))+IF(Capex!$B$10=0,Capex!AC$24,IF(Capex!$B$10=Capex!AC$4,Capex!$AK$24,0))</f>
        <v>0</v>
      </c>
      <c r="Z150" s="40">
        <f>IF(Capex!$B$10=0,Capex!AD$10,IF(Capex!$B$10=Capex!AD$4,Capex!$AK$10,0))+IF(Capex!$B$10=0,Capex!AD$24,IF(Capex!$B$10=Capex!AD$4,Capex!$AK$24,0))</f>
        <v>0</v>
      </c>
      <c r="AA150" s="40">
        <f>IF(Capex!$B$10=0,Capex!AE$10,IF(Capex!$B$10=Capex!AE$4,Capex!$AK$10,0))+IF(Capex!$B$10=0,Capex!AE$24,IF(Capex!$B$10=Capex!AE$4,Capex!$AK$24,0))</f>
        <v>0</v>
      </c>
      <c r="AB150" s="40">
        <f>IF(Capex!$B$10=0,Capex!AF$10,IF(Capex!$B$10=Capex!AF$4,Capex!$AK$10,0))+IF(Capex!$B$10=0,Capex!AF$24,IF(Capex!$B$10=Capex!AF$4,Capex!$AK$24,0))</f>
        <v>0</v>
      </c>
      <c r="AC150" s="40">
        <f>IF(Capex!$B$10=0,Capex!AG$10,IF(Capex!$B$10=Capex!AG$4,Capex!$AK$10,0))+IF(Capex!$B$10=0,Capex!AG$24,IF(Capex!$B$10=Capex!AG$4,Capex!$AK$24,0))</f>
        <v>0</v>
      </c>
      <c r="AD150" s="40">
        <f>IF(Capex!$B$10=0,Capex!AH$10,IF(Capex!$B$10=Capex!AH$4,Capex!$AK$10,0))+IF(Capex!$B$10=0,Capex!AH$24,IF(Capex!$B$10=Capex!AH$4,Capex!$AK$24,0))</f>
        <v>0</v>
      </c>
      <c r="AE150" s="40">
        <f>IF(Capex!$B$10=0,Capex!AI$10,IF(Capex!$B$10=Capex!AI$4,Capex!$AK$10,0))+IF(Capex!$B$10=0,Capex!AI$24,IF(Capex!$B$10=Capex!AI$4,Capex!$AK$24,0))</f>
        <v>0</v>
      </c>
      <c r="AF150" s="40">
        <f>IF(Capex!$B$10=0,Capex!AJ$10,IF(Capex!$B$10=Capex!AJ$4,Capex!$AK$10,0))+IF(Capex!$B$10=0,Capex!AJ$24,IF(Capex!$B$10=Capex!AJ$4,Capex!$AK$24,0))</f>
        <v>0</v>
      </c>
    </row>
    <row r="151" spans="1:33">
      <c r="A151" s="6" t="s">
        <v>400</v>
      </c>
      <c r="B151" s="299"/>
      <c r="C151" s="49">
        <f>+C150</f>
        <v>0</v>
      </c>
      <c r="D151" s="49">
        <f t="shared" ref="D151" si="74">+D150+C151</f>
        <v>0</v>
      </c>
      <c r="E151" s="49">
        <f t="shared" ref="E151" si="75">+E150+D151</f>
        <v>0</v>
      </c>
      <c r="F151" s="49">
        <f t="shared" ref="F151" si="76">+F150+E151</f>
        <v>5435990.2360561565</v>
      </c>
      <c r="G151" s="49">
        <f t="shared" ref="G151" si="77">+G150+F151</f>
        <v>5435990.2360561565</v>
      </c>
      <c r="H151" s="49">
        <f t="shared" ref="H151" si="78">+H150+G151</f>
        <v>5435990.2360561565</v>
      </c>
      <c r="I151" s="49">
        <f t="shared" ref="I151" si="79">+I150+H151</f>
        <v>5435990.2360561565</v>
      </c>
      <c r="J151" s="49">
        <f t="shared" ref="J151" si="80">+J150+I151</f>
        <v>5435990.2360561565</v>
      </c>
      <c r="K151" s="49">
        <f t="shared" ref="K151" si="81">+K150+J151</f>
        <v>5435990.2360561565</v>
      </c>
      <c r="L151" s="49">
        <f t="shared" ref="L151" si="82">+L150+K151</f>
        <v>5435990.2360561565</v>
      </c>
      <c r="M151" s="49">
        <f t="shared" ref="M151" si="83">+M150+L151</f>
        <v>5435990.2360561565</v>
      </c>
      <c r="N151" s="49">
        <f t="shared" ref="N151" si="84">+N150+M151</f>
        <v>5435990.2360561565</v>
      </c>
      <c r="O151" s="49">
        <f t="shared" ref="O151" si="85">+O150+N151</f>
        <v>5435990.2360561565</v>
      </c>
      <c r="P151" s="49">
        <f t="shared" ref="P151" si="86">+P150+O151</f>
        <v>5435990.2360561565</v>
      </c>
      <c r="Q151" s="49">
        <f t="shared" ref="Q151" si="87">+Q150+P151</f>
        <v>5435990.2360561565</v>
      </c>
      <c r="R151" s="49">
        <f t="shared" ref="R151" si="88">+R150+Q151</f>
        <v>5435990.2360561565</v>
      </c>
      <c r="S151" s="49">
        <f t="shared" ref="S151" si="89">+S150+R151</f>
        <v>5435990.2360561565</v>
      </c>
      <c r="T151" s="49">
        <f t="shared" ref="T151" si="90">+T150+S151</f>
        <v>5435990.2360561565</v>
      </c>
      <c r="U151" s="49">
        <f t="shared" ref="U151" si="91">+U150+T151</f>
        <v>5435990.2360561565</v>
      </c>
      <c r="V151" s="49">
        <f t="shared" ref="V151" si="92">+V150+U151</f>
        <v>5435990.2360561565</v>
      </c>
      <c r="W151" s="49">
        <f t="shared" ref="W151" si="93">+W150+V151</f>
        <v>5435990.2360561565</v>
      </c>
      <c r="X151" s="49">
        <f t="shared" ref="X151" si="94">+X150+W151</f>
        <v>5435990.2360561565</v>
      </c>
      <c r="Y151" s="49">
        <f t="shared" ref="Y151" si="95">+Y150+X151</f>
        <v>5435990.2360561565</v>
      </c>
      <c r="Z151" s="49">
        <f t="shared" ref="Z151" si="96">+Z150+Y151</f>
        <v>5435990.2360561565</v>
      </c>
      <c r="AA151" s="49">
        <f t="shared" ref="AA151" si="97">+AA150+Z151</f>
        <v>5435990.2360561565</v>
      </c>
      <c r="AB151" s="49">
        <f t="shared" ref="AB151" si="98">+AB150+AA151</f>
        <v>5435990.2360561565</v>
      </c>
      <c r="AC151" s="49">
        <f t="shared" ref="AC151" si="99">+AC150+AB151</f>
        <v>5435990.2360561565</v>
      </c>
      <c r="AD151" s="49">
        <f t="shared" ref="AD151" si="100">+AD150+AC151</f>
        <v>5435990.2360561565</v>
      </c>
      <c r="AE151" s="49">
        <f t="shared" ref="AE151" si="101">+AE150+AD151</f>
        <v>5435990.2360561565</v>
      </c>
      <c r="AF151" s="49">
        <f t="shared" ref="AF151" si="102">+AF150+AE151</f>
        <v>5435990.2360561565</v>
      </c>
    </row>
    <row r="152" spans="1:33" ht="16.2">
      <c r="A152" s="6" t="s">
        <v>401</v>
      </c>
      <c r="B152" s="88">
        <f>+Capex!$D$10</f>
        <v>60</v>
      </c>
      <c r="AG152" s="462"/>
    </row>
    <row r="153" spans="1:33">
      <c r="A153" s="6">
        <f>+A9</f>
        <v>2022</v>
      </c>
      <c r="B153" s="4">
        <f t="shared" ref="B153:B182" si="103">SUMIF($C$2:$AF$2,A153,$C$150:$AF$150)</f>
        <v>0</v>
      </c>
      <c r="C153" s="4">
        <f>IF($B$152=0,0,IF(C$2&gt;=$A153,IF(C$2=$A153,($B153/$B$152)*$B$149,IF(C$2&lt;=$A153+$B$152-1,$B153/$B$152,$B153-SUM(B153:$C153))),0))</f>
        <v>0</v>
      </c>
      <c r="D153" s="4">
        <f>IF($B$152=0,0,IF(D$2&gt;=$A153,IF(D$2=$A153,($B153/$B$152)*$B$149,IF(D$2&lt;=$A153+$B$152-1,$B153/$B$152,$B153-SUM(C153:$C153))),0))</f>
        <v>0</v>
      </c>
      <c r="E153" s="4">
        <f>IF($B$152=0,0,IF(E$2&gt;=$A153,IF(E$2=$A153,($B153/$B$152)*$B$149,IF(E$2&lt;=$A153+$B$152-1,$B153/$B$152,$B153-SUM($C153:D153))),0))</f>
        <v>0</v>
      </c>
      <c r="F153" s="4">
        <f>IF($B$152=0,0,IF(F$2&gt;=$A153,IF(F$2=$A153,($B153/$B$152)*$B$149,IF(F$2&lt;=$A153+$B$152-1,$B153/$B$152,$B153-SUM($C153:E153))),0))</f>
        <v>0</v>
      </c>
      <c r="G153" s="4">
        <f>IF($B$152=0,0,IF(G$2&gt;=$A153,IF(G$2=$A153,($B153/$B$152)*$B$149,IF(G$2&lt;=$A153+$B$152-1,$B153/$B$152,$B153-SUM($C153:F153))),0))</f>
        <v>0</v>
      </c>
      <c r="H153" s="4">
        <f>IF($B$152=0,0,IF(H$2&gt;=$A153,IF(H$2=$A153,($B153/$B$152)*$B$149,IF(H$2&lt;=$A153+$B$152-1,$B153/$B$152,$B153-SUM($C153:G153))),0))</f>
        <v>0</v>
      </c>
      <c r="I153" s="4">
        <f>IF($B$152=0,0,IF(I$2&gt;=$A153,IF(I$2=$A153,($B153/$B$152)*$B$149,IF(I$2&lt;=$A153+$B$152-1,$B153/$B$152,$B153-SUM($C153:H153))),0))</f>
        <v>0</v>
      </c>
      <c r="J153" s="4">
        <f>IF($B$152=0,0,IF(J$2&gt;=$A153,IF(J$2=$A153,($B153/$B$152)*$B$149,IF(J$2&lt;=$A153+$B$152-1,$B153/$B$152,$B153-SUM($C153:I153))),0))</f>
        <v>0</v>
      </c>
      <c r="K153" s="4">
        <f>IF($B$152=0,0,IF(K$2&gt;=$A153,IF(K$2=$A153,($B153/$B$152)*$B$149,IF(K$2&lt;=$A153+$B$152-1,$B153/$B$152,$B153-SUM($C153:J153))),0))</f>
        <v>0</v>
      </c>
      <c r="L153" s="4">
        <f>IF($B$152=0,0,IF(L$2&gt;=$A153,IF(L$2=$A153,($B153/$B$152)*$B$149,IF(L$2&lt;=$A153+$B$152-1,$B153/$B$152,$B153-SUM($C153:K153))),0))</f>
        <v>0</v>
      </c>
      <c r="M153" s="4">
        <f>IF($B$152=0,0,IF(M$2&gt;=$A153,IF(M$2=$A153,($B153/$B$152)*$B$149,IF(M$2&lt;=$A153+$B$152-1,$B153/$B$152,$B153-SUM($C153:L153))),0))</f>
        <v>0</v>
      </c>
      <c r="N153" s="4">
        <f>IF($B$152=0,0,IF(N$2&gt;=$A153,IF(N$2=$A153,($B153/$B$152)*$B$149,IF(N$2&lt;=$A153+$B$152-1,$B153/$B$152,$B153-SUM($C153:M153))),0))</f>
        <v>0</v>
      </c>
      <c r="O153" s="4">
        <f>IF($B$152=0,0,IF(O$2&gt;=$A153,IF(O$2=$A153,($B153/$B$152)*$B$149,IF(O$2&lt;=$A153+$B$152-1,$B153/$B$152,$B153-SUM($C153:N153))),0))</f>
        <v>0</v>
      </c>
      <c r="P153" s="4">
        <f>IF($B$152=0,0,IF(P$2&gt;=$A153,IF(P$2=$A153,($B153/$B$152)*$B$149,IF(P$2&lt;=$A153+$B$152-1,$B153/$B$152,$B153-SUM($C153:O153))),0))</f>
        <v>0</v>
      </c>
      <c r="Q153" s="4">
        <f>IF($B$152=0,0,IF(Q$2&gt;=$A153,IF(Q$2=$A153,($B153/$B$152)*$B$149,IF(Q$2&lt;=$A153+$B$152-1,$B153/$B$152,$B153-SUM($C153:P153))),0))</f>
        <v>0</v>
      </c>
      <c r="R153" s="4">
        <f>IF($B$152=0,0,IF(R$2&gt;=$A153,IF(R$2=$A153,($B153/$B$152)*$B$149,IF(R$2&lt;=$A153+$B$152-1,$B153/$B$152,$B153-SUM($C153:Q153))),0))</f>
        <v>0</v>
      </c>
      <c r="S153" s="4">
        <f>IF($B$152=0,0,IF(S$2&gt;=$A153,IF(S$2=$A153,($B153/$B$152)*$B$149,IF(S$2&lt;=$A153+$B$152-1,$B153/$B$152,$B153-SUM($C153:R153))),0))</f>
        <v>0</v>
      </c>
      <c r="T153" s="4">
        <f>IF($B$152=0,0,IF(T$2&gt;=$A153,IF(T$2=$A153,($B153/$B$152)*$B$149,IF(T$2&lt;=$A153+$B$152-1,$B153/$B$152,$B153-SUM($C153:S153))),0))</f>
        <v>0</v>
      </c>
      <c r="U153" s="4">
        <f>IF($B$152=0,0,IF(U$2&gt;=$A153,IF(U$2=$A153,($B153/$B$152)*$B$149,IF(U$2&lt;=$A153+$B$152-1,$B153/$B$152,$B153-SUM($C153:T153))),0))</f>
        <v>0</v>
      </c>
      <c r="V153" s="4">
        <f>IF($B$152=0,0,IF(V$2&gt;=$A153,IF(V$2=$A153,($B153/$B$152)*$B$149,IF(V$2&lt;=$A153+$B$152-1,$B153/$B$152,$B153-SUM($C153:U153))),0))</f>
        <v>0</v>
      </c>
      <c r="W153" s="4">
        <f>IF($B$152=0,0,IF(W$2&gt;=$A153,IF(W$2=$A153,($B153/$B$152)*$B$149,IF(W$2&lt;=$A153+$B$152-1,$B153/$B$152,$B153-SUM($C153:V153))),0))</f>
        <v>0</v>
      </c>
      <c r="X153" s="4">
        <f>IF($B$152=0,0,IF(X$2&gt;=$A153,IF(X$2=$A153,($B153/$B$152)*$B$149,IF(X$2&lt;=$A153+$B$152-1,$B153/$B$152,$B153-SUM($C153:W153))),0))</f>
        <v>0</v>
      </c>
      <c r="Y153" s="4">
        <f>IF($B$152=0,0,IF(Y$2&gt;=$A153,IF(Y$2=$A153,($B153/$B$152)*$B$149,IF(Y$2&lt;=$A153+$B$152-1,$B153/$B$152,$B153-SUM($C153:X153))),0))</f>
        <v>0</v>
      </c>
      <c r="Z153" s="4">
        <f>IF($B$152=0,0,IF(Z$2&gt;=$A153,IF(Z$2=$A153,($B153/$B$152)*$B$149,IF(Z$2&lt;=$A153+$B$152-1,$B153/$B$152,$B153-SUM($C153:Y153))),0))</f>
        <v>0</v>
      </c>
      <c r="AA153" s="4">
        <f>IF($B$152=0,0,IF(AA$2&gt;=$A153,IF(AA$2=$A153,($B153/$B$152)*$B$149,IF(AA$2&lt;=$A153+$B$152-1,$B153/$B$152,$B153-SUM($C153:Z153))),0))</f>
        <v>0</v>
      </c>
      <c r="AB153" s="4">
        <f>IF($B$152=0,0,IF(AB$2&gt;=$A153,IF(AB$2=$A153,($B153/$B$152)*$B$149,IF(AB$2&lt;=$A153+$B$152-1,$B153/$B$152,$B153-SUM($C153:AA153))),0))</f>
        <v>0</v>
      </c>
      <c r="AC153" s="4">
        <f>IF($B$152=0,0,IF(AC$2&gt;=$A153,IF(AC$2=$A153,($B153/$B$152)*$B$149,IF(AC$2&lt;=$A153+$B$152-1,$B153/$B$152,$B153-SUM($C153:AB153))),0))</f>
        <v>0</v>
      </c>
      <c r="AD153" s="4">
        <f>IF($B$152=0,0,IF(AD$2&gt;=$A153,IF(AD$2=$A153,($B153/$B$152)*$B$149,IF(AD$2&lt;=$A153+$B$152-1,$B153/$B$152,$B153-SUM($C153:AC153))),0))</f>
        <v>0</v>
      </c>
      <c r="AE153" s="4">
        <f>IF($B$152=0,0,IF(AE$2&gt;=$A153,IF(AE$2=$A153,($B153/$B$152)*$B$149,IF(AE$2&lt;=$A153+$B$152-1,$B153/$B$152,$B153-SUM($C153:AD153))),0))</f>
        <v>0</v>
      </c>
      <c r="AF153" s="4">
        <f>IF($B$152=0,0,IF(AF$2&gt;=$A153,IF(AF$2=$A153,($B153/$B$152)*$B$149,IF(AF$2&lt;=$A153+$B$152-1,$B153/$B$152,$B153-SUM($C153:AE153))),0))</f>
        <v>0</v>
      </c>
      <c r="AG153" s="4">
        <f t="shared" ref="AG153:AG177" si="104">SUM(C153:AF153)</f>
        <v>0</v>
      </c>
    </row>
    <row r="154" spans="1:33">
      <c r="A154" s="6">
        <f>+A153+1</f>
        <v>2023</v>
      </c>
      <c r="B154" s="4">
        <f t="shared" si="103"/>
        <v>0</v>
      </c>
      <c r="C154" s="4">
        <f>IF($B$152=0,0,IF(C$2&gt;=$A154,IF(C$2=$A154,($B154/$B$152)*$B$149,IF(C$2&lt;=$A154+$B$152-1,$B154/$B$152,$B154-SUM(B154:$C154))),0))</f>
        <v>0</v>
      </c>
      <c r="D154" s="4">
        <f>IF($B$152=0,0,IF(D$2&gt;=$A154,IF(D$2=$A154,($B154/$B$152)*$B$149,IF(D$2&lt;=$A154+$B$152-1,$B154/$B$152,$B154-SUM(C154:$C154))),0))</f>
        <v>0</v>
      </c>
      <c r="E154" s="4">
        <f>IF($B$152=0,0,IF(E$2&gt;=$A154,IF(E$2=$A154,($B154/$B$152)*$B$149,IF(E$2&lt;=$A154+$B$152-1,$B154/$B$152,$B154-SUM($C154:D154))),0))</f>
        <v>0</v>
      </c>
      <c r="F154" s="4">
        <f>IF($B$152=0,0,IF(F$2&gt;=$A154,IF(F$2=$A154,($B154/$B$152)*$B$149,IF(F$2&lt;=$A154+$B$152-1,$B154/$B$152,$B154-SUM($C154:E154))),0))</f>
        <v>0</v>
      </c>
      <c r="G154" s="4">
        <f>IF($B$152=0,0,IF(G$2&gt;=$A154,IF(G$2=$A154,($B154/$B$152)*$B$149,IF(G$2&lt;=$A154+$B$152-1,$B154/$B$152,$B154-SUM($C154:F154))),0))</f>
        <v>0</v>
      </c>
      <c r="H154" s="4">
        <f>IF($B$152=0,0,IF(H$2&gt;=$A154,IF(H$2=$A154,($B154/$B$152)*$B$149,IF(H$2&lt;=$A154+$B$152-1,$B154/$B$152,$B154-SUM($C154:G154))),0))</f>
        <v>0</v>
      </c>
      <c r="I154" s="4">
        <f>IF($B$152=0,0,IF(I$2&gt;=$A154,IF(I$2=$A154,($B154/$B$152)*$B$149,IF(I$2&lt;=$A154+$B$152-1,$B154/$B$152,$B154-SUM($C154:H154))),0))</f>
        <v>0</v>
      </c>
      <c r="J154" s="4">
        <f>IF($B$152=0,0,IF(J$2&gt;=$A154,IF(J$2=$A154,($B154/$B$152)*$B$149,IF(J$2&lt;=$A154+$B$152-1,$B154/$B$152,$B154-SUM($C154:I154))),0))</f>
        <v>0</v>
      </c>
      <c r="K154" s="4">
        <f>IF($B$152=0,0,IF(K$2&gt;=$A154,IF(K$2=$A154,($B154/$B$152)*$B$149,IF(K$2&lt;=$A154+$B$152-1,$B154/$B$152,$B154-SUM($C154:J154))),0))</f>
        <v>0</v>
      </c>
      <c r="L154" s="4">
        <f>IF($B$152=0,0,IF(L$2&gt;=$A154,IF(L$2=$A154,($B154/$B$152)*$B$149,IF(L$2&lt;=$A154+$B$152-1,$B154/$B$152,$B154-SUM($C154:K154))),0))</f>
        <v>0</v>
      </c>
      <c r="M154" s="4">
        <f>IF($B$152=0,0,IF(M$2&gt;=$A154,IF(M$2=$A154,($B154/$B$152)*$B$149,IF(M$2&lt;=$A154+$B$152-1,$B154/$B$152,$B154-SUM($C154:L154))),0))</f>
        <v>0</v>
      </c>
      <c r="N154" s="4">
        <f>IF($B$152=0,0,IF(N$2&gt;=$A154,IF(N$2=$A154,($B154/$B$152)*$B$149,IF(N$2&lt;=$A154+$B$152-1,$B154/$B$152,$B154-SUM($C154:M154))),0))</f>
        <v>0</v>
      </c>
      <c r="O154" s="4">
        <f>IF($B$152=0,0,IF(O$2&gt;=$A154,IF(O$2=$A154,($B154/$B$152)*$B$149,IF(O$2&lt;=$A154+$B$152-1,$B154/$B$152,$B154-SUM($C154:N154))),0))</f>
        <v>0</v>
      </c>
      <c r="P154" s="4">
        <f>IF($B$152=0,0,IF(P$2&gt;=$A154,IF(P$2=$A154,($B154/$B$152)*$B$149,IF(P$2&lt;=$A154+$B$152-1,$B154/$B$152,$B154-SUM($C154:O154))),0))</f>
        <v>0</v>
      </c>
      <c r="Q154" s="4">
        <f>IF($B$152=0,0,IF(Q$2&gt;=$A154,IF(Q$2=$A154,($B154/$B$152)*$B$149,IF(Q$2&lt;=$A154+$B$152-1,$B154/$B$152,$B154-SUM($C154:P154))),0))</f>
        <v>0</v>
      </c>
      <c r="R154" s="4">
        <f>IF($B$152=0,0,IF(R$2&gt;=$A154,IF(R$2=$A154,($B154/$B$152)*$B$149,IF(R$2&lt;=$A154+$B$152-1,$B154/$B$152,$B154-SUM($C154:Q154))),0))</f>
        <v>0</v>
      </c>
      <c r="S154" s="4">
        <f>IF($B$152=0,0,IF(S$2&gt;=$A154,IF(S$2=$A154,($B154/$B$152)*$B$149,IF(S$2&lt;=$A154+$B$152-1,$B154/$B$152,$B154-SUM($C154:R154))),0))</f>
        <v>0</v>
      </c>
      <c r="T154" s="4">
        <f>IF($B$152=0,0,IF(T$2&gt;=$A154,IF(T$2=$A154,($B154/$B$152)*$B$149,IF(T$2&lt;=$A154+$B$152-1,$B154/$B$152,$B154-SUM($C154:S154))),0))</f>
        <v>0</v>
      </c>
      <c r="U154" s="4">
        <f>IF($B$152=0,0,IF(U$2&gt;=$A154,IF(U$2=$A154,($B154/$B$152)*$B$149,IF(U$2&lt;=$A154+$B$152-1,$B154/$B$152,$B154-SUM($C154:T154))),0))</f>
        <v>0</v>
      </c>
      <c r="V154" s="4">
        <f>IF($B$152=0,0,IF(V$2&gt;=$A154,IF(V$2=$A154,($B154/$B$152)*$B$149,IF(V$2&lt;=$A154+$B$152-1,$B154/$B$152,$B154-SUM($C154:U154))),0))</f>
        <v>0</v>
      </c>
      <c r="W154" s="4">
        <f>IF($B$152=0,0,IF(W$2&gt;=$A154,IF(W$2=$A154,($B154/$B$152)*$B$149,IF(W$2&lt;=$A154+$B$152-1,$B154/$B$152,$B154-SUM($C154:V154))),0))</f>
        <v>0</v>
      </c>
      <c r="X154" s="4">
        <f>IF($B$152=0,0,IF(X$2&gt;=$A154,IF(X$2=$A154,($B154/$B$152)*$B$149,IF(X$2&lt;=$A154+$B$152-1,$B154/$B$152,$B154-SUM($C154:W154))),0))</f>
        <v>0</v>
      </c>
      <c r="Y154" s="4">
        <f>IF($B$152=0,0,IF(Y$2&gt;=$A154,IF(Y$2=$A154,($B154/$B$152)*$B$149,IF(Y$2&lt;=$A154+$B$152-1,$B154/$B$152,$B154-SUM($C154:X154))),0))</f>
        <v>0</v>
      </c>
      <c r="Z154" s="4">
        <f>IF($B$152=0,0,IF(Z$2&gt;=$A154,IF(Z$2=$A154,($B154/$B$152)*$B$149,IF(Z$2&lt;=$A154+$B$152-1,$B154/$B$152,$B154-SUM($C154:Y154))),0))</f>
        <v>0</v>
      </c>
      <c r="AA154" s="4">
        <f>IF($B$152=0,0,IF(AA$2&gt;=$A154,IF(AA$2=$A154,($B154/$B$152)*$B$149,IF(AA$2&lt;=$A154+$B$152-1,$B154/$B$152,$B154-SUM($C154:Z154))),0))</f>
        <v>0</v>
      </c>
      <c r="AB154" s="4">
        <f>IF($B$152=0,0,IF(AB$2&gt;=$A154,IF(AB$2=$A154,($B154/$B$152)*$B$149,IF(AB$2&lt;=$A154+$B$152-1,$B154/$B$152,$B154-SUM($C154:AA154))),0))</f>
        <v>0</v>
      </c>
      <c r="AC154" s="4">
        <f>IF($B$152=0,0,IF(AC$2&gt;=$A154,IF(AC$2=$A154,($B154/$B$152)*$B$149,IF(AC$2&lt;=$A154+$B$152-1,$B154/$B$152,$B154-SUM($C154:AB154))),0))</f>
        <v>0</v>
      </c>
      <c r="AD154" s="4">
        <f>IF($B$152=0,0,IF(AD$2&gt;=$A154,IF(AD$2=$A154,($B154/$B$152)*$B$149,IF(AD$2&lt;=$A154+$B$152-1,$B154/$B$152,$B154-SUM($C154:AC154))),0))</f>
        <v>0</v>
      </c>
      <c r="AE154" s="4">
        <f>IF($B$152=0,0,IF(AE$2&gt;=$A154,IF(AE$2=$A154,($B154/$B$152)*$B$149,IF(AE$2&lt;=$A154+$B$152-1,$B154/$B$152,$B154-SUM($C154:AD154))),0))</f>
        <v>0</v>
      </c>
      <c r="AF154" s="4">
        <f>IF($B$152=0,0,IF(AF$2&gt;=$A154,IF(AF$2=$A154,($B154/$B$152)*$B$149,IF(AF$2&lt;=$A154+$B$152-1,$B154/$B$152,$B154-SUM($C154:AE154))),0))</f>
        <v>0</v>
      </c>
      <c r="AG154" s="4">
        <f t="shared" si="104"/>
        <v>0</v>
      </c>
    </row>
    <row r="155" spans="1:33">
      <c r="A155" s="6">
        <f t="shared" ref="A155:A182" si="105">+A154+1</f>
        <v>2024</v>
      </c>
      <c r="B155" s="4">
        <f t="shared" si="103"/>
        <v>0</v>
      </c>
      <c r="C155" s="4">
        <f>IF($B$152=0,0,IF(C$2&gt;=$A155,IF(C$2=$A155,($B155/$B$152)*$B$149,IF(C$2&lt;=$A155+$B$152-1,$B155/$B$152,$B155-SUM(B155:$C155))),0))</f>
        <v>0</v>
      </c>
      <c r="D155" s="4">
        <f>IF($B$152=0,0,IF(D$2&gt;=$A155,IF(D$2=$A155,($B155/$B$152)*$B$149,IF(D$2&lt;=$A155+$B$152-1,$B155/$B$152,$B155-SUM(C155:$C155))),0))</f>
        <v>0</v>
      </c>
      <c r="E155" s="4">
        <f>IF($B$152=0,0,IF(E$2&gt;=$A155,IF(E$2=$A155,($B155/$B$152)*$B$149,IF(E$2&lt;=$A155+$B$152-1,$B155/$B$152,$B155-SUM($C155:D155))),0))</f>
        <v>0</v>
      </c>
      <c r="F155" s="4">
        <f>IF($B$152=0,0,IF(F$2&gt;=$A155,IF(F$2=$A155,($B155/$B$152)*$B$149,IF(F$2&lt;=$A155+$B$152-1,$B155/$B$152,$B155-SUM($C155:E155))),0))</f>
        <v>0</v>
      </c>
      <c r="G155" s="4">
        <f>IF($B$152=0,0,IF(G$2&gt;=$A155,IF(G$2=$A155,($B155/$B$152)*$B$149,IF(G$2&lt;=$A155+$B$152-1,$B155/$B$152,$B155-SUM($C155:F155))),0))</f>
        <v>0</v>
      </c>
      <c r="H155" s="4">
        <f>IF($B$152=0,0,IF(H$2&gt;=$A155,IF(H$2=$A155,($B155/$B$152)*$B$149,IF(H$2&lt;=$A155+$B$152-1,$B155/$B$152,$B155-SUM($C155:G155))),0))</f>
        <v>0</v>
      </c>
      <c r="I155" s="4">
        <f>IF($B$152=0,0,IF(I$2&gt;=$A155,IF(I$2=$A155,($B155/$B$152)*$B$149,IF(I$2&lt;=$A155+$B$152-1,$B155/$B$152,$B155-SUM($C155:H155))),0))</f>
        <v>0</v>
      </c>
      <c r="J155" s="4">
        <f>IF($B$152=0,0,IF(J$2&gt;=$A155,IF(J$2=$A155,($B155/$B$152)*$B$149,IF(J$2&lt;=$A155+$B$152-1,$B155/$B$152,$B155-SUM($C155:I155))),0))</f>
        <v>0</v>
      </c>
      <c r="K155" s="4">
        <f>IF($B$152=0,0,IF(K$2&gt;=$A155,IF(K$2=$A155,($B155/$B$152)*$B$149,IF(K$2&lt;=$A155+$B$152-1,$B155/$B$152,$B155-SUM($C155:J155))),0))</f>
        <v>0</v>
      </c>
      <c r="L155" s="4">
        <f>IF($B$152=0,0,IF(L$2&gt;=$A155,IF(L$2=$A155,($B155/$B$152)*$B$149,IF(L$2&lt;=$A155+$B$152-1,$B155/$B$152,$B155-SUM($C155:K155))),0))</f>
        <v>0</v>
      </c>
      <c r="M155" s="4">
        <f>IF($B$152=0,0,IF(M$2&gt;=$A155,IF(M$2=$A155,($B155/$B$152)*$B$149,IF(M$2&lt;=$A155+$B$152-1,$B155/$B$152,$B155-SUM($C155:L155))),0))</f>
        <v>0</v>
      </c>
      <c r="N155" s="4">
        <f>IF($B$152=0,0,IF(N$2&gt;=$A155,IF(N$2=$A155,($B155/$B$152)*$B$149,IF(N$2&lt;=$A155+$B$152-1,$B155/$B$152,$B155-SUM($C155:M155))),0))</f>
        <v>0</v>
      </c>
      <c r="O155" s="4">
        <f>IF($B$152=0,0,IF(O$2&gt;=$A155,IF(O$2=$A155,($B155/$B$152)*$B$149,IF(O$2&lt;=$A155+$B$152-1,$B155/$B$152,$B155-SUM($C155:N155))),0))</f>
        <v>0</v>
      </c>
      <c r="P155" s="4">
        <f>IF($B$152=0,0,IF(P$2&gt;=$A155,IF(P$2=$A155,($B155/$B$152)*$B$149,IF(P$2&lt;=$A155+$B$152-1,$B155/$B$152,$B155-SUM($C155:O155))),0))</f>
        <v>0</v>
      </c>
      <c r="Q155" s="4">
        <f>IF($B$152=0,0,IF(Q$2&gt;=$A155,IF(Q$2=$A155,($B155/$B$152)*$B$149,IF(Q$2&lt;=$A155+$B$152-1,$B155/$B$152,$B155-SUM($C155:P155))),0))</f>
        <v>0</v>
      </c>
      <c r="R155" s="4">
        <f>IF($B$152=0,0,IF(R$2&gt;=$A155,IF(R$2=$A155,($B155/$B$152)*$B$149,IF(R$2&lt;=$A155+$B$152-1,$B155/$B$152,$B155-SUM($C155:Q155))),0))</f>
        <v>0</v>
      </c>
      <c r="S155" s="4">
        <f>IF($B$152=0,0,IF(S$2&gt;=$A155,IF(S$2=$A155,($B155/$B$152)*$B$149,IF(S$2&lt;=$A155+$B$152-1,$B155/$B$152,$B155-SUM($C155:R155))),0))</f>
        <v>0</v>
      </c>
      <c r="T155" s="4">
        <f>IF($B$152=0,0,IF(T$2&gt;=$A155,IF(T$2=$A155,($B155/$B$152)*$B$149,IF(T$2&lt;=$A155+$B$152-1,$B155/$B$152,$B155-SUM($C155:S155))),0))</f>
        <v>0</v>
      </c>
      <c r="U155" s="4">
        <f>IF($B$152=0,0,IF(U$2&gt;=$A155,IF(U$2=$A155,($B155/$B$152)*$B$149,IF(U$2&lt;=$A155+$B$152-1,$B155/$B$152,$B155-SUM($C155:T155))),0))</f>
        <v>0</v>
      </c>
      <c r="V155" s="4">
        <f>IF($B$152=0,0,IF(V$2&gt;=$A155,IF(V$2=$A155,($B155/$B$152)*$B$149,IF(V$2&lt;=$A155+$B$152-1,$B155/$B$152,$B155-SUM($C155:U155))),0))</f>
        <v>0</v>
      </c>
      <c r="W155" s="4">
        <f>IF($B$152=0,0,IF(W$2&gt;=$A155,IF(W$2=$A155,($B155/$B$152)*$B$149,IF(W$2&lt;=$A155+$B$152-1,$B155/$B$152,$B155-SUM($C155:V155))),0))</f>
        <v>0</v>
      </c>
      <c r="X155" s="4">
        <f>IF($B$152=0,0,IF(X$2&gt;=$A155,IF(X$2=$A155,($B155/$B$152)*$B$149,IF(X$2&lt;=$A155+$B$152-1,$B155/$B$152,$B155-SUM($C155:W155))),0))</f>
        <v>0</v>
      </c>
      <c r="Y155" s="4">
        <f>IF($B$152=0,0,IF(Y$2&gt;=$A155,IF(Y$2=$A155,($B155/$B$152)*$B$149,IF(Y$2&lt;=$A155+$B$152-1,$B155/$B$152,$B155-SUM($C155:X155))),0))</f>
        <v>0</v>
      </c>
      <c r="Z155" s="4">
        <f>IF($B$152=0,0,IF(Z$2&gt;=$A155,IF(Z$2=$A155,($B155/$B$152)*$B$149,IF(Z$2&lt;=$A155+$B$152-1,$B155/$B$152,$B155-SUM($C155:Y155))),0))</f>
        <v>0</v>
      </c>
      <c r="AA155" s="4">
        <f>IF($B$152=0,0,IF(AA$2&gt;=$A155,IF(AA$2=$A155,($B155/$B$152)*$B$149,IF(AA$2&lt;=$A155+$B$152-1,$B155/$B$152,$B155-SUM($C155:Z155))),0))</f>
        <v>0</v>
      </c>
      <c r="AB155" s="4">
        <f>IF($B$152=0,0,IF(AB$2&gt;=$A155,IF(AB$2=$A155,($B155/$B$152)*$B$149,IF(AB$2&lt;=$A155+$B$152-1,$B155/$B$152,$B155-SUM($C155:AA155))),0))</f>
        <v>0</v>
      </c>
      <c r="AC155" s="4">
        <f>IF($B$152=0,0,IF(AC$2&gt;=$A155,IF(AC$2=$A155,($B155/$B$152)*$B$149,IF(AC$2&lt;=$A155+$B$152-1,$B155/$B$152,$B155-SUM($C155:AB155))),0))</f>
        <v>0</v>
      </c>
      <c r="AD155" s="4">
        <f>IF($B$152=0,0,IF(AD$2&gt;=$A155,IF(AD$2=$A155,($B155/$B$152)*$B$149,IF(AD$2&lt;=$A155+$B$152-1,$B155/$B$152,$B155-SUM($C155:AC155))),0))</f>
        <v>0</v>
      </c>
      <c r="AE155" s="4">
        <f>IF($B$152=0,0,IF(AE$2&gt;=$A155,IF(AE$2=$A155,($B155/$B$152)*$B$149,IF(AE$2&lt;=$A155+$B$152-1,$B155/$B$152,$B155-SUM($C155:AD155))),0))</f>
        <v>0</v>
      </c>
      <c r="AF155" s="4">
        <f>IF($B$152=0,0,IF(AF$2&gt;=$A155,IF(AF$2=$A155,($B155/$B$152)*$B$149,IF(AF$2&lt;=$A155+$B$152-1,$B155/$B$152,$B155-SUM($C155:AE155))),0))</f>
        <v>0</v>
      </c>
      <c r="AG155" s="4">
        <f t="shared" si="104"/>
        <v>0</v>
      </c>
    </row>
    <row r="156" spans="1:33">
      <c r="A156" s="6">
        <f t="shared" si="105"/>
        <v>2025</v>
      </c>
      <c r="B156" s="4">
        <f t="shared" si="103"/>
        <v>5435990.2360561565</v>
      </c>
      <c r="C156" s="4">
        <f>IF($B$152=0,0,IF(C$2&gt;=$A156,IF(C$2=$A156,($B156/$B$152)*$B$149,IF(C$2&lt;=$A156+$B$152-1,$B156/$B$152,$B156-SUM(B156:$C156))),0))</f>
        <v>0</v>
      </c>
      <c r="D156" s="4">
        <f>IF($B$152=0,0,IF(D$2&gt;=$A156,IF(D$2=$A156,($B156/$B$152)*$B$149,IF(D$2&lt;=$A156+$B$152-1,$B156/$B$152,$B156-SUM(C156:$C156))),0))</f>
        <v>0</v>
      </c>
      <c r="E156" s="4">
        <f>IF($B$152=0,0,IF(E$2&gt;=$A156,IF(E$2=$A156,($B156/$B$152)*$B$149,IF(E$2&lt;=$A156+$B$152-1,$B156/$B$152,$B156-SUM($C156:D156))),0))</f>
        <v>0</v>
      </c>
      <c r="F156" s="4">
        <f>IF($B$152=0,0,IF(F$2&gt;=$A156,IF(F$2=$A156,($B156/$B$152)*$B$149,IF(F$2&lt;=$A156+$B$152-1,$B156/$B$152,$B156-SUM($C156:E156))),0))</f>
        <v>45299.918633801302</v>
      </c>
      <c r="G156" s="4">
        <f>IF($B$152=0,0,IF(G$2&gt;=$A156,IF(G$2=$A156,($B156/$B$152)*$B$149,IF(G$2&lt;=$A156+$B$152-1,$B156/$B$152,$B156-SUM($C156:F156))),0))</f>
        <v>90599.837267602605</v>
      </c>
      <c r="H156" s="4">
        <f>IF($B$152=0,0,IF(H$2&gt;=$A156,IF(H$2=$A156,($B156/$B$152)*$B$149,IF(H$2&lt;=$A156+$B$152-1,$B156/$B$152,$B156-SUM($C156:G156))),0))</f>
        <v>90599.837267602605</v>
      </c>
      <c r="I156" s="4">
        <f>IF($B$152=0,0,IF(I$2&gt;=$A156,IF(I$2=$A156,($B156/$B$152)*$B$149,IF(I$2&lt;=$A156+$B$152-1,$B156/$B$152,$B156-SUM($C156:H156))),0))</f>
        <v>90599.837267602605</v>
      </c>
      <c r="J156" s="4">
        <f>IF($B$152=0,0,IF(J$2&gt;=$A156,IF(J$2=$A156,($B156/$B$152)*$B$149,IF(J$2&lt;=$A156+$B$152-1,$B156/$B$152,$B156-SUM($C156:I156))),0))</f>
        <v>90599.837267602605</v>
      </c>
      <c r="K156" s="4">
        <f>IF($B$152=0,0,IF(K$2&gt;=$A156,IF(K$2=$A156,($B156/$B$152)*$B$149,IF(K$2&lt;=$A156+$B$152-1,$B156/$B$152,$B156-SUM($C156:J156))),0))</f>
        <v>90599.837267602605</v>
      </c>
      <c r="L156" s="4">
        <f>IF($B$152=0,0,IF(L$2&gt;=$A156,IF(L$2=$A156,($B156/$B$152)*$B$149,IF(L$2&lt;=$A156+$B$152-1,$B156/$B$152,$B156-SUM($C156:K156))),0))</f>
        <v>90599.837267602605</v>
      </c>
      <c r="M156" s="4">
        <f>IF($B$152=0,0,IF(M$2&gt;=$A156,IF(M$2=$A156,($B156/$B$152)*$B$149,IF(M$2&lt;=$A156+$B$152-1,$B156/$B$152,$B156-SUM($C156:L156))),0))</f>
        <v>90599.837267602605</v>
      </c>
      <c r="N156" s="4">
        <f>IF($B$152=0,0,IF(N$2&gt;=$A156,IF(N$2=$A156,($B156/$B$152)*$B$149,IF(N$2&lt;=$A156+$B$152-1,$B156/$B$152,$B156-SUM($C156:M156))),0))</f>
        <v>90599.837267602605</v>
      </c>
      <c r="O156" s="4">
        <f>IF($B$152=0,0,IF(O$2&gt;=$A156,IF(O$2=$A156,($B156/$B$152)*$B$149,IF(O$2&lt;=$A156+$B$152-1,$B156/$B$152,$B156-SUM($C156:N156))),0))</f>
        <v>90599.837267602605</v>
      </c>
      <c r="P156" s="4">
        <f>IF($B$152=0,0,IF(P$2&gt;=$A156,IF(P$2=$A156,($B156/$B$152)*$B$149,IF(P$2&lt;=$A156+$B$152-1,$B156/$B$152,$B156-SUM($C156:O156))),0))</f>
        <v>90599.837267602605</v>
      </c>
      <c r="Q156" s="4">
        <f>IF($B$152=0,0,IF(Q$2&gt;=$A156,IF(Q$2=$A156,($B156/$B$152)*$B$149,IF(Q$2&lt;=$A156+$B$152-1,$B156/$B$152,$B156-SUM($C156:P156))),0))</f>
        <v>90599.837267602605</v>
      </c>
      <c r="R156" s="4">
        <f>IF($B$152=0,0,IF(R$2&gt;=$A156,IF(R$2=$A156,($B156/$B$152)*$B$149,IF(R$2&lt;=$A156+$B$152-1,$B156/$B$152,$B156-SUM($C156:Q156))),0))</f>
        <v>90599.837267602605</v>
      </c>
      <c r="S156" s="4">
        <f>IF($B$152=0,0,IF(S$2&gt;=$A156,IF(S$2=$A156,($B156/$B$152)*$B$149,IF(S$2&lt;=$A156+$B$152-1,$B156/$B$152,$B156-SUM($C156:R156))),0))</f>
        <v>90599.837267602605</v>
      </c>
      <c r="T156" s="4">
        <f>IF($B$152=0,0,IF(T$2&gt;=$A156,IF(T$2=$A156,($B156/$B$152)*$B$149,IF(T$2&lt;=$A156+$B$152-1,$B156/$B$152,$B156-SUM($C156:S156))),0))</f>
        <v>90599.837267602605</v>
      </c>
      <c r="U156" s="4">
        <f>IF($B$152=0,0,IF(U$2&gt;=$A156,IF(U$2=$A156,($B156/$B$152)*$B$149,IF(U$2&lt;=$A156+$B$152-1,$B156/$B$152,$B156-SUM($C156:T156))),0))</f>
        <v>90599.837267602605</v>
      </c>
      <c r="V156" s="4">
        <f>IF($B$152=0,0,IF(V$2&gt;=$A156,IF(V$2=$A156,($B156/$B$152)*$B$149,IF(V$2&lt;=$A156+$B$152-1,$B156/$B$152,$B156-SUM($C156:U156))),0))</f>
        <v>90599.837267602605</v>
      </c>
      <c r="W156" s="4">
        <f>IF($B$152=0,0,IF(W$2&gt;=$A156,IF(W$2=$A156,($B156/$B$152)*$B$149,IF(W$2&lt;=$A156+$B$152-1,$B156/$B$152,$B156-SUM($C156:V156))),0))</f>
        <v>90599.837267602605</v>
      </c>
      <c r="X156" s="4">
        <f>IF($B$152=0,0,IF(X$2&gt;=$A156,IF(X$2=$A156,($B156/$B$152)*$B$149,IF(X$2&lt;=$A156+$B$152-1,$B156/$B$152,$B156-SUM($C156:W156))),0))</f>
        <v>90599.837267602605</v>
      </c>
      <c r="Y156" s="4">
        <f>IF($B$152=0,0,IF(Y$2&gt;=$A156,IF(Y$2=$A156,($B156/$B$152)*$B$149,IF(Y$2&lt;=$A156+$B$152-1,$B156/$B$152,$B156-SUM($C156:X156))),0))</f>
        <v>90599.837267602605</v>
      </c>
      <c r="Z156" s="4">
        <f>IF($B$152=0,0,IF(Z$2&gt;=$A156,IF(Z$2=$A156,($B156/$B$152)*$B$149,IF(Z$2&lt;=$A156+$B$152-1,$B156/$B$152,$B156-SUM($C156:Y156))),0))</f>
        <v>90599.837267602605</v>
      </c>
      <c r="AA156" s="4">
        <f>IF($B$152=0,0,IF(AA$2&gt;=$A156,IF(AA$2=$A156,($B156/$B$152)*$B$149,IF(AA$2&lt;=$A156+$B$152-1,$B156/$B$152,$B156-SUM($C156:Z156))),0))</f>
        <v>90599.837267602605</v>
      </c>
      <c r="AB156" s="4">
        <f>IF($B$152=0,0,IF(AB$2&gt;=$A156,IF(AB$2=$A156,($B156/$B$152)*$B$149,IF(AB$2&lt;=$A156+$B$152-1,$B156/$B$152,$B156-SUM($C156:AA156))),0))</f>
        <v>90599.837267602605</v>
      </c>
      <c r="AC156" s="4">
        <f>IF($B$152=0,0,IF(AC$2&gt;=$A156,IF(AC$2=$A156,($B156/$B$152)*$B$149,IF(AC$2&lt;=$A156+$B$152-1,$B156/$B$152,$B156-SUM($C156:AB156))),0))</f>
        <v>90599.837267602605</v>
      </c>
      <c r="AD156" s="4">
        <f>IF($B$152=0,0,IF(AD$2&gt;=$A156,IF(AD$2=$A156,($B156/$B$152)*$B$149,IF(AD$2&lt;=$A156+$B$152-1,$B156/$B$152,$B156-SUM($C156:AC156))),0))</f>
        <v>90599.837267602605</v>
      </c>
      <c r="AE156" s="4">
        <f>IF($B$152=0,0,IF(AE$2&gt;=$A156,IF(AE$2=$A156,($B156/$B$152)*$B$149,IF(AE$2&lt;=$A156+$B$152-1,$B156/$B$152,$B156-SUM($C156:AD156))),0))</f>
        <v>90599.837267602605</v>
      </c>
      <c r="AF156" s="4">
        <f>IF($B$152=0,0,IF(AF$2&gt;=$A156,IF(AF$2=$A156,($B156/$B$152)*$B$149,IF(AF$2&lt;=$A156+$B$152-1,$B156/$B$152,$B156-SUM($C156:AE156))),0))</f>
        <v>90599.837267602605</v>
      </c>
      <c r="AG156" s="4">
        <f t="shared" si="104"/>
        <v>2400895.6875914689</v>
      </c>
    </row>
    <row r="157" spans="1:33">
      <c r="A157" s="6">
        <f t="shared" si="105"/>
        <v>2026</v>
      </c>
      <c r="B157" s="4">
        <f t="shared" si="103"/>
        <v>0</v>
      </c>
      <c r="C157" s="4">
        <f>IF($B$152=0,0,IF(C$2&gt;=$A157,IF(C$2=$A157,($B157/$B$152)*$B$149,IF(C$2&lt;=$A157+$B$152-1,$B157/$B$152,$B157-SUM(B157:$C157))),0))</f>
        <v>0</v>
      </c>
      <c r="D157" s="4">
        <f>IF($B$152=0,0,IF(D$2&gt;=$A157,IF(D$2=$A157,($B157/$B$152)*$B$149,IF(D$2&lt;=$A157+$B$152-1,$B157/$B$152,$B157-SUM(C157:$C157))),0))</f>
        <v>0</v>
      </c>
      <c r="E157" s="4">
        <f>IF($B$152=0,0,IF(E$2&gt;=$A157,IF(E$2=$A157,($B157/$B$152)*$B$149,IF(E$2&lt;=$A157+$B$152-1,$B157/$B$152,$B157-SUM($C157:D157))),0))</f>
        <v>0</v>
      </c>
      <c r="F157" s="4">
        <f>IF($B$152=0,0,IF(F$2&gt;=$A157,IF(F$2=$A157,($B157/$B$152)*$B$149,IF(F$2&lt;=$A157+$B$152-1,$B157/$B$152,$B157-SUM($C157:E157))),0))</f>
        <v>0</v>
      </c>
      <c r="G157" s="4">
        <f>IF($B$152=0,0,IF(G$2&gt;=$A157,IF(G$2=$A157,($B157/$B$152)*$B$149,IF(G$2&lt;=$A157+$B$152-1,$B157/$B$152,$B157-SUM($C157:F157))),0))</f>
        <v>0</v>
      </c>
      <c r="H157" s="4">
        <f>IF($B$152=0,0,IF(H$2&gt;=$A157,IF(H$2=$A157,($B157/$B$152)*$B$149,IF(H$2&lt;=$A157+$B$152-1,$B157/$B$152,$B157-SUM($C157:G157))),0))</f>
        <v>0</v>
      </c>
      <c r="I157" s="4">
        <f>IF($B$152=0,0,IF(I$2&gt;=$A157,IF(I$2=$A157,($B157/$B$152)*$B$149,IF(I$2&lt;=$A157+$B$152-1,$B157/$B$152,$B157-SUM($C157:H157))),0))</f>
        <v>0</v>
      </c>
      <c r="J157" s="4">
        <f>IF($B$152=0,0,IF(J$2&gt;=$A157,IF(J$2=$A157,($B157/$B$152)*$B$149,IF(J$2&lt;=$A157+$B$152-1,$B157/$B$152,$B157-SUM($C157:I157))),0))</f>
        <v>0</v>
      </c>
      <c r="K157" s="4">
        <f>IF($B$152=0,0,IF(K$2&gt;=$A157,IF(K$2=$A157,($B157/$B$152)*$B$149,IF(K$2&lt;=$A157+$B$152-1,$B157/$B$152,$B157-SUM($C157:J157))),0))</f>
        <v>0</v>
      </c>
      <c r="L157" s="4">
        <f>IF($B$152=0,0,IF(L$2&gt;=$A157,IF(L$2=$A157,($B157/$B$152)*$B$149,IF(L$2&lt;=$A157+$B$152-1,$B157/$B$152,$B157-SUM($C157:K157))),0))</f>
        <v>0</v>
      </c>
      <c r="M157" s="4">
        <f>IF($B$152=0,0,IF(M$2&gt;=$A157,IF(M$2=$A157,($B157/$B$152)*$B$149,IF(M$2&lt;=$A157+$B$152-1,$B157/$B$152,$B157-SUM($C157:L157))),0))</f>
        <v>0</v>
      </c>
      <c r="N157" s="4">
        <f>IF($B$152=0,0,IF(N$2&gt;=$A157,IF(N$2=$A157,($B157/$B$152)*$B$149,IF(N$2&lt;=$A157+$B$152-1,$B157/$B$152,$B157-SUM($C157:M157))),0))</f>
        <v>0</v>
      </c>
      <c r="O157" s="4">
        <f>IF($B$152=0,0,IF(O$2&gt;=$A157,IF(O$2=$A157,($B157/$B$152)*$B$149,IF(O$2&lt;=$A157+$B$152-1,$B157/$B$152,$B157-SUM($C157:N157))),0))</f>
        <v>0</v>
      </c>
      <c r="P157" s="4">
        <f>IF($B$152=0,0,IF(P$2&gt;=$A157,IF(P$2=$A157,($B157/$B$152)*$B$149,IF(P$2&lt;=$A157+$B$152-1,$B157/$B$152,$B157-SUM($C157:O157))),0))</f>
        <v>0</v>
      </c>
      <c r="Q157" s="4">
        <f>IF($B$152=0,0,IF(Q$2&gt;=$A157,IF(Q$2=$A157,($B157/$B$152)*$B$149,IF(Q$2&lt;=$A157+$B$152-1,$B157/$B$152,$B157-SUM($C157:P157))),0))</f>
        <v>0</v>
      </c>
      <c r="R157" s="4">
        <f>IF($B$152=0,0,IF(R$2&gt;=$A157,IF(R$2=$A157,($B157/$B$152)*$B$149,IF(R$2&lt;=$A157+$B$152-1,$B157/$B$152,$B157-SUM($C157:Q157))),0))</f>
        <v>0</v>
      </c>
      <c r="S157" s="4">
        <f>IF($B$152=0,0,IF(S$2&gt;=$A157,IF(S$2=$A157,($B157/$B$152)*$B$149,IF(S$2&lt;=$A157+$B$152-1,$B157/$B$152,$B157-SUM($C157:R157))),0))</f>
        <v>0</v>
      </c>
      <c r="T157" s="4">
        <f>IF($B$152=0,0,IF(T$2&gt;=$A157,IF(T$2=$A157,($B157/$B$152)*$B$149,IF(T$2&lt;=$A157+$B$152-1,$B157/$B$152,$B157-SUM($C157:S157))),0))</f>
        <v>0</v>
      </c>
      <c r="U157" s="4">
        <f>IF($B$152=0,0,IF(U$2&gt;=$A157,IF(U$2=$A157,($B157/$B$152)*$B$149,IF(U$2&lt;=$A157+$B$152-1,$B157/$B$152,$B157-SUM($C157:T157))),0))</f>
        <v>0</v>
      </c>
      <c r="V157" s="4">
        <f>IF($B$152=0,0,IF(V$2&gt;=$A157,IF(V$2=$A157,($B157/$B$152)*$B$149,IF(V$2&lt;=$A157+$B$152-1,$B157/$B$152,$B157-SUM($C157:U157))),0))</f>
        <v>0</v>
      </c>
      <c r="W157" s="4">
        <f>IF($B$152=0,0,IF(W$2&gt;=$A157,IF(W$2=$A157,($B157/$B$152)*$B$149,IF(W$2&lt;=$A157+$B$152-1,$B157/$B$152,$B157-SUM($C157:V157))),0))</f>
        <v>0</v>
      </c>
      <c r="X157" s="4">
        <f>IF($B$152=0,0,IF(X$2&gt;=$A157,IF(X$2=$A157,($B157/$B$152)*$B$149,IF(X$2&lt;=$A157+$B$152-1,$B157/$B$152,$B157-SUM($C157:W157))),0))</f>
        <v>0</v>
      </c>
      <c r="Y157" s="4">
        <f>IF($B$152=0,0,IF(Y$2&gt;=$A157,IF(Y$2=$A157,($B157/$B$152)*$B$149,IF(Y$2&lt;=$A157+$B$152-1,$B157/$B$152,$B157-SUM($C157:X157))),0))</f>
        <v>0</v>
      </c>
      <c r="Z157" s="4">
        <f>IF($B$152=0,0,IF(Z$2&gt;=$A157,IF(Z$2=$A157,($B157/$B$152)*$B$149,IF(Z$2&lt;=$A157+$B$152-1,$B157/$B$152,$B157-SUM($C157:Y157))),0))</f>
        <v>0</v>
      </c>
      <c r="AA157" s="4">
        <f>IF($B$152=0,0,IF(AA$2&gt;=$A157,IF(AA$2=$A157,($B157/$B$152)*$B$149,IF(AA$2&lt;=$A157+$B$152-1,$B157/$B$152,$B157-SUM($C157:Z157))),0))</f>
        <v>0</v>
      </c>
      <c r="AB157" s="4">
        <f>IF($B$152=0,0,IF(AB$2&gt;=$A157,IF(AB$2=$A157,($B157/$B$152)*$B$149,IF(AB$2&lt;=$A157+$B$152-1,$B157/$B$152,$B157-SUM($C157:AA157))),0))</f>
        <v>0</v>
      </c>
      <c r="AC157" s="4">
        <f>IF($B$152=0,0,IF(AC$2&gt;=$A157,IF(AC$2=$A157,($B157/$B$152)*$B$149,IF(AC$2&lt;=$A157+$B$152-1,$B157/$B$152,$B157-SUM($C157:AB157))),0))</f>
        <v>0</v>
      </c>
      <c r="AD157" s="4">
        <f>IF($B$152=0,0,IF(AD$2&gt;=$A157,IF(AD$2=$A157,($B157/$B$152)*$B$149,IF(AD$2&lt;=$A157+$B$152-1,$B157/$B$152,$B157-SUM($C157:AC157))),0))</f>
        <v>0</v>
      </c>
      <c r="AE157" s="4">
        <f>IF($B$152=0,0,IF(AE$2&gt;=$A157,IF(AE$2=$A157,($B157/$B$152)*$B$149,IF(AE$2&lt;=$A157+$B$152-1,$B157/$B$152,$B157-SUM($C157:AD157))),0))</f>
        <v>0</v>
      </c>
      <c r="AF157" s="4">
        <f>IF($B$152=0,0,IF(AF$2&gt;=$A157,IF(AF$2=$A157,($B157/$B$152)*$B$149,IF(AF$2&lt;=$A157+$B$152-1,$B157/$B$152,$B157-SUM($C157:AE157))),0))</f>
        <v>0</v>
      </c>
      <c r="AG157" s="4">
        <f t="shared" si="104"/>
        <v>0</v>
      </c>
    </row>
    <row r="158" spans="1:33">
      <c r="A158" s="6">
        <f t="shared" si="105"/>
        <v>2027</v>
      </c>
      <c r="B158" s="4">
        <f t="shared" si="103"/>
        <v>0</v>
      </c>
      <c r="C158" s="4">
        <f>IF($B$152=0,0,IF(C$2&gt;=$A158,IF(C$2=$A158,($B158/$B$152)*$B$149,IF(C$2&lt;=$A158+$B$152-1,$B158/$B$152,$B158-SUM(B158:$C158))),0))</f>
        <v>0</v>
      </c>
      <c r="D158" s="4">
        <f>IF($B$152=0,0,IF(D$2&gt;=$A158,IF(D$2=$A158,($B158/$B$152)*$B$149,IF(D$2&lt;=$A158+$B$152-1,$B158/$B$152,$B158-SUM(C158:$C158))),0))</f>
        <v>0</v>
      </c>
      <c r="E158" s="4">
        <f>IF($B$152=0,0,IF(E$2&gt;=$A158,IF(E$2=$A158,($B158/$B$152)*$B$149,IF(E$2&lt;=$A158+$B$152-1,$B158/$B$152,$B158-SUM($C158:D158))),0))</f>
        <v>0</v>
      </c>
      <c r="F158" s="4">
        <f>IF($B$152=0,0,IF(F$2&gt;=$A158,IF(F$2=$A158,($B158/$B$152)*$B$149,IF(F$2&lt;=$A158+$B$152-1,$B158/$B$152,$B158-SUM($C158:E158))),0))</f>
        <v>0</v>
      </c>
      <c r="G158" s="4">
        <f>IF($B$152=0,0,IF(G$2&gt;=$A158,IF(G$2=$A158,($B158/$B$152)*$B$149,IF(G$2&lt;=$A158+$B$152-1,$B158/$B$152,$B158-SUM($C158:F158))),0))</f>
        <v>0</v>
      </c>
      <c r="H158" s="4">
        <f>IF($B$152=0,0,IF(H$2&gt;=$A158,IF(H$2=$A158,($B158/$B$152)*$B$149,IF(H$2&lt;=$A158+$B$152-1,$B158/$B$152,$B158-SUM($C158:G158))),0))</f>
        <v>0</v>
      </c>
      <c r="I158" s="4">
        <f>IF($B$152=0,0,IF(I$2&gt;=$A158,IF(I$2=$A158,($B158/$B$152)*$B$149,IF(I$2&lt;=$A158+$B$152-1,$B158/$B$152,$B158-SUM($C158:H158))),0))</f>
        <v>0</v>
      </c>
      <c r="J158" s="4">
        <f>IF($B$152=0,0,IF(J$2&gt;=$A158,IF(J$2=$A158,($B158/$B$152)*$B$149,IF(J$2&lt;=$A158+$B$152-1,$B158/$B$152,$B158-SUM($C158:I158))),0))</f>
        <v>0</v>
      </c>
      <c r="K158" s="4">
        <f>IF($B$152=0,0,IF(K$2&gt;=$A158,IF(K$2=$A158,($B158/$B$152)*$B$149,IF(K$2&lt;=$A158+$B$152-1,$B158/$B$152,$B158-SUM($C158:J158))),0))</f>
        <v>0</v>
      </c>
      <c r="L158" s="4">
        <f>IF($B$152=0,0,IF(L$2&gt;=$A158,IF(L$2=$A158,($B158/$B$152)*$B$149,IF(L$2&lt;=$A158+$B$152-1,$B158/$B$152,$B158-SUM($C158:K158))),0))</f>
        <v>0</v>
      </c>
      <c r="M158" s="4">
        <f>IF($B$152=0,0,IF(M$2&gt;=$A158,IF(M$2=$A158,($B158/$B$152)*$B$149,IF(M$2&lt;=$A158+$B$152-1,$B158/$B$152,$B158-SUM($C158:L158))),0))</f>
        <v>0</v>
      </c>
      <c r="N158" s="4">
        <f>IF($B$152=0,0,IF(N$2&gt;=$A158,IF(N$2=$A158,($B158/$B$152)*$B$149,IF(N$2&lt;=$A158+$B$152-1,$B158/$B$152,$B158-SUM($C158:M158))),0))</f>
        <v>0</v>
      </c>
      <c r="O158" s="4">
        <f>IF($B$152=0,0,IF(O$2&gt;=$A158,IF(O$2=$A158,($B158/$B$152)*$B$149,IF(O$2&lt;=$A158+$B$152-1,$B158/$B$152,$B158-SUM($C158:N158))),0))</f>
        <v>0</v>
      </c>
      <c r="P158" s="4">
        <f>IF($B$152=0,0,IF(P$2&gt;=$A158,IF(P$2=$A158,($B158/$B$152)*$B$149,IF(P$2&lt;=$A158+$B$152-1,$B158/$B$152,$B158-SUM($C158:O158))),0))</f>
        <v>0</v>
      </c>
      <c r="Q158" s="4">
        <f>IF($B$152=0,0,IF(Q$2&gt;=$A158,IF(Q$2=$A158,($B158/$B$152)*$B$149,IF(Q$2&lt;=$A158+$B$152-1,$B158/$B$152,$B158-SUM($C158:P158))),0))</f>
        <v>0</v>
      </c>
      <c r="R158" s="4">
        <f>IF($B$152=0,0,IF(R$2&gt;=$A158,IF(R$2=$A158,($B158/$B$152)*$B$149,IF(R$2&lt;=$A158+$B$152-1,$B158/$B$152,$B158-SUM($C158:Q158))),0))</f>
        <v>0</v>
      </c>
      <c r="S158" s="4">
        <f>IF($B$152=0,0,IF(S$2&gt;=$A158,IF(S$2=$A158,($B158/$B$152)*$B$149,IF(S$2&lt;=$A158+$B$152-1,$B158/$B$152,$B158-SUM($C158:R158))),0))</f>
        <v>0</v>
      </c>
      <c r="T158" s="4">
        <f>IF($B$152=0,0,IF(T$2&gt;=$A158,IF(T$2=$A158,($B158/$B$152)*$B$149,IF(T$2&lt;=$A158+$B$152-1,$B158/$B$152,$B158-SUM($C158:S158))),0))</f>
        <v>0</v>
      </c>
      <c r="U158" s="4">
        <f>IF($B$152=0,0,IF(U$2&gt;=$A158,IF(U$2=$A158,($B158/$B$152)*$B$149,IF(U$2&lt;=$A158+$B$152-1,$B158/$B$152,$B158-SUM($C158:T158))),0))</f>
        <v>0</v>
      </c>
      <c r="V158" s="4">
        <f>IF($B$152=0,0,IF(V$2&gt;=$A158,IF(V$2=$A158,($B158/$B$152)*$B$149,IF(V$2&lt;=$A158+$B$152-1,$B158/$B$152,$B158-SUM($C158:U158))),0))</f>
        <v>0</v>
      </c>
      <c r="W158" s="4">
        <f>IF($B$152=0,0,IF(W$2&gt;=$A158,IF(W$2=$A158,($B158/$B$152)*$B$149,IF(W$2&lt;=$A158+$B$152-1,$B158/$B$152,$B158-SUM($C158:V158))),0))</f>
        <v>0</v>
      </c>
      <c r="X158" s="4">
        <f>IF($B$152=0,0,IF(X$2&gt;=$A158,IF(X$2=$A158,($B158/$B$152)*$B$149,IF(X$2&lt;=$A158+$B$152-1,$B158/$B$152,$B158-SUM($C158:W158))),0))</f>
        <v>0</v>
      </c>
      <c r="Y158" s="4">
        <f>IF($B$152=0,0,IF(Y$2&gt;=$A158,IF(Y$2=$A158,($B158/$B$152)*$B$149,IF(Y$2&lt;=$A158+$B$152-1,$B158/$B$152,$B158-SUM($C158:X158))),0))</f>
        <v>0</v>
      </c>
      <c r="Z158" s="4">
        <f>IF($B$152=0,0,IF(Z$2&gt;=$A158,IF(Z$2=$A158,($B158/$B$152)*$B$149,IF(Z$2&lt;=$A158+$B$152-1,$B158/$B$152,$B158-SUM($C158:Y158))),0))</f>
        <v>0</v>
      </c>
      <c r="AA158" s="4">
        <f>IF($B$152=0,0,IF(AA$2&gt;=$A158,IF(AA$2=$A158,($B158/$B$152)*$B$149,IF(AA$2&lt;=$A158+$B$152-1,$B158/$B$152,$B158-SUM($C158:Z158))),0))</f>
        <v>0</v>
      </c>
      <c r="AB158" s="4">
        <f>IF($B$152=0,0,IF(AB$2&gt;=$A158,IF(AB$2=$A158,($B158/$B$152)*$B$149,IF(AB$2&lt;=$A158+$B$152-1,$B158/$B$152,$B158-SUM($C158:AA158))),0))</f>
        <v>0</v>
      </c>
      <c r="AC158" s="4">
        <f>IF($B$152=0,0,IF(AC$2&gt;=$A158,IF(AC$2=$A158,($B158/$B$152)*$B$149,IF(AC$2&lt;=$A158+$B$152-1,$B158/$B$152,$B158-SUM($C158:AB158))),0))</f>
        <v>0</v>
      </c>
      <c r="AD158" s="4">
        <f>IF($B$152=0,0,IF(AD$2&gt;=$A158,IF(AD$2=$A158,($B158/$B$152)*$B$149,IF(AD$2&lt;=$A158+$B$152-1,$B158/$B$152,$B158-SUM($C158:AC158))),0))</f>
        <v>0</v>
      </c>
      <c r="AE158" s="4">
        <f>IF($B$152=0,0,IF(AE$2&gt;=$A158,IF(AE$2=$A158,($B158/$B$152)*$B$149,IF(AE$2&lt;=$A158+$B$152-1,$B158/$B$152,$B158-SUM($C158:AD158))),0))</f>
        <v>0</v>
      </c>
      <c r="AF158" s="4">
        <f>IF($B$152=0,0,IF(AF$2&gt;=$A158,IF(AF$2=$A158,($B158/$B$152)*$B$149,IF(AF$2&lt;=$A158+$B$152-1,$B158/$B$152,$B158-SUM($C158:AE158))),0))</f>
        <v>0</v>
      </c>
      <c r="AG158" s="4">
        <f t="shared" si="104"/>
        <v>0</v>
      </c>
    </row>
    <row r="159" spans="1:33">
      <c r="A159" s="6">
        <f t="shared" si="105"/>
        <v>2028</v>
      </c>
      <c r="B159" s="4">
        <f t="shared" si="103"/>
        <v>0</v>
      </c>
      <c r="C159" s="4">
        <f>IF($B$152=0,0,IF(C$2&gt;=$A159,IF(C$2=$A159,($B159/$B$152)*$B$149,IF(C$2&lt;=$A159+$B$152-1,$B159/$B$152,$B159-SUM(B159:$C159))),0))</f>
        <v>0</v>
      </c>
      <c r="D159" s="4">
        <f>IF($B$152=0,0,IF(D$2&gt;=$A159,IF(D$2=$A159,($B159/$B$152)*$B$149,IF(D$2&lt;=$A159+$B$152-1,$B159/$B$152,$B159-SUM(C159:$C159))),0))</f>
        <v>0</v>
      </c>
      <c r="E159" s="4">
        <f>IF($B$152=0,0,IF(E$2&gt;=$A159,IF(E$2=$A159,($B159/$B$152)*$B$149,IF(E$2&lt;=$A159+$B$152-1,$B159/$B$152,$B159-SUM($C159:D159))),0))</f>
        <v>0</v>
      </c>
      <c r="F159" s="4">
        <f>IF($B$152=0,0,IF(F$2&gt;=$A159,IF(F$2=$A159,($B159/$B$152)*$B$149,IF(F$2&lt;=$A159+$B$152-1,$B159/$B$152,$B159-SUM($C159:E159))),0))</f>
        <v>0</v>
      </c>
      <c r="G159" s="4">
        <f>IF($B$152=0,0,IF(G$2&gt;=$A159,IF(G$2=$A159,($B159/$B$152)*$B$149,IF(G$2&lt;=$A159+$B$152-1,$B159/$B$152,$B159-SUM($C159:F159))),0))</f>
        <v>0</v>
      </c>
      <c r="H159" s="4">
        <f>IF($B$152=0,0,IF(H$2&gt;=$A159,IF(H$2=$A159,($B159/$B$152)*$B$149,IF(H$2&lt;=$A159+$B$152-1,$B159/$B$152,$B159-SUM($C159:G159))),0))</f>
        <v>0</v>
      </c>
      <c r="I159" s="4">
        <f>IF($B$152=0,0,IF(I$2&gt;=$A159,IF(I$2=$A159,($B159/$B$152)*$B$149,IF(I$2&lt;=$A159+$B$152-1,$B159/$B$152,$B159-SUM($C159:H159))),0))</f>
        <v>0</v>
      </c>
      <c r="J159" s="4">
        <f>IF($B$152=0,0,IF(J$2&gt;=$A159,IF(J$2=$A159,($B159/$B$152)*$B$149,IF(J$2&lt;=$A159+$B$152-1,$B159/$B$152,$B159-SUM($C159:I159))),0))</f>
        <v>0</v>
      </c>
      <c r="K159" s="4">
        <f>IF($B$152=0,0,IF(K$2&gt;=$A159,IF(K$2=$A159,($B159/$B$152)*$B$149,IF(K$2&lt;=$A159+$B$152-1,$B159/$B$152,$B159-SUM($C159:J159))),0))</f>
        <v>0</v>
      </c>
      <c r="L159" s="4">
        <f>IF($B$152=0,0,IF(L$2&gt;=$A159,IF(L$2=$A159,($B159/$B$152)*$B$149,IF(L$2&lt;=$A159+$B$152-1,$B159/$B$152,$B159-SUM($C159:K159))),0))</f>
        <v>0</v>
      </c>
      <c r="M159" s="4">
        <f>IF($B$152=0,0,IF(M$2&gt;=$A159,IF(M$2=$A159,($B159/$B$152)*$B$149,IF(M$2&lt;=$A159+$B$152-1,$B159/$B$152,$B159-SUM($C159:L159))),0))</f>
        <v>0</v>
      </c>
      <c r="N159" s="4">
        <f>IF($B$152=0,0,IF(N$2&gt;=$A159,IF(N$2=$A159,($B159/$B$152)*$B$149,IF(N$2&lt;=$A159+$B$152-1,$B159/$B$152,$B159-SUM($C159:M159))),0))</f>
        <v>0</v>
      </c>
      <c r="O159" s="4">
        <f>IF($B$152=0,0,IF(O$2&gt;=$A159,IF(O$2=$A159,($B159/$B$152)*$B$149,IF(O$2&lt;=$A159+$B$152-1,$B159/$B$152,$B159-SUM($C159:N159))),0))</f>
        <v>0</v>
      </c>
      <c r="P159" s="4">
        <f>IF($B$152=0,0,IF(P$2&gt;=$A159,IF(P$2=$A159,($B159/$B$152)*$B$149,IF(P$2&lt;=$A159+$B$152-1,$B159/$B$152,$B159-SUM($C159:O159))),0))</f>
        <v>0</v>
      </c>
      <c r="Q159" s="4">
        <f>IF($B$152=0,0,IF(Q$2&gt;=$A159,IF(Q$2=$A159,($B159/$B$152)*$B$149,IF(Q$2&lt;=$A159+$B$152-1,$B159/$B$152,$B159-SUM($C159:P159))),0))</f>
        <v>0</v>
      </c>
      <c r="R159" s="4">
        <f>IF($B$152=0,0,IF(R$2&gt;=$A159,IF(R$2=$A159,($B159/$B$152)*$B$149,IF(R$2&lt;=$A159+$B$152-1,$B159/$B$152,$B159-SUM($C159:Q159))),0))</f>
        <v>0</v>
      </c>
      <c r="S159" s="4">
        <f>IF($B$152=0,0,IF(S$2&gt;=$A159,IF(S$2=$A159,($B159/$B$152)*$B$149,IF(S$2&lt;=$A159+$B$152-1,$B159/$B$152,$B159-SUM($C159:R159))),0))</f>
        <v>0</v>
      </c>
      <c r="T159" s="4">
        <f>IF($B$152=0,0,IF(T$2&gt;=$A159,IF(T$2=$A159,($B159/$B$152)*$B$149,IF(T$2&lt;=$A159+$B$152-1,$B159/$B$152,$B159-SUM($C159:S159))),0))</f>
        <v>0</v>
      </c>
      <c r="U159" s="4">
        <f>IF($B$152=0,0,IF(U$2&gt;=$A159,IF(U$2=$A159,($B159/$B$152)*$B$149,IF(U$2&lt;=$A159+$B$152-1,$B159/$B$152,$B159-SUM($C159:T159))),0))</f>
        <v>0</v>
      </c>
      <c r="V159" s="4">
        <f>IF($B$152=0,0,IF(V$2&gt;=$A159,IF(V$2=$A159,($B159/$B$152)*$B$149,IF(V$2&lt;=$A159+$B$152-1,$B159/$B$152,$B159-SUM($C159:U159))),0))</f>
        <v>0</v>
      </c>
      <c r="W159" s="4">
        <f>IF($B$152=0,0,IF(W$2&gt;=$A159,IF(W$2=$A159,($B159/$B$152)*$B$149,IF(W$2&lt;=$A159+$B$152-1,$B159/$B$152,$B159-SUM($C159:V159))),0))</f>
        <v>0</v>
      </c>
      <c r="X159" s="4">
        <f>IF($B$152=0,0,IF(X$2&gt;=$A159,IF(X$2=$A159,($B159/$B$152)*$B$149,IF(X$2&lt;=$A159+$B$152-1,$B159/$B$152,$B159-SUM($C159:W159))),0))</f>
        <v>0</v>
      </c>
      <c r="Y159" s="4">
        <f>IF($B$152=0,0,IF(Y$2&gt;=$A159,IF(Y$2=$A159,($B159/$B$152)*$B$149,IF(Y$2&lt;=$A159+$B$152-1,$B159/$B$152,$B159-SUM($C159:X159))),0))</f>
        <v>0</v>
      </c>
      <c r="Z159" s="4">
        <f>IF($B$152=0,0,IF(Z$2&gt;=$A159,IF(Z$2=$A159,($B159/$B$152)*$B$149,IF(Z$2&lt;=$A159+$B$152-1,$B159/$B$152,$B159-SUM($C159:Y159))),0))</f>
        <v>0</v>
      </c>
      <c r="AA159" s="4">
        <f>IF($B$152=0,0,IF(AA$2&gt;=$A159,IF(AA$2=$A159,($B159/$B$152)*$B$149,IF(AA$2&lt;=$A159+$B$152-1,$B159/$B$152,$B159-SUM($C159:Z159))),0))</f>
        <v>0</v>
      </c>
      <c r="AB159" s="4">
        <f>IF($B$152=0,0,IF(AB$2&gt;=$A159,IF(AB$2=$A159,($B159/$B$152)*$B$149,IF(AB$2&lt;=$A159+$B$152-1,$B159/$B$152,$B159-SUM($C159:AA159))),0))</f>
        <v>0</v>
      </c>
      <c r="AC159" s="4">
        <f>IF($B$152=0,0,IF(AC$2&gt;=$A159,IF(AC$2=$A159,($B159/$B$152)*$B$149,IF(AC$2&lt;=$A159+$B$152-1,$B159/$B$152,$B159-SUM($C159:AB159))),0))</f>
        <v>0</v>
      </c>
      <c r="AD159" s="4">
        <f>IF($B$152=0,0,IF(AD$2&gt;=$A159,IF(AD$2=$A159,($B159/$B$152)*$B$149,IF(AD$2&lt;=$A159+$B$152-1,$B159/$B$152,$B159-SUM($C159:AC159))),0))</f>
        <v>0</v>
      </c>
      <c r="AE159" s="4">
        <f>IF($B$152=0,0,IF(AE$2&gt;=$A159,IF(AE$2=$A159,($B159/$B$152)*$B$149,IF(AE$2&lt;=$A159+$B$152-1,$B159/$B$152,$B159-SUM($C159:AD159))),0))</f>
        <v>0</v>
      </c>
      <c r="AF159" s="4">
        <f>IF($B$152=0,0,IF(AF$2&gt;=$A159,IF(AF$2=$A159,($B159/$B$152)*$B$149,IF(AF$2&lt;=$A159+$B$152-1,$B159/$B$152,$B159-SUM($C159:AE159))),0))</f>
        <v>0</v>
      </c>
      <c r="AG159" s="4">
        <f t="shared" si="104"/>
        <v>0</v>
      </c>
    </row>
    <row r="160" spans="1:33">
      <c r="A160" s="6">
        <f t="shared" si="105"/>
        <v>2029</v>
      </c>
      <c r="B160" s="4">
        <f t="shared" si="103"/>
        <v>0</v>
      </c>
      <c r="C160" s="4">
        <f>IF($B$152=0,0,IF(C$2&gt;=$A160,IF(C$2=$A160,($B160/$B$152)*$B$149,IF(C$2&lt;=$A160+$B$152-1,$B160/$B$152,$B160-SUM(B160:$C160))),0))</f>
        <v>0</v>
      </c>
      <c r="D160" s="4">
        <f>IF($B$152=0,0,IF(D$2&gt;=$A160,IF(D$2=$A160,($B160/$B$152)*$B$149,IF(D$2&lt;=$A160+$B$152-1,$B160/$B$152,$B160-SUM(C160:$C160))),0))</f>
        <v>0</v>
      </c>
      <c r="E160" s="4">
        <f>IF($B$152=0,0,IF(E$2&gt;=$A160,IF(E$2=$A160,($B160/$B$152)*$B$149,IF(E$2&lt;=$A160+$B$152-1,$B160/$B$152,$B160-SUM($C160:D160))),0))</f>
        <v>0</v>
      </c>
      <c r="F160" s="4">
        <f>IF($B$152=0,0,IF(F$2&gt;=$A160,IF(F$2=$A160,($B160/$B$152)*$B$149,IF(F$2&lt;=$A160+$B$152-1,$B160/$B$152,$B160-SUM($C160:E160))),0))</f>
        <v>0</v>
      </c>
      <c r="G160" s="4">
        <f>IF($B$152=0,0,IF(G$2&gt;=$A160,IF(G$2=$A160,($B160/$B$152)*$B$149,IF(G$2&lt;=$A160+$B$152-1,$B160/$B$152,$B160-SUM($C160:F160))),0))</f>
        <v>0</v>
      </c>
      <c r="H160" s="4">
        <f>IF($B$152=0,0,IF(H$2&gt;=$A160,IF(H$2=$A160,($B160/$B$152)*$B$149,IF(H$2&lt;=$A160+$B$152-1,$B160/$B$152,$B160-SUM($C160:G160))),0))</f>
        <v>0</v>
      </c>
      <c r="I160" s="4">
        <f>IF($B$152=0,0,IF(I$2&gt;=$A160,IF(I$2=$A160,($B160/$B$152)*$B$149,IF(I$2&lt;=$A160+$B$152-1,$B160/$B$152,$B160-SUM($C160:H160))),0))</f>
        <v>0</v>
      </c>
      <c r="J160" s="4">
        <f>IF($B$152=0,0,IF(J$2&gt;=$A160,IF(J$2=$A160,($B160/$B$152)*$B$149,IF(J$2&lt;=$A160+$B$152-1,$B160/$B$152,$B160-SUM($C160:I160))),0))</f>
        <v>0</v>
      </c>
      <c r="K160" s="4">
        <f>IF($B$152=0,0,IF(K$2&gt;=$A160,IF(K$2=$A160,($B160/$B$152)*$B$149,IF(K$2&lt;=$A160+$B$152-1,$B160/$B$152,$B160-SUM($C160:J160))),0))</f>
        <v>0</v>
      </c>
      <c r="L160" s="4">
        <f>IF($B$152=0,0,IF(L$2&gt;=$A160,IF(L$2=$A160,($B160/$B$152)*$B$149,IF(L$2&lt;=$A160+$B$152-1,$B160/$B$152,$B160-SUM($C160:K160))),0))</f>
        <v>0</v>
      </c>
      <c r="M160" s="4">
        <f>IF($B$152=0,0,IF(M$2&gt;=$A160,IF(M$2=$A160,($B160/$B$152)*$B$149,IF(M$2&lt;=$A160+$B$152-1,$B160/$B$152,$B160-SUM($C160:L160))),0))</f>
        <v>0</v>
      </c>
      <c r="N160" s="4">
        <f>IF($B$152=0,0,IF(N$2&gt;=$A160,IF(N$2=$A160,($B160/$B$152)*$B$149,IF(N$2&lt;=$A160+$B$152-1,$B160/$B$152,$B160-SUM($C160:M160))),0))</f>
        <v>0</v>
      </c>
      <c r="O160" s="4">
        <f>IF($B$152=0,0,IF(O$2&gt;=$A160,IF(O$2=$A160,($B160/$B$152)*$B$149,IF(O$2&lt;=$A160+$B$152-1,$B160/$B$152,$B160-SUM($C160:N160))),0))</f>
        <v>0</v>
      </c>
      <c r="P160" s="4">
        <f>IF($B$152=0,0,IF(P$2&gt;=$A160,IF(P$2=$A160,($B160/$B$152)*$B$149,IF(P$2&lt;=$A160+$B$152-1,$B160/$B$152,$B160-SUM($C160:O160))),0))</f>
        <v>0</v>
      </c>
      <c r="Q160" s="4">
        <f>IF($B$152=0,0,IF(Q$2&gt;=$A160,IF(Q$2=$A160,($B160/$B$152)*$B$149,IF(Q$2&lt;=$A160+$B$152-1,$B160/$B$152,$B160-SUM($C160:P160))),0))</f>
        <v>0</v>
      </c>
      <c r="R160" s="4">
        <f>IF($B$152=0,0,IF(R$2&gt;=$A160,IF(R$2=$A160,($B160/$B$152)*$B$149,IF(R$2&lt;=$A160+$B$152-1,$B160/$B$152,$B160-SUM($C160:Q160))),0))</f>
        <v>0</v>
      </c>
      <c r="S160" s="4">
        <f>IF($B$152=0,0,IF(S$2&gt;=$A160,IF(S$2=$A160,($B160/$B$152)*$B$149,IF(S$2&lt;=$A160+$B$152-1,$B160/$B$152,$B160-SUM($C160:R160))),0))</f>
        <v>0</v>
      </c>
      <c r="T160" s="4">
        <f>IF($B$152=0,0,IF(T$2&gt;=$A160,IF(T$2=$A160,($B160/$B$152)*$B$149,IF(T$2&lt;=$A160+$B$152-1,$B160/$B$152,$B160-SUM($C160:S160))),0))</f>
        <v>0</v>
      </c>
      <c r="U160" s="4">
        <f>IF($B$152=0,0,IF(U$2&gt;=$A160,IF(U$2=$A160,($B160/$B$152)*$B$149,IF(U$2&lt;=$A160+$B$152-1,$B160/$B$152,$B160-SUM($C160:T160))),0))</f>
        <v>0</v>
      </c>
      <c r="V160" s="4">
        <f>IF($B$152=0,0,IF(V$2&gt;=$A160,IF(V$2=$A160,($B160/$B$152)*$B$149,IF(V$2&lt;=$A160+$B$152-1,$B160/$B$152,$B160-SUM($C160:U160))),0))</f>
        <v>0</v>
      </c>
      <c r="W160" s="4">
        <f>IF($B$152=0,0,IF(W$2&gt;=$A160,IF(W$2=$A160,($B160/$B$152)*$B$149,IF(W$2&lt;=$A160+$B$152-1,$B160/$B$152,$B160-SUM($C160:V160))),0))</f>
        <v>0</v>
      </c>
      <c r="X160" s="4">
        <f>IF($B$152=0,0,IF(X$2&gt;=$A160,IF(X$2=$A160,($B160/$B$152)*$B$149,IF(X$2&lt;=$A160+$B$152-1,$B160/$B$152,$B160-SUM($C160:W160))),0))</f>
        <v>0</v>
      </c>
      <c r="Y160" s="4">
        <f>IF($B$152=0,0,IF(Y$2&gt;=$A160,IF(Y$2=$A160,($B160/$B$152)*$B$149,IF(Y$2&lt;=$A160+$B$152-1,$B160/$B$152,$B160-SUM($C160:X160))),0))</f>
        <v>0</v>
      </c>
      <c r="Z160" s="4">
        <f>IF($B$152=0,0,IF(Z$2&gt;=$A160,IF(Z$2=$A160,($B160/$B$152)*$B$149,IF(Z$2&lt;=$A160+$B$152-1,$B160/$B$152,$B160-SUM($C160:Y160))),0))</f>
        <v>0</v>
      </c>
      <c r="AA160" s="4">
        <f>IF($B$152=0,0,IF(AA$2&gt;=$A160,IF(AA$2=$A160,($B160/$B$152)*$B$149,IF(AA$2&lt;=$A160+$B$152-1,$B160/$B$152,$B160-SUM($C160:Z160))),0))</f>
        <v>0</v>
      </c>
      <c r="AB160" s="4">
        <f>IF($B$152=0,0,IF(AB$2&gt;=$A160,IF(AB$2=$A160,($B160/$B$152)*$B$149,IF(AB$2&lt;=$A160+$B$152-1,$B160/$B$152,$B160-SUM($C160:AA160))),0))</f>
        <v>0</v>
      </c>
      <c r="AC160" s="4">
        <f>IF($B$152=0,0,IF(AC$2&gt;=$A160,IF(AC$2=$A160,($B160/$B$152)*$B$149,IF(AC$2&lt;=$A160+$B$152-1,$B160/$B$152,$B160-SUM($C160:AB160))),0))</f>
        <v>0</v>
      </c>
      <c r="AD160" s="4">
        <f>IF($B$152=0,0,IF(AD$2&gt;=$A160,IF(AD$2=$A160,($B160/$B$152)*$B$149,IF(AD$2&lt;=$A160+$B$152-1,$B160/$B$152,$B160-SUM($C160:AC160))),0))</f>
        <v>0</v>
      </c>
      <c r="AE160" s="4">
        <f>IF($B$152=0,0,IF(AE$2&gt;=$A160,IF(AE$2=$A160,($B160/$B$152)*$B$149,IF(AE$2&lt;=$A160+$B$152-1,$B160/$B$152,$B160-SUM($C160:AD160))),0))</f>
        <v>0</v>
      </c>
      <c r="AF160" s="4">
        <f>IF($B$152=0,0,IF(AF$2&gt;=$A160,IF(AF$2=$A160,($B160/$B$152)*$B$149,IF(AF$2&lt;=$A160+$B$152-1,$B160/$B$152,$B160-SUM($C160:AE160))),0))</f>
        <v>0</v>
      </c>
      <c r="AG160" s="4">
        <f t="shared" si="104"/>
        <v>0</v>
      </c>
    </row>
    <row r="161" spans="1:33">
      <c r="A161" s="6">
        <f t="shared" si="105"/>
        <v>2030</v>
      </c>
      <c r="B161" s="4">
        <f t="shared" si="103"/>
        <v>0</v>
      </c>
      <c r="C161" s="4">
        <f>IF($B$152=0,0,IF(C$2&gt;=$A161,IF(C$2=$A161,($B161/$B$152)*$B$149,IF(C$2&lt;=$A161+$B$152-1,$B161/$B$152,$B161-SUM(B161:$C161))),0))</f>
        <v>0</v>
      </c>
      <c r="D161" s="4">
        <f>IF($B$152=0,0,IF(D$2&gt;=$A161,IF(D$2=$A161,($B161/$B$152)*$B$149,IF(D$2&lt;=$A161+$B$152-1,$B161/$B$152,$B161-SUM(C161:$C161))),0))</f>
        <v>0</v>
      </c>
      <c r="E161" s="4">
        <f>IF($B$152=0,0,IF(E$2&gt;=$A161,IF(E$2=$A161,($B161/$B$152)*$B$149,IF(E$2&lt;=$A161+$B$152-1,$B161/$B$152,$B161-SUM($C161:D161))),0))</f>
        <v>0</v>
      </c>
      <c r="F161" s="4">
        <f>IF($B$152=0,0,IF(F$2&gt;=$A161,IF(F$2=$A161,($B161/$B$152)*$B$149,IF(F$2&lt;=$A161+$B$152-1,$B161/$B$152,$B161-SUM($C161:E161))),0))</f>
        <v>0</v>
      </c>
      <c r="G161" s="4">
        <f>IF($B$152=0,0,IF(G$2&gt;=$A161,IF(G$2=$A161,($B161/$B$152)*$B$149,IF(G$2&lt;=$A161+$B$152-1,$B161/$B$152,$B161-SUM($C161:F161))),0))</f>
        <v>0</v>
      </c>
      <c r="H161" s="4">
        <f>IF($B$152=0,0,IF(H$2&gt;=$A161,IF(H$2=$A161,($B161/$B$152)*$B$149,IF(H$2&lt;=$A161+$B$152-1,$B161/$B$152,$B161-SUM($C161:G161))),0))</f>
        <v>0</v>
      </c>
      <c r="I161" s="4">
        <f>IF($B$152=0,0,IF(I$2&gt;=$A161,IF(I$2=$A161,($B161/$B$152)*$B$149,IF(I$2&lt;=$A161+$B$152-1,$B161/$B$152,$B161-SUM($C161:H161))),0))</f>
        <v>0</v>
      </c>
      <c r="J161" s="4">
        <f>IF($B$152=0,0,IF(J$2&gt;=$A161,IF(J$2=$A161,($B161/$B$152)*$B$149,IF(J$2&lt;=$A161+$B$152-1,$B161/$B$152,$B161-SUM($C161:I161))),0))</f>
        <v>0</v>
      </c>
      <c r="K161" s="4">
        <f>IF($B$152=0,0,IF(K$2&gt;=$A161,IF(K$2=$A161,($B161/$B$152)*$B$149,IF(K$2&lt;=$A161+$B$152-1,$B161/$B$152,$B161-SUM($C161:J161))),0))</f>
        <v>0</v>
      </c>
      <c r="L161" s="4">
        <f>IF($B$152=0,0,IF(L$2&gt;=$A161,IF(L$2=$A161,($B161/$B$152)*$B$149,IF(L$2&lt;=$A161+$B$152-1,$B161/$B$152,$B161-SUM($C161:K161))),0))</f>
        <v>0</v>
      </c>
      <c r="M161" s="4">
        <f>IF($B$152=0,0,IF(M$2&gt;=$A161,IF(M$2=$A161,($B161/$B$152)*$B$149,IF(M$2&lt;=$A161+$B$152-1,$B161/$B$152,$B161-SUM($C161:L161))),0))</f>
        <v>0</v>
      </c>
      <c r="N161" s="4">
        <f>IF($B$152=0,0,IF(N$2&gt;=$A161,IF(N$2=$A161,($B161/$B$152)*$B$149,IF(N$2&lt;=$A161+$B$152-1,$B161/$B$152,$B161-SUM($C161:M161))),0))</f>
        <v>0</v>
      </c>
      <c r="O161" s="4">
        <f>IF($B$152=0,0,IF(O$2&gt;=$A161,IF(O$2=$A161,($B161/$B$152)*$B$149,IF(O$2&lt;=$A161+$B$152-1,$B161/$B$152,$B161-SUM($C161:N161))),0))</f>
        <v>0</v>
      </c>
      <c r="P161" s="4">
        <f>IF($B$152=0,0,IF(P$2&gt;=$A161,IF(P$2=$A161,($B161/$B$152)*$B$149,IF(P$2&lt;=$A161+$B$152-1,$B161/$B$152,$B161-SUM($C161:O161))),0))</f>
        <v>0</v>
      </c>
      <c r="Q161" s="4">
        <f>IF($B$152=0,0,IF(Q$2&gt;=$A161,IF(Q$2=$A161,($B161/$B$152)*$B$149,IF(Q$2&lt;=$A161+$B$152-1,$B161/$B$152,$B161-SUM($C161:P161))),0))</f>
        <v>0</v>
      </c>
      <c r="R161" s="4">
        <f>IF($B$152=0,0,IF(R$2&gt;=$A161,IF(R$2=$A161,($B161/$B$152)*$B$149,IF(R$2&lt;=$A161+$B$152-1,$B161/$B$152,$B161-SUM($C161:Q161))),0))</f>
        <v>0</v>
      </c>
      <c r="S161" s="4">
        <f>IF($B$152=0,0,IF(S$2&gt;=$A161,IF(S$2=$A161,($B161/$B$152)*$B$149,IF(S$2&lt;=$A161+$B$152-1,$B161/$B$152,$B161-SUM($C161:R161))),0))</f>
        <v>0</v>
      </c>
      <c r="T161" s="4">
        <f>IF($B$152=0,0,IF(T$2&gt;=$A161,IF(T$2=$A161,($B161/$B$152)*$B$149,IF(T$2&lt;=$A161+$B$152-1,$B161/$B$152,$B161-SUM($C161:S161))),0))</f>
        <v>0</v>
      </c>
      <c r="U161" s="4">
        <f>IF($B$152=0,0,IF(U$2&gt;=$A161,IF(U$2=$A161,($B161/$B$152)*$B$149,IF(U$2&lt;=$A161+$B$152-1,$B161/$B$152,$B161-SUM($C161:T161))),0))</f>
        <v>0</v>
      </c>
      <c r="V161" s="4">
        <f>IF($B$152=0,0,IF(V$2&gt;=$A161,IF(V$2=$A161,($B161/$B$152)*$B$149,IF(V$2&lt;=$A161+$B$152-1,$B161/$B$152,$B161-SUM($C161:U161))),0))</f>
        <v>0</v>
      </c>
      <c r="W161" s="4">
        <f>IF($B$152=0,0,IF(W$2&gt;=$A161,IF(W$2=$A161,($B161/$B$152)*$B$149,IF(W$2&lt;=$A161+$B$152-1,$B161/$B$152,$B161-SUM($C161:V161))),0))</f>
        <v>0</v>
      </c>
      <c r="X161" s="4">
        <f>IF($B$152=0,0,IF(X$2&gt;=$A161,IF(X$2=$A161,($B161/$B$152)*$B$149,IF(X$2&lt;=$A161+$B$152-1,$B161/$B$152,$B161-SUM($C161:W161))),0))</f>
        <v>0</v>
      </c>
      <c r="Y161" s="4">
        <f>IF($B$152=0,0,IF(Y$2&gt;=$A161,IF(Y$2=$A161,($B161/$B$152)*$B$149,IF(Y$2&lt;=$A161+$B$152-1,$B161/$B$152,$B161-SUM($C161:X161))),0))</f>
        <v>0</v>
      </c>
      <c r="Z161" s="4">
        <f>IF($B$152=0,0,IF(Z$2&gt;=$A161,IF(Z$2=$A161,($B161/$B$152)*$B$149,IF(Z$2&lt;=$A161+$B$152-1,$B161/$B$152,$B161-SUM($C161:Y161))),0))</f>
        <v>0</v>
      </c>
      <c r="AA161" s="4">
        <f>IF($B$152=0,0,IF(AA$2&gt;=$A161,IF(AA$2=$A161,($B161/$B$152)*$B$149,IF(AA$2&lt;=$A161+$B$152-1,$B161/$B$152,$B161-SUM($C161:Z161))),0))</f>
        <v>0</v>
      </c>
      <c r="AB161" s="4">
        <f>IF($B$152=0,0,IF(AB$2&gt;=$A161,IF(AB$2=$A161,($B161/$B$152)*$B$149,IF(AB$2&lt;=$A161+$B$152-1,$B161/$B$152,$B161-SUM($C161:AA161))),0))</f>
        <v>0</v>
      </c>
      <c r="AC161" s="4">
        <f>IF($B$152=0,0,IF(AC$2&gt;=$A161,IF(AC$2=$A161,($B161/$B$152)*$B$149,IF(AC$2&lt;=$A161+$B$152-1,$B161/$B$152,$B161-SUM($C161:AB161))),0))</f>
        <v>0</v>
      </c>
      <c r="AD161" s="4">
        <f>IF($B$152=0,0,IF(AD$2&gt;=$A161,IF(AD$2=$A161,($B161/$B$152)*$B$149,IF(AD$2&lt;=$A161+$B$152-1,$B161/$B$152,$B161-SUM($C161:AC161))),0))</f>
        <v>0</v>
      </c>
      <c r="AE161" s="4">
        <f>IF($B$152=0,0,IF(AE$2&gt;=$A161,IF(AE$2=$A161,($B161/$B$152)*$B$149,IF(AE$2&lt;=$A161+$B$152-1,$B161/$B$152,$B161-SUM($C161:AD161))),0))</f>
        <v>0</v>
      </c>
      <c r="AF161" s="4">
        <f>IF($B$152=0,0,IF(AF$2&gt;=$A161,IF(AF$2=$A161,($B161/$B$152)*$B$149,IF(AF$2&lt;=$A161+$B$152-1,$B161/$B$152,$B161-SUM($C161:AE161))),0))</f>
        <v>0</v>
      </c>
      <c r="AG161" s="4">
        <f t="shared" si="104"/>
        <v>0</v>
      </c>
    </row>
    <row r="162" spans="1:33">
      <c r="A162" s="6">
        <f t="shared" si="105"/>
        <v>2031</v>
      </c>
      <c r="B162" s="4">
        <f t="shared" si="103"/>
        <v>0</v>
      </c>
      <c r="C162" s="4">
        <f>IF($B$152=0,0,IF(C$2&gt;=$A162,IF(C$2=$A162,($B162/$B$152)*$B$149,IF(C$2&lt;=$A162+$B$152-1,$B162/$B$152,$B162-SUM(B162:$C162))),0))</f>
        <v>0</v>
      </c>
      <c r="D162" s="4">
        <f>IF($B$152=0,0,IF(D$2&gt;=$A162,IF(D$2=$A162,($B162/$B$152)*$B$149,IF(D$2&lt;=$A162+$B$152-1,$B162/$B$152,$B162-SUM(C162:$C162))),0))</f>
        <v>0</v>
      </c>
      <c r="E162" s="4">
        <f>IF($B$152=0,0,IF(E$2&gt;=$A162,IF(E$2=$A162,($B162/$B$152)*$B$149,IF(E$2&lt;=$A162+$B$152-1,$B162/$B$152,$B162-SUM($C162:D162))),0))</f>
        <v>0</v>
      </c>
      <c r="F162" s="4">
        <f>IF($B$152=0,0,IF(F$2&gt;=$A162,IF(F$2=$A162,($B162/$B$152)*$B$149,IF(F$2&lt;=$A162+$B$152-1,$B162/$B$152,$B162-SUM($C162:E162))),0))</f>
        <v>0</v>
      </c>
      <c r="G162" s="4">
        <f>IF($B$152=0,0,IF(G$2&gt;=$A162,IF(G$2=$A162,($B162/$B$152)*$B$149,IF(G$2&lt;=$A162+$B$152-1,$B162/$B$152,$B162-SUM($C162:F162))),0))</f>
        <v>0</v>
      </c>
      <c r="H162" s="4">
        <f>IF($B$152=0,0,IF(H$2&gt;=$A162,IF(H$2=$A162,($B162/$B$152)*$B$149,IF(H$2&lt;=$A162+$B$152-1,$B162/$B$152,$B162-SUM($C162:G162))),0))</f>
        <v>0</v>
      </c>
      <c r="I162" s="4">
        <f>IF($B$152=0,0,IF(I$2&gt;=$A162,IF(I$2=$A162,($B162/$B$152)*$B$149,IF(I$2&lt;=$A162+$B$152-1,$B162/$B$152,$B162-SUM($C162:H162))),0))</f>
        <v>0</v>
      </c>
      <c r="J162" s="4">
        <f>IF($B$152=0,0,IF(J$2&gt;=$A162,IF(J$2=$A162,($B162/$B$152)*$B$149,IF(J$2&lt;=$A162+$B$152-1,$B162/$B$152,$B162-SUM($C162:I162))),0))</f>
        <v>0</v>
      </c>
      <c r="K162" s="4">
        <f>IF($B$152=0,0,IF(K$2&gt;=$A162,IF(K$2=$A162,($B162/$B$152)*$B$149,IF(K$2&lt;=$A162+$B$152-1,$B162/$B$152,$B162-SUM($C162:J162))),0))</f>
        <v>0</v>
      </c>
      <c r="L162" s="4">
        <f>IF($B$152=0,0,IF(L$2&gt;=$A162,IF(L$2=$A162,($B162/$B$152)*$B$149,IF(L$2&lt;=$A162+$B$152-1,$B162/$B$152,$B162-SUM($C162:K162))),0))</f>
        <v>0</v>
      </c>
      <c r="M162" s="4">
        <f>IF($B$152=0,0,IF(M$2&gt;=$A162,IF(M$2=$A162,($B162/$B$152)*$B$149,IF(M$2&lt;=$A162+$B$152-1,$B162/$B$152,$B162-SUM($C162:L162))),0))</f>
        <v>0</v>
      </c>
      <c r="N162" s="4">
        <f>IF($B$152=0,0,IF(N$2&gt;=$A162,IF(N$2=$A162,($B162/$B$152)*$B$149,IF(N$2&lt;=$A162+$B$152-1,$B162/$B$152,$B162-SUM($C162:M162))),0))</f>
        <v>0</v>
      </c>
      <c r="O162" s="4">
        <f>IF($B$152=0,0,IF(O$2&gt;=$A162,IF(O$2=$A162,($B162/$B$152)*$B$149,IF(O$2&lt;=$A162+$B$152-1,$B162/$B$152,$B162-SUM($C162:N162))),0))</f>
        <v>0</v>
      </c>
      <c r="P162" s="4">
        <f>IF($B$152=0,0,IF(P$2&gt;=$A162,IF(P$2=$A162,($B162/$B$152)*$B$149,IF(P$2&lt;=$A162+$B$152-1,$B162/$B$152,$B162-SUM($C162:O162))),0))</f>
        <v>0</v>
      </c>
      <c r="Q162" s="4">
        <f>IF($B$152=0,0,IF(Q$2&gt;=$A162,IF(Q$2=$A162,($B162/$B$152)*$B$149,IF(Q$2&lt;=$A162+$B$152-1,$B162/$B$152,$B162-SUM($C162:P162))),0))</f>
        <v>0</v>
      </c>
      <c r="R162" s="4">
        <f>IF($B$152=0,0,IF(R$2&gt;=$A162,IF(R$2=$A162,($B162/$B$152)*$B$149,IF(R$2&lt;=$A162+$B$152-1,$B162/$B$152,$B162-SUM($C162:Q162))),0))</f>
        <v>0</v>
      </c>
      <c r="S162" s="4">
        <f>IF($B$152=0,0,IF(S$2&gt;=$A162,IF(S$2=$A162,($B162/$B$152)*$B$149,IF(S$2&lt;=$A162+$B$152-1,$B162/$B$152,$B162-SUM($C162:R162))),0))</f>
        <v>0</v>
      </c>
      <c r="T162" s="4">
        <f>IF($B$152=0,0,IF(T$2&gt;=$A162,IF(T$2=$A162,($B162/$B$152)*$B$149,IF(T$2&lt;=$A162+$B$152-1,$B162/$B$152,$B162-SUM($C162:S162))),0))</f>
        <v>0</v>
      </c>
      <c r="U162" s="4">
        <f>IF($B$152=0,0,IF(U$2&gt;=$A162,IF(U$2=$A162,($B162/$B$152)*$B$149,IF(U$2&lt;=$A162+$B$152-1,$B162/$B$152,$B162-SUM($C162:T162))),0))</f>
        <v>0</v>
      </c>
      <c r="V162" s="4">
        <f>IF($B$152=0,0,IF(V$2&gt;=$A162,IF(V$2=$A162,($B162/$B$152)*$B$149,IF(V$2&lt;=$A162+$B$152-1,$B162/$B$152,$B162-SUM($C162:U162))),0))</f>
        <v>0</v>
      </c>
      <c r="W162" s="4">
        <f>IF($B$152=0,0,IF(W$2&gt;=$A162,IF(W$2=$A162,($B162/$B$152)*$B$149,IF(W$2&lt;=$A162+$B$152-1,$B162/$B$152,$B162-SUM($C162:V162))),0))</f>
        <v>0</v>
      </c>
      <c r="X162" s="4">
        <f>IF($B$152=0,0,IF(X$2&gt;=$A162,IF(X$2=$A162,($B162/$B$152)*$B$149,IF(X$2&lt;=$A162+$B$152-1,$B162/$B$152,$B162-SUM($C162:W162))),0))</f>
        <v>0</v>
      </c>
      <c r="Y162" s="4">
        <f>IF($B$152=0,0,IF(Y$2&gt;=$A162,IF(Y$2=$A162,($B162/$B$152)*$B$149,IF(Y$2&lt;=$A162+$B$152-1,$B162/$B$152,$B162-SUM($C162:X162))),0))</f>
        <v>0</v>
      </c>
      <c r="Z162" s="4">
        <f>IF($B$152=0,0,IF(Z$2&gt;=$A162,IF(Z$2=$A162,($B162/$B$152)*$B$149,IF(Z$2&lt;=$A162+$B$152-1,$B162/$B$152,$B162-SUM($C162:Y162))),0))</f>
        <v>0</v>
      </c>
      <c r="AA162" s="4">
        <f>IF($B$152=0,0,IF(AA$2&gt;=$A162,IF(AA$2=$A162,($B162/$B$152)*$B$149,IF(AA$2&lt;=$A162+$B$152-1,$B162/$B$152,$B162-SUM($C162:Z162))),0))</f>
        <v>0</v>
      </c>
      <c r="AB162" s="4">
        <f>IF($B$152=0,0,IF(AB$2&gt;=$A162,IF(AB$2=$A162,($B162/$B$152)*$B$149,IF(AB$2&lt;=$A162+$B$152-1,$B162/$B$152,$B162-SUM($C162:AA162))),0))</f>
        <v>0</v>
      </c>
      <c r="AC162" s="4">
        <f>IF($B$152=0,0,IF(AC$2&gt;=$A162,IF(AC$2=$A162,($B162/$B$152)*$B$149,IF(AC$2&lt;=$A162+$B$152-1,$B162/$B$152,$B162-SUM($C162:AB162))),0))</f>
        <v>0</v>
      </c>
      <c r="AD162" s="4">
        <f>IF($B$152=0,0,IF(AD$2&gt;=$A162,IF(AD$2=$A162,($B162/$B$152)*$B$149,IF(AD$2&lt;=$A162+$B$152-1,$B162/$B$152,$B162-SUM($C162:AC162))),0))</f>
        <v>0</v>
      </c>
      <c r="AE162" s="4">
        <f>IF($B$152=0,0,IF(AE$2&gt;=$A162,IF(AE$2=$A162,($B162/$B$152)*$B$149,IF(AE$2&lt;=$A162+$B$152-1,$B162/$B$152,$B162-SUM($C162:AD162))),0))</f>
        <v>0</v>
      </c>
      <c r="AF162" s="4">
        <f>IF($B$152=0,0,IF(AF$2&gt;=$A162,IF(AF$2=$A162,($B162/$B$152)*$B$149,IF(AF$2&lt;=$A162+$B$152-1,$B162/$B$152,$B162-SUM($C162:AE162))),0))</f>
        <v>0</v>
      </c>
      <c r="AG162" s="4">
        <f t="shared" si="104"/>
        <v>0</v>
      </c>
    </row>
    <row r="163" spans="1:33">
      <c r="A163" s="6">
        <f t="shared" si="105"/>
        <v>2032</v>
      </c>
      <c r="B163" s="4">
        <f t="shared" si="103"/>
        <v>0</v>
      </c>
      <c r="C163" s="4">
        <f>IF($B$152=0,0,IF(C$2&gt;=$A163,IF(C$2=$A163,($B163/$B$152)*$B$149,IF(C$2&lt;=$A163+$B$152-1,$B163/$B$152,$B163-SUM(B163:$C163))),0))</f>
        <v>0</v>
      </c>
      <c r="D163" s="4">
        <f>IF($B$152=0,0,IF(D$2&gt;=$A163,IF(D$2=$A163,($B163/$B$152)*$B$149,IF(D$2&lt;=$A163+$B$152-1,$B163/$B$152,$B163-SUM(C163:$C163))),0))</f>
        <v>0</v>
      </c>
      <c r="E163" s="4">
        <f>IF($B$152=0,0,IF(E$2&gt;=$A163,IF(E$2=$A163,($B163/$B$152)*$B$149,IF(E$2&lt;=$A163+$B$152-1,$B163/$B$152,$B163-SUM($C163:D163))),0))</f>
        <v>0</v>
      </c>
      <c r="F163" s="4">
        <f>IF($B$152=0,0,IF(F$2&gt;=$A163,IF(F$2=$A163,($B163/$B$152)*$B$149,IF(F$2&lt;=$A163+$B$152-1,$B163/$B$152,$B163-SUM($C163:E163))),0))</f>
        <v>0</v>
      </c>
      <c r="G163" s="4">
        <f>IF($B$152=0,0,IF(G$2&gt;=$A163,IF(G$2=$A163,($B163/$B$152)*$B$149,IF(G$2&lt;=$A163+$B$152-1,$B163/$B$152,$B163-SUM($C163:F163))),0))</f>
        <v>0</v>
      </c>
      <c r="H163" s="4">
        <f>IF($B$152=0,0,IF(H$2&gt;=$A163,IF(H$2=$A163,($B163/$B$152)*$B$149,IF(H$2&lt;=$A163+$B$152-1,$B163/$B$152,$B163-SUM($C163:G163))),0))</f>
        <v>0</v>
      </c>
      <c r="I163" s="4">
        <f>IF($B$152=0,0,IF(I$2&gt;=$A163,IF(I$2=$A163,($B163/$B$152)*$B$149,IF(I$2&lt;=$A163+$B$152-1,$B163/$B$152,$B163-SUM($C163:H163))),0))</f>
        <v>0</v>
      </c>
      <c r="J163" s="4">
        <f>IF($B$152=0,0,IF(J$2&gt;=$A163,IF(J$2=$A163,($B163/$B$152)*$B$149,IF(J$2&lt;=$A163+$B$152-1,$B163/$B$152,$B163-SUM($C163:I163))),0))</f>
        <v>0</v>
      </c>
      <c r="K163" s="4">
        <f>IF($B$152=0,0,IF(K$2&gt;=$A163,IF(K$2=$A163,($B163/$B$152)*$B$149,IF(K$2&lt;=$A163+$B$152-1,$B163/$B$152,$B163-SUM($C163:J163))),0))</f>
        <v>0</v>
      </c>
      <c r="L163" s="4">
        <f>IF($B$152=0,0,IF(L$2&gt;=$A163,IF(L$2=$A163,($B163/$B$152)*$B$149,IF(L$2&lt;=$A163+$B$152-1,$B163/$B$152,$B163-SUM($C163:K163))),0))</f>
        <v>0</v>
      </c>
      <c r="M163" s="4">
        <f>IF($B$152=0,0,IF(M$2&gt;=$A163,IF(M$2=$A163,($B163/$B$152)*$B$149,IF(M$2&lt;=$A163+$B$152-1,$B163/$B$152,$B163-SUM($C163:L163))),0))</f>
        <v>0</v>
      </c>
      <c r="N163" s="4">
        <f>IF($B$152=0,0,IF(N$2&gt;=$A163,IF(N$2=$A163,($B163/$B$152)*$B$149,IF(N$2&lt;=$A163+$B$152-1,$B163/$B$152,$B163-SUM($C163:M163))),0))</f>
        <v>0</v>
      </c>
      <c r="O163" s="4">
        <f>IF($B$152=0,0,IF(O$2&gt;=$A163,IF(O$2=$A163,($B163/$B$152)*$B$149,IF(O$2&lt;=$A163+$B$152-1,$B163/$B$152,$B163-SUM($C163:N163))),0))</f>
        <v>0</v>
      </c>
      <c r="P163" s="4">
        <f>IF($B$152=0,0,IF(P$2&gt;=$A163,IF(P$2=$A163,($B163/$B$152)*$B$149,IF(P$2&lt;=$A163+$B$152-1,$B163/$B$152,$B163-SUM($C163:O163))),0))</f>
        <v>0</v>
      </c>
      <c r="Q163" s="4">
        <f>IF($B$152=0,0,IF(Q$2&gt;=$A163,IF(Q$2=$A163,($B163/$B$152)*$B$149,IF(Q$2&lt;=$A163+$B$152-1,$B163/$B$152,$B163-SUM($C163:P163))),0))</f>
        <v>0</v>
      </c>
      <c r="R163" s="4">
        <f>IF($B$152=0,0,IF(R$2&gt;=$A163,IF(R$2=$A163,($B163/$B$152)*$B$149,IF(R$2&lt;=$A163+$B$152-1,$B163/$B$152,$B163-SUM($C163:Q163))),0))</f>
        <v>0</v>
      </c>
      <c r="S163" s="4">
        <f>IF($B$152=0,0,IF(S$2&gt;=$A163,IF(S$2=$A163,($B163/$B$152)*$B$149,IF(S$2&lt;=$A163+$B$152-1,$B163/$B$152,$B163-SUM($C163:R163))),0))</f>
        <v>0</v>
      </c>
      <c r="T163" s="4">
        <f>IF($B$152=0,0,IF(T$2&gt;=$A163,IF(T$2=$A163,($B163/$B$152)*$B$149,IF(T$2&lt;=$A163+$B$152-1,$B163/$B$152,$B163-SUM($C163:S163))),0))</f>
        <v>0</v>
      </c>
      <c r="U163" s="4">
        <f>IF($B$152=0,0,IF(U$2&gt;=$A163,IF(U$2=$A163,($B163/$B$152)*$B$149,IF(U$2&lt;=$A163+$B$152-1,$B163/$B$152,$B163-SUM($C163:T163))),0))</f>
        <v>0</v>
      </c>
      <c r="V163" s="4">
        <f>IF($B$152=0,0,IF(V$2&gt;=$A163,IF(V$2=$A163,($B163/$B$152)*$B$149,IF(V$2&lt;=$A163+$B$152-1,$B163/$B$152,$B163-SUM($C163:U163))),0))</f>
        <v>0</v>
      </c>
      <c r="W163" s="4">
        <f>IF($B$152=0,0,IF(W$2&gt;=$A163,IF(W$2=$A163,($B163/$B$152)*$B$149,IF(W$2&lt;=$A163+$B$152-1,$B163/$B$152,$B163-SUM($C163:V163))),0))</f>
        <v>0</v>
      </c>
      <c r="X163" s="4">
        <f>IF($B$152=0,0,IF(X$2&gt;=$A163,IF(X$2=$A163,($B163/$B$152)*$B$149,IF(X$2&lt;=$A163+$B$152-1,$B163/$B$152,$B163-SUM($C163:W163))),0))</f>
        <v>0</v>
      </c>
      <c r="Y163" s="4">
        <f>IF($B$152=0,0,IF(Y$2&gt;=$A163,IF(Y$2=$A163,($B163/$B$152)*$B$149,IF(Y$2&lt;=$A163+$B$152-1,$B163/$B$152,$B163-SUM($C163:X163))),0))</f>
        <v>0</v>
      </c>
      <c r="Z163" s="4">
        <f>IF($B$152=0,0,IF(Z$2&gt;=$A163,IF(Z$2=$A163,($B163/$B$152)*$B$149,IF(Z$2&lt;=$A163+$B$152-1,$B163/$B$152,$B163-SUM($C163:Y163))),0))</f>
        <v>0</v>
      </c>
      <c r="AA163" s="4">
        <f>IF($B$152=0,0,IF(AA$2&gt;=$A163,IF(AA$2=$A163,($B163/$B$152)*$B$149,IF(AA$2&lt;=$A163+$B$152-1,$B163/$B$152,$B163-SUM($C163:Z163))),0))</f>
        <v>0</v>
      </c>
      <c r="AB163" s="4">
        <f>IF($B$152=0,0,IF(AB$2&gt;=$A163,IF(AB$2=$A163,($B163/$B$152)*$B$149,IF(AB$2&lt;=$A163+$B$152-1,$B163/$B$152,$B163-SUM($C163:AA163))),0))</f>
        <v>0</v>
      </c>
      <c r="AC163" s="4">
        <f>IF($B$152=0,0,IF(AC$2&gt;=$A163,IF(AC$2=$A163,($B163/$B$152)*$B$149,IF(AC$2&lt;=$A163+$B$152-1,$B163/$B$152,$B163-SUM($C163:AB163))),0))</f>
        <v>0</v>
      </c>
      <c r="AD163" s="4">
        <f>IF($B$152=0,0,IF(AD$2&gt;=$A163,IF(AD$2=$A163,($B163/$B$152)*$B$149,IF(AD$2&lt;=$A163+$B$152-1,$B163/$B$152,$B163-SUM($C163:AC163))),0))</f>
        <v>0</v>
      </c>
      <c r="AE163" s="4">
        <f>IF($B$152=0,0,IF(AE$2&gt;=$A163,IF(AE$2=$A163,($B163/$B$152)*$B$149,IF(AE$2&lt;=$A163+$B$152-1,$B163/$B$152,$B163-SUM($C163:AD163))),0))</f>
        <v>0</v>
      </c>
      <c r="AF163" s="4">
        <f>IF($B$152=0,0,IF(AF$2&gt;=$A163,IF(AF$2=$A163,($B163/$B$152)*$B$149,IF(AF$2&lt;=$A163+$B$152-1,$B163/$B$152,$B163-SUM($C163:AE163))),0))</f>
        <v>0</v>
      </c>
      <c r="AG163" s="4">
        <f t="shared" si="104"/>
        <v>0</v>
      </c>
    </row>
    <row r="164" spans="1:33">
      <c r="A164" s="6">
        <f t="shared" si="105"/>
        <v>2033</v>
      </c>
      <c r="B164" s="4">
        <f t="shared" si="103"/>
        <v>0</v>
      </c>
      <c r="C164" s="4">
        <f>IF($B$152=0,0,IF(C$2&gt;=$A164,IF(C$2=$A164,($B164/$B$152)*$B$149,IF(C$2&lt;=$A164+$B$152-1,$B164/$B$152,$B164-SUM(B164:$C164))),0))</f>
        <v>0</v>
      </c>
      <c r="D164" s="4">
        <f>IF($B$152=0,0,IF(D$2&gt;=$A164,IF(D$2=$A164,($B164/$B$152)*$B$149,IF(D$2&lt;=$A164+$B$152-1,$B164/$B$152,$B164-SUM(C164:$C164))),0))</f>
        <v>0</v>
      </c>
      <c r="E164" s="4">
        <f>IF($B$152=0,0,IF(E$2&gt;=$A164,IF(E$2=$A164,($B164/$B$152)*$B$149,IF(E$2&lt;=$A164+$B$152-1,$B164/$B$152,$B164-SUM($C164:D164))),0))</f>
        <v>0</v>
      </c>
      <c r="F164" s="4">
        <f>IF($B$152=0,0,IF(F$2&gt;=$A164,IF(F$2=$A164,($B164/$B$152)*$B$149,IF(F$2&lt;=$A164+$B$152-1,$B164/$B$152,$B164-SUM($C164:E164))),0))</f>
        <v>0</v>
      </c>
      <c r="G164" s="4">
        <f>IF($B$152=0,0,IF(G$2&gt;=$A164,IF(G$2=$A164,($B164/$B$152)*$B$149,IF(G$2&lt;=$A164+$B$152-1,$B164/$B$152,$B164-SUM($C164:F164))),0))</f>
        <v>0</v>
      </c>
      <c r="H164" s="4">
        <f>IF($B$152=0,0,IF(H$2&gt;=$A164,IF(H$2=$A164,($B164/$B$152)*$B$149,IF(H$2&lt;=$A164+$B$152-1,$B164/$B$152,$B164-SUM($C164:G164))),0))</f>
        <v>0</v>
      </c>
      <c r="I164" s="4">
        <f>IF($B$152=0,0,IF(I$2&gt;=$A164,IF(I$2=$A164,($B164/$B$152)*$B$149,IF(I$2&lt;=$A164+$B$152-1,$B164/$B$152,$B164-SUM($C164:H164))),0))</f>
        <v>0</v>
      </c>
      <c r="J164" s="4">
        <f>IF($B$152=0,0,IF(J$2&gt;=$A164,IF(J$2=$A164,($B164/$B$152)*$B$149,IF(J$2&lt;=$A164+$B$152-1,$B164/$B$152,$B164-SUM($C164:I164))),0))</f>
        <v>0</v>
      </c>
      <c r="K164" s="4">
        <f>IF($B$152=0,0,IF(K$2&gt;=$A164,IF(K$2=$A164,($B164/$B$152)*$B$149,IF(K$2&lt;=$A164+$B$152-1,$B164/$B$152,$B164-SUM($C164:J164))),0))</f>
        <v>0</v>
      </c>
      <c r="L164" s="4">
        <f>IF($B$152=0,0,IF(L$2&gt;=$A164,IF(L$2=$A164,($B164/$B$152)*$B$149,IF(L$2&lt;=$A164+$B$152-1,$B164/$B$152,$B164-SUM($C164:K164))),0))</f>
        <v>0</v>
      </c>
      <c r="M164" s="4">
        <f>IF($B$152=0,0,IF(M$2&gt;=$A164,IF(M$2=$A164,($B164/$B$152)*$B$149,IF(M$2&lt;=$A164+$B$152-1,$B164/$B$152,$B164-SUM($C164:L164))),0))</f>
        <v>0</v>
      </c>
      <c r="N164" s="4">
        <f>IF($B$152=0,0,IF(N$2&gt;=$A164,IF(N$2=$A164,($B164/$B$152)*$B$149,IF(N$2&lt;=$A164+$B$152-1,$B164/$B$152,$B164-SUM($C164:M164))),0))</f>
        <v>0</v>
      </c>
      <c r="O164" s="4">
        <f>IF($B$152=0,0,IF(O$2&gt;=$A164,IF(O$2=$A164,($B164/$B$152)*$B$149,IF(O$2&lt;=$A164+$B$152-1,$B164/$B$152,$B164-SUM($C164:N164))),0))</f>
        <v>0</v>
      </c>
      <c r="P164" s="4">
        <f>IF($B$152=0,0,IF(P$2&gt;=$A164,IF(P$2=$A164,($B164/$B$152)*$B$149,IF(P$2&lt;=$A164+$B$152-1,$B164/$B$152,$B164-SUM($C164:O164))),0))</f>
        <v>0</v>
      </c>
      <c r="Q164" s="4">
        <f>IF($B$152=0,0,IF(Q$2&gt;=$A164,IF(Q$2=$A164,($B164/$B$152)*$B$149,IF(Q$2&lt;=$A164+$B$152-1,$B164/$B$152,$B164-SUM($C164:P164))),0))</f>
        <v>0</v>
      </c>
      <c r="R164" s="4">
        <f>IF($B$152=0,0,IF(R$2&gt;=$A164,IF(R$2=$A164,($B164/$B$152)*$B$149,IF(R$2&lt;=$A164+$B$152-1,$B164/$B$152,$B164-SUM($C164:Q164))),0))</f>
        <v>0</v>
      </c>
      <c r="S164" s="4">
        <f>IF($B$152=0,0,IF(S$2&gt;=$A164,IF(S$2=$A164,($B164/$B$152)*$B$149,IF(S$2&lt;=$A164+$B$152-1,$B164/$B$152,$B164-SUM($C164:R164))),0))</f>
        <v>0</v>
      </c>
      <c r="T164" s="4">
        <f>IF($B$152=0,0,IF(T$2&gt;=$A164,IF(T$2=$A164,($B164/$B$152)*$B$149,IF(T$2&lt;=$A164+$B$152-1,$B164/$B$152,$B164-SUM($C164:S164))),0))</f>
        <v>0</v>
      </c>
      <c r="U164" s="4">
        <f>IF($B$152=0,0,IF(U$2&gt;=$A164,IF(U$2=$A164,($B164/$B$152)*$B$149,IF(U$2&lt;=$A164+$B$152-1,$B164/$B$152,$B164-SUM($C164:T164))),0))</f>
        <v>0</v>
      </c>
      <c r="V164" s="4">
        <f>IF($B$152=0,0,IF(V$2&gt;=$A164,IF(V$2=$A164,($B164/$B$152)*$B$149,IF(V$2&lt;=$A164+$B$152-1,$B164/$B$152,$B164-SUM($C164:U164))),0))</f>
        <v>0</v>
      </c>
      <c r="W164" s="4">
        <f>IF($B$152=0,0,IF(W$2&gt;=$A164,IF(W$2=$A164,($B164/$B$152)*$B$149,IF(W$2&lt;=$A164+$B$152-1,$B164/$B$152,$B164-SUM($C164:V164))),0))</f>
        <v>0</v>
      </c>
      <c r="X164" s="4">
        <f>IF($B$152=0,0,IF(X$2&gt;=$A164,IF(X$2=$A164,($B164/$B$152)*$B$149,IF(X$2&lt;=$A164+$B$152-1,$B164/$B$152,$B164-SUM($C164:W164))),0))</f>
        <v>0</v>
      </c>
      <c r="Y164" s="4">
        <f>IF($B$152=0,0,IF(Y$2&gt;=$A164,IF(Y$2=$A164,($B164/$B$152)*$B$149,IF(Y$2&lt;=$A164+$B$152-1,$B164/$B$152,$B164-SUM($C164:X164))),0))</f>
        <v>0</v>
      </c>
      <c r="Z164" s="4">
        <f>IF($B$152=0,0,IF(Z$2&gt;=$A164,IF(Z$2=$A164,($B164/$B$152)*$B$149,IF(Z$2&lt;=$A164+$B$152-1,$B164/$B$152,$B164-SUM($C164:Y164))),0))</f>
        <v>0</v>
      </c>
      <c r="AA164" s="4">
        <f>IF($B$152=0,0,IF(AA$2&gt;=$A164,IF(AA$2=$A164,($B164/$B$152)*$B$149,IF(AA$2&lt;=$A164+$B$152-1,$B164/$B$152,$B164-SUM($C164:Z164))),0))</f>
        <v>0</v>
      </c>
      <c r="AB164" s="4">
        <f>IF($B$152=0,0,IF(AB$2&gt;=$A164,IF(AB$2=$A164,($B164/$B$152)*$B$149,IF(AB$2&lt;=$A164+$B$152-1,$B164/$B$152,$B164-SUM($C164:AA164))),0))</f>
        <v>0</v>
      </c>
      <c r="AC164" s="4">
        <f>IF($B$152=0,0,IF(AC$2&gt;=$A164,IF(AC$2=$A164,($B164/$B$152)*$B$149,IF(AC$2&lt;=$A164+$B$152-1,$B164/$B$152,$B164-SUM($C164:AB164))),0))</f>
        <v>0</v>
      </c>
      <c r="AD164" s="4">
        <f>IF($B$152=0,0,IF(AD$2&gt;=$A164,IF(AD$2=$A164,($B164/$B$152)*$B$149,IF(AD$2&lt;=$A164+$B$152-1,$B164/$B$152,$B164-SUM($C164:AC164))),0))</f>
        <v>0</v>
      </c>
      <c r="AE164" s="4">
        <f>IF($B$152=0,0,IF(AE$2&gt;=$A164,IF(AE$2=$A164,($B164/$B$152)*$B$149,IF(AE$2&lt;=$A164+$B$152-1,$B164/$B$152,$B164-SUM($C164:AD164))),0))</f>
        <v>0</v>
      </c>
      <c r="AF164" s="4">
        <f>IF($B$152=0,0,IF(AF$2&gt;=$A164,IF(AF$2=$A164,($B164/$B$152)*$B$149,IF(AF$2&lt;=$A164+$B$152-1,$B164/$B$152,$B164-SUM($C164:AE164))),0))</f>
        <v>0</v>
      </c>
      <c r="AG164" s="4">
        <f t="shared" si="104"/>
        <v>0</v>
      </c>
    </row>
    <row r="165" spans="1:33">
      <c r="A165" s="6">
        <f t="shared" si="105"/>
        <v>2034</v>
      </c>
      <c r="B165" s="4">
        <f t="shared" si="103"/>
        <v>0</v>
      </c>
      <c r="C165" s="4">
        <f>IF($B$152=0,0,IF(C$2&gt;=$A165,IF(C$2=$A165,($B165/$B$152)*$B$149,IF(C$2&lt;=$A165+$B$152-1,$B165/$B$152,$B165-SUM(B165:$C165))),0))</f>
        <v>0</v>
      </c>
      <c r="D165" s="4">
        <f>IF($B$152=0,0,IF(D$2&gt;=$A165,IF(D$2=$A165,($B165/$B$152)*$B$149,IF(D$2&lt;=$A165+$B$152-1,$B165/$B$152,$B165-SUM(C165:$C165))),0))</f>
        <v>0</v>
      </c>
      <c r="E165" s="4">
        <f>IF($B$152=0,0,IF(E$2&gt;=$A165,IF(E$2=$A165,($B165/$B$152)*$B$149,IF(E$2&lt;=$A165+$B$152-1,$B165/$B$152,$B165-SUM($C165:D165))),0))</f>
        <v>0</v>
      </c>
      <c r="F165" s="4">
        <f>IF($B$152=0,0,IF(F$2&gt;=$A165,IF(F$2=$A165,($B165/$B$152)*$B$149,IF(F$2&lt;=$A165+$B$152-1,$B165/$B$152,$B165-SUM($C165:E165))),0))</f>
        <v>0</v>
      </c>
      <c r="G165" s="4">
        <f>IF($B$152=0,0,IF(G$2&gt;=$A165,IF(G$2=$A165,($B165/$B$152)*$B$149,IF(G$2&lt;=$A165+$B$152-1,$B165/$B$152,$B165-SUM($C165:F165))),0))</f>
        <v>0</v>
      </c>
      <c r="H165" s="4">
        <f>IF($B$152=0,0,IF(H$2&gt;=$A165,IF(H$2=$A165,($B165/$B$152)*$B$149,IF(H$2&lt;=$A165+$B$152-1,$B165/$B$152,$B165-SUM($C165:G165))),0))</f>
        <v>0</v>
      </c>
      <c r="I165" s="4">
        <f>IF($B$152=0,0,IF(I$2&gt;=$A165,IF(I$2=$A165,($B165/$B$152)*$B$149,IF(I$2&lt;=$A165+$B$152-1,$B165/$B$152,$B165-SUM($C165:H165))),0))</f>
        <v>0</v>
      </c>
      <c r="J165" s="4">
        <f>IF($B$152=0,0,IF(J$2&gt;=$A165,IF(J$2=$A165,($B165/$B$152)*$B$149,IF(J$2&lt;=$A165+$B$152-1,$B165/$B$152,$B165-SUM($C165:I165))),0))</f>
        <v>0</v>
      </c>
      <c r="K165" s="4">
        <f>IF($B$152=0,0,IF(K$2&gt;=$A165,IF(K$2=$A165,($B165/$B$152)*$B$149,IF(K$2&lt;=$A165+$B$152-1,$B165/$B$152,$B165-SUM($C165:J165))),0))</f>
        <v>0</v>
      </c>
      <c r="L165" s="4">
        <f>IF($B$152=0,0,IF(L$2&gt;=$A165,IF(L$2=$A165,($B165/$B$152)*$B$149,IF(L$2&lt;=$A165+$B$152-1,$B165/$B$152,$B165-SUM($C165:K165))),0))</f>
        <v>0</v>
      </c>
      <c r="M165" s="4">
        <f>IF($B$152=0,0,IF(M$2&gt;=$A165,IF(M$2=$A165,($B165/$B$152)*$B$149,IF(M$2&lt;=$A165+$B$152-1,$B165/$B$152,$B165-SUM($C165:L165))),0))</f>
        <v>0</v>
      </c>
      <c r="N165" s="4">
        <f>IF($B$152=0,0,IF(N$2&gt;=$A165,IF(N$2=$A165,($B165/$B$152)*$B$149,IF(N$2&lt;=$A165+$B$152-1,$B165/$B$152,$B165-SUM($C165:M165))),0))</f>
        <v>0</v>
      </c>
      <c r="O165" s="4">
        <f>IF($B$152=0,0,IF(O$2&gt;=$A165,IF(O$2=$A165,($B165/$B$152)*$B$149,IF(O$2&lt;=$A165+$B$152-1,$B165/$B$152,$B165-SUM($C165:N165))),0))</f>
        <v>0</v>
      </c>
      <c r="P165" s="4">
        <f>IF($B$152=0,0,IF(P$2&gt;=$A165,IF(P$2=$A165,($B165/$B$152)*$B$149,IF(P$2&lt;=$A165+$B$152-1,$B165/$B$152,$B165-SUM($C165:O165))),0))</f>
        <v>0</v>
      </c>
      <c r="Q165" s="4">
        <f>IF($B$152=0,0,IF(Q$2&gt;=$A165,IF(Q$2=$A165,($B165/$B$152)*$B$149,IF(Q$2&lt;=$A165+$B$152-1,$B165/$B$152,$B165-SUM($C165:P165))),0))</f>
        <v>0</v>
      </c>
      <c r="R165" s="4">
        <f>IF($B$152=0,0,IF(R$2&gt;=$A165,IF(R$2=$A165,($B165/$B$152)*$B$149,IF(R$2&lt;=$A165+$B$152-1,$B165/$B$152,$B165-SUM($C165:Q165))),0))</f>
        <v>0</v>
      </c>
      <c r="S165" s="4">
        <f>IF($B$152=0,0,IF(S$2&gt;=$A165,IF(S$2=$A165,($B165/$B$152)*$B$149,IF(S$2&lt;=$A165+$B$152-1,$B165/$B$152,$B165-SUM($C165:R165))),0))</f>
        <v>0</v>
      </c>
      <c r="T165" s="4">
        <f>IF($B$152=0,0,IF(T$2&gt;=$A165,IF(T$2=$A165,($B165/$B$152)*$B$149,IF(T$2&lt;=$A165+$B$152-1,$B165/$B$152,$B165-SUM($C165:S165))),0))</f>
        <v>0</v>
      </c>
      <c r="U165" s="4">
        <f>IF($B$152=0,0,IF(U$2&gt;=$A165,IF(U$2=$A165,($B165/$B$152)*$B$149,IF(U$2&lt;=$A165+$B$152-1,$B165/$B$152,$B165-SUM($C165:T165))),0))</f>
        <v>0</v>
      </c>
      <c r="V165" s="4">
        <f>IF($B$152=0,0,IF(V$2&gt;=$A165,IF(V$2=$A165,($B165/$B$152)*$B$149,IF(V$2&lt;=$A165+$B$152-1,$B165/$B$152,$B165-SUM($C165:U165))),0))</f>
        <v>0</v>
      </c>
      <c r="W165" s="4">
        <f>IF($B$152=0,0,IF(W$2&gt;=$A165,IF(W$2=$A165,($B165/$B$152)*$B$149,IF(W$2&lt;=$A165+$B$152-1,$B165/$B$152,$B165-SUM($C165:V165))),0))</f>
        <v>0</v>
      </c>
      <c r="X165" s="4">
        <f>IF($B$152=0,0,IF(X$2&gt;=$A165,IF(X$2=$A165,($B165/$B$152)*$B$149,IF(X$2&lt;=$A165+$B$152-1,$B165/$B$152,$B165-SUM($C165:W165))),0))</f>
        <v>0</v>
      </c>
      <c r="Y165" s="4">
        <f>IF($B$152=0,0,IF(Y$2&gt;=$A165,IF(Y$2=$A165,($B165/$B$152)*$B$149,IF(Y$2&lt;=$A165+$B$152-1,$B165/$B$152,$B165-SUM($C165:X165))),0))</f>
        <v>0</v>
      </c>
      <c r="Z165" s="4">
        <f>IF($B$152=0,0,IF(Z$2&gt;=$A165,IF(Z$2=$A165,($B165/$B$152)*$B$149,IF(Z$2&lt;=$A165+$B$152-1,$B165/$B$152,$B165-SUM($C165:Y165))),0))</f>
        <v>0</v>
      </c>
      <c r="AA165" s="4">
        <f>IF($B$152=0,0,IF(AA$2&gt;=$A165,IF(AA$2=$A165,($B165/$B$152)*$B$149,IF(AA$2&lt;=$A165+$B$152-1,$B165/$B$152,$B165-SUM($C165:Z165))),0))</f>
        <v>0</v>
      </c>
      <c r="AB165" s="4">
        <f>IF($B$152=0,0,IF(AB$2&gt;=$A165,IF(AB$2=$A165,($B165/$B$152)*$B$149,IF(AB$2&lt;=$A165+$B$152-1,$B165/$B$152,$B165-SUM($C165:AA165))),0))</f>
        <v>0</v>
      </c>
      <c r="AC165" s="4">
        <f>IF($B$152=0,0,IF(AC$2&gt;=$A165,IF(AC$2=$A165,($B165/$B$152)*$B$149,IF(AC$2&lt;=$A165+$B$152-1,$B165/$B$152,$B165-SUM($C165:AB165))),0))</f>
        <v>0</v>
      </c>
      <c r="AD165" s="4">
        <f>IF($B$152=0,0,IF(AD$2&gt;=$A165,IF(AD$2=$A165,($B165/$B$152)*$B$149,IF(AD$2&lt;=$A165+$B$152-1,$B165/$B$152,$B165-SUM($C165:AC165))),0))</f>
        <v>0</v>
      </c>
      <c r="AE165" s="4">
        <f>IF($B$152=0,0,IF(AE$2&gt;=$A165,IF(AE$2=$A165,($B165/$B$152)*$B$149,IF(AE$2&lt;=$A165+$B$152-1,$B165/$B$152,$B165-SUM($C165:AD165))),0))</f>
        <v>0</v>
      </c>
      <c r="AF165" s="4">
        <f>IF($B$152=0,0,IF(AF$2&gt;=$A165,IF(AF$2=$A165,($B165/$B$152)*$B$149,IF(AF$2&lt;=$A165+$B$152-1,$B165/$B$152,$B165-SUM($C165:AE165))),0))</f>
        <v>0</v>
      </c>
      <c r="AG165" s="4">
        <f t="shared" si="104"/>
        <v>0</v>
      </c>
    </row>
    <row r="166" spans="1:33">
      <c r="A166" s="6">
        <f t="shared" si="105"/>
        <v>2035</v>
      </c>
      <c r="B166" s="4">
        <f t="shared" si="103"/>
        <v>0</v>
      </c>
      <c r="C166" s="4">
        <f>IF($B$152=0,0,IF(C$2&gt;=$A166,IF(C$2=$A166,($B166/$B$152)*$B$149,IF(C$2&lt;=$A166+$B$152-1,$B166/$B$152,$B166-SUM(B166:$C166))),0))</f>
        <v>0</v>
      </c>
      <c r="D166" s="4">
        <f>IF($B$152=0,0,IF(D$2&gt;=$A166,IF(D$2=$A166,($B166/$B$152)*$B$149,IF(D$2&lt;=$A166+$B$152-1,$B166/$B$152,$B166-SUM(C166:$C166))),0))</f>
        <v>0</v>
      </c>
      <c r="E166" s="4">
        <f>IF($B$152=0,0,IF(E$2&gt;=$A166,IF(E$2=$A166,($B166/$B$152)*$B$149,IF(E$2&lt;=$A166+$B$152-1,$B166/$B$152,$B166-SUM($C166:D166))),0))</f>
        <v>0</v>
      </c>
      <c r="F166" s="4">
        <f>IF($B$152=0,0,IF(F$2&gt;=$A166,IF(F$2=$A166,($B166/$B$152)*$B$149,IF(F$2&lt;=$A166+$B$152-1,$B166/$B$152,$B166-SUM($C166:E166))),0))</f>
        <v>0</v>
      </c>
      <c r="G166" s="4">
        <f>IF($B$152=0,0,IF(G$2&gt;=$A166,IF(G$2=$A166,($B166/$B$152)*$B$149,IF(G$2&lt;=$A166+$B$152-1,$B166/$B$152,$B166-SUM($C166:F166))),0))</f>
        <v>0</v>
      </c>
      <c r="H166" s="4">
        <f>IF($B$152=0,0,IF(H$2&gt;=$A166,IF(H$2=$A166,($B166/$B$152)*$B$149,IF(H$2&lt;=$A166+$B$152-1,$B166/$B$152,$B166-SUM($C166:G166))),0))</f>
        <v>0</v>
      </c>
      <c r="I166" s="4">
        <f>IF($B$152=0,0,IF(I$2&gt;=$A166,IF(I$2=$A166,($B166/$B$152)*$B$149,IF(I$2&lt;=$A166+$B$152-1,$B166/$B$152,$B166-SUM($C166:H166))),0))</f>
        <v>0</v>
      </c>
      <c r="J166" s="4">
        <f>IF($B$152=0,0,IF(J$2&gt;=$A166,IF(J$2=$A166,($B166/$B$152)*$B$149,IF(J$2&lt;=$A166+$B$152-1,$B166/$B$152,$B166-SUM($C166:I166))),0))</f>
        <v>0</v>
      </c>
      <c r="K166" s="4">
        <f>IF($B$152=0,0,IF(K$2&gt;=$A166,IF(K$2=$A166,($B166/$B$152)*$B$149,IF(K$2&lt;=$A166+$B$152-1,$B166/$B$152,$B166-SUM($C166:J166))),0))</f>
        <v>0</v>
      </c>
      <c r="L166" s="4">
        <f>IF($B$152=0,0,IF(L$2&gt;=$A166,IF(L$2=$A166,($B166/$B$152)*$B$149,IF(L$2&lt;=$A166+$B$152-1,$B166/$B$152,$B166-SUM($C166:K166))),0))</f>
        <v>0</v>
      </c>
      <c r="M166" s="4">
        <f>IF($B$152=0,0,IF(M$2&gt;=$A166,IF(M$2=$A166,($B166/$B$152)*$B$149,IF(M$2&lt;=$A166+$B$152-1,$B166/$B$152,$B166-SUM($C166:L166))),0))</f>
        <v>0</v>
      </c>
      <c r="N166" s="4">
        <f>IF($B$152=0,0,IF(N$2&gt;=$A166,IF(N$2=$A166,($B166/$B$152)*$B$149,IF(N$2&lt;=$A166+$B$152-1,$B166/$B$152,$B166-SUM($C166:M166))),0))</f>
        <v>0</v>
      </c>
      <c r="O166" s="4">
        <f>IF($B$152=0,0,IF(O$2&gt;=$A166,IF(O$2=$A166,($B166/$B$152)*$B$149,IF(O$2&lt;=$A166+$B$152-1,$B166/$B$152,$B166-SUM($C166:N166))),0))</f>
        <v>0</v>
      </c>
      <c r="P166" s="4">
        <f>IF($B$152=0,0,IF(P$2&gt;=$A166,IF(P$2=$A166,($B166/$B$152)*$B$149,IF(P$2&lt;=$A166+$B$152-1,$B166/$B$152,$B166-SUM($C166:O166))),0))</f>
        <v>0</v>
      </c>
      <c r="Q166" s="4">
        <f>IF($B$152=0,0,IF(Q$2&gt;=$A166,IF(Q$2=$A166,($B166/$B$152)*$B$149,IF(Q$2&lt;=$A166+$B$152-1,$B166/$B$152,$B166-SUM($C166:P166))),0))</f>
        <v>0</v>
      </c>
      <c r="R166" s="4">
        <f>IF($B$152=0,0,IF(R$2&gt;=$A166,IF(R$2=$A166,($B166/$B$152)*$B$149,IF(R$2&lt;=$A166+$B$152-1,$B166/$B$152,$B166-SUM($C166:Q166))),0))</f>
        <v>0</v>
      </c>
      <c r="S166" s="4">
        <f>IF($B$152=0,0,IF(S$2&gt;=$A166,IF(S$2=$A166,($B166/$B$152)*$B$149,IF(S$2&lt;=$A166+$B$152-1,$B166/$B$152,$B166-SUM($C166:R166))),0))</f>
        <v>0</v>
      </c>
      <c r="T166" s="4">
        <f>IF($B$152=0,0,IF(T$2&gt;=$A166,IF(T$2=$A166,($B166/$B$152)*$B$149,IF(T$2&lt;=$A166+$B$152-1,$B166/$B$152,$B166-SUM($C166:S166))),0))</f>
        <v>0</v>
      </c>
      <c r="U166" s="4">
        <f>IF($B$152=0,0,IF(U$2&gt;=$A166,IF(U$2=$A166,($B166/$B$152)*$B$149,IF(U$2&lt;=$A166+$B$152-1,$B166/$B$152,$B166-SUM($C166:T166))),0))</f>
        <v>0</v>
      </c>
      <c r="V166" s="4">
        <f>IF($B$152=0,0,IF(V$2&gt;=$A166,IF(V$2=$A166,($B166/$B$152)*$B$149,IF(V$2&lt;=$A166+$B$152-1,$B166/$B$152,$B166-SUM($C166:U166))),0))</f>
        <v>0</v>
      </c>
      <c r="W166" s="4">
        <f>IF($B$152=0,0,IF(W$2&gt;=$A166,IF(W$2=$A166,($B166/$B$152)*$B$149,IF(W$2&lt;=$A166+$B$152-1,$B166/$B$152,$B166-SUM($C166:V166))),0))</f>
        <v>0</v>
      </c>
      <c r="X166" s="4">
        <f>IF($B$152=0,0,IF(X$2&gt;=$A166,IF(X$2=$A166,($B166/$B$152)*$B$149,IF(X$2&lt;=$A166+$B$152-1,$B166/$B$152,$B166-SUM($C166:W166))),0))</f>
        <v>0</v>
      </c>
      <c r="Y166" s="4">
        <f>IF($B$152=0,0,IF(Y$2&gt;=$A166,IF(Y$2=$A166,($B166/$B$152)*$B$149,IF(Y$2&lt;=$A166+$B$152-1,$B166/$B$152,$B166-SUM($C166:X166))),0))</f>
        <v>0</v>
      </c>
      <c r="Z166" s="4">
        <f>IF($B$152=0,0,IF(Z$2&gt;=$A166,IF(Z$2=$A166,($B166/$B$152)*$B$149,IF(Z$2&lt;=$A166+$B$152-1,$B166/$B$152,$B166-SUM($C166:Y166))),0))</f>
        <v>0</v>
      </c>
      <c r="AA166" s="4">
        <f>IF($B$152=0,0,IF(AA$2&gt;=$A166,IF(AA$2=$A166,($B166/$B$152)*$B$149,IF(AA$2&lt;=$A166+$B$152-1,$B166/$B$152,$B166-SUM($C166:Z166))),0))</f>
        <v>0</v>
      </c>
      <c r="AB166" s="4">
        <f>IF($B$152=0,0,IF(AB$2&gt;=$A166,IF(AB$2=$A166,($B166/$B$152)*$B$149,IF(AB$2&lt;=$A166+$B$152-1,$B166/$B$152,$B166-SUM($C166:AA166))),0))</f>
        <v>0</v>
      </c>
      <c r="AC166" s="4">
        <f>IF($B$152=0,0,IF(AC$2&gt;=$A166,IF(AC$2=$A166,($B166/$B$152)*$B$149,IF(AC$2&lt;=$A166+$B$152-1,$B166/$B$152,$B166-SUM($C166:AB166))),0))</f>
        <v>0</v>
      </c>
      <c r="AD166" s="4">
        <f>IF($B$152=0,0,IF(AD$2&gt;=$A166,IF(AD$2=$A166,($B166/$B$152)*$B$149,IF(AD$2&lt;=$A166+$B$152-1,$B166/$B$152,$B166-SUM($C166:AC166))),0))</f>
        <v>0</v>
      </c>
      <c r="AE166" s="4">
        <f>IF($B$152=0,0,IF(AE$2&gt;=$A166,IF(AE$2=$A166,($B166/$B$152)*$B$149,IF(AE$2&lt;=$A166+$B$152-1,$B166/$B$152,$B166-SUM($C166:AD166))),0))</f>
        <v>0</v>
      </c>
      <c r="AF166" s="4">
        <f>IF($B$152=0,0,IF(AF$2&gt;=$A166,IF(AF$2=$A166,($B166/$B$152)*$B$149,IF(AF$2&lt;=$A166+$B$152-1,$B166/$B$152,$B166-SUM($C166:AE166))),0))</f>
        <v>0</v>
      </c>
      <c r="AG166" s="4">
        <f t="shared" si="104"/>
        <v>0</v>
      </c>
    </row>
    <row r="167" spans="1:33">
      <c r="A167" s="6">
        <f t="shared" si="105"/>
        <v>2036</v>
      </c>
      <c r="B167" s="4">
        <f t="shared" si="103"/>
        <v>0</v>
      </c>
      <c r="C167" s="4">
        <f>IF($B$152=0,0,IF(C$2&gt;=$A167,IF(C$2=$A167,($B167/$B$152)*$B$149,IF(C$2&lt;=$A167+$B$152-1,$B167/$B$152,$B167-SUM(B167:$C167))),0))</f>
        <v>0</v>
      </c>
      <c r="D167" s="4">
        <f>IF($B$152=0,0,IF(D$2&gt;=$A167,IF(D$2=$A167,($B167/$B$152)*$B$149,IF(D$2&lt;=$A167+$B$152-1,$B167/$B$152,$B167-SUM(C167:$C167))),0))</f>
        <v>0</v>
      </c>
      <c r="E167" s="4">
        <f>IF($B$152=0,0,IF(E$2&gt;=$A167,IF(E$2=$A167,($B167/$B$152)*$B$149,IF(E$2&lt;=$A167+$B$152-1,$B167/$B$152,$B167-SUM($C167:D167))),0))</f>
        <v>0</v>
      </c>
      <c r="F167" s="4">
        <f>IF($B$152=0,0,IF(F$2&gt;=$A167,IF(F$2=$A167,($B167/$B$152)*$B$149,IF(F$2&lt;=$A167+$B$152-1,$B167/$B$152,$B167-SUM($C167:E167))),0))</f>
        <v>0</v>
      </c>
      <c r="G167" s="4">
        <f>IF($B$152=0,0,IF(G$2&gt;=$A167,IF(G$2=$A167,($B167/$B$152)*$B$149,IF(G$2&lt;=$A167+$B$152-1,$B167/$B$152,$B167-SUM($C167:F167))),0))</f>
        <v>0</v>
      </c>
      <c r="H167" s="4">
        <f>IF($B$152=0,0,IF(H$2&gt;=$A167,IF(H$2=$A167,($B167/$B$152)*$B$149,IF(H$2&lt;=$A167+$B$152-1,$B167/$B$152,$B167-SUM($C167:G167))),0))</f>
        <v>0</v>
      </c>
      <c r="I167" s="4">
        <f>IF($B$152=0,0,IF(I$2&gt;=$A167,IF(I$2=$A167,($B167/$B$152)*$B$149,IF(I$2&lt;=$A167+$B$152-1,$B167/$B$152,$B167-SUM($C167:H167))),0))</f>
        <v>0</v>
      </c>
      <c r="J167" s="4">
        <f>IF($B$152=0,0,IF(J$2&gt;=$A167,IF(J$2=$A167,($B167/$B$152)*$B$149,IF(J$2&lt;=$A167+$B$152-1,$B167/$B$152,$B167-SUM($C167:I167))),0))</f>
        <v>0</v>
      </c>
      <c r="K167" s="4">
        <f>IF($B$152=0,0,IF(K$2&gt;=$A167,IF(K$2=$A167,($B167/$B$152)*$B$149,IF(K$2&lt;=$A167+$B$152-1,$B167/$B$152,$B167-SUM($C167:J167))),0))</f>
        <v>0</v>
      </c>
      <c r="L167" s="4">
        <f>IF($B$152=0,0,IF(L$2&gt;=$A167,IF(L$2=$A167,($B167/$B$152)*$B$149,IF(L$2&lt;=$A167+$B$152-1,$B167/$B$152,$B167-SUM($C167:K167))),0))</f>
        <v>0</v>
      </c>
      <c r="M167" s="4">
        <f>IF($B$152=0,0,IF(M$2&gt;=$A167,IF(M$2=$A167,($B167/$B$152)*$B$149,IF(M$2&lt;=$A167+$B$152-1,$B167/$B$152,$B167-SUM($C167:L167))),0))</f>
        <v>0</v>
      </c>
      <c r="N167" s="4">
        <f>IF($B$152=0,0,IF(N$2&gt;=$A167,IF(N$2=$A167,($B167/$B$152)*$B$149,IF(N$2&lt;=$A167+$B$152-1,$B167/$B$152,$B167-SUM($C167:M167))),0))</f>
        <v>0</v>
      </c>
      <c r="O167" s="4">
        <f>IF($B$152=0,0,IF(O$2&gt;=$A167,IF(O$2=$A167,($B167/$B$152)*$B$149,IF(O$2&lt;=$A167+$B$152-1,$B167/$B$152,$B167-SUM($C167:N167))),0))</f>
        <v>0</v>
      </c>
      <c r="P167" s="4">
        <f>IF($B$152=0,0,IF(P$2&gt;=$A167,IF(P$2=$A167,($B167/$B$152)*$B$149,IF(P$2&lt;=$A167+$B$152-1,$B167/$B$152,$B167-SUM($C167:O167))),0))</f>
        <v>0</v>
      </c>
      <c r="Q167" s="4">
        <f>IF($B$152=0,0,IF(Q$2&gt;=$A167,IF(Q$2=$A167,($B167/$B$152)*$B$149,IF(Q$2&lt;=$A167+$B$152-1,$B167/$B$152,$B167-SUM($C167:P167))),0))</f>
        <v>0</v>
      </c>
      <c r="R167" s="4">
        <f>IF($B$152=0,0,IF(R$2&gt;=$A167,IF(R$2=$A167,($B167/$B$152)*$B$149,IF(R$2&lt;=$A167+$B$152-1,$B167/$B$152,$B167-SUM($C167:Q167))),0))</f>
        <v>0</v>
      </c>
      <c r="S167" s="4">
        <f>IF($B$152=0,0,IF(S$2&gt;=$A167,IF(S$2=$A167,($B167/$B$152)*$B$149,IF(S$2&lt;=$A167+$B$152-1,$B167/$B$152,$B167-SUM($C167:R167))),0))</f>
        <v>0</v>
      </c>
      <c r="T167" s="4">
        <f>IF($B$152=0,0,IF(T$2&gt;=$A167,IF(T$2=$A167,($B167/$B$152)*$B$149,IF(T$2&lt;=$A167+$B$152-1,$B167/$B$152,$B167-SUM($C167:S167))),0))</f>
        <v>0</v>
      </c>
      <c r="U167" s="4">
        <f>IF($B$152=0,0,IF(U$2&gt;=$A167,IF(U$2=$A167,($B167/$B$152)*$B$149,IF(U$2&lt;=$A167+$B$152-1,$B167/$B$152,$B167-SUM($C167:T167))),0))</f>
        <v>0</v>
      </c>
      <c r="V167" s="4">
        <f>IF($B$152=0,0,IF(V$2&gt;=$A167,IF(V$2=$A167,($B167/$B$152)*$B$149,IF(V$2&lt;=$A167+$B$152-1,$B167/$B$152,$B167-SUM($C167:U167))),0))</f>
        <v>0</v>
      </c>
      <c r="W167" s="4">
        <f>IF($B$152=0,0,IF(W$2&gt;=$A167,IF(W$2=$A167,($B167/$B$152)*$B$149,IF(W$2&lt;=$A167+$B$152-1,$B167/$B$152,$B167-SUM($C167:V167))),0))</f>
        <v>0</v>
      </c>
      <c r="X167" s="4">
        <f>IF($B$152=0,0,IF(X$2&gt;=$A167,IF(X$2=$A167,($B167/$B$152)*$B$149,IF(X$2&lt;=$A167+$B$152-1,$B167/$B$152,$B167-SUM($C167:W167))),0))</f>
        <v>0</v>
      </c>
      <c r="Y167" s="4">
        <f>IF($B$152=0,0,IF(Y$2&gt;=$A167,IF(Y$2=$A167,($B167/$B$152)*$B$149,IF(Y$2&lt;=$A167+$B$152-1,$B167/$B$152,$B167-SUM($C167:X167))),0))</f>
        <v>0</v>
      </c>
      <c r="Z167" s="4">
        <f>IF($B$152=0,0,IF(Z$2&gt;=$A167,IF(Z$2=$A167,($B167/$B$152)*$B$149,IF(Z$2&lt;=$A167+$B$152-1,$B167/$B$152,$B167-SUM($C167:Y167))),0))</f>
        <v>0</v>
      </c>
      <c r="AA167" s="4">
        <f>IF($B$152=0,0,IF(AA$2&gt;=$A167,IF(AA$2=$A167,($B167/$B$152)*$B$149,IF(AA$2&lt;=$A167+$B$152-1,$B167/$B$152,$B167-SUM($C167:Z167))),0))</f>
        <v>0</v>
      </c>
      <c r="AB167" s="4">
        <f>IF($B$152=0,0,IF(AB$2&gt;=$A167,IF(AB$2=$A167,($B167/$B$152)*$B$149,IF(AB$2&lt;=$A167+$B$152-1,$B167/$B$152,$B167-SUM($C167:AA167))),0))</f>
        <v>0</v>
      </c>
      <c r="AC167" s="4">
        <f>IF($B$152=0,0,IF(AC$2&gt;=$A167,IF(AC$2=$A167,($B167/$B$152)*$B$149,IF(AC$2&lt;=$A167+$B$152-1,$B167/$B$152,$B167-SUM($C167:AB167))),0))</f>
        <v>0</v>
      </c>
      <c r="AD167" s="4">
        <f>IF($B$152=0,0,IF(AD$2&gt;=$A167,IF(AD$2=$A167,($B167/$B$152)*$B$149,IF(AD$2&lt;=$A167+$B$152-1,$B167/$B$152,$B167-SUM($C167:AC167))),0))</f>
        <v>0</v>
      </c>
      <c r="AE167" s="4">
        <f>IF($B$152=0,0,IF(AE$2&gt;=$A167,IF(AE$2=$A167,($B167/$B$152)*$B$149,IF(AE$2&lt;=$A167+$B$152-1,$B167/$B$152,$B167-SUM($C167:AD167))),0))</f>
        <v>0</v>
      </c>
      <c r="AF167" s="4">
        <f>IF($B$152=0,0,IF(AF$2&gt;=$A167,IF(AF$2=$A167,($B167/$B$152)*$B$149,IF(AF$2&lt;=$A167+$B$152-1,$B167/$B$152,$B167-SUM($C167:AE167))),0))</f>
        <v>0</v>
      </c>
      <c r="AG167" s="4">
        <f t="shared" si="104"/>
        <v>0</v>
      </c>
    </row>
    <row r="168" spans="1:33">
      <c r="A168" s="6">
        <f t="shared" si="105"/>
        <v>2037</v>
      </c>
      <c r="B168" s="4">
        <f t="shared" si="103"/>
        <v>0</v>
      </c>
      <c r="C168" s="4">
        <f>IF($B$152=0,0,IF(C$2&gt;=$A168,IF(C$2=$A168,($B168/$B$152)*$B$149,IF(C$2&lt;=$A168+$B$152-1,$B168/$B$152,$B168-SUM(B168:$C168))),0))</f>
        <v>0</v>
      </c>
      <c r="D168" s="4">
        <f>IF($B$152=0,0,IF(D$2&gt;=$A168,IF(D$2=$A168,($B168/$B$152)*$B$149,IF(D$2&lt;=$A168+$B$152-1,$B168/$B$152,$B168-SUM(C168:$C168))),0))</f>
        <v>0</v>
      </c>
      <c r="E168" s="4">
        <f>IF($B$152=0,0,IF(E$2&gt;=$A168,IF(E$2=$A168,($B168/$B$152)*$B$149,IF(E$2&lt;=$A168+$B$152-1,$B168/$B$152,$B168-SUM($C168:D168))),0))</f>
        <v>0</v>
      </c>
      <c r="F168" s="4">
        <f>IF($B$152=0,0,IF(F$2&gt;=$A168,IF(F$2=$A168,($B168/$B$152)*$B$149,IF(F$2&lt;=$A168+$B$152-1,$B168/$B$152,$B168-SUM($C168:E168))),0))</f>
        <v>0</v>
      </c>
      <c r="G168" s="4">
        <f>IF($B$152=0,0,IF(G$2&gt;=$A168,IF(G$2=$A168,($B168/$B$152)*$B$149,IF(G$2&lt;=$A168+$B$152-1,$B168/$B$152,$B168-SUM($C168:F168))),0))</f>
        <v>0</v>
      </c>
      <c r="H168" s="4">
        <f>IF($B$152=0,0,IF(H$2&gt;=$A168,IF(H$2=$A168,($B168/$B$152)*$B$149,IF(H$2&lt;=$A168+$B$152-1,$B168/$B$152,$B168-SUM($C168:G168))),0))</f>
        <v>0</v>
      </c>
      <c r="I168" s="4">
        <f>IF($B$152=0,0,IF(I$2&gt;=$A168,IF(I$2=$A168,($B168/$B$152)*$B$149,IF(I$2&lt;=$A168+$B$152-1,$B168/$B$152,$B168-SUM($C168:H168))),0))</f>
        <v>0</v>
      </c>
      <c r="J168" s="4">
        <f>IF($B$152=0,0,IF(J$2&gt;=$A168,IF(J$2=$A168,($B168/$B$152)*$B$149,IF(J$2&lt;=$A168+$B$152-1,$B168/$B$152,$B168-SUM($C168:I168))),0))</f>
        <v>0</v>
      </c>
      <c r="K168" s="4">
        <f>IF($B$152=0,0,IF(K$2&gt;=$A168,IF(K$2=$A168,($B168/$B$152)*$B$149,IF(K$2&lt;=$A168+$B$152-1,$B168/$B$152,$B168-SUM($C168:J168))),0))</f>
        <v>0</v>
      </c>
      <c r="L168" s="4">
        <f>IF($B$152=0,0,IF(L$2&gt;=$A168,IF(L$2=$A168,($B168/$B$152)*$B$149,IF(L$2&lt;=$A168+$B$152-1,$B168/$B$152,$B168-SUM($C168:K168))),0))</f>
        <v>0</v>
      </c>
      <c r="M168" s="4">
        <f>IF($B$152=0,0,IF(M$2&gt;=$A168,IF(M$2=$A168,($B168/$B$152)*$B$149,IF(M$2&lt;=$A168+$B$152-1,$B168/$B$152,$B168-SUM($C168:L168))),0))</f>
        <v>0</v>
      </c>
      <c r="N168" s="4">
        <f>IF($B$152=0,0,IF(N$2&gt;=$A168,IF(N$2=$A168,($B168/$B$152)*$B$149,IF(N$2&lt;=$A168+$B$152-1,$B168/$B$152,$B168-SUM($C168:M168))),0))</f>
        <v>0</v>
      </c>
      <c r="O168" s="4">
        <f>IF($B$152=0,0,IF(O$2&gt;=$A168,IF(O$2=$A168,($B168/$B$152)*$B$149,IF(O$2&lt;=$A168+$B$152-1,$B168/$B$152,$B168-SUM($C168:N168))),0))</f>
        <v>0</v>
      </c>
      <c r="P168" s="4">
        <f>IF($B$152=0,0,IF(P$2&gt;=$A168,IF(P$2=$A168,($B168/$B$152)*$B$149,IF(P$2&lt;=$A168+$B$152-1,$B168/$B$152,$B168-SUM($C168:O168))),0))</f>
        <v>0</v>
      </c>
      <c r="Q168" s="4">
        <f>IF($B$152=0,0,IF(Q$2&gt;=$A168,IF(Q$2=$A168,($B168/$B$152)*$B$149,IF(Q$2&lt;=$A168+$B$152-1,$B168/$B$152,$B168-SUM($C168:P168))),0))</f>
        <v>0</v>
      </c>
      <c r="R168" s="4">
        <f>IF($B$152=0,0,IF(R$2&gt;=$A168,IF(R$2=$A168,($B168/$B$152)*$B$149,IF(R$2&lt;=$A168+$B$152-1,$B168/$B$152,$B168-SUM($C168:Q168))),0))</f>
        <v>0</v>
      </c>
      <c r="S168" s="4">
        <f>IF($B$152=0,0,IF(S$2&gt;=$A168,IF(S$2=$A168,($B168/$B$152)*$B$149,IF(S$2&lt;=$A168+$B$152-1,$B168/$B$152,$B168-SUM($C168:R168))),0))</f>
        <v>0</v>
      </c>
      <c r="T168" s="4">
        <f>IF($B$152=0,0,IF(T$2&gt;=$A168,IF(T$2=$A168,($B168/$B$152)*$B$149,IF(T$2&lt;=$A168+$B$152-1,$B168/$B$152,$B168-SUM($C168:S168))),0))</f>
        <v>0</v>
      </c>
      <c r="U168" s="4">
        <f>IF($B$152=0,0,IF(U$2&gt;=$A168,IF(U$2=$A168,($B168/$B$152)*$B$149,IF(U$2&lt;=$A168+$B$152-1,$B168/$B$152,$B168-SUM($C168:T168))),0))</f>
        <v>0</v>
      </c>
      <c r="V168" s="4">
        <f>IF($B$152=0,0,IF(V$2&gt;=$A168,IF(V$2=$A168,($B168/$B$152)*$B$149,IF(V$2&lt;=$A168+$B$152-1,$B168/$B$152,$B168-SUM($C168:U168))),0))</f>
        <v>0</v>
      </c>
      <c r="W168" s="4">
        <f>IF($B$152=0,0,IF(W$2&gt;=$A168,IF(W$2=$A168,($B168/$B$152)*$B$149,IF(W$2&lt;=$A168+$B$152-1,$B168/$B$152,$B168-SUM($C168:V168))),0))</f>
        <v>0</v>
      </c>
      <c r="X168" s="4">
        <f>IF($B$152=0,0,IF(X$2&gt;=$A168,IF(X$2=$A168,($B168/$B$152)*$B$149,IF(X$2&lt;=$A168+$B$152-1,$B168/$B$152,$B168-SUM($C168:W168))),0))</f>
        <v>0</v>
      </c>
      <c r="Y168" s="4">
        <f>IF($B$152=0,0,IF(Y$2&gt;=$A168,IF(Y$2=$A168,($B168/$B$152)*$B$149,IF(Y$2&lt;=$A168+$B$152-1,$B168/$B$152,$B168-SUM($C168:X168))),0))</f>
        <v>0</v>
      </c>
      <c r="Z168" s="4">
        <f>IF($B$152=0,0,IF(Z$2&gt;=$A168,IF(Z$2=$A168,($B168/$B$152)*$B$149,IF(Z$2&lt;=$A168+$B$152-1,$B168/$B$152,$B168-SUM($C168:Y168))),0))</f>
        <v>0</v>
      </c>
      <c r="AA168" s="4">
        <f>IF($B$152=0,0,IF(AA$2&gt;=$A168,IF(AA$2=$A168,($B168/$B$152)*$B$149,IF(AA$2&lt;=$A168+$B$152-1,$B168/$B$152,$B168-SUM($C168:Z168))),0))</f>
        <v>0</v>
      </c>
      <c r="AB168" s="4">
        <f>IF($B$152=0,0,IF(AB$2&gt;=$A168,IF(AB$2=$A168,($B168/$B$152)*$B$149,IF(AB$2&lt;=$A168+$B$152-1,$B168/$B$152,$B168-SUM($C168:AA168))),0))</f>
        <v>0</v>
      </c>
      <c r="AC168" s="4">
        <f>IF($B$152=0,0,IF(AC$2&gt;=$A168,IF(AC$2=$A168,($B168/$B$152)*$B$149,IF(AC$2&lt;=$A168+$B$152-1,$B168/$B$152,$B168-SUM($C168:AB168))),0))</f>
        <v>0</v>
      </c>
      <c r="AD168" s="4">
        <f>IF($B$152=0,0,IF(AD$2&gt;=$A168,IF(AD$2=$A168,($B168/$B$152)*$B$149,IF(AD$2&lt;=$A168+$B$152-1,$B168/$B$152,$B168-SUM($C168:AC168))),0))</f>
        <v>0</v>
      </c>
      <c r="AE168" s="4">
        <f>IF($B$152=0,0,IF(AE$2&gt;=$A168,IF(AE$2=$A168,($B168/$B$152)*$B$149,IF(AE$2&lt;=$A168+$B$152-1,$B168/$B$152,$B168-SUM($C168:AD168))),0))</f>
        <v>0</v>
      </c>
      <c r="AF168" s="4">
        <f>IF($B$152=0,0,IF(AF$2&gt;=$A168,IF(AF$2=$A168,($B168/$B$152)*$B$149,IF(AF$2&lt;=$A168+$B$152-1,$B168/$B$152,$B168-SUM($C168:AE168))),0))</f>
        <v>0</v>
      </c>
      <c r="AG168" s="4">
        <f t="shared" si="104"/>
        <v>0</v>
      </c>
    </row>
    <row r="169" spans="1:33">
      <c r="A169" s="6">
        <f t="shared" si="105"/>
        <v>2038</v>
      </c>
      <c r="B169" s="4">
        <f t="shared" si="103"/>
        <v>0</v>
      </c>
      <c r="C169" s="4">
        <f>IF($B$152=0,0,IF(C$2&gt;=$A169,IF(C$2=$A169,($B169/$B$152)*$B$149,IF(C$2&lt;=$A169+$B$152-1,$B169/$B$152,$B169-SUM(B169:$C169))),0))</f>
        <v>0</v>
      </c>
      <c r="D169" s="4">
        <f>IF($B$152=0,0,IF(D$2&gt;=$A169,IF(D$2=$A169,($B169/$B$152)*$B$149,IF(D$2&lt;=$A169+$B$152-1,$B169/$B$152,$B169-SUM(C169:$C169))),0))</f>
        <v>0</v>
      </c>
      <c r="E169" s="4">
        <f>IF($B$152=0,0,IF(E$2&gt;=$A169,IF(E$2=$A169,($B169/$B$152)*$B$149,IF(E$2&lt;=$A169+$B$152-1,$B169/$B$152,$B169-SUM($C169:D169))),0))</f>
        <v>0</v>
      </c>
      <c r="F169" s="4">
        <f>IF($B$152=0,0,IF(F$2&gt;=$A169,IF(F$2=$A169,($B169/$B$152)*$B$149,IF(F$2&lt;=$A169+$B$152-1,$B169/$B$152,$B169-SUM($C169:E169))),0))</f>
        <v>0</v>
      </c>
      <c r="G169" s="4">
        <f>IF($B$152=0,0,IF(G$2&gt;=$A169,IF(G$2=$A169,($B169/$B$152)*$B$149,IF(G$2&lt;=$A169+$B$152-1,$B169/$B$152,$B169-SUM($C169:F169))),0))</f>
        <v>0</v>
      </c>
      <c r="H169" s="4">
        <f>IF($B$152=0,0,IF(H$2&gt;=$A169,IF(H$2=$A169,($B169/$B$152)*$B$149,IF(H$2&lt;=$A169+$B$152-1,$B169/$B$152,$B169-SUM($C169:G169))),0))</f>
        <v>0</v>
      </c>
      <c r="I169" s="4">
        <f>IF($B$152=0,0,IF(I$2&gt;=$A169,IF(I$2=$A169,($B169/$B$152)*$B$149,IF(I$2&lt;=$A169+$B$152-1,$B169/$B$152,$B169-SUM($C169:H169))),0))</f>
        <v>0</v>
      </c>
      <c r="J169" s="4">
        <f>IF($B$152=0,0,IF(J$2&gt;=$A169,IF(J$2=$A169,($B169/$B$152)*$B$149,IF(J$2&lt;=$A169+$B$152-1,$B169/$B$152,$B169-SUM($C169:I169))),0))</f>
        <v>0</v>
      </c>
      <c r="K169" s="4">
        <f>IF($B$152=0,0,IF(K$2&gt;=$A169,IF(K$2=$A169,($B169/$B$152)*$B$149,IF(K$2&lt;=$A169+$B$152-1,$B169/$B$152,$B169-SUM($C169:J169))),0))</f>
        <v>0</v>
      </c>
      <c r="L169" s="4">
        <f>IF($B$152=0,0,IF(L$2&gt;=$A169,IF(L$2=$A169,($B169/$B$152)*$B$149,IF(L$2&lt;=$A169+$B$152-1,$B169/$B$152,$B169-SUM($C169:K169))),0))</f>
        <v>0</v>
      </c>
      <c r="M169" s="4">
        <f>IF($B$152=0,0,IF(M$2&gt;=$A169,IF(M$2=$A169,($B169/$B$152)*$B$149,IF(M$2&lt;=$A169+$B$152-1,$B169/$B$152,$B169-SUM($C169:L169))),0))</f>
        <v>0</v>
      </c>
      <c r="N169" s="4">
        <f>IF($B$152=0,0,IF(N$2&gt;=$A169,IF(N$2=$A169,($B169/$B$152)*$B$149,IF(N$2&lt;=$A169+$B$152-1,$B169/$B$152,$B169-SUM($C169:M169))),0))</f>
        <v>0</v>
      </c>
      <c r="O169" s="4">
        <f>IF($B$152=0,0,IF(O$2&gt;=$A169,IF(O$2=$A169,($B169/$B$152)*$B$149,IF(O$2&lt;=$A169+$B$152-1,$B169/$B$152,$B169-SUM($C169:N169))),0))</f>
        <v>0</v>
      </c>
      <c r="P169" s="4">
        <f>IF($B$152=0,0,IF(P$2&gt;=$A169,IF(P$2=$A169,($B169/$B$152)*$B$149,IF(P$2&lt;=$A169+$B$152-1,$B169/$B$152,$B169-SUM($C169:O169))),0))</f>
        <v>0</v>
      </c>
      <c r="Q169" s="4">
        <f>IF($B$152=0,0,IF(Q$2&gt;=$A169,IF(Q$2=$A169,($B169/$B$152)*$B$149,IF(Q$2&lt;=$A169+$B$152-1,$B169/$B$152,$B169-SUM($C169:P169))),0))</f>
        <v>0</v>
      </c>
      <c r="R169" s="4">
        <f>IF($B$152=0,0,IF(R$2&gt;=$A169,IF(R$2=$A169,($B169/$B$152)*$B$149,IF(R$2&lt;=$A169+$B$152-1,$B169/$B$152,$B169-SUM($C169:Q169))),0))</f>
        <v>0</v>
      </c>
      <c r="S169" s="4">
        <f>IF($B$152=0,0,IF(S$2&gt;=$A169,IF(S$2=$A169,($B169/$B$152)*$B$149,IF(S$2&lt;=$A169+$B$152-1,$B169/$B$152,$B169-SUM($C169:R169))),0))</f>
        <v>0</v>
      </c>
      <c r="T169" s="4">
        <f>IF($B$152=0,0,IF(T$2&gt;=$A169,IF(T$2=$A169,($B169/$B$152)*$B$149,IF(T$2&lt;=$A169+$B$152-1,$B169/$B$152,$B169-SUM($C169:S169))),0))</f>
        <v>0</v>
      </c>
      <c r="U169" s="4">
        <f>IF($B$152=0,0,IF(U$2&gt;=$A169,IF(U$2=$A169,($B169/$B$152)*$B$149,IF(U$2&lt;=$A169+$B$152-1,$B169/$B$152,$B169-SUM($C169:T169))),0))</f>
        <v>0</v>
      </c>
      <c r="V169" s="4">
        <f>IF($B$152=0,0,IF(V$2&gt;=$A169,IF(V$2=$A169,($B169/$B$152)*$B$149,IF(V$2&lt;=$A169+$B$152-1,$B169/$B$152,$B169-SUM($C169:U169))),0))</f>
        <v>0</v>
      </c>
      <c r="W169" s="4">
        <f>IF($B$152=0,0,IF(W$2&gt;=$A169,IF(W$2=$A169,($B169/$B$152)*$B$149,IF(W$2&lt;=$A169+$B$152-1,$B169/$B$152,$B169-SUM($C169:V169))),0))</f>
        <v>0</v>
      </c>
      <c r="X169" s="4">
        <f>IF($B$152=0,0,IF(X$2&gt;=$A169,IF(X$2=$A169,($B169/$B$152)*$B$149,IF(X$2&lt;=$A169+$B$152-1,$B169/$B$152,$B169-SUM($C169:W169))),0))</f>
        <v>0</v>
      </c>
      <c r="Y169" s="4">
        <f>IF($B$152=0,0,IF(Y$2&gt;=$A169,IF(Y$2=$A169,($B169/$B$152)*$B$149,IF(Y$2&lt;=$A169+$B$152-1,$B169/$B$152,$B169-SUM($C169:X169))),0))</f>
        <v>0</v>
      </c>
      <c r="Z169" s="4">
        <f>IF($B$152=0,0,IF(Z$2&gt;=$A169,IF(Z$2=$A169,($B169/$B$152)*$B$149,IF(Z$2&lt;=$A169+$B$152-1,$B169/$B$152,$B169-SUM($C169:Y169))),0))</f>
        <v>0</v>
      </c>
      <c r="AA169" s="4">
        <f>IF($B$152=0,0,IF(AA$2&gt;=$A169,IF(AA$2=$A169,($B169/$B$152)*$B$149,IF(AA$2&lt;=$A169+$B$152-1,$B169/$B$152,$B169-SUM($C169:Z169))),0))</f>
        <v>0</v>
      </c>
      <c r="AB169" s="4">
        <f>IF($B$152=0,0,IF(AB$2&gt;=$A169,IF(AB$2=$A169,($B169/$B$152)*$B$149,IF(AB$2&lt;=$A169+$B$152-1,$B169/$B$152,$B169-SUM($C169:AA169))),0))</f>
        <v>0</v>
      </c>
      <c r="AC169" s="4">
        <f>IF($B$152=0,0,IF(AC$2&gt;=$A169,IF(AC$2=$A169,($B169/$B$152)*$B$149,IF(AC$2&lt;=$A169+$B$152-1,$B169/$B$152,$B169-SUM($C169:AB169))),0))</f>
        <v>0</v>
      </c>
      <c r="AD169" s="4">
        <f>IF($B$152=0,0,IF(AD$2&gt;=$A169,IF(AD$2=$A169,($B169/$B$152)*$B$149,IF(AD$2&lt;=$A169+$B$152-1,$B169/$B$152,$B169-SUM($C169:AC169))),0))</f>
        <v>0</v>
      </c>
      <c r="AE169" s="4">
        <f>IF($B$152=0,0,IF(AE$2&gt;=$A169,IF(AE$2=$A169,($B169/$B$152)*$B$149,IF(AE$2&lt;=$A169+$B$152-1,$B169/$B$152,$B169-SUM($C169:AD169))),0))</f>
        <v>0</v>
      </c>
      <c r="AF169" s="4">
        <f>IF($B$152=0,0,IF(AF$2&gt;=$A169,IF(AF$2=$A169,($B169/$B$152)*$B$149,IF(AF$2&lt;=$A169+$B$152-1,$B169/$B$152,$B169-SUM($C169:AE169))),0))</f>
        <v>0</v>
      </c>
      <c r="AG169" s="4">
        <f t="shared" si="104"/>
        <v>0</v>
      </c>
    </row>
    <row r="170" spans="1:33">
      <c r="A170" s="6">
        <f t="shared" si="105"/>
        <v>2039</v>
      </c>
      <c r="B170" s="4">
        <f t="shared" si="103"/>
        <v>0</v>
      </c>
      <c r="C170" s="4">
        <f>IF($B$152=0,0,IF(C$2&gt;=$A170,IF(C$2=$A170,($B170/$B$152)*$B$149,IF(C$2&lt;=$A170+$B$152-1,$B170/$B$152,$B170-SUM(B170:$C170))),0))</f>
        <v>0</v>
      </c>
      <c r="D170" s="4">
        <f>IF($B$152=0,0,IF(D$2&gt;=$A170,IF(D$2=$A170,($B170/$B$152)*$B$149,IF(D$2&lt;=$A170+$B$152-1,$B170/$B$152,$B170-SUM(C170:$C170))),0))</f>
        <v>0</v>
      </c>
      <c r="E170" s="4">
        <f>IF($B$152=0,0,IF(E$2&gt;=$A170,IF(E$2=$A170,($B170/$B$152)*$B$149,IF(E$2&lt;=$A170+$B$152-1,$B170/$B$152,$B170-SUM($C170:D170))),0))</f>
        <v>0</v>
      </c>
      <c r="F170" s="4">
        <f>IF($B$152=0,0,IF(F$2&gt;=$A170,IF(F$2=$A170,($B170/$B$152)*$B$149,IF(F$2&lt;=$A170+$B$152-1,$B170/$B$152,$B170-SUM($C170:E170))),0))</f>
        <v>0</v>
      </c>
      <c r="G170" s="4">
        <f>IF($B$152=0,0,IF(G$2&gt;=$A170,IF(G$2=$A170,($B170/$B$152)*$B$149,IF(G$2&lt;=$A170+$B$152-1,$B170/$B$152,$B170-SUM($C170:F170))),0))</f>
        <v>0</v>
      </c>
      <c r="H170" s="4">
        <f>IF($B$152=0,0,IF(H$2&gt;=$A170,IF(H$2=$A170,($B170/$B$152)*$B$149,IF(H$2&lt;=$A170+$B$152-1,$B170/$B$152,$B170-SUM($C170:G170))),0))</f>
        <v>0</v>
      </c>
      <c r="I170" s="4">
        <f>IF($B$152=0,0,IF(I$2&gt;=$A170,IF(I$2=$A170,($B170/$B$152)*$B$149,IF(I$2&lt;=$A170+$B$152-1,$B170/$B$152,$B170-SUM($C170:H170))),0))</f>
        <v>0</v>
      </c>
      <c r="J170" s="4">
        <f>IF($B$152=0,0,IF(J$2&gt;=$A170,IF(J$2=$A170,($B170/$B$152)*$B$149,IF(J$2&lt;=$A170+$B$152-1,$B170/$B$152,$B170-SUM($C170:I170))),0))</f>
        <v>0</v>
      </c>
      <c r="K170" s="4">
        <f>IF($B$152=0,0,IF(K$2&gt;=$A170,IF(K$2=$A170,($B170/$B$152)*$B$149,IF(K$2&lt;=$A170+$B$152-1,$B170/$B$152,$B170-SUM($C170:J170))),0))</f>
        <v>0</v>
      </c>
      <c r="L170" s="4">
        <f>IF($B$152=0,0,IF(L$2&gt;=$A170,IF(L$2=$A170,($B170/$B$152)*$B$149,IF(L$2&lt;=$A170+$B$152-1,$B170/$B$152,$B170-SUM($C170:K170))),0))</f>
        <v>0</v>
      </c>
      <c r="M170" s="4">
        <f>IF($B$152=0,0,IF(M$2&gt;=$A170,IF(M$2=$A170,($B170/$B$152)*$B$149,IF(M$2&lt;=$A170+$B$152-1,$B170/$B$152,$B170-SUM($C170:L170))),0))</f>
        <v>0</v>
      </c>
      <c r="N170" s="4">
        <f>IF($B$152=0,0,IF(N$2&gt;=$A170,IF(N$2=$A170,($B170/$B$152)*$B$149,IF(N$2&lt;=$A170+$B$152-1,$B170/$B$152,$B170-SUM($C170:M170))),0))</f>
        <v>0</v>
      </c>
      <c r="O170" s="4">
        <f>IF($B$152=0,0,IF(O$2&gt;=$A170,IF(O$2=$A170,($B170/$B$152)*$B$149,IF(O$2&lt;=$A170+$B$152-1,$B170/$B$152,$B170-SUM($C170:N170))),0))</f>
        <v>0</v>
      </c>
      <c r="P170" s="4">
        <f>IF($B$152=0,0,IF(P$2&gt;=$A170,IF(P$2=$A170,($B170/$B$152)*$B$149,IF(P$2&lt;=$A170+$B$152-1,$B170/$B$152,$B170-SUM($C170:O170))),0))</f>
        <v>0</v>
      </c>
      <c r="Q170" s="4">
        <f>IF($B$152=0,0,IF(Q$2&gt;=$A170,IF(Q$2=$A170,($B170/$B$152)*$B$149,IF(Q$2&lt;=$A170+$B$152-1,$B170/$B$152,$B170-SUM($C170:P170))),0))</f>
        <v>0</v>
      </c>
      <c r="R170" s="4">
        <f>IF($B$152=0,0,IF(R$2&gt;=$A170,IF(R$2=$A170,($B170/$B$152)*$B$149,IF(R$2&lt;=$A170+$B$152-1,$B170/$B$152,$B170-SUM($C170:Q170))),0))</f>
        <v>0</v>
      </c>
      <c r="S170" s="4">
        <f>IF($B$152=0,0,IF(S$2&gt;=$A170,IF(S$2=$A170,($B170/$B$152)*$B$149,IF(S$2&lt;=$A170+$B$152-1,$B170/$B$152,$B170-SUM($C170:R170))),0))</f>
        <v>0</v>
      </c>
      <c r="T170" s="4">
        <f>IF($B$152=0,0,IF(T$2&gt;=$A170,IF(T$2=$A170,($B170/$B$152)*$B$149,IF(T$2&lt;=$A170+$B$152-1,$B170/$B$152,$B170-SUM($C170:S170))),0))</f>
        <v>0</v>
      </c>
      <c r="U170" s="4">
        <f>IF($B$152=0,0,IF(U$2&gt;=$A170,IF(U$2=$A170,($B170/$B$152)*$B$149,IF(U$2&lt;=$A170+$B$152-1,$B170/$B$152,$B170-SUM($C170:T170))),0))</f>
        <v>0</v>
      </c>
      <c r="V170" s="4">
        <f>IF($B$152=0,0,IF(V$2&gt;=$A170,IF(V$2=$A170,($B170/$B$152)*$B$149,IF(V$2&lt;=$A170+$B$152-1,$B170/$B$152,$B170-SUM($C170:U170))),0))</f>
        <v>0</v>
      </c>
      <c r="W170" s="4">
        <f>IF($B$152=0,0,IF(W$2&gt;=$A170,IF(W$2=$A170,($B170/$B$152)*$B$149,IF(W$2&lt;=$A170+$B$152-1,$B170/$B$152,$B170-SUM($C170:V170))),0))</f>
        <v>0</v>
      </c>
      <c r="X170" s="4">
        <f>IF($B$152=0,0,IF(X$2&gt;=$A170,IF(X$2=$A170,($B170/$B$152)*$B$149,IF(X$2&lt;=$A170+$B$152-1,$B170/$B$152,$B170-SUM($C170:W170))),0))</f>
        <v>0</v>
      </c>
      <c r="Y170" s="4">
        <f>IF($B$152=0,0,IF(Y$2&gt;=$A170,IF(Y$2=$A170,($B170/$B$152)*$B$149,IF(Y$2&lt;=$A170+$B$152-1,$B170/$B$152,$B170-SUM($C170:X170))),0))</f>
        <v>0</v>
      </c>
      <c r="Z170" s="4">
        <f>IF($B$152=0,0,IF(Z$2&gt;=$A170,IF(Z$2=$A170,($B170/$B$152)*$B$149,IF(Z$2&lt;=$A170+$B$152-1,$B170/$B$152,$B170-SUM($C170:Y170))),0))</f>
        <v>0</v>
      </c>
      <c r="AA170" s="4">
        <f>IF($B$152=0,0,IF(AA$2&gt;=$A170,IF(AA$2=$A170,($B170/$B$152)*$B$149,IF(AA$2&lt;=$A170+$B$152-1,$B170/$B$152,$B170-SUM($C170:Z170))),0))</f>
        <v>0</v>
      </c>
      <c r="AB170" s="4">
        <f>IF($B$152=0,0,IF(AB$2&gt;=$A170,IF(AB$2=$A170,($B170/$B$152)*$B$149,IF(AB$2&lt;=$A170+$B$152-1,$B170/$B$152,$B170-SUM($C170:AA170))),0))</f>
        <v>0</v>
      </c>
      <c r="AC170" s="4">
        <f>IF($B$152=0,0,IF(AC$2&gt;=$A170,IF(AC$2=$A170,($B170/$B$152)*$B$149,IF(AC$2&lt;=$A170+$B$152-1,$B170/$B$152,$B170-SUM($C170:AB170))),0))</f>
        <v>0</v>
      </c>
      <c r="AD170" s="4">
        <f>IF($B$152=0,0,IF(AD$2&gt;=$A170,IF(AD$2=$A170,($B170/$B$152)*$B$149,IF(AD$2&lt;=$A170+$B$152-1,$B170/$B$152,$B170-SUM($C170:AC170))),0))</f>
        <v>0</v>
      </c>
      <c r="AE170" s="4">
        <f>IF($B$152=0,0,IF(AE$2&gt;=$A170,IF(AE$2=$A170,($B170/$B$152)*$B$149,IF(AE$2&lt;=$A170+$B$152-1,$B170/$B$152,$B170-SUM($C170:AD170))),0))</f>
        <v>0</v>
      </c>
      <c r="AF170" s="4">
        <f>IF($B$152=0,0,IF(AF$2&gt;=$A170,IF(AF$2=$A170,($B170/$B$152)*$B$149,IF(AF$2&lt;=$A170+$B$152-1,$B170/$B$152,$B170-SUM($C170:AE170))),0))</f>
        <v>0</v>
      </c>
      <c r="AG170" s="4">
        <f t="shared" si="104"/>
        <v>0</v>
      </c>
    </row>
    <row r="171" spans="1:33">
      <c r="A171" s="6">
        <f t="shared" si="105"/>
        <v>2040</v>
      </c>
      <c r="B171" s="4">
        <f t="shared" si="103"/>
        <v>0</v>
      </c>
      <c r="C171" s="4">
        <f>IF($B$152=0,0,IF(C$2&gt;=$A171,IF(C$2=$A171,($B171/$B$152)*$B$149,IF(C$2&lt;=$A171+$B$152-1,$B171/$B$152,$B171-SUM(B171:$C171))),0))</f>
        <v>0</v>
      </c>
      <c r="D171" s="4">
        <f>IF($B$152=0,0,IF(D$2&gt;=$A171,IF(D$2=$A171,($B171/$B$152)*$B$149,IF(D$2&lt;=$A171+$B$152-1,$B171/$B$152,$B171-SUM(C171:$C171))),0))</f>
        <v>0</v>
      </c>
      <c r="E171" s="4">
        <f>IF($B$152=0,0,IF(E$2&gt;=$A171,IF(E$2=$A171,($B171/$B$152)*$B$149,IF(E$2&lt;=$A171+$B$152-1,$B171/$B$152,$B171-SUM($C171:D171))),0))</f>
        <v>0</v>
      </c>
      <c r="F171" s="4">
        <f>IF($B$152=0,0,IF(F$2&gt;=$A171,IF(F$2=$A171,($B171/$B$152)*$B$149,IF(F$2&lt;=$A171+$B$152-1,$B171/$B$152,$B171-SUM($C171:E171))),0))</f>
        <v>0</v>
      </c>
      <c r="G171" s="4">
        <f>IF($B$152=0,0,IF(G$2&gt;=$A171,IF(G$2=$A171,($B171/$B$152)*$B$149,IF(G$2&lt;=$A171+$B$152-1,$B171/$B$152,$B171-SUM($C171:F171))),0))</f>
        <v>0</v>
      </c>
      <c r="H171" s="4">
        <f>IF($B$152=0,0,IF(H$2&gt;=$A171,IF(H$2=$A171,($B171/$B$152)*$B$149,IF(H$2&lt;=$A171+$B$152-1,$B171/$B$152,$B171-SUM($C171:G171))),0))</f>
        <v>0</v>
      </c>
      <c r="I171" s="4">
        <f>IF($B$152=0,0,IF(I$2&gt;=$A171,IF(I$2=$A171,($B171/$B$152)*$B$149,IF(I$2&lt;=$A171+$B$152-1,$B171/$B$152,$B171-SUM($C171:H171))),0))</f>
        <v>0</v>
      </c>
      <c r="J171" s="4">
        <f>IF($B$152=0,0,IF(J$2&gt;=$A171,IF(J$2=$A171,($B171/$B$152)*$B$149,IF(J$2&lt;=$A171+$B$152-1,$B171/$B$152,$B171-SUM($C171:I171))),0))</f>
        <v>0</v>
      </c>
      <c r="K171" s="4">
        <f>IF($B$152=0,0,IF(K$2&gt;=$A171,IF(K$2=$A171,($B171/$B$152)*$B$149,IF(K$2&lt;=$A171+$B$152-1,$B171/$B$152,$B171-SUM($C171:J171))),0))</f>
        <v>0</v>
      </c>
      <c r="L171" s="4">
        <f>IF($B$152=0,0,IF(L$2&gt;=$A171,IF(L$2=$A171,($B171/$B$152)*$B$149,IF(L$2&lt;=$A171+$B$152-1,$B171/$B$152,$B171-SUM($C171:K171))),0))</f>
        <v>0</v>
      </c>
      <c r="M171" s="4">
        <f>IF($B$152=0,0,IF(M$2&gt;=$A171,IF(M$2=$A171,($B171/$B$152)*$B$149,IF(M$2&lt;=$A171+$B$152-1,$B171/$B$152,$B171-SUM($C171:L171))),0))</f>
        <v>0</v>
      </c>
      <c r="N171" s="4">
        <f>IF($B$152=0,0,IF(N$2&gt;=$A171,IF(N$2=$A171,($B171/$B$152)*$B$149,IF(N$2&lt;=$A171+$B$152-1,$B171/$B$152,$B171-SUM($C171:M171))),0))</f>
        <v>0</v>
      </c>
      <c r="O171" s="4">
        <f>IF($B$152=0,0,IF(O$2&gt;=$A171,IF(O$2=$A171,($B171/$B$152)*$B$149,IF(O$2&lt;=$A171+$B$152-1,$B171/$B$152,$B171-SUM($C171:N171))),0))</f>
        <v>0</v>
      </c>
      <c r="P171" s="4">
        <f>IF($B$152=0,0,IF(P$2&gt;=$A171,IF(P$2=$A171,($B171/$B$152)*$B$149,IF(P$2&lt;=$A171+$B$152-1,$B171/$B$152,$B171-SUM($C171:O171))),0))</f>
        <v>0</v>
      </c>
      <c r="Q171" s="4">
        <f>IF($B$152=0,0,IF(Q$2&gt;=$A171,IF(Q$2=$A171,($B171/$B$152)*$B$149,IF(Q$2&lt;=$A171+$B$152-1,$B171/$B$152,$B171-SUM($C171:P171))),0))</f>
        <v>0</v>
      </c>
      <c r="R171" s="4">
        <f>IF($B$152=0,0,IF(R$2&gt;=$A171,IF(R$2=$A171,($B171/$B$152)*$B$149,IF(R$2&lt;=$A171+$B$152-1,$B171/$B$152,$B171-SUM($C171:Q171))),0))</f>
        <v>0</v>
      </c>
      <c r="S171" s="4">
        <f>IF($B$152=0,0,IF(S$2&gt;=$A171,IF(S$2=$A171,($B171/$B$152)*$B$149,IF(S$2&lt;=$A171+$B$152-1,$B171/$B$152,$B171-SUM($C171:R171))),0))</f>
        <v>0</v>
      </c>
      <c r="T171" s="4">
        <f>IF($B$152=0,0,IF(T$2&gt;=$A171,IF(T$2=$A171,($B171/$B$152)*$B$149,IF(T$2&lt;=$A171+$B$152-1,$B171/$B$152,$B171-SUM($C171:S171))),0))</f>
        <v>0</v>
      </c>
      <c r="U171" s="4">
        <f>IF($B$152=0,0,IF(U$2&gt;=$A171,IF(U$2=$A171,($B171/$B$152)*$B$149,IF(U$2&lt;=$A171+$B$152-1,$B171/$B$152,$B171-SUM($C171:T171))),0))</f>
        <v>0</v>
      </c>
      <c r="V171" s="4">
        <f>IF($B$152=0,0,IF(V$2&gt;=$A171,IF(V$2=$A171,($B171/$B$152)*$B$149,IF(V$2&lt;=$A171+$B$152-1,$B171/$B$152,$B171-SUM($C171:U171))),0))</f>
        <v>0</v>
      </c>
      <c r="W171" s="4">
        <f>IF($B$152=0,0,IF(W$2&gt;=$A171,IF(W$2=$A171,($B171/$B$152)*$B$149,IF(W$2&lt;=$A171+$B$152-1,$B171/$B$152,$B171-SUM($C171:V171))),0))</f>
        <v>0</v>
      </c>
      <c r="X171" s="4">
        <f>IF($B$152=0,0,IF(X$2&gt;=$A171,IF(X$2=$A171,($B171/$B$152)*$B$149,IF(X$2&lt;=$A171+$B$152-1,$B171/$B$152,$B171-SUM($C171:W171))),0))</f>
        <v>0</v>
      </c>
      <c r="Y171" s="4">
        <f>IF($B$152=0,0,IF(Y$2&gt;=$A171,IF(Y$2=$A171,($B171/$B$152)*$B$149,IF(Y$2&lt;=$A171+$B$152-1,$B171/$B$152,$B171-SUM($C171:X171))),0))</f>
        <v>0</v>
      </c>
      <c r="Z171" s="4">
        <f>IF($B$152=0,0,IF(Z$2&gt;=$A171,IF(Z$2=$A171,($B171/$B$152)*$B$149,IF(Z$2&lt;=$A171+$B$152-1,$B171/$B$152,$B171-SUM($C171:Y171))),0))</f>
        <v>0</v>
      </c>
      <c r="AA171" s="4">
        <f>IF($B$152=0,0,IF(AA$2&gt;=$A171,IF(AA$2=$A171,($B171/$B$152)*$B$149,IF(AA$2&lt;=$A171+$B$152-1,$B171/$B$152,$B171-SUM($C171:Z171))),0))</f>
        <v>0</v>
      </c>
      <c r="AB171" s="4">
        <f>IF($B$152=0,0,IF(AB$2&gt;=$A171,IF(AB$2=$A171,($B171/$B$152)*$B$149,IF(AB$2&lt;=$A171+$B$152-1,$B171/$B$152,$B171-SUM($C171:AA171))),0))</f>
        <v>0</v>
      </c>
      <c r="AC171" s="4">
        <f>IF($B$152=0,0,IF(AC$2&gt;=$A171,IF(AC$2=$A171,($B171/$B$152)*$B$149,IF(AC$2&lt;=$A171+$B$152-1,$B171/$B$152,$B171-SUM($C171:AB171))),0))</f>
        <v>0</v>
      </c>
      <c r="AD171" s="4">
        <f>IF($B$152=0,0,IF(AD$2&gt;=$A171,IF(AD$2=$A171,($B171/$B$152)*$B$149,IF(AD$2&lt;=$A171+$B$152-1,$B171/$B$152,$B171-SUM($C171:AC171))),0))</f>
        <v>0</v>
      </c>
      <c r="AE171" s="4">
        <f>IF($B$152=0,0,IF(AE$2&gt;=$A171,IF(AE$2=$A171,($B171/$B$152)*$B$149,IF(AE$2&lt;=$A171+$B$152-1,$B171/$B$152,$B171-SUM($C171:AD171))),0))</f>
        <v>0</v>
      </c>
      <c r="AF171" s="4">
        <f>IF($B$152=0,0,IF(AF$2&gt;=$A171,IF(AF$2=$A171,($B171/$B$152)*$B$149,IF(AF$2&lt;=$A171+$B$152-1,$B171/$B$152,$B171-SUM($C171:AE171))),0))</f>
        <v>0</v>
      </c>
      <c r="AG171" s="4">
        <f t="shared" si="104"/>
        <v>0</v>
      </c>
    </row>
    <row r="172" spans="1:33">
      <c r="A172" s="6">
        <f t="shared" si="105"/>
        <v>2041</v>
      </c>
      <c r="B172" s="4">
        <f t="shared" si="103"/>
        <v>0</v>
      </c>
      <c r="C172" s="4">
        <f>IF($B$152=0,0,IF(C$2&gt;=$A172,IF(C$2=$A172,($B172/$B$152)*$B$149,IF(C$2&lt;=$A172+$B$152-1,$B172/$B$152,$B172-SUM(B172:$C172))),0))</f>
        <v>0</v>
      </c>
      <c r="D172" s="4">
        <f>IF($B$152=0,0,IF(D$2&gt;=$A172,IF(D$2=$A172,($B172/$B$152)*$B$149,IF(D$2&lt;=$A172+$B$152-1,$B172/$B$152,$B172-SUM(C172:$C172))),0))</f>
        <v>0</v>
      </c>
      <c r="E172" s="4">
        <f>IF($B$152=0,0,IF(E$2&gt;=$A172,IF(E$2=$A172,($B172/$B$152)*$B$149,IF(E$2&lt;=$A172+$B$152-1,$B172/$B$152,$B172-SUM($C172:D172))),0))</f>
        <v>0</v>
      </c>
      <c r="F172" s="4">
        <f>IF($B$152=0,0,IF(F$2&gt;=$A172,IF(F$2=$A172,($B172/$B$152)*$B$149,IF(F$2&lt;=$A172+$B$152-1,$B172/$B$152,$B172-SUM($C172:E172))),0))</f>
        <v>0</v>
      </c>
      <c r="G172" s="4">
        <f>IF($B$152=0,0,IF(G$2&gt;=$A172,IF(G$2=$A172,($B172/$B$152)*$B$149,IF(G$2&lt;=$A172+$B$152-1,$B172/$B$152,$B172-SUM($C172:F172))),0))</f>
        <v>0</v>
      </c>
      <c r="H172" s="4">
        <f>IF($B$152=0,0,IF(H$2&gt;=$A172,IF(H$2=$A172,($B172/$B$152)*$B$149,IF(H$2&lt;=$A172+$B$152-1,$B172/$B$152,$B172-SUM($C172:G172))),0))</f>
        <v>0</v>
      </c>
      <c r="I172" s="4">
        <f>IF($B$152=0,0,IF(I$2&gt;=$A172,IF(I$2=$A172,($B172/$B$152)*$B$149,IF(I$2&lt;=$A172+$B$152-1,$B172/$B$152,$B172-SUM($C172:H172))),0))</f>
        <v>0</v>
      </c>
      <c r="J172" s="4">
        <f>IF($B$152=0,0,IF(J$2&gt;=$A172,IF(J$2=$A172,($B172/$B$152)*$B$149,IF(J$2&lt;=$A172+$B$152-1,$B172/$B$152,$B172-SUM($C172:I172))),0))</f>
        <v>0</v>
      </c>
      <c r="K172" s="4">
        <f>IF($B$152=0,0,IF(K$2&gt;=$A172,IF(K$2=$A172,($B172/$B$152)*$B$149,IF(K$2&lt;=$A172+$B$152-1,$B172/$B$152,$B172-SUM($C172:J172))),0))</f>
        <v>0</v>
      </c>
      <c r="L172" s="4">
        <f>IF($B$152=0,0,IF(L$2&gt;=$A172,IF(L$2=$A172,($B172/$B$152)*$B$149,IF(L$2&lt;=$A172+$B$152-1,$B172/$B$152,$B172-SUM($C172:K172))),0))</f>
        <v>0</v>
      </c>
      <c r="M172" s="4">
        <f>IF($B$152=0,0,IF(M$2&gt;=$A172,IF(M$2=$A172,($B172/$B$152)*$B$149,IF(M$2&lt;=$A172+$B$152-1,$B172/$B$152,$B172-SUM($C172:L172))),0))</f>
        <v>0</v>
      </c>
      <c r="N172" s="4">
        <f>IF($B$152=0,0,IF(N$2&gt;=$A172,IF(N$2=$A172,($B172/$B$152)*$B$149,IF(N$2&lt;=$A172+$B$152-1,$B172/$B$152,$B172-SUM($C172:M172))),0))</f>
        <v>0</v>
      </c>
      <c r="O172" s="4">
        <f>IF($B$152=0,0,IF(O$2&gt;=$A172,IF(O$2=$A172,($B172/$B$152)*$B$149,IF(O$2&lt;=$A172+$B$152-1,$B172/$B$152,$B172-SUM($C172:N172))),0))</f>
        <v>0</v>
      </c>
      <c r="P172" s="4">
        <f>IF($B$152=0,0,IF(P$2&gt;=$A172,IF(P$2=$A172,($B172/$B$152)*$B$149,IF(P$2&lt;=$A172+$B$152-1,$B172/$B$152,$B172-SUM($C172:O172))),0))</f>
        <v>0</v>
      </c>
      <c r="Q172" s="4">
        <f>IF($B$152=0,0,IF(Q$2&gt;=$A172,IF(Q$2=$A172,($B172/$B$152)*$B$149,IF(Q$2&lt;=$A172+$B$152-1,$B172/$B$152,$B172-SUM($C172:P172))),0))</f>
        <v>0</v>
      </c>
      <c r="R172" s="4">
        <f>IF($B$152=0,0,IF(R$2&gt;=$A172,IF(R$2=$A172,($B172/$B$152)*$B$149,IF(R$2&lt;=$A172+$B$152-1,$B172/$B$152,$B172-SUM($C172:Q172))),0))</f>
        <v>0</v>
      </c>
      <c r="S172" s="4">
        <f>IF($B$152=0,0,IF(S$2&gt;=$A172,IF(S$2=$A172,($B172/$B$152)*$B$149,IF(S$2&lt;=$A172+$B$152-1,$B172/$B$152,$B172-SUM($C172:R172))),0))</f>
        <v>0</v>
      </c>
      <c r="T172" s="4">
        <f>IF($B$152=0,0,IF(T$2&gt;=$A172,IF(T$2=$A172,($B172/$B$152)*$B$149,IF(T$2&lt;=$A172+$B$152-1,$B172/$B$152,$B172-SUM($C172:S172))),0))</f>
        <v>0</v>
      </c>
      <c r="U172" s="4">
        <f>IF($B$152=0,0,IF(U$2&gt;=$A172,IF(U$2=$A172,($B172/$B$152)*$B$149,IF(U$2&lt;=$A172+$B$152-1,$B172/$B$152,$B172-SUM($C172:T172))),0))</f>
        <v>0</v>
      </c>
      <c r="V172" s="4">
        <f>IF($B$152=0,0,IF(V$2&gt;=$A172,IF(V$2=$A172,($B172/$B$152)*$B$149,IF(V$2&lt;=$A172+$B$152-1,$B172/$B$152,$B172-SUM($C172:U172))),0))</f>
        <v>0</v>
      </c>
      <c r="W172" s="4">
        <f>IF($B$152=0,0,IF(W$2&gt;=$A172,IF(W$2=$A172,($B172/$B$152)*$B$149,IF(W$2&lt;=$A172+$B$152-1,$B172/$B$152,$B172-SUM($C172:V172))),0))</f>
        <v>0</v>
      </c>
      <c r="X172" s="4">
        <f>IF($B$152=0,0,IF(X$2&gt;=$A172,IF(X$2=$A172,($B172/$B$152)*$B$149,IF(X$2&lt;=$A172+$B$152-1,$B172/$B$152,$B172-SUM($C172:W172))),0))</f>
        <v>0</v>
      </c>
      <c r="Y172" s="4">
        <f>IF($B$152=0,0,IF(Y$2&gt;=$A172,IF(Y$2=$A172,($B172/$B$152)*$B$149,IF(Y$2&lt;=$A172+$B$152-1,$B172/$B$152,$B172-SUM($C172:X172))),0))</f>
        <v>0</v>
      </c>
      <c r="Z172" s="4">
        <f>IF($B$152=0,0,IF(Z$2&gt;=$A172,IF(Z$2=$A172,($B172/$B$152)*$B$149,IF(Z$2&lt;=$A172+$B$152-1,$B172/$B$152,$B172-SUM($C172:Y172))),0))</f>
        <v>0</v>
      </c>
      <c r="AA172" s="4">
        <f>IF($B$152=0,0,IF(AA$2&gt;=$A172,IF(AA$2=$A172,($B172/$B$152)*$B$149,IF(AA$2&lt;=$A172+$B$152-1,$B172/$B$152,$B172-SUM($C172:Z172))),0))</f>
        <v>0</v>
      </c>
      <c r="AB172" s="4">
        <f>IF($B$152=0,0,IF(AB$2&gt;=$A172,IF(AB$2=$A172,($B172/$B$152)*$B$149,IF(AB$2&lt;=$A172+$B$152-1,$B172/$B$152,$B172-SUM($C172:AA172))),0))</f>
        <v>0</v>
      </c>
      <c r="AC172" s="4">
        <f>IF($B$152=0,0,IF(AC$2&gt;=$A172,IF(AC$2=$A172,($B172/$B$152)*$B$149,IF(AC$2&lt;=$A172+$B$152-1,$B172/$B$152,$B172-SUM($C172:AB172))),0))</f>
        <v>0</v>
      </c>
      <c r="AD172" s="4">
        <f>IF($B$152=0,0,IF(AD$2&gt;=$A172,IF(AD$2=$A172,($B172/$B$152)*$B$149,IF(AD$2&lt;=$A172+$B$152-1,$B172/$B$152,$B172-SUM($C172:AC172))),0))</f>
        <v>0</v>
      </c>
      <c r="AE172" s="4">
        <f>IF($B$152=0,0,IF(AE$2&gt;=$A172,IF(AE$2=$A172,($B172/$B$152)*$B$149,IF(AE$2&lt;=$A172+$B$152-1,$B172/$B$152,$B172-SUM($C172:AD172))),0))</f>
        <v>0</v>
      </c>
      <c r="AF172" s="4">
        <f>IF($B$152=0,0,IF(AF$2&gt;=$A172,IF(AF$2=$A172,($B172/$B$152)*$B$149,IF(AF$2&lt;=$A172+$B$152-1,$B172/$B$152,$B172-SUM($C172:AE172))),0))</f>
        <v>0</v>
      </c>
      <c r="AG172" s="4">
        <f t="shared" si="104"/>
        <v>0</v>
      </c>
    </row>
    <row r="173" spans="1:33">
      <c r="A173" s="6">
        <f t="shared" si="105"/>
        <v>2042</v>
      </c>
      <c r="B173" s="4">
        <f t="shared" si="103"/>
        <v>0</v>
      </c>
      <c r="C173" s="4">
        <f>IF($B$152=0,0,IF(C$2&gt;=$A173,IF(C$2=$A173,($B173/$B$152)*$B$149,IF(C$2&lt;=$A173+$B$152-1,$B173/$B$152,$B173-SUM(B173:$C173))),0))</f>
        <v>0</v>
      </c>
      <c r="D173" s="4">
        <f>IF($B$152=0,0,IF(D$2&gt;=$A173,IF(D$2=$A173,($B173/$B$152)*$B$149,IF(D$2&lt;=$A173+$B$152-1,$B173/$B$152,$B173-SUM(C173:$C173))),0))</f>
        <v>0</v>
      </c>
      <c r="E173" s="4">
        <f>IF($B$152=0,0,IF(E$2&gt;=$A173,IF(E$2=$A173,($B173/$B$152)*$B$149,IF(E$2&lt;=$A173+$B$152-1,$B173/$B$152,$B173-SUM($C173:D173))),0))</f>
        <v>0</v>
      </c>
      <c r="F173" s="4">
        <f>IF($B$152=0,0,IF(F$2&gt;=$A173,IF(F$2=$A173,($B173/$B$152)*$B$149,IF(F$2&lt;=$A173+$B$152-1,$B173/$B$152,$B173-SUM($C173:E173))),0))</f>
        <v>0</v>
      </c>
      <c r="G173" s="4">
        <f>IF($B$152=0,0,IF(G$2&gt;=$A173,IF(G$2=$A173,($B173/$B$152)*$B$149,IF(G$2&lt;=$A173+$B$152-1,$B173/$B$152,$B173-SUM($C173:F173))),0))</f>
        <v>0</v>
      </c>
      <c r="H173" s="4">
        <f>IF($B$152=0,0,IF(H$2&gt;=$A173,IF(H$2=$A173,($B173/$B$152)*$B$149,IF(H$2&lt;=$A173+$B$152-1,$B173/$B$152,$B173-SUM($C173:G173))),0))</f>
        <v>0</v>
      </c>
      <c r="I173" s="4">
        <f>IF($B$152=0,0,IF(I$2&gt;=$A173,IF(I$2=$A173,($B173/$B$152)*$B$149,IF(I$2&lt;=$A173+$B$152-1,$B173/$B$152,$B173-SUM($C173:H173))),0))</f>
        <v>0</v>
      </c>
      <c r="J173" s="4">
        <f>IF($B$152=0,0,IF(J$2&gt;=$A173,IF(J$2=$A173,($B173/$B$152)*$B$149,IF(J$2&lt;=$A173+$B$152-1,$B173/$B$152,$B173-SUM($C173:I173))),0))</f>
        <v>0</v>
      </c>
      <c r="K173" s="4">
        <f>IF($B$152=0,0,IF(K$2&gt;=$A173,IF(K$2=$A173,($B173/$B$152)*$B$149,IF(K$2&lt;=$A173+$B$152-1,$B173/$B$152,$B173-SUM($C173:J173))),0))</f>
        <v>0</v>
      </c>
      <c r="L173" s="4">
        <f>IF($B$152=0,0,IF(L$2&gt;=$A173,IF(L$2=$A173,($B173/$B$152)*$B$149,IF(L$2&lt;=$A173+$B$152-1,$B173/$B$152,$B173-SUM($C173:K173))),0))</f>
        <v>0</v>
      </c>
      <c r="M173" s="4">
        <f>IF($B$152=0,0,IF(M$2&gt;=$A173,IF(M$2=$A173,($B173/$B$152)*$B$149,IF(M$2&lt;=$A173+$B$152-1,$B173/$B$152,$B173-SUM($C173:L173))),0))</f>
        <v>0</v>
      </c>
      <c r="N173" s="4">
        <f>IF($B$152=0,0,IF(N$2&gt;=$A173,IF(N$2=$A173,($B173/$B$152)*$B$149,IF(N$2&lt;=$A173+$B$152-1,$B173/$B$152,$B173-SUM($C173:M173))),0))</f>
        <v>0</v>
      </c>
      <c r="O173" s="4">
        <f>IF($B$152=0,0,IF(O$2&gt;=$A173,IF(O$2=$A173,($B173/$B$152)*$B$149,IF(O$2&lt;=$A173+$B$152-1,$B173/$B$152,$B173-SUM($C173:N173))),0))</f>
        <v>0</v>
      </c>
      <c r="P173" s="4">
        <f>IF($B$152=0,0,IF(P$2&gt;=$A173,IF(P$2=$A173,($B173/$B$152)*$B$149,IF(P$2&lt;=$A173+$B$152-1,$B173/$B$152,$B173-SUM($C173:O173))),0))</f>
        <v>0</v>
      </c>
      <c r="Q173" s="4">
        <f>IF($B$152=0,0,IF(Q$2&gt;=$A173,IF(Q$2=$A173,($B173/$B$152)*$B$149,IF(Q$2&lt;=$A173+$B$152-1,$B173/$B$152,$B173-SUM($C173:P173))),0))</f>
        <v>0</v>
      </c>
      <c r="R173" s="4">
        <f>IF($B$152=0,0,IF(R$2&gt;=$A173,IF(R$2=$A173,($B173/$B$152)*$B$149,IF(R$2&lt;=$A173+$B$152-1,$B173/$B$152,$B173-SUM($C173:Q173))),0))</f>
        <v>0</v>
      </c>
      <c r="S173" s="4">
        <f>IF($B$152=0,0,IF(S$2&gt;=$A173,IF(S$2=$A173,($B173/$B$152)*$B$149,IF(S$2&lt;=$A173+$B$152-1,$B173/$B$152,$B173-SUM($C173:R173))),0))</f>
        <v>0</v>
      </c>
      <c r="T173" s="4">
        <f>IF($B$152=0,0,IF(T$2&gt;=$A173,IF(T$2=$A173,($B173/$B$152)*$B$149,IF(T$2&lt;=$A173+$B$152-1,$B173/$B$152,$B173-SUM($C173:S173))),0))</f>
        <v>0</v>
      </c>
      <c r="U173" s="4">
        <f>IF($B$152=0,0,IF(U$2&gt;=$A173,IF(U$2=$A173,($B173/$B$152)*$B$149,IF(U$2&lt;=$A173+$B$152-1,$B173/$B$152,$B173-SUM($C173:T173))),0))</f>
        <v>0</v>
      </c>
      <c r="V173" s="4">
        <f>IF($B$152=0,0,IF(V$2&gt;=$A173,IF(V$2=$A173,($B173/$B$152)*$B$149,IF(V$2&lt;=$A173+$B$152-1,$B173/$B$152,$B173-SUM($C173:U173))),0))</f>
        <v>0</v>
      </c>
      <c r="W173" s="4">
        <f>IF($B$152=0,0,IF(W$2&gt;=$A173,IF(W$2=$A173,($B173/$B$152)*$B$149,IF(W$2&lt;=$A173+$B$152-1,$B173/$B$152,$B173-SUM($C173:V173))),0))</f>
        <v>0</v>
      </c>
      <c r="X173" s="4">
        <f>IF($B$152=0,0,IF(X$2&gt;=$A173,IF(X$2=$A173,($B173/$B$152)*$B$149,IF(X$2&lt;=$A173+$B$152-1,$B173/$B$152,$B173-SUM($C173:W173))),0))</f>
        <v>0</v>
      </c>
      <c r="Y173" s="4">
        <f>IF($B$152=0,0,IF(Y$2&gt;=$A173,IF(Y$2=$A173,($B173/$B$152)*$B$149,IF(Y$2&lt;=$A173+$B$152-1,$B173/$B$152,$B173-SUM($C173:X173))),0))</f>
        <v>0</v>
      </c>
      <c r="Z173" s="4">
        <f>IF($B$152=0,0,IF(Z$2&gt;=$A173,IF(Z$2=$A173,($B173/$B$152)*$B$149,IF(Z$2&lt;=$A173+$B$152-1,$B173/$B$152,$B173-SUM($C173:Y173))),0))</f>
        <v>0</v>
      </c>
      <c r="AA173" s="4">
        <f>IF($B$152=0,0,IF(AA$2&gt;=$A173,IF(AA$2=$A173,($B173/$B$152)*$B$149,IF(AA$2&lt;=$A173+$B$152-1,$B173/$B$152,$B173-SUM($C173:Z173))),0))</f>
        <v>0</v>
      </c>
      <c r="AB173" s="4">
        <f>IF($B$152=0,0,IF(AB$2&gt;=$A173,IF(AB$2=$A173,($B173/$B$152)*$B$149,IF(AB$2&lt;=$A173+$B$152-1,$B173/$B$152,$B173-SUM($C173:AA173))),0))</f>
        <v>0</v>
      </c>
      <c r="AC173" s="4">
        <f>IF($B$152=0,0,IF(AC$2&gt;=$A173,IF(AC$2=$A173,($B173/$B$152)*$B$149,IF(AC$2&lt;=$A173+$B$152-1,$B173/$B$152,$B173-SUM($C173:AB173))),0))</f>
        <v>0</v>
      </c>
      <c r="AD173" s="4">
        <f>IF($B$152=0,0,IF(AD$2&gt;=$A173,IF(AD$2=$A173,($B173/$B$152)*$B$149,IF(AD$2&lt;=$A173+$B$152-1,$B173/$B$152,$B173-SUM($C173:AC173))),0))</f>
        <v>0</v>
      </c>
      <c r="AE173" s="4">
        <f>IF($B$152=0,0,IF(AE$2&gt;=$A173,IF(AE$2=$A173,($B173/$B$152)*$B$149,IF(AE$2&lt;=$A173+$B$152-1,$B173/$B$152,$B173-SUM($C173:AD173))),0))</f>
        <v>0</v>
      </c>
      <c r="AF173" s="4">
        <f>IF($B$152=0,0,IF(AF$2&gt;=$A173,IF(AF$2=$A173,($B173/$B$152)*$B$149,IF(AF$2&lt;=$A173+$B$152-1,$B173/$B$152,$B173-SUM($C173:AE173))),0))</f>
        <v>0</v>
      </c>
      <c r="AG173" s="4">
        <f t="shared" si="104"/>
        <v>0</v>
      </c>
    </row>
    <row r="174" spans="1:33">
      <c r="A174" s="6">
        <f t="shared" si="105"/>
        <v>2043</v>
      </c>
      <c r="B174" s="4">
        <f t="shared" si="103"/>
        <v>0</v>
      </c>
      <c r="C174" s="4">
        <f>IF($B$152=0,0,IF(C$2&gt;=$A174,IF(C$2=$A174,($B174/$B$152)*$B$149,IF(C$2&lt;=$A174+$B$152-1,$B174/$B$152,$B174-SUM(B174:$C174))),0))</f>
        <v>0</v>
      </c>
      <c r="D174" s="4">
        <f>IF($B$152=0,0,IF(D$2&gt;=$A174,IF(D$2=$A174,($B174/$B$152)*$B$149,IF(D$2&lt;=$A174+$B$152-1,$B174/$B$152,$B174-SUM(C174:$C174))),0))</f>
        <v>0</v>
      </c>
      <c r="E174" s="4">
        <f>IF($B$152=0,0,IF(E$2&gt;=$A174,IF(E$2=$A174,($B174/$B$152)*$B$149,IF(E$2&lt;=$A174+$B$152-1,$B174/$B$152,$B174-SUM($C174:D174))),0))</f>
        <v>0</v>
      </c>
      <c r="F174" s="4">
        <f>IF($B$152=0,0,IF(F$2&gt;=$A174,IF(F$2=$A174,($B174/$B$152)*$B$149,IF(F$2&lt;=$A174+$B$152-1,$B174/$B$152,$B174-SUM($C174:E174))),0))</f>
        <v>0</v>
      </c>
      <c r="G174" s="4">
        <f>IF($B$152=0,0,IF(G$2&gt;=$A174,IF(G$2=$A174,($B174/$B$152)*$B$149,IF(G$2&lt;=$A174+$B$152-1,$B174/$B$152,$B174-SUM($C174:F174))),0))</f>
        <v>0</v>
      </c>
      <c r="H174" s="4">
        <f>IF($B$152=0,0,IF(H$2&gt;=$A174,IF(H$2=$A174,($B174/$B$152)*$B$149,IF(H$2&lt;=$A174+$B$152-1,$B174/$B$152,$B174-SUM($C174:G174))),0))</f>
        <v>0</v>
      </c>
      <c r="I174" s="4">
        <f>IF($B$152=0,0,IF(I$2&gt;=$A174,IF(I$2=$A174,($B174/$B$152)*$B$149,IF(I$2&lt;=$A174+$B$152-1,$B174/$B$152,$B174-SUM($C174:H174))),0))</f>
        <v>0</v>
      </c>
      <c r="J174" s="4">
        <f>IF($B$152=0,0,IF(J$2&gt;=$A174,IF(J$2=$A174,($B174/$B$152)*$B$149,IF(J$2&lt;=$A174+$B$152-1,$B174/$B$152,$B174-SUM($C174:I174))),0))</f>
        <v>0</v>
      </c>
      <c r="K174" s="4">
        <f>IF($B$152=0,0,IF(K$2&gt;=$A174,IF(K$2=$A174,($B174/$B$152)*$B$149,IF(K$2&lt;=$A174+$B$152-1,$B174/$B$152,$B174-SUM($C174:J174))),0))</f>
        <v>0</v>
      </c>
      <c r="L174" s="4">
        <f>IF($B$152=0,0,IF(L$2&gt;=$A174,IF(L$2=$A174,($B174/$B$152)*$B$149,IF(L$2&lt;=$A174+$B$152-1,$B174/$B$152,$B174-SUM($C174:K174))),0))</f>
        <v>0</v>
      </c>
      <c r="M174" s="4">
        <f>IF($B$152=0,0,IF(M$2&gt;=$A174,IF(M$2=$A174,($B174/$B$152)*$B$149,IF(M$2&lt;=$A174+$B$152-1,$B174/$B$152,$B174-SUM($C174:L174))),0))</f>
        <v>0</v>
      </c>
      <c r="N174" s="4">
        <f>IF($B$152=0,0,IF(N$2&gt;=$A174,IF(N$2=$A174,($B174/$B$152)*$B$149,IF(N$2&lt;=$A174+$B$152-1,$B174/$B$152,$B174-SUM($C174:M174))),0))</f>
        <v>0</v>
      </c>
      <c r="O174" s="4">
        <f>IF($B$152=0,0,IF(O$2&gt;=$A174,IF(O$2=$A174,($B174/$B$152)*$B$149,IF(O$2&lt;=$A174+$B$152-1,$B174/$B$152,$B174-SUM($C174:N174))),0))</f>
        <v>0</v>
      </c>
      <c r="P174" s="4">
        <f>IF($B$152=0,0,IF(P$2&gt;=$A174,IF(P$2=$A174,($B174/$B$152)*$B$149,IF(P$2&lt;=$A174+$B$152-1,$B174/$B$152,$B174-SUM($C174:O174))),0))</f>
        <v>0</v>
      </c>
      <c r="Q174" s="4">
        <f>IF($B$152=0,0,IF(Q$2&gt;=$A174,IF(Q$2=$A174,($B174/$B$152)*$B$149,IF(Q$2&lt;=$A174+$B$152-1,$B174/$B$152,$B174-SUM($C174:P174))),0))</f>
        <v>0</v>
      </c>
      <c r="R174" s="4">
        <f>IF($B$152=0,0,IF(R$2&gt;=$A174,IF(R$2=$A174,($B174/$B$152)*$B$149,IF(R$2&lt;=$A174+$B$152-1,$B174/$B$152,$B174-SUM($C174:Q174))),0))</f>
        <v>0</v>
      </c>
      <c r="S174" s="4">
        <f>IF($B$152=0,0,IF(S$2&gt;=$A174,IF(S$2=$A174,($B174/$B$152)*$B$149,IF(S$2&lt;=$A174+$B$152-1,$B174/$B$152,$B174-SUM($C174:R174))),0))</f>
        <v>0</v>
      </c>
      <c r="T174" s="4">
        <f>IF($B$152=0,0,IF(T$2&gt;=$A174,IF(T$2=$A174,($B174/$B$152)*$B$149,IF(T$2&lt;=$A174+$B$152-1,$B174/$B$152,$B174-SUM($C174:S174))),0))</f>
        <v>0</v>
      </c>
      <c r="U174" s="4">
        <f>IF($B$152=0,0,IF(U$2&gt;=$A174,IF(U$2=$A174,($B174/$B$152)*$B$149,IF(U$2&lt;=$A174+$B$152-1,$B174/$B$152,$B174-SUM($C174:T174))),0))</f>
        <v>0</v>
      </c>
      <c r="V174" s="4">
        <f>IF($B$152=0,0,IF(V$2&gt;=$A174,IF(V$2=$A174,($B174/$B$152)*$B$149,IF(V$2&lt;=$A174+$B$152-1,$B174/$B$152,$B174-SUM($C174:U174))),0))</f>
        <v>0</v>
      </c>
      <c r="W174" s="4">
        <f>IF($B$152=0,0,IF(W$2&gt;=$A174,IF(W$2=$A174,($B174/$B$152)*$B$149,IF(W$2&lt;=$A174+$B$152-1,$B174/$B$152,$B174-SUM($C174:V174))),0))</f>
        <v>0</v>
      </c>
      <c r="X174" s="4">
        <f>IF($B$152=0,0,IF(X$2&gt;=$A174,IF(X$2=$A174,($B174/$B$152)*$B$149,IF(X$2&lt;=$A174+$B$152-1,$B174/$B$152,$B174-SUM($C174:W174))),0))</f>
        <v>0</v>
      </c>
      <c r="Y174" s="4">
        <f>IF($B$152=0,0,IF(Y$2&gt;=$A174,IF(Y$2=$A174,($B174/$B$152)*$B$149,IF(Y$2&lt;=$A174+$B$152-1,$B174/$B$152,$B174-SUM($C174:X174))),0))</f>
        <v>0</v>
      </c>
      <c r="Z174" s="4">
        <f>IF($B$152=0,0,IF(Z$2&gt;=$A174,IF(Z$2=$A174,($B174/$B$152)*$B$149,IF(Z$2&lt;=$A174+$B$152-1,$B174/$B$152,$B174-SUM($C174:Y174))),0))</f>
        <v>0</v>
      </c>
      <c r="AA174" s="4">
        <f>IF($B$152=0,0,IF(AA$2&gt;=$A174,IF(AA$2=$A174,($B174/$B$152)*$B$149,IF(AA$2&lt;=$A174+$B$152-1,$B174/$B$152,$B174-SUM($C174:Z174))),0))</f>
        <v>0</v>
      </c>
      <c r="AB174" s="4">
        <f>IF($B$152=0,0,IF(AB$2&gt;=$A174,IF(AB$2=$A174,($B174/$B$152)*$B$149,IF(AB$2&lt;=$A174+$B$152-1,$B174/$B$152,$B174-SUM($C174:AA174))),0))</f>
        <v>0</v>
      </c>
      <c r="AC174" s="4">
        <f>IF($B$152=0,0,IF(AC$2&gt;=$A174,IF(AC$2=$A174,($B174/$B$152)*$B$149,IF(AC$2&lt;=$A174+$B$152-1,$B174/$B$152,$B174-SUM($C174:AB174))),0))</f>
        <v>0</v>
      </c>
      <c r="AD174" s="4">
        <f>IF($B$152=0,0,IF(AD$2&gt;=$A174,IF(AD$2=$A174,($B174/$B$152)*$B$149,IF(AD$2&lt;=$A174+$B$152-1,$B174/$B$152,$B174-SUM($C174:AC174))),0))</f>
        <v>0</v>
      </c>
      <c r="AE174" s="4">
        <f>IF($B$152=0,0,IF(AE$2&gt;=$A174,IF(AE$2=$A174,($B174/$B$152)*$B$149,IF(AE$2&lt;=$A174+$B$152-1,$B174/$B$152,$B174-SUM($C174:AD174))),0))</f>
        <v>0</v>
      </c>
      <c r="AF174" s="4">
        <f>IF($B$152=0,0,IF(AF$2&gt;=$A174,IF(AF$2=$A174,($B174/$B$152)*$B$149,IF(AF$2&lt;=$A174+$B$152-1,$B174/$B$152,$B174-SUM($C174:AE174))),0))</f>
        <v>0</v>
      </c>
      <c r="AG174" s="4">
        <f t="shared" si="104"/>
        <v>0</v>
      </c>
    </row>
    <row r="175" spans="1:33">
      <c r="A175" s="6">
        <f t="shared" si="105"/>
        <v>2044</v>
      </c>
      <c r="B175" s="4">
        <f t="shared" si="103"/>
        <v>0</v>
      </c>
      <c r="C175" s="4">
        <f>IF($B$152=0,0,IF(C$2&gt;=$A175,IF(C$2=$A175,($B175/$B$152)*$B$149,IF(C$2&lt;=$A175+$B$152-1,$B175/$B$152,$B175-SUM(B175:$C175))),0))</f>
        <v>0</v>
      </c>
      <c r="D175" s="4">
        <f>IF($B$152=0,0,IF(D$2&gt;=$A175,IF(D$2=$A175,($B175/$B$152)*$B$149,IF(D$2&lt;=$A175+$B$152-1,$B175/$B$152,$B175-SUM(C175:$C175))),0))</f>
        <v>0</v>
      </c>
      <c r="E175" s="4">
        <f>IF($B$152=0,0,IF(E$2&gt;=$A175,IF(E$2=$A175,($B175/$B$152)*$B$149,IF(E$2&lt;=$A175+$B$152-1,$B175/$B$152,$B175-SUM($C175:D175))),0))</f>
        <v>0</v>
      </c>
      <c r="F175" s="4">
        <f>IF($B$152=0,0,IF(F$2&gt;=$A175,IF(F$2=$A175,($B175/$B$152)*$B$149,IF(F$2&lt;=$A175+$B$152-1,$B175/$B$152,$B175-SUM($C175:E175))),0))</f>
        <v>0</v>
      </c>
      <c r="G175" s="4">
        <f>IF($B$152=0,0,IF(G$2&gt;=$A175,IF(G$2=$A175,($B175/$B$152)*$B$149,IF(G$2&lt;=$A175+$B$152-1,$B175/$B$152,$B175-SUM($C175:F175))),0))</f>
        <v>0</v>
      </c>
      <c r="H175" s="4">
        <f>IF($B$152=0,0,IF(H$2&gt;=$A175,IF(H$2=$A175,($B175/$B$152)*$B$149,IF(H$2&lt;=$A175+$B$152-1,$B175/$B$152,$B175-SUM($C175:G175))),0))</f>
        <v>0</v>
      </c>
      <c r="I175" s="4">
        <f>IF($B$152=0,0,IF(I$2&gt;=$A175,IF(I$2=$A175,($B175/$B$152)*$B$149,IF(I$2&lt;=$A175+$B$152-1,$B175/$B$152,$B175-SUM($C175:H175))),0))</f>
        <v>0</v>
      </c>
      <c r="J175" s="4">
        <f>IF($B$152=0,0,IF(J$2&gt;=$A175,IF(J$2=$A175,($B175/$B$152)*$B$149,IF(J$2&lt;=$A175+$B$152-1,$B175/$B$152,$B175-SUM($C175:I175))),0))</f>
        <v>0</v>
      </c>
      <c r="K175" s="4">
        <f>IF($B$152=0,0,IF(K$2&gt;=$A175,IF(K$2=$A175,($B175/$B$152)*$B$149,IF(K$2&lt;=$A175+$B$152-1,$B175/$B$152,$B175-SUM($C175:J175))),0))</f>
        <v>0</v>
      </c>
      <c r="L175" s="4">
        <f>IF($B$152=0,0,IF(L$2&gt;=$A175,IF(L$2=$A175,($B175/$B$152)*$B$149,IF(L$2&lt;=$A175+$B$152-1,$B175/$B$152,$B175-SUM($C175:K175))),0))</f>
        <v>0</v>
      </c>
      <c r="M175" s="4">
        <f>IF($B$152=0,0,IF(M$2&gt;=$A175,IF(M$2=$A175,($B175/$B$152)*$B$149,IF(M$2&lt;=$A175+$B$152-1,$B175/$B$152,$B175-SUM($C175:L175))),0))</f>
        <v>0</v>
      </c>
      <c r="N175" s="4">
        <f>IF($B$152=0,0,IF(N$2&gt;=$A175,IF(N$2=$A175,($B175/$B$152)*$B$149,IF(N$2&lt;=$A175+$B$152-1,$B175/$B$152,$B175-SUM($C175:M175))),0))</f>
        <v>0</v>
      </c>
      <c r="O175" s="4">
        <f>IF($B$152=0,0,IF(O$2&gt;=$A175,IF(O$2=$A175,($B175/$B$152)*$B$149,IF(O$2&lt;=$A175+$B$152-1,$B175/$B$152,$B175-SUM($C175:N175))),0))</f>
        <v>0</v>
      </c>
      <c r="P175" s="4">
        <f>IF($B$152=0,0,IF(P$2&gt;=$A175,IF(P$2=$A175,($B175/$B$152)*$B$149,IF(P$2&lt;=$A175+$B$152-1,$B175/$B$152,$B175-SUM($C175:O175))),0))</f>
        <v>0</v>
      </c>
      <c r="Q175" s="4">
        <f>IF($B$152=0,0,IF(Q$2&gt;=$A175,IF(Q$2=$A175,($B175/$B$152)*$B$149,IF(Q$2&lt;=$A175+$B$152-1,$B175/$B$152,$B175-SUM($C175:P175))),0))</f>
        <v>0</v>
      </c>
      <c r="R175" s="4">
        <f>IF($B$152=0,0,IF(R$2&gt;=$A175,IF(R$2=$A175,($B175/$B$152)*$B$149,IF(R$2&lt;=$A175+$B$152-1,$B175/$B$152,$B175-SUM($C175:Q175))),0))</f>
        <v>0</v>
      </c>
      <c r="S175" s="4">
        <f>IF($B$152=0,0,IF(S$2&gt;=$A175,IF(S$2=$A175,($B175/$B$152)*$B$149,IF(S$2&lt;=$A175+$B$152-1,$B175/$B$152,$B175-SUM($C175:R175))),0))</f>
        <v>0</v>
      </c>
      <c r="T175" s="4">
        <f>IF($B$152=0,0,IF(T$2&gt;=$A175,IF(T$2=$A175,($B175/$B$152)*$B$149,IF(T$2&lt;=$A175+$B$152-1,$B175/$B$152,$B175-SUM($C175:S175))),0))</f>
        <v>0</v>
      </c>
      <c r="U175" s="4">
        <f>IF($B$152=0,0,IF(U$2&gt;=$A175,IF(U$2=$A175,($B175/$B$152)*$B$149,IF(U$2&lt;=$A175+$B$152-1,$B175/$B$152,$B175-SUM($C175:T175))),0))</f>
        <v>0</v>
      </c>
      <c r="V175" s="4">
        <f>IF($B$152=0,0,IF(V$2&gt;=$A175,IF(V$2=$A175,($B175/$B$152)*$B$149,IF(V$2&lt;=$A175+$B$152-1,$B175/$B$152,$B175-SUM($C175:U175))),0))</f>
        <v>0</v>
      </c>
      <c r="W175" s="4">
        <f>IF($B$152=0,0,IF(W$2&gt;=$A175,IF(W$2=$A175,($B175/$B$152)*$B$149,IF(W$2&lt;=$A175+$B$152-1,$B175/$B$152,$B175-SUM($C175:V175))),0))</f>
        <v>0</v>
      </c>
      <c r="X175" s="4">
        <f>IF($B$152=0,0,IF(X$2&gt;=$A175,IF(X$2=$A175,($B175/$B$152)*$B$149,IF(X$2&lt;=$A175+$B$152-1,$B175/$B$152,$B175-SUM($C175:W175))),0))</f>
        <v>0</v>
      </c>
      <c r="Y175" s="4">
        <f>IF($B$152=0,0,IF(Y$2&gt;=$A175,IF(Y$2=$A175,($B175/$B$152)*$B$149,IF(Y$2&lt;=$A175+$B$152-1,$B175/$B$152,$B175-SUM($C175:X175))),0))</f>
        <v>0</v>
      </c>
      <c r="Z175" s="4">
        <f>IF($B$152=0,0,IF(Z$2&gt;=$A175,IF(Z$2=$A175,($B175/$B$152)*$B$149,IF(Z$2&lt;=$A175+$B$152-1,$B175/$B$152,$B175-SUM($C175:Y175))),0))</f>
        <v>0</v>
      </c>
      <c r="AA175" s="4">
        <f>IF($B$152=0,0,IF(AA$2&gt;=$A175,IF(AA$2=$A175,($B175/$B$152)*$B$149,IF(AA$2&lt;=$A175+$B$152-1,$B175/$B$152,$B175-SUM($C175:Z175))),0))</f>
        <v>0</v>
      </c>
      <c r="AB175" s="4">
        <f>IF($B$152=0,0,IF(AB$2&gt;=$A175,IF(AB$2=$A175,($B175/$B$152)*$B$149,IF(AB$2&lt;=$A175+$B$152-1,$B175/$B$152,$B175-SUM($C175:AA175))),0))</f>
        <v>0</v>
      </c>
      <c r="AC175" s="4">
        <f>IF($B$152=0,0,IF(AC$2&gt;=$A175,IF(AC$2=$A175,($B175/$B$152)*$B$149,IF(AC$2&lt;=$A175+$B$152-1,$B175/$B$152,$B175-SUM($C175:AB175))),0))</f>
        <v>0</v>
      </c>
      <c r="AD175" s="4">
        <f>IF($B$152=0,0,IF(AD$2&gt;=$A175,IF(AD$2=$A175,($B175/$B$152)*$B$149,IF(AD$2&lt;=$A175+$B$152-1,$B175/$B$152,$B175-SUM($C175:AC175))),0))</f>
        <v>0</v>
      </c>
      <c r="AE175" s="4">
        <f>IF($B$152=0,0,IF(AE$2&gt;=$A175,IF(AE$2=$A175,($B175/$B$152)*$B$149,IF(AE$2&lt;=$A175+$B$152-1,$B175/$B$152,$B175-SUM($C175:AD175))),0))</f>
        <v>0</v>
      </c>
      <c r="AF175" s="4">
        <f>IF($B$152=0,0,IF(AF$2&gt;=$A175,IF(AF$2=$A175,($B175/$B$152)*$B$149,IF(AF$2&lt;=$A175+$B$152-1,$B175/$B$152,$B175-SUM($C175:AE175))),0))</f>
        <v>0</v>
      </c>
      <c r="AG175" s="4">
        <f t="shared" si="104"/>
        <v>0</v>
      </c>
    </row>
    <row r="176" spans="1:33">
      <c r="A176" s="6">
        <f t="shared" si="105"/>
        <v>2045</v>
      </c>
      <c r="B176" s="4">
        <f t="shared" si="103"/>
        <v>0</v>
      </c>
      <c r="C176" s="4">
        <f>IF($B$152=0,0,IF(C$2&gt;=$A176,IF(C$2=$A176,($B176/$B$152)*$B$149,IF(C$2&lt;=$A176+$B$152-1,$B176/$B$152,$B176-SUM(B176:$C176))),0))</f>
        <v>0</v>
      </c>
      <c r="D176" s="4">
        <f>IF($B$152=0,0,IF(D$2&gt;=$A176,IF(D$2=$A176,($B176/$B$152)*$B$149,IF(D$2&lt;=$A176+$B$152-1,$B176/$B$152,$B176-SUM(C176:$C176))),0))</f>
        <v>0</v>
      </c>
      <c r="E176" s="4">
        <f>IF($B$152=0,0,IF(E$2&gt;=$A176,IF(E$2=$A176,($B176/$B$152)*$B$149,IF(E$2&lt;=$A176+$B$152-1,$B176/$B$152,$B176-SUM($C176:D176))),0))</f>
        <v>0</v>
      </c>
      <c r="F176" s="4">
        <f>IF($B$152=0,0,IF(F$2&gt;=$A176,IF(F$2=$A176,($B176/$B$152)*$B$149,IF(F$2&lt;=$A176+$B$152-1,$B176/$B$152,$B176-SUM($C176:E176))),0))</f>
        <v>0</v>
      </c>
      <c r="G176" s="4">
        <f>IF($B$152=0,0,IF(G$2&gt;=$A176,IF(G$2=$A176,($B176/$B$152)*$B$149,IF(G$2&lt;=$A176+$B$152-1,$B176/$B$152,$B176-SUM($C176:F176))),0))</f>
        <v>0</v>
      </c>
      <c r="H176" s="4">
        <f>IF($B$152=0,0,IF(H$2&gt;=$A176,IF(H$2=$A176,($B176/$B$152)*$B$149,IF(H$2&lt;=$A176+$B$152-1,$B176/$B$152,$B176-SUM($C176:G176))),0))</f>
        <v>0</v>
      </c>
      <c r="I176" s="4">
        <f>IF($B$152=0,0,IF(I$2&gt;=$A176,IF(I$2=$A176,($B176/$B$152)*$B$149,IF(I$2&lt;=$A176+$B$152-1,$B176/$B$152,$B176-SUM($C176:H176))),0))</f>
        <v>0</v>
      </c>
      <c r="J176" s="4">
        <f>IF($B$152=0,0,IF(J$2&gt;=$A176,IF(J$2=$A176,($B176/$B$152)*$B$149,IF(J$2&lt;=$A176+$B$152-1,$B176/$B$152,$B176-SUM($C176:I176))),0))</f>
        <v>0</v>
      </c>
      <c r="K176" s="4">
        <f>IF($B$152=0,0,IF(K$2&gt;=$A176,IF(K$2=$A176,($B176/$B$152)*$B$149,IF(K$2&lt;=$A176+$B$152-1,$B176/$B$152,$B176-SUM($C176:J176))),0))</f>
        <v>0</v>
      </c>
      <c r="L176" s="4">
        <f>IF($B$152=0,0,IF(L$2&gt;=$A176,IF(L$2=$A176,($B176/$B$152)*$B$149,IF(L$2&lt;=$A176+$B$152-1,$B176/$B$152,$B176-SUM($C176:K176))),0))</f>
        <v>0</v>
      </c>
      <c r="M176" s="4">
        <f>IF($B$152=0,0,IF(M$2&gt;=$A176,IF(M$2=$A176,($B176/$B$152)*$B$149,IF(M$2&lt;=$A176+$B$152-1,$B176/$B$152,$B176-SUM($C176:L176))),0))</f>
        <v>0</v>
      </c>
      <c r="N176" s="4">
        <f>IF($B$152=0,0,IF(N$2&gt;=$A176,IF(N$2=$A176,($B176/$B$152)*$B$149,IF(N$2&lt;=$A176+$B$152-1,$B176/$B$152,$B176-SUM($C176:M176))),0))</f>
        <v>0</v>
      </c>
      <c r="O176" s="4">
        <f>IF($B$152=0,0,IF(O$2&gt;=$A176,IF(O$2=$A176,($B176/$B$152)*$B$149,IF(O$2&lt;=$A176+$B$152-1,$B176/$B$152,$B176-SUM($C176:N176))),0))</f>
        <v>0</v>
      </c>
      <c r="P176" s="4">
        <f>IF($B$152=0,0,IF(P$2&gt;=$A176,IF(P$2=$A176,($B176/$B$152)*$B$149,IF(P$2&lt;=$A176+$B$152-1,$B176/$B$152,$B176-SUM($C176:O176))),0))</f>
        <v>0</v>
      </c>
      <c r="Q176" s="4">
        <f>IF($B$152=0,0,IF(Q$2&gt;=$A176,IF(Q$2=$A176,($B176/$B$152)*$B$149,IF(Q$2&lt;=$A176+$B$152-1,$B176/$B$152,$B176-SUM($C176:P176))),0))</f>
        <v>0</v>
      </c>
      <c r="R176" s="4">
        <f>IF($B$152=0,0,IF(R$2&gt;=$A176,IF(R$2=$A176,($B176/$B$152)*$B$149,IF(R$2&lt;=$A176+$B$152-1,$B176/$B$152,$B176-SUM($C176:Q176))),0))</f>
        <v>0</v>
      </c>
      <c r="S176" s="4">
        <f>IF($B$152=0,0,IF(S$2&gt;=$A176,IF(S$2=$A176,($B176/$B$152)*$B$149,IF(S$2&lt;=$A176+$B$152-1,$B176/$B$152,$B176-SUM($C176:R176))),0))</f>
        <v>0</v>
      </c>
      <c r="T176" s="4">
        <f>IF($B$152=0,0,IF(T$2&gt;=$A176,IF(T$2=$A176,($B176/$B$152)*$B$149,IF(T$2&lt;=$A176+$B$152-1,$B176/$B$152,$B176-SUM($C176:S176))),0))</f>
        <v>0</v>
      </c>
      <c r="U176" s="4">
        <f>IF($B$152=0,0,IF(U$2&gt;=$A176,IF(U$2=$A176,($B176/$B$152)*$B$149,IF(U$2&lt;=$A176+$B$152-1,$B176/$B$152,$B176-SUM($C176:T176))),0))</f>
        <v>0</v>
      </c>
      <c r="V176" s="4">
        <f>IF($B$152=0,0,IF(V$2&gt;=$A176,IF(V$2=$A176,($B176/$B$152)*$B$149,IF(V$2&lt;=$A176+$B$152-1,$B176/$B$152,$B176-SUM($C176:U176))),0))</f>
        <v>0</v>
      </c>
      <c r="W176" s="4">
        <f>IF($B$152=0,0,IF(W$2&gt;=$A176,IF(W$2=$A176,($B176/$B$152)*$B$149,IF(W$2&lt;=$A176+$B$152-1,$B176/$B$152,$B176-SUM($C176:V176))),0))</f>
        <v>0</v>
      </c>
      <c r="X176" s="4">
        <f>IF($B$152=0,0,IF(X$2&gt;=$A176,IF(X$2=$A176,($B176/$B$152)*$B$149,IF(X$2&lt;=$A176+$B$152-1,$B176/$B$152,$B176-SUM($C176:W176))),0))</f>
        <v>0</v>
      </c>
      <c r="Y176" s="4">
        <f>IF($B$152=0,0,IF(Y$2&gt;=$A176,IF(Y$2=$A176,($B176/$B$152)*$B$149,IF(Y$2&lt;=$A176+$B$152-1,$B176/$B$152,$B176-SUM($C176:X176))),0))</f>
        <v>0</v>
      </c>
      <c r="Z176" s="4">
        <f>IF($B$152=0,0,IF(Z$2&gt;=$A176,IF(Z$2=$A176,($B176/$B$152)*$B$149,IF(Z$2&lt;=$A176+$B$152-1,$B176/$B$152,$B176-SUM($C176:Y176))),0))</f>
        <v>0</v>
      </c>
      <c r="AA176" s="4">
        <f>IF($B$152=0,0,IF(AA$2&gt;=$A176,IF(AA$2=$A176,($B176/$B$152)*$B$149,IF(AA$2&lt;=$A176+$B$152-1,$B176/$B$152,$B176-SUM($C176:Z176))),0))</f>
        <v>0</v>
      </c>
      <c r="AB176" s="4">
        <f>IF($B$152=0,0,IF(AB$2&gt;=$A176,IF(AB$2=$A176,($B176/$B$152)*$B$149,IF(AB$2&lt;=$A176+$B$152-1,$B176/$B$152,$B176-SUM($C176:AA176))),0))</f>
        <v>0</v>
      </c>
      <c r="AC176" s="4">
        <f>IF($B$152=0,0,IF(AC$2&gt;=$A176,IF(AC$2=$A176,($B176/$B$152)*$B$149,IF(AC$2&lt;=$A176+$B$152-1,$B176/$B$152,$B176-SUM($C176:AB176))),0))</f>
        <v>0</v>
      </c>
      <c r="AD176" s="4">
        <f>IF($B$152=0,0,IF(AD$2&gt;=$A176,IF(AD$2=$A176,($B176/$B$152)*$B$149,IF(AD$2&lt;=$A176+$B$152-1,$B176/$B$152,$B176-SUM($C176:AC176))),0))</f>
        <v>0</v>
      </c>
      <c r="AE176" s="4">
        <f>IF($B$152=0,0,IF(AE$2&gt;=$A176,IF(AE$2=$A176,($B176/$B$152)*$B$149,IF(AE$2&lt;=$A176+$B$152-1,$B176/$B$152,$B176-SUM($C176:AD176))),0))</f>
        <v>0</v>
      </c>
      <c r="AF176" s="4">
        <f>IF($B$152=0,0,IF(AF$2&gt;=$A176,IF(AF$2=$A176,($B176/$B$152)*$B$149,IF(AF$2&lt;=$A176+$B$152-1,$B176/$B$152,$B176-SUM($C176:AE176))),0))</f>
        <v>0</v>
      </c>
      <c r="AG176" s="4">
        <f t="shared" si="104"/>
        <v>0</v>
      </c>
    </row>
    <row r="177" spans="1:33">
      <c r="A177" s="6">
        <f t="shared" si="105"/>
        <v>2046</v>
      </c>
      <c r="B177" s="4">
        <f t="shared" si="103"/>
        <v>0</v>
      </c>
      <c r="C177" s="4">
        <f>IF($B$116=0,0,IF(C$2&gt;=$A177,IF(C$2=$A177,($B177/$B$116)*$B$149,IF(C$2&lt;=$A177+$B$116-1,$B177/$B$116,$B177-SUM(B177:$C177))),0))</f>
        <v>0</v>
      </c>
      <c r="D177" s="4">
        <f>IF($B$116=0,0,IF(D$2&gt;=$A177,IF(D$2=$A177,($B177/$B$116)*$B$149,IF(D$2&lt;=$A177+$B$116-1,$B177/$B$116,$B177-SUM(C177:$C177))),0))</f>
        <v>0</v>
      </c>
      <c r="E177" s="4">
        <f>IF($B$116=0,0,IF(E$2&gt;=$A177,IF(E$2=$A177,($B177/$B$116)*$B$149,IF(E$2&lt;=$A177+$B$116-1,$B177/$B$116,$B177-SUM($C177:D177))),0))</f>
        <v>0</v>
      </c>
      <c r="F177" s="4">
        <f>IF($B$116=0,0,IF(F$2&gt;=$A177,IF(F$2=$A177,($B177/$B$116)*$B$149,IF(F$2&lt;=$A177+$B$116-1,$B177/$B$116,$B177-SUM($C177:E177))),0))</f>
        <v>0</v>
      </c>
      <c r="G177" s="4">
        <f>IF($B$116=0,0,IF(G$2&gt;=$A177,IF(G$2=$A177,($B177/$B$116)*$B$149,IF(G$2&lt;=$A177+$B$116-1,$B177/$B$116,$B177-SUM($C177:F177))),0))</f>
        <v>0</v>
      </c>
      <c r="H177" s="4">
        <f>IF($B$116=0,0,IF(H$2&gt;=$A177,IF(H$2=$A177,($B177/$B$116)*$B$149,IF(H$2&lt;=$A177+$B$116-1,$B177/$B$116,$B177-SUM($C177:G177))),0))</f>
        <v>0</v>
      </c>
      <c r="I177" s="4">
        <f>IF($B$116=0,0,IF(I$2&gt;=$A177,IF(I$2=$A177,($B177/$B$116)*$B$149,IF(I$2&lt;=$A177+$B$116-1,$B177/$B$116,$B177-SUM($C177:H177))),0))</f>
        <v>0</v>
      </c>
      <c r="J177" s="4">
        <f>IF($B$116=0,0,IF(J$2&gt;=$A177,IF(J$2=$A177,($B177/$B$116)*$B$149,IF(J$2&lt;=$A177+$B$116-1,$B177/$B$116,$B177-SUM($C177:I177))),0))</f>
        <v>0</v>
      </c>
      <c r="K177" s="4">
        <f>IF($B$116=0,0,IF(K$2&gt;=$A177,IF(K$2=$A177,($B177/$B$116)*$B$149,IF(K$2&lt;=$A177+$B$116-1,$B177/$B$116,$B177-SUM($C177:J177))),0))</f>
        <v>0</v>
      </c>
      <c r="L177" s="4">
        <f>IF($B$116=0,0,IF(L$2&gt;=$A177,IF(L$2=$A177,($B177/$B$116)*$B$149,IF(L$2&lt;=$A177+$B$116-1,$B177/$B$116,$B177-SUM($C177:K177))),0))</f>
        <v>0</v>
      </c>
      <c r="M177" s="4">
        <f>IF($B$116=0,0,IF(M$2&gt;=$A177,IF(M$2=$A177,($B177/$B$116)*$B$149,IF(M$2&lt;=$A177+$B$116-1,$B177/$B$116,$B177-SUM($C177:L177))),0))</f>
        <v>0</v>
      </c>
      <c r="N177" s="4">
        <f>IF($B$116=0,0,IF(N$2&gt;=$A177,IF(N$2=$A177,($B177/$B$116)*$B$149,IF(N$2&lt;=$A177+$B$116-1,$B177/$B$116,$B177-SUM($C177:M177))),0))</f>
        <v>0</v>
      </c>
      <c r="O177" s="4">
        <f>IF($B$116=0,0,IF(O$2&gt;=$A177,IF(O$2=$A177,($B177/$B$116)*$B$149,IF(O$2&lt;=$A177+$B$116-1,$B177/$B$116,$B177-SUM($C177:N177))),0))</f>
        <v>0</v>
      </c>
      <c r="P177" s="4">
        <f>IF($B$116=0,0,IF(P$2&gt;=$A177,IF(P$2=$A177,($B177/$B$116)*$B$149,IF(P$2&lt;=$A177+$B$116-1,$B177/$B$116,$B177-SUM($C177:O177))),0))</f>
        <v>0</v>
      </c>
      <c r="Q177" s="4">
        <f>IF($B$116=0,0,IF(Q$2&gt;=$A177,IF(Q$2=$A177,($B177/$B$116)*$B$149,IF(Q$2&lt;=$A177+$B$116-1,$B177/$B$116,$B177-SUM($C177:P177))),0))</f>
        <v>0</v>
      </c>
      <c r="R177" s="4">
        <f>IF($B$116=0,0,IF(R$2&gt;=$A177,IF(R$2=$A177,($B177/$B$116)*$B$149,IF(R$2&lt;=$A177+$B$116-1,$B177/$B$116,$B177-SUM($C177:Q177))),0))</f>
        <v>0</v>
      </c>
      <c r="S177" s="4">
        <f>IF($B$116=0,0,IF(S$2&gt;=$A177,IF(S$2=$A177,($B177/$B$116)*$B$149,IF(S$2&lt;=$A177+$B$116-1,$B177/$B$116,$B177-SUM($C177:R177))),0))</f>
        <v>0</v>
      </c>
      <c r="T177" s="4">
        <f>IF($B$116=0,0,IF(T$2&gt;=$A177,IF(T$2=$A177,($B177/$B$116)*$B$149,IF(T$2&lt;=$A177+$B$116-1,$B177/$B$116,$B177-SUM($C177:S177))),0))</f>
        <v>0</v>
      </c>
      <c r="U177" s="4">
        <f>IF($B$116=0,0,IF(U$2&gt;=$A177,IF(U$2=$A177,($B177/$B$116)*$B$149,IF(U$2&lt;=$A177+$B$116-1,$B177/$B$116,$B177-SUM($C177:T177))),0))</f>
        <v>0</v>
      </c>
      <c r="V177" s="4">
        <f>IF($B$116=0,0,IF(V$2&gt;=$A177,IF(V$2=$A177,($B177/$B$116)*$B$149,IF(V$2&lt;=$A177+$B$116-1,$B177/$B$116,$B177-SUM($C177:U177))),0))</f>
        <v>0</v>
      </c>
      <c r="W177" s="4">
        <f>IF($B$116=0,0,IF(W$2&gt;=$A177,IF(W$2=$A177,($B177/$B$116)*$B$149,IF(W$2&lt;=$A177+$B$116-1,$B177/$B$116,$B177-SUM($C177:V177))),0))</f>
        <v>0</v>
      </c>
      <c r="X177" s="4">
        <f>IF($B$116=0,0,IF(X$2&gt;=$A177,IF(X$2=$A177,($B177/$B$116)*$B$149,IF(X$2&lt;=$A177+$B$116-1,$B177/$B$116,$B177-SUM($C177:W177))),0))</f>
        <v>0</v>
      </c>
      <c r="Y177" s="4">
        <f>IF($B$116=0,0,IF(Y$2&gt;=$A177,IF(Y$2=$A177,($B177/$B$116)*$B$149,IF(Y$2&lt;=$A177+$B$116-1,$B177/$B$116,$B177-SUM($C177:X177))),0))</f>
        <v>0</v>
      </c>
      <c r="Z177" s="4">
        <f>IF($B$116=0,0,IF(Z$2&gt;=$A177,IF(Z$2=$A177,($B177/$B$116)*$B$149,IF(Z$2&lt;=$A177+$B$116-1,$B177/$B$116,$B177-SUM($C177:Y177))),0))</f>
        <v>0</v>
      </c>
      <c r="AA177" s="4">
        <f>IF($B$116=0,0,IF(AA$2&gt;=$A177,IF(AA$2=$A177,($B177/$B$116)*$B$149,IF(AA$2&lt;=$A177+$B$116-1,$B177/$B$116,$B177-SUM($C177:Z177))),0))</f>
        <v>0</v>
      </c>
      <c r="AB177" s="4">
        <f>IF($B$116=0,0,IF(AB$2&gt;=$A177,IF(AB$2=$A177,($B177/$B$116)*$B$149,IF(AB$2&lt;=$A177+$B$116-1,$B177/$B$116,$B177-SUM($C177:AA177))),0))</f>
        <v>0</v>
      </c>
      <c r="AC177" s="4">
        <f>IF($B$116=0,0,IF(AC$2&gt;=$A177,IF(AC$2=$A177,($B177/$B$116)*$B$149,IF(AC$2&lt;=$A177+$B$116-1,$B177/$B$116,$B177-SUM($C177:AB177))),0))</f>
        <v>0</v>
      </c>
      <c r="AD177" s="4">
        <f>IF($B$116=0,0,IF(AD$2&gt;=$A177,IF(AD$2=$A177,($B177/$B$116)*$B$149,IF(AD$2&lt;=$A177+$B$116-1,$B177/$B$116,$B177-SUM($C177:AC177))),0))</f>
        <v>0</v>
      </c>
      <c r="AE177" s="4">
        <f>IF($B$116=0,0,IF(AE$2&gt;=$A177,IF(AE$2=$A177,($B177/$B$116)*$B$149,IF(AE$2&lt;=$A177+$B$116-1,$B177/$B$116,$B177-SUM($C177:AD177))),0))</f>
        <v>0</v>
      </c>
      <c r="AF177" s="4">
        <f>IF($B$116=0,0,IF(AF$2&gt;=$A177,IF(AF$2=$A177,($B177/$B$116)*$B$149,IF(AF$2&lt;=$A177+$B$116-1,$B177/$B$116,$B177-SUM($C177:AE177))),0))</f>
        <v>0</v>
      </c>
      <c r="AG177" s="4">
        <f t="shared" si="104"/>
        <v>0</v>
      </c>
    </row>
    <row r="178" spans="1:33">
      <c r="A178" s="6">
        <f t="shared" si="105"/>
        <v>2047</v>
      </c>
      <c r="B178" s="4">
        <f t="shared" si="103"/>
        <v>0</v>
      </c>
      <c r="C178" s="4">
        <f>IF($B$116=0,0,IF(C$2&gt;=$A178,IF(C$2=$A178,($B178/$B$116)*$B$149,IF(C$2&lt;=$A178+$B$116-1,$B178/$B$116,$B178-SUM(B178:$C178))),0))</f>
        <v>0</v>
      </c>
      <c r="D178" s="4">
        <f>IF($B$116=0,0,IF(D$2&gt;=$A178,IF(D$2=$A178,($B178/$B$116)*$B$149,IF(D$2&lt;=$A178+$B$116-1,$B178/$B$116,$B178-SUM(C178:$C178))),0))</f>
        <v>0</v>
      </c>
      <c r="E178" s="4">
        <f>IF($B$116=0,0,IF(E$2&gt;=$A178,IF(E$2=$A178,($B178/$B$116)*$B$149,IF(E$2&lt;=$A178+$B$116-1,$B178/$B$116,$B178-SUM($C178:D178))),0))</f>
        <v>0</v>
      </c>
      <c r="F178" s="4">
        <f>IF($B$116=0,0,IF(F$2&gt;=$A178,IF(F$2=$A178,($B178/$B$116)*$B$149,IF(F$2&lt;=$A178+$B$116-1,$B178/$B$116,$B178-SUM($C178:E178))),0))</f>
        <v>0</v>
      </c>
      <c r="G178" s="4">
        <f>IF($B$116=0,0,IF(G$2&gt;=$A178,IF(G$2=$A178,($B178/$B$116)*$B$149,IF(G$2&lt;=$A178+$B$116-1,$B178/$B$116,$B178-SUM($C178:F178))),0))</f>
        <v>0</v>
      </c>
      <c r="H178" s="4">
        <f>IF($B$116=0,0,IF(H$2&gt;=$A178,IF(H$2=$A178,($B178/$B$116)*$B$149,IF(H$2&lt;=$A178+$B$116-1,$B178/$B$116,$B178-SUM($C178:G178))),0))</f>
        <v>0</v>
      </c>
      <c r="I178" s="4">
        <f>IF($B$116=0,0,IF(I$2&gt;=$A178,IF(I$2=$A178,($B178/$B$116)*$B$149,IF(I$2&lt;=$A178+$B$116-1,$B178/$B$116,$B178-SUM($C178:H178))),0))</f>
        <v>0</v>
      </c>
      <c r="J178" s="4">
        <f>IF($B$116=0,0,IF(J$2&gt;=$A178,IF(J$2=$A178,($B178/$B$116)*$B$149,IF(J$2&lt;=$A178+$B$116-1,$B178/$B$116,$B178-SUM($C178:I178))),0))</f>
        <v>0</v>
      </c>
      <c r="K178" s="4">
        <f>IF($B$116=0,0,IF(K$2&gt;=$A178,IF(K$2=$A178,($B178/$B$116)*$B$149,IF(K$2&lt;=$A178+$B$116-1,$B178/$B$116,$B178-SUM($C178:J178))),0))</f>
        <v>0</v>
      </c>
      <c r="L178" s="4">
        <f>IF($B$116=0,0,IF(L$2&gt;=$A178,IF(L$2=$A178,($B178/$B$116)*$B$149,IF(L$2&lt;=$A178+$B$116-1,$B178/$B$116,$B178-SUM($C178:K178))),0))</f>
        <v>0</v>
      </c>
      <c r="M178" s="4">
        <f>IF($B$116=0,0,IF(M$2&gt;=$A178,IF(M$2=$A178,($B178/$B$116)*$B$149,IF(M$2&lt;=$A178+$B$116-1,$B178/$B$116,$B178-SUM($C178:L178))),0))</f>
        <v>0</v>
      </c>
      <c r="N178" s="4">
        <f>IF($B$116=0,0,IF(N$2&gt;=$A178,IF(N$2=$A178,($B178/$B$116)*$B$149,IF(N$2&lt;=$A178+$B$116-1,$B178/$B$116,$B178-SUM($C178:M178))),0))</f>
        <v>0</v>
      </c>
      <c r="O178" s="4">
        <f>IF($B$116=0,0,IF(O$2&gt;=$A178,IF(O$2=$A178,($B178/$B$116)*$B$149,IF(O$2&lt;=$A178+$B$116-1,$B178/$B$116,$B178-SUM($C178:N178))),0))</f>
        <v>0</v>
      </c>
      <c r="P178" s="4">
        <f>IF($B$116=0,0,IF(P$2&gt;=$A178,IF(P$2=$A178,($B178/$B$116)*$B$149,IF(P$2&lt;=$A178+$B$116-1,$B178/$B$116,$B178-SUM($C178:O178))),0))</f>
        <v>0</v>
      </c>
      <c r="Q178" s="4">
        <f>IF($B$116=0,0,IF(Q$2&gt;=$A178,IF(Q$2=$A178,($B178/$B$116)*$B$149,IF(Q$2&lt;=$A178+$B$116-1,$B178/$B$116,$B178-SUM($C178:P178))),0))</f>
        <v>0</v>
      </c>
      <c r="R178" s="4">
        <f>IF($B$116=0,0,IF(R$2&gt;=$A178,IF(R$2=$A178,($B178/$B$116)*$B$149,IF(R$2&lt;=$A178+$B$116-1,$B178/$B$116,$B178-SUM($C178:Q178))),0))</f>
        <v>0</v>
      </c>
      <c r="S178" s="4">
        <f>IF($B$116=0,0,IF(S$2&gt;=$A178,IF(S$2=$A178,($B178/$B$116)*$B$149,IF(S$2&lt;=$A178+$B$116-1,$B178/$B$116,$B178-SUM($C178:R178))),0))</f>
        <v>0</v>
      </c>
      <c r="T178" s="4">
        <f>IF($B$116=0,0,IF(T$2&gt;=$A178,IF(T$2=$A178,($B178/$B$116)*$B$149,IF(T$2&lt;=$A178+$B$116-1,$B178/$B$116,$B178-SUM($C178:S178))),0))</f>
        <v>0</v>
      </c>
      <c r="U178" s="4">
        <f>IF($B$116=0,0,IF(U$2&gt;=$A178,IF(U$2=$A178,($B178/$B$116)*$B$149,IF(U$2&lt;=$A178+$B$116-1,$B178/$B$116,$B178-SUM($C178:T178))),0))</f>
        <v>0</v>
      </c>
      <c r="V178" s="4">
        <f>IF($B$116=0,0,IF(V$2&gt;=$A178,IF(V$2=$A178,($B178/$B$116)*$B$149,IF(V$2&lt;=$A178+$B$116-1,$B178/$B$116,$B178-SUM($C178:U178))),0))</f>
        <v>0</v>
      </c>
      <c r="W178" s="4">
        <f>IF($B$116=0,0,IF(W$2&gt;=$A178,IF(W$2=$A178,($B178/$B$116)*$B$149,IF(W$2&lt;=$A178+$B$116-1,$B178/$B$116,$B178-SUM($C178:V178))),0))</f>
        <v>0</v>
      </c>
      <c r="X178" s="4">
        <f>IF($B$116=0,0,IF(X$2&gt;=$A178,IF(X$2=$A178,($B178/$B$116)*$B$149,IF(X$2&lt;=$A178+$B$116-1,$B178/$B$116,$B178-SUM($C178:W178))),0))</f>
        <v>0</v>
      </c>
      <c r="Y178" s="4">
        <f>IF($B$116=0,0,IF(Y$2&gt;=$A178,IF(Y$2=$A178,($B178/$B$116)*$B$149,IF(Y$2&lt;=$A178+$B$116-1,$B178/$B$116,$B178-SUM($C178:X178))),0))</f>
        <v>0</v>
      </c>
      <c r="Z178" s="4">
        <f>IF($B$116=0,0,IF(Z$2&gt;=$A178,IF(Z$2=$A178,($B178/$B$116)*$B$149,IF(Z$2&lt;=$A178+$B$116-1,$B178/$B$116,$B178-SUM($C178:Y178))),0))</f>
        <v>0</v>
      </c>
      <c r="AA178" s="4">
        <f>IF($B$116=0,0,IF(AA$2&gt;=$A178,IF(AA$2=$A178,($B178/$B$116)*$B$149,IF(AA$2&lt;=$A178+$B$116-1,$B178/$B$116,$B178-SUM($C178:Z178))),0))</f>
        <v>0</v>
      </c>
      <c r="AB178" s="4">
        <f>IF($B$116=0,0,IF(AB$2&gt;=$A178,IF(AB$2=$A178,($B178/$B$116)*$B$149,IF(AB$2&lt;=$A178+$B$116-1,$B178/$B$116,$B178-SUM($C178:AA178))),0))</f>
        <v>0</v>
      </c>
      <c r="AC178" s="4">
        <f>IF($B$116=0,0,IF(AC$2&gt;=$A178,IF(AC$2=$A178,($B178/$B$116)*$B$149,IF(AC$2&lt;=$A178+$B$116-1,$B178/$B$116,$B178-SUM($C178:AB178))),0))</f>
        <v>0</v>
      </c>
      <c r="AD178" s="4">
        <f>IF($B$116=0,0,IF(AD$2&gt;=$A178,IF(AD$2=$A178,($B178/$B$116)*$B$149,IF(AD$2&lt;=$A178+$B$116-1,$B178/$B$116,$B178-SUM($C178:AC178))),0))</f>
        <v>0</v>
      </c>
      <c r="AE178" s="4">
        <f>IF($B$116=0,0,IF(AE$2&gt;=$A178,IF(AE$2=$A178,($B178/$B$116)*$B$149,IF(AE$2&lt;=$A178+$B$116-1,$B178/$B$116,$B178-SUM($C178:AD178))),0))</f>
        <v>0</v>
      </c>
      <c r="AF178" s="4">
        <f>IF($B$116=0,0,IF(AF$2&gt;=$A178,IF(AF$2=$A178,($B178/$B$116)*$B$149,IF(AF$2&lt;=$A178+$B$116-1,$B178/$B$116,$B178-SUM($C178:AE178))),0))</f>
        <v>0</v>
      </c>
      <c r="AG178" s="4">
        <f t="shared" ref="AG178:AG182" si="106">SUM(C178:AF178)</f>
        <v>0</v>
      </c>
    </row>
    <row r="179" spans="1:33">
      <c r="A179" s="6">
        <f t="shared" si="105"/>
        <v>2048</v>
      </c>
      <c r="B179" s="4">
        <f t="shared" si="103"/>
        <v>0</v>
      </c>
      <c r="C179" s="4">
        <f>IF($B$116=0,0,IF(C$2&gt;=$A179,IF(C$2=$A179,($B179/$B$116)*$B$149,IF(C$2&lt;=$A179+$B$116-1,$B179/$B$116,$B179-SUM(B179:$C179))),0))</f>
        <v>0</v>
      </c>
      <c r="D179" s="4">
        <f>IF($B$116=0,0,IF(D$2&gt;=$A179,IF(D$2=$A179,($B179/$B$116)*$B$149,IF(D$2&lt;=$A179+$B$116-1,$B179/$B$116,$B179-SUM(C179:$C179))),0))</f>
        <v>0</v>
      </c>
      <c r="E179" s="4">
        <f>IF($B$116=0,0,IF(E$2&gt;=$A179,IF(E$2=$A179,($B179/$B$116)*$B$149,IF(E$2&lt;=$A179+$B$116-1,$B179/$B$116,$B179-SUM($C179:D179))),0))</f>
        <v>0</v>
      </c>
      <c r="F179" s="4">
        <f>IF($B$116=0,0,IF(F$2&gt;=$A179,IF(F$2=$A179,($B179/$B$116)*$B$149,IF(F$2&lt;=$A179+$B$116-1,$B179/$B$116,$B179-SUM($C179:E179))),0))</f>
        <v>0</v>
      </c>
      <c r="G179" s="4">
        <f>IF($B$116=0,0,IF(G$2&gt;=$A179,IF(G$2=$A179,($B179/$B$116)*$B$149,IF(G$2&lt;=$A179+$B$116-1,$B179/$B$116,$B179-SUM($C179:F179))),0))</f>
        <v>0</v>
      </c>
      <c r="H179" s="4">
        <f>IF($B$116=0,0,IF(H$2&gt;=$A179,IF(H$2=$A179,($B179/$B$116)*$B$149,IF(H$2&lt;=$A179+$B$116-1,$B179/$B$116,$B179-SUM($C179:G179))),0))</f>
        <v>0</v>
      </c>
      <c r="I179" s="4">
        <f>IF($B$116=0,0,IF(I$2&gt;=$A179,IF(I$2=$A179,($B179/$B$116)*$B$149,IF(I$2&lt;=$A179+$B$116-1,$B179/$B$116,$B179-SUM($C179:H179))),0))</f>
        <v>0</v>
      </c>
      <c r="J179" s="4">
        <f>IF($B$116=0,0,IF(J$2&gt;=$A179,IF(J$2=$A179,($B179/$B$116)*$B$149,IF(J$2&lt;=$A179+$B$116-1,$B179/$B$116,$B179-SUM($C179:I179))),0))</f>
        <v>0</v>
      </c>
      <c r="K179" s="4">
        <f>IF($B$116=0,0,IF(K$2&gt;=$A179,IF(K$2=$A179,($B179/$B$116)*$B$149,IF(K$2&lt;=$A179+$B$116-1,$B179/$B$116,$B179-SUM($C179:J179))),0))</f>
        <v>0</v>
      </c>
      <c r="L179" s="4">
        <f>IF($B$116=0,0,IF(L$2&gt;=$A179,IF(L$2=$A179,($B179/$B$116)*$B$149,IF(L$2&lt;=$A179+$B$116-1,$B179/$B$116,$B179-SUM($C179:K179))),0))</f>
        <v>0</v>
      </c>
      <c r="M179" s="4">
        <f>IF($B$116=0,0,IF(M$2&gt;=$A179,IF(M$2=$A179,($B179/$B$116)*$B$149,IF(M$2&lt;=$A179+$B$116-1,$B179/$B$116,$B179-SUM($C179:L179))),0))</f>
        <v>0</v>
      </c>
      <c r="N179" s="4">
        <f>IF($B$116=0,0,IF(N$2&gt;=$A179,IF(N$2=$A179,($B179/$B$116)*$B$149,IF(N$2&lt;=$A179+$B$116-1,$B179/$B$116,$B179-SUM($C179:M179))),0))</f>
        <v>0</v>
      </c>
      <c r="O179" s="4">
        <f>IF($B$116=0,0,IF(O$2&gt;=$A179,IF(O$2=$A179,($B179/$B$116)*$B$149,IF(O$2&lt;=$A179+$B$116-1,$B179/$B$116,$B179-SUM($C179:N179))),0))</f>
        <v>0</v>
      </c>
      <c r="P179" s="4">
        <f>IF($B$116=0,0,IF(P$2&gt;=$A179,IF(P$2=$A179,($B179/$B$116)*$B$149,IF(P$2&lt;=$A179+$B$116-1,$B179/$B$116,$B179-SUM($C179:O179))),0))</f>
        <v>0</v>
      </c>
      <c r="Q179" s="4">
        <f>IF($B$116=0,0,IF(Q$2&gt;=$A179,IF(Q$2=$A179,($B179/$B$116)*$B$149,IF(Q$2&lt;=$A179+$B$116-1,$B179/$B$116,$B179-SUM($C179:P179))),0))</f>
        <v>0</v>
      </c>
      <c r="R179" s="4">
        <f>IF($B$116=0,0,IF(R$2&gt;=$A179,IF(R$2=$A179,($B179/$B$116)*$B$149,IF(R$2&lt;=$A179+$B$116-1,$B179/$B$116,$B179-SUM($C179:Q179))),0))</f>
        <v>0</v>
      </c>
      <c r="S179" s="4">
        <f>IF($B$116=0,0,IF(S$2&gt;=$A179,IF(S$2=$A179,($B179/$B$116)*$B$149,IF(S$2&lt;=$A179+$B$116-1,$B179/$B$116,$B179-SUM($C179:R179))),0))</f>
        <v>0</v>
      </c>
      <c r="T179" s="4">
        <f>IF($B$116=0,0,IF(T$2&gt;=$A179,IF(T$2=$A179,($B179/$B$116)*$B$149,IF(T$2&lt;=$A179+$B$116-1,$B179/$B$116,$B179-SUM($C179:S179))),0))</f>
        <v>0</v>
      </c>
      <c r="U179" s="4">
        <f>IF($B$116=0,0,IF(U$2&gt;=$A179,IF(U$2=$A179,($B179/$B$116)*$B$149,IF(U$2&lt;=$A179+$B$116-1,$B179/$B$116,$B179-SUM($C179:T179))),0))</f>
        <v>0</v>
      </c>
      <c r="V179" s="4">
        <f>IF($B$116=0,0,IF(V$2&gt;=$A179,IF(V$2=$A179,($B179/$B$116)*$B$149,IF(V$2&lt;=$A179+$B$116-1,$B179/$B$116,$B179-SUM($C179:U179))),0))</f>
        <v>0</v>
      </c>
      <c r="W179" s="4">
        <f>IF($B$116=0,0,IF(W$2&gt;=$A179,IF(W$2=$A179,($B179/$B$116)*$B$149,IF(W$2&lt;=$A179+$B$116-1,$B179/$B$116,$B179-SUM($C179:V179))),0))</f>
        <v>0</v>
      </c>
      <c r="X179" s="4">
        <f>IF($B$116=0,0,IF(X$2&gt;=$A179,IF(X$2=$A179,($B179/$B$116)*$B$149,IF(X$2&lt;=$A179+$B$116-1,$B179/$B$116,$B179-SUM($C179:W179))),0))</f>
        <v>0</v>
      </c>
      <c r="Y179" s="4">
        <f>IF($B$116=0,0,IF(Y$2&gt;=$A179,IF(Y$2=$A179,($B179/$B$116)*$B$149,IF(Y$2&lt;=$A179+$B$116-1,$B179/$B$116,$B179-SUM($C179:X179))),0))</f>
        <v>0</v>
      </c>
      <c r="Z179" s="4">
        <f>IF($B$116=0,0,IF(Z$2&gt;=$A179,IF(Z$2=$A179,($B179/$B$116)*$B$149,IF(Z$2&lt;=$A179+$B$116-1,$B179/$B$116,$B179-SUM($C179:Y179))),0))</f>
        <v>0</v>
      </c>
      <c r="AA179" s="4">
        <f>IF($B$116=0,0,IF(AA$2&gt;=$A179,IF(AA$2=$A179,($B179/$B$116)*$B$149,IF(AA$2&lt;=$A179+$B$116-1,$B179/$B$116,$B179-SUM($C179:Z179))),0))</f>
        <v>0</v>
      </c>
      <c r="AB179" s="4">
        <f>IF($B$116=0,0,IF(AB$2&gt;=$A179,IF(AB$2=$A179,($B179/$B$116)*$B$149,IF(AB$2&lt;=$A179+$B$116-1,$B179/$B$116,$B179-SUM($C179:AA179))),0))</f>
        <v>0</v>
      </c>
      <c r="AC179" s="4">
        <f>IF($B$116=0,0,IF(AC$2&gt;=$A179,IF(AC$2=$A179,($B179/$B$116)*$B$149,IF(AC$2&lt;=$A179+$B$116-1,$B179/$B$116,$B179-SUM($C179:AB179))),0))</f>
        <v>0</v>
      </c>
      <c r="AD179" s="4">
        <f>IF($B$116=0,0,IF(AD$2&gt;=$A179,IF(AD$2=$A179,($B179/$B$116)*$B$149,IF(AD$2&lt;=$A179+$B$116-1,$B179/$B$116,$B179-SUM($C179:AC179))),0))</f>
        <v>0</v>
      </c>
      <c r="AE179" s="4">
        <f>IF($B$116=0,0,IF(AE$2&gt;=$A179,IF(AE$2=$A179,($B179/$B$116)*$B$149,IF(AE$2&lt;=$A179+$B$116-1,$B179/$B$116,$B179-SUM($C179:AD179))),0))</f>
        <v>0</v>
      </c>
      <c r="AF179" s="4">
        <f>IF($B$116=0,0,IF(AF$2&gt;=$A179,IF(AF$2=$A179,($B179/$B$116)*$B$149,IF(AF$2&lt;=$A179+$B$116-1,$B179/$B$116,$B179-SUM($C179:AE179))),0))</f>
        <v>0</v>
      </c>
      <c r="AG179" s="4">
        <f t="shared" si="106"/>
        <v>0</v>
      </c>
    </row>
    <row r="180" spans="1:33">
      <c r="A180" s="6">
        <f t="shared" si="105"/>
        <v>2049</v>
      </c>
      <c r="B180" s="4">
        <f t="shared" si="103"/>
        <v>0</v>
      </c>
      <c r="C180" s="4">
        <f>IF($B$116=0,0,IF(C$2&gt;=$A180,IF(C$2=$A180,($B180/$B$116)*$B$149,IF(C$2&lt;=$A180+$B$116-1,$B180/$B$116,$B180-SUM(B180:$C180))),0))</f>
        <v>0</v>
      </c>
      <c r="D180" s="4">
        <f>IF($B$116=0,0,IF(D$2&gt;=$A180,IF(D$2=$A180,($B180/$B$116)*$B$149,IF(D$2&lt;=$A180+$B$116-1,$B180/$B$116,$B180-SUM(C180:$C180))),0))</f>
        <v>0</v>
      </c>
      <c r="E180" s="4">
        <f>IF($B$116=0,0,IF(E$2&gt;=$A180,IF(E$2=$A180,($B180/$B$116)*$B$149,IF(E$2&lt;=$A180+$B$116-1,$B180/$B$116,$B180-SUM($C180:D180))),0))</f>
        <v>0</v>
      </c>
      <c r="F180" s="4">
        <f>IF($B$116=0,0,IF(F$2&gt;=$A180,IF(F$2=$A180,($B180/$B$116)*$B$149,IF(F$2&lt;=$A180+$B$116-1,$B180/$B$116,$B180-SUM($C180:E180))),0))</f>
        <v>0</v>
      </c>
      <c r="G180" s="4">
        <f>IF($B$116=0,0,IF(G$2&gt;=$A180,IF(G$2=$A180,($B180/$B$116)*$B$149,IF(G$2&lt;=$A180+$B$116-1,$B180/$B$116,$B180-SUM($C180:F180))),0))</f>
        <v>0</v>
      </c>
      <c r="H180" s="4">
        <f>IF($B$116=0,0,IF(H$2&gt;=$A180,IF(H$2=$A180,($B180/$B$116)*$B$149,IF(H$2&lt;=$A180+$B$116-1,$B180/$B$116,$B180-SUM($C180:G180))),0))</f>
        <v>0</v>
      </c>
      <c r="I180" s="4">
        <f>IF($B$116=0,0,IF(I$2&gt;=$A180,IF(I$2=$A180,($B180/$B$116)*$B$149,IF(I$2&lt;=$A180+$B$116-1,$B180/$B$116,$B180-SUM($C180:H180))),0))</f>
        <v>0</v>
      </c>
      <c r="J180" s="4">
        <f>IF($B$116=0,0,IF(J$2&gt;=$A180,IF(J$2=$A180,($B180/$B$116)*$B$149,IF(J$2&lt;=$A180+$B$116-1,$B180/$B$116,$B180-SUM($C180:I180))),0))</f>
        <v>0</v>
      </c>
      <c r="K180" s="4">
        <f>IF($B$116=0,0,IF(K$2&gt;=$A180,IF(K$2=$A180,($B180/$B$116)*$B$149,IF(K$2&lt;=$A180+$B$116-1,$B180/$B$116,$B180-SUM($C180:J180))),0))</f>
        <v>0</v>
      </c>
      <c r="L180" s="4">
        <f>IF($B$116=0,0,IF(L$2&gt;=$A180,IF(L$2=$A180,($B180/$B$116)*$B$149,IF(L$2&lt;=$A180+$B$116-1,$B180/$B$116,$B180-SUM($C180:K180))),0))</f>
        <v>0</v>
      </c>
      <c r="M180" s="4">
        <f>IF($B$116=0,0,IF(M$2&gt;=$A180,IF(M$2=$A180,($B180/$B$116)*$B$149,IF(M$2&lt;=$A180+$B$116-1,$B180/$B$116,$B180-SUM($C180:L180))),0))</f>
        <v>0</v>
      </c>
      <c r="N180" s="4">
        <f>IF($B$116=0,0,IF(N$2&gt;=$A180,IF(N$2=$A180,($B180/$B$116)*$B$149,IF(N$2&lt;=$A180+$B$116-1,$B180/$B$116,$B180-SUM($C180:M180))),0))</f>
        <v>0</v>
      </c>
      <c r="O180" s="4">
        <f>IF($B$116=0,0,IF(O$2&gt;=$A180,IF(O$2=$A180,($B180/$B$116)*$B$149,IF(O$2&lt;=$A180+$B$116-1,$B180/$B$116,$B180-SUM($C180:N180))),0))</f>
        <v>0</v>
      </c>
      <c r="P180" s="4">
        <f>IF($B$116=0,0,IF(P$2&gt;=$A180,IF(P$2=$A180,($B180/$B$116)*$B$149,IF(P$2&lt;=$A180+$B$116-1,$B180/$B$116,$B180-SUM($C180:O180))),0))</f>
        <v>0</v>
      </c>
      <c r="Q180" s="4">
        <f>IF($B$116=0,0,IF(Q$2&gt;=$A180,IF(Q$2=$A180,($B180/$B$116)*$B$149,IF(Q$2&lt;=$A180+$B$116-1,$B180/$B$116,$B180-SUM($C180:P180))),0))</f>
        <v>0</v>
      </c>
      <c r="R180" s="4">
        <f>IF($B$116=0,0,IF(R$2&gt;=$A180,IF(R$2=$A180,($B180/$B$116)*$B$149,IF(R$2&lt;=$A180+$B$116-1,$B180/$B$116,$B180-SUM($C180:Q180))),0))</f>
        <v>0</v>
      </c>
      <c r="S180" s="4">
        <f>IF($B$116=0,0,IF(S$2&gt;=$A180,IF(S$2=$A180,($B180/$B$116)*$B$149,IF(S$2&lt;=$A180+$B$116-1,$B180/$B$116,$B180-SUM($C180:R180))),0))</f>
        <v>0</v>
      </c>
      <c r="T180" s="4">
        <f>IF($B$116=0,0,IF(T$2&gt;=$A180,IF(T$2=$A180,($B180/$B$116)*$B$149,IF(T$2&lt;=$A180+$B$116-1,$B180/$B$116,$B180-SUM($C180:S180))),0))</f>
        <v>0</v>
      </c>
      <c r="U180" s="4">
        <f>IF($B$116=0,0,IF(U$2&gt;=$A180,IF(U$2=$A180,($B180/$B$116)*$B$149,IF(U$2&lt;=$A180+$B$116-1,$B180/$B$116,$B180-SUM($C180:T180))),0))</f>
        <v>0</v>
      </c>
      <c r="V180" s="4">
        <f>IF($B$116=0,0,IF(V$2&gt;=$A180,IF(V$2=$A180,($B180/$B$116)*$B$149,IF(V$2&lt;=$A180+$B$116-1,$B180/$B$116,$B180-SUM($C180:U180))),0))</f>
        <v>0</v>
      </c>
      <c r="W180" s="4">
        <f>IF($B$116=0,0,IF(W$2&gt;=$A180,IF(W$2=$A180,($B180/$B$116)*$B$149,IF(W$2&lt;=$A180+$B$116-1,$B180/$B$116,$B180-SUM($C180:V180))),0))</f>
        <v>0</v>
      </c>
      <c r="X180" s="4">
        <f>IF($B$116=0,0,IF(X$2&gt;=$A180,IF(X$2=$A180,($B180/$B$116)*$B$149,IF(X$2&lt;=$A180+$B$116-1,$B180/$B$116,$B180-SUM($C180:W180))),0))</f>
        <v>0</v>
      </c>
      <c r="Y180" s="4">
        <f>IF($B$116=0,0,IF(Y$2&gt;=$A180,IF(Y$2=$A180,($B180/$B$116)*$B$149,IF(Y$2&lt;=$A180+$B$116-1,$B180/$B$116,$B180-SUM($C180:X180))),0))</f>
        <v>0</v>
      </c>
      <c r="Z180" s="4">
        <f>IF($B$116=0,0,IF(Z$2&gt;=$A180,IF(Z$2=$A180,($B180/$B$116)*$B$149,IF(Z$2&lt;=$A180+$B$116-1,$B180/$B$116,$B180-SUM($C180:Y180))),0))</f>
        <v>0</v>
      </c>
      <c r="AA180" s="4">
        <f>IF($B$116=0,0,IF(AA$2&gt;=$A180,IF(AA$2=$A180,($B180/$B$116)*$B$149,IF(AA$2&lt;=$A180+$B$116-1,$B180/$B$116,$B180-SUM($C180:Z180))),0))</f>
        <v>0</v>
      </c>
      <c r="AB180" s="4">
        <f>IF($B$116=0,0,IF(AB$2&gt;=$A180,IF(AB$2=$A180,($B180/$B$116)*$B$149,IF(AB$2&lt;=$A180+$B$116-1,$B180/$B$116,$B180-SUM($C180:AA180))),0))</f>
        <v>0</v>
      </c>
      <c r="AC180" s="4">
        <f>IF($B$116=0,0,IF(AC$2&gt;=$A180,IF(AC$2=$A180,($B180/$B$116)*$B$149,IF(AC$2&lt;=$A180+$B$116-1,$B180/$B$116,$B180-SUM($C180:AB180))),0))</f>
        <v>0</v>
      </c>
      <c r="AD180" s="4">
        <f>IF($B$116=0,0,IF(AD$2&gt;=$A180,IF(AD$2=$A180,($B180/$B$116)*$B$149,IF(AD$2&lt;=$A180+$B$116-1,$B180/$B$116,$B180-SUM($C180:AC180))),0))</f>
        <v>0</v>
      </c>
      <c r="AE180" s="4">
        <f>IF($B$116=0,0,IF(AE$2&gt;=$A180,IF(AE$2=$A180,($B180/$B$116)*$B$149,IF(AE$2&lt;=$A180+$B$116-1,$B180/$B$116,$B180-SUM($C180:AD180))),0))</f>
        <v>0</v>
      </c>
      <c r="AF180" s="4">
        <f>IF($B$116=0,0,IF(AF$2&gt;=$A180,IF(AF$2=$A180,($B180/$B$116)*$B$149,IF(AF$2&lt;=$A180+$B$116-1,$B180/$B$116,$B180-SUM($C180:AE180))),0))</f>
        <v>0</v>
      </c>
      <c r="AG180" s="4">
        <f t="shared" si="106"/>
        <v>0</v>
      </c>
    </row>
    <row r="181" spans="1:33">
      <c r="A181" s="6">
        <f t="shared" si="105"/>
        <v>2050</v>
      </c>
      <c r="B181" s="4">
        <f t="shared" si="103"/>
        <v>0</v>
      </c>
      <c r="C181" s="4">
        <f>IF($B$116=0,0,IF(C$2&gt;=$A181,IF(C$2=$A181,($B181/$B$116)*$B$149,IF(C$2&lt;=$A181+$B$116-1,$B181/$B$116,$B181-SUM(B181:$C181))),0))</f>
        <v>0</v>
      </c>
      <c r="D181" s="4">
        <f>IF($B$116=0,0,IF(D$2&gt;=$A181,IF(D$2=$A181,($B181/$B$116)*$B$149,IF(D$2&lt;=$A181+$B$116-1,$B181/$B$116,$B181-SUM(C181:$C181))),0))</f>
        <v>0</v>
      </c>
      <c r="E181" s="4">
        <f>IF($B$116=0,0,IF(E$2&gt;=$A181,IF(E$2=$A181,($B181/$B$116)*$B$149,IF(E$2&lt;=$A181+$B$116-1,$B181/$B$116,$B181-SUM($C181:D181))),0))</f>
        <v>0</v>
      </c>
      <c r="F181" s="4">
        <f>IF($B$116=0,0,IF(F$2&gt;=$A181,IF(F$2=$A181,($B181/$B$116)*$B$149,IF(F$2&lt;=$A181+$B$116-1,$B181/$B$116,$B181-SUM($C181:E181))),0))</f>
        <v>0</v>
      </c>
      <c r="G181" s="4">
        <f>IF($B$116=0,0,IF(G$2&gt;=$A181,IF(G$2=$A181,($B181/$B$116)*$B$149,IF(G$2&lt;=$A181+$B$116-1,$B181/$B$116,$B181-SUM($C181:F181))),0))</f>
        <v>0</v>
      </c>
      <c r="H181" s="4">
        <f>IF($B$116=0,0,IF(H$2&gt;=$A181,IF(H$2=$A181,($B181/$B$116)*$B$149,IF(H$2&lt;=$A181+$B$116-1,$B181/$B$116,$B181-SUM($C181:G181))),0))</f>
        <v>0</v>
      </c>
      <c r="I181" s="4">
        <f>IF($B$116=0,0,IF(I$2&gt;=$A181,IF(I$2=$A181,($B181/$B$116)*$B$149,IF(I$2&lt;=$A181+$B$116-1,$B181/$B$116,$B181-SUM($C181:H181))),0))</f>
        <v>0</v>
      </c>
      <c r="J181" s="4">
        <f>IF($B$116=0,0,IF(J$2&gt;=$A181,IF(J$2=$A181,($B181/$B$116)*$B$149,IF(J$2&lt;=$A181+$B$116-1,$B181/$B$116,$B181-SUM($C181:I181))),0))</f>
        <v>0</v>
      </c>
      <c r="K181" s="4">
        <f>IF($B$116=0,0,IF(K$2&gt;=$A181,IF(K$2=$A181,($B181/$B$116)*$B$149,IF(K$2&lt;=$A181+$B$116-1,$B181/$B$116,$B181-SUM($C181:J181))),0))</f>
        <v>0</v>
      </c>
      <c r="L181" s="4">
        <f>IF($B$116=0,0,IF(L$2&gt;=$A181,IF(L$2=$A181,($B181/$B$116)*$B$149,IF(L$2&lt;=$A181+$B$116-1,$B181/$B$116,$B181-SUM($C181:K181))),0))</f>
        <v>0</v>
      </c>
      <c r="M181" s="4">
        <f>IF($B$116=0,0,IF(M$2&gt;=$A181,IF(M$2=$A181,($B181/$B$116)*$B$149,IF(M$2&lt;=$A181+$B$116-1,$B181/$B$116,$B181-SUM($C181:L181))),0))</f>
        <v>0</v>
      </c>
      <c r="N181" s="4">
        <f>IF($B$116=0,0,IF(N$2&gt;=$A181,IF(N$2=$A181,($B181/$B$116)*$B$149,IF(N$2&lt;=$A181+$B$116-1,$B181/$B$116,$B181-SUM($C181:M181))),0))</f>
        <v>0</v>
      </c>
      <c r="O181" s="4">
        <f>IF($B$116=0,0,IF(O$2&gt;=$A181,IF(O$2=$A181,($B181/$B$116)*$B$149,IF(O$2&lt;=$A181+$B$116-1,$B181/$B$116,$B181-SUM($C181:N181))),0))</f>
        <v>0</v>
      </c>
      <c r="P181" s="4">
        <f>IF($B$116=0,0,IF(P$2&gt;=$A181,IF(P$2=$A181,($B181/$B$116)*$B$149,IF(P$2&lt;=$A181+$B$116-1,$B181/$B$116,$B181-SUM($C181:O181))),0))</f>
        <v>0</v>
      </c>
      <c r="Q181" s="4">
        <f>IF($B$116=0,0,IF(Q$2&gt;=$A181,IF(Q$2=$A181,($B181/$B$116)*$B$149,IF(Q$2&lt;=$A181+$B$116-1,$B181/$B$116,$B181-SUM($C181:P181))),0))</f>
        <v>0</v>
      </c>
      <c r="R181" s="4">
        <f>IF($B$116=0,0,IF(R$2&gt;=$A181,IF(R$2=$A181,($B181/$B$116)*$B$149,IF(R$2&lt;=$A181+$B$116-1,$B181/$B$116,$B181-SUM($C181:Q181))),0))</f>
        <v>0</v>
      </c>
      <c r="S181" s="4">
        <f>IF($B$116=0,0,IF(S$2&gt;=$A181,IF(S$2=$A181,($B181/$B$116)*$B$149,IF(S$2&lt;=$A181+$B$116-1,$B181/$B$116,$B181-SUM($C181:R181))),0))</f>
        <v>0</v>
      </c>
      <c r="T181" s="4">
        <f>IF($B$116=0,0,IF(T$2&gt;=$A181,IF(T$2=$A181,($B181/$B$116)*$B$149,IF(T$2&lt;=$A181+$B$116-1,$B181/$B$116,$B181-SUM($C181:S181))),0))</f>
        <v>0</v>
      </c>
      <c r="U181" s="4">
        <f>IF($B$116=0,0,IF(U$2&gt;=$A181,IF(U$2=$A181,($B181/$B$116)*$B$149,IF(U$2&lt;=$A181+$B$116-1,$B181/$B$116,$B181-SUM($C181:T181))),0))</f>
        <v>0</v>
      </c>
      <c r="V181" s="4">
        <f>IF($B$116=0,0,IF(V$2&gt;=$A181,IF(V$2=$A181,($B181/$B$116)*$B$149,IF(V$2&lt;=$A181+$B$116-1,$B181/$B$116,$B181-SUM($C181:U181))),0))</f>
        <v>0</v>
      </c>
      <c r="W181" s="4">
        <f>IF($B$116=0,0,IF(W$2&gt;=$A181,IF(W$2=$A181,($B181/$B$116)*$B$149,IF(W$2&lt;=$A181+$B$116-1,$B181/$B$116,$B181-SUM($C181:V181))),0))</f>
        <v>0</v>
      </c>
      <c r="X181" s="4">
        <f>IF($B$116=0,0,IF(X$2&gt;=$A181,IF(X$2=$A181,($B181/$B$116)*$B$149,IF(X$2&lt;=$A181+$B$116-1,$B181/$B$116,$B181-SUM($C181:W181))),0))</f>
        <v>0</v>
      </c>
      <c r="Y181" s="4">
        <f>IF($B$116=0,0,IF(Y$2&gt;=$A181,IF(Y$2=$A181,($B181/$B$116)*$B$149,IF(Y$2&lt;=$A181+$B$116-1,$B181/$B$116,$B181-SUM($C181:X181))),0))</f>
        <v>0</v>
      </c>
      <c r="Z181" s="4">
        <f>IF($B$116=0,0,IF(Z$2&gt;=$A181,IF(Z$2=$A181,($B181/$B$116)*$B$149,IF(Z$2&lt;=$A181+$B$116-1,$B181/$B$116,$B181-SUM($C181:Y181))),0))</f>
        <v>0</v>
      </c>
      <c r="AA181" s="4">
        <f>IF($B$116=0,0,IF(AA$2&gt;=$A181,IF(AA$2=$A181,($B181/$B$116)*$B$149,IF(AA$2&lt;=$A181+$B$116-1,$B181/$B$116,$B181-SUM($C181:Z181))),0))</f>
        <v>0</v>
      </c>
      <c r="AB181" s="4">
        <f>IF($B$116=0,0,IF(AB$2&gt;=$A181,IF(AB$2=$A181,($B181/$B$116)*$B$149,IF(AB$2&lt;=$A181+$B$116-1,$B181/$B$116,$B181-SUM($C181:AA181))),0))</f>
        <v>0</v>
      </c>
      <c r="AC181" s="4">
        <f>IF($B$116=0,0,IF(AC$2&gt;=$A181,IF(AC$2=$A181,($B181/$B$116)*$B$149,IF(AC$2&lt;=$A181+$B$116-1,$B181/$B$116,$B181-SUM($C181:AB181))),0))</f>
        <v>0</v>
      </c>
      <c r="AD181" s="4">
        <f>IF($B$116=0,0,IF(AD$2&gt;=$A181,IF(AD$2=$A181,($B181/$B$116)*$B$149,IF(AD$2&lt;=$A181+$B$116-1,$B181/$B$116,$B181-SUM($C181:AC181))),0))</f>
        <v>0</v>
      </c>
      <c r="AE181" s="4">
        <f>IF($B$116=0,0,IF(AE$2&gt;=$A181,IF(AE$2=$A181,($B181/$B$116)*$B$149,IF(AE$2&lt;=$A181+$B$116-1,$B181/$B$116,$B181-SUM($C181:AD181))),0))</f>
        <v>0</v>
      </c>
      <c r="AF181" s="4">
        <f>IF($B$116=0,0,IF(AF$2&gt;=$A181,IF(AF$2=$A181,($B181/$B$116)*$B$149,IF(AF$2&lt;=$A181+$B$116-1,$B181/$B$116,$B181-SUM($C181:AE181))),0))</f>
        <v>0</v>
      </c>
      <c r="AG181" s="4">
        <f t="shared" si="106"/>
        <v>0</v>
      </c>
    </row>
    <row r="182" spans="1:33">
      <c r="A182" s="6">
        <f t="shared" si="105"/>
        <v>2051</v>
      </c>
      <c r="B182" s="4">
        <f t="shared" si="103"/>
        <v>0</v>
      </c>
      <c r="C182" s="4">
        <f>IF($B$116=0,0,IF(C$2&gt;=$A182,IF(C$2=$A182,($B182/$B$116)*$B$149,IF(C$2&lt;=$A182+$B$116-1,$B182/$B$116,$B182-SUM(B182:$C182))),0))</f>
        <v>0</v>
      </c>
      <c r="D182" s="4">
        <f>IF($B$116=0,0,IF(D$2&gt;=$A182,IF(D$2=$A182,($B182/$B$116)*$B$149,IF(D$2&lt;=$A182+$B$116-1,$B182/$B$116,$B182-SUM(C182:$C182))),0))</f>
        <v>0</v>
      </c>
      <c r="E182" s="4">
        <f>IF($B$116=0,0,IF(E$2&gt;=$A182,IF(E$2=$A182,($B182/$B$116)*$B$149,IF(E$2&lt;=$A182+$B$116-1,$B182/$B$116,$B182-SUM($C182:D182))),0))</f>
        <v>0</v>
      </c>
      <c r="F182" s="4">
        <f>IF($B$116=0,0,IF(F$2&gt;=$A182,IF(F$2=$A182,($B182/$B$116)*$B$149,IF(F$2&lt;=$A182+$B$116-1,$B182/$B$116,$B182-SUM($C182:E182))),0))</f>
        <v>0</v>
      </c>
      <c r="G182" s="4">
        <f>IF($B$116=0,0,IF(G$2&gt;=$A182,IF(G$2=$A182,($B182/$B$116)*$B$149,IF(G$2&lt;=$A182+$B$116-1,$B182/$B$116,$B182-SUM($C182:F182))),0))</f>
        <v>0</v>
      </c>
      <c r="H182" s="4">
        <f>IF($B$116=0,0,IF(H$2&gt;=$A182,IF(H$2=$A182,($B182/$B$116)*$B$149,IF(H$2&lt;=$A182+$B$116-1,$B182/$B$116,$B182-SUM($C182:G182))),0))</f>
        <v>0</v>
      </c>
      <c r="I182" s="4">
        <f>IF($B$116=0,0,IF(I$2&gt;=$A182,IF(I$2=$A182,($B182/$B$116)*$B$149,IF(I$2&lt;=$A182+$B$116-1,$B182/$B$116,$B182-SUM($C182:H182))),0))</f>
        <v>0</v>
      </c>
      <c r="J182" s="4">
        <f>IF($B$116=0,0,IF(J$2&gt;=$A182,IF(J$2=$A182,($B182/$B$116)*$B$149,IF(J$2&lt;=$A182+$B$116-1,$B182/$B$116,$B182-SUM($C182:I182))),0))</f>
        <v>0</v>
      </c>
      <c r="K182" s="4">
        <f>IF($B$116=0,0,IF(K$2&gt;=$A182,IF(K$2=$A182,($B182/$B$116)*$B$149,IF(K$2&lt;=$A182+$B$116-1,$B182/$B$116,$B182-SUM($C182:J182))),0))</f>
        <v>0</v>
      </c>
      <c r="L182" s="4">
        <f>IF($B$116=0,0,IF(L$2&gt;=$A182,IF(L$2=$A182,($B182/$B$116)*$B$149,IF(L$2&lt;=$A182+$B$116-1,$B182/$B$116,$B182-SUM($C182:K182))),0))</f>
        <v>0</v>
      </c>
      <c r="M182" s="4">
        <f>IF($B$116=0,0,IF(M$2&gt;=$A182,IF(M$2=$A182,($B182/$B$116)*$B$149,IF(M$2&lt;=$A182+$B$116-1,$B182/$B$116,$B182-SUM($C182:L182))),0))</f>
        <v>0</v>
      </c>
      <c r="N182" s="4">
        <f>IF($B$116=0,0,IF(N$2&gt;=$A182,IF(N$2=$A182,($B182/$B$116)*$B$149,IF(N$2&lt;=$A182+$B$116-1,$B182/$B$116,$B182-SUM($C182:M182))),0))</f>
        <v>0</v>
      </c>
      <c r="O182" s="4">
        <f>IF($B$116=0,0,IF(O$2&gt;=$A182,IF(O$2=$A182,($B182/$B$116)*$B$149,IF(O$2&lt;=$A182+$B$116-1,$B182/$B$116,$B182-SUM($C182:N182))),0))</f>
        <v>0</v>
      </c>
      <c r="P182" s="4">
        <f>IF($B$116=0,0,IF(P$2&gt;=$A182,IF(P$2=$A182,($B182/$B$116)*$B$149,IF(P$2&lt;=$A182+$B$116-1,$B182/$B$116,$B182-SUM($C182:O182))),0))</f>
        <v>0</v>
      </c>
      <c r="Q182" s="4">
        <f>IF($B$116=0,0,IF(Q$2&gt;=$A182,IF(Q$2=$A182,($B182/$B$116)*$B$149,IF(Q$2&lt;=$A182+$B$116-1,$B182/$B$116,$B182-SUM($C182:P182))),0))</f>
        <v>0</v>
      </c>
      <c r="R182" s="4">
        <f>IF($B$116=0,0,IF(R$2&gt;=$A182,IF(R$2=$A182,($B182/$B$116)*$B$149,IF(R$2&lt;=$A182+$B$116-1,$B182/$B$116,$B182-SUM($C182:Q182))),0))</f>
        <v>0</v>
      </c>
      <c r="S182" s="4">
        <f>IF($B$116=0,0,IF(S$2&gt;=$A182,IF(S$2=$A182,($B182/$B$116)*$B$149,IF(S$2&lt;=$A182+$B$116-1,$B182/$B$116,$B182-SUM($C182:R182))),0))</f>
        <v>0</v>
      </c>
      <c r="T182" s="4">
        <f>IF($B$116=0,0,IF(T$2&gt;=$A182,IF(T$2=$A182,($B182/$B$116)*$B$149,IF(T$2&lt;=$A182+$B$116-1,$B182/$B$116,$B182-SUM($C182:S182))),0))</f>
        <v>0</v>
      </c>
      <c r="U182" s="4">
        <f>IF($B$116=0,0,IF(U$2&gt;=$A182,IF(U$2=$A182,($B182/$B$116)*$B$149,IF(U$2&lt;=$A182+$B$116-1,$B182/$B$116,$B182-SUM($C182:T182))),0))</f>
        <v>0</v>
      </c>
      <c r="V182" s="4">
        <f>IF($B$116=0,0,IF(V$2&gt;=$A182,IF(V$2=$A182,($B182/$B$116)*$B$149,IF(V$2&lt;=$A182+$B$116-1,$B182/$B$116,$B182-SUM($C182:U182))),0))</f>
        <v>0</v>
      </c>
      <c r="W182" s="4">
        <f>IF($B$116=0,0,IF(W$2&gt;=$A182,IF(W$2=$A182,($B182/$B$116)*$B$149,IF(W$2&lt;=$A182+$B$116-1,$B182/$B$116,$B182-SUM($C182:V182))),0))</f>
        <v>0</v>
      </c>
      <c r="X182" s="4">
        <f>IF($B$116=0,0,IF(X$2&gt;=$A182,IF(X$2=$A182,($B182/$B$116)*$B$149,IF(X$2&lt;=$A182+$B$116-1,$B182/$B$116,$B182-SUM($C182:W182))),0))</f>
        <v>0</v>
      </c>
      <c r="Y182" s="4">
        <f>IF($B$116=0,0,IF(Y$2&gt;=$A182,IF(Y$2=$A182,($B182/$B$116)*$B$149,IF(Y$2&lt;=$A182+$B$116-1,$B182/$B$116,$B182-SUM($C182:X182))),0))</f>
        <v>0</v>
      </c>
      <c r="Z182" s="4">
        <f>IF($B$116=0,0,IF(Z$2&gt;=$A182,IF(Z$2=$A182,($B182/$B$116)*$B$149,IF(Z$2&lt;=$A182+$B$116-1,$B182/$B$116,$B182-SUM($C182:Y182))),0))</f>
        <v>0</v>
      </c>
      <c r="AA182" s="4">
        <f>IF($B$116=0,0,IF(AA$2&gt;=$A182,IF(AA$2=$A182,($B182/$B$116)*$B$149,IF(AA$2&lt;=$A182+$B$116-1,$B182/$B$116,$B182-SUM($C182:Z182))),0))</f>
        <v>0</v>
      </c>
      <c r="AB182" s="4">
        <f>IF($B$116=0,0,IF(AB$2&gt;=$A182,IF(AB$2=$A182,($B182/$B$116)*$B$149,IF(AB$2&lt;=$A182+$B$116-1,$B182/$B$116,$B182-SUM($C182:AA182))),0))</f>
        <v>0</v>
      </c>
      <c r="AC182" s="4">
        <f>IF($B$116=0,0,IF(AC$2&gt;=$A182,IF(AC$2=$A182,($B182/$B$116)*$B$149,IF(AC$2&lt;=$A182+$B$116-1,$B182/$B$116,$B182-SUM($C182:AB182))),0))</f>
        <v>0</v>
      </c>
      <c r="AD182" s="4">
        <f>IF($B$116=0,0,IF(AD$2&gt;=$A182,IF(AD$2=$A182,($B182/$B$116)*$B$149,IF(AD$2&lt;=$A182+$B$116-1,$B182/$B$116,$B182-SUM($C182:AC182))),0))</f>
        <v>0</v>
      </c>
      <c r="AE182" s="4">
        <f>IF($B$116=0,0,IF(AE$2&gt;=$A182,IF(AE$2=$A182,($B182/$B$116)*$B$149,IF(AE$2&lt;=$A182+$B$116-1,$B182/$B$116,$B182-SUM($C182:AD182))),0))</f>
        <v>0</v>
      </c>
      <c r="AF182" s="4">
        <f>IF($B$116=0,0,IF(AF$2&gt;=$A182,IF(AF$2=$A182,($B182/$B$116)*$B$149,IF(AF$2&lt;=$A182+$B$116-1,$B182/$B$116,$B182-SUM($C182:AE182))),0))</f>
        <v>0</v>
      </c>
      <c r="AG182" s="4">
        <f t="shared" si="106"/>
        <v>0</v>
      </c>
    </row>
    <row r="183" spans="1:33" ht="15" thickBot="1">
      <c r="A183" s="6" t="str">
        <f>"Total Depreciation - "&amp;A149</f>
        <v>Total Depreciation - Capital Plug</v>
      </c>
      <c r="B183" s="43">
        <f>SUM(B153:B182)</f>
        <v>5435990.2360561565</v>
      </c>
      <c r="C183" s="43">
        <f>SUM(C153:C182)</f>
        <v>0</v>
      </c>
      <c r="D183" s="43">
        <f t="shared" ref="D183:AF183" si="107">SUM(D153:D182)</f>
        <v>0</v>
      </c>
      <c r="E183" s="43">
        <f t="shared" si="107"/>
        <v>0</v>
      </c>
      <c r="F183" s="43">
        <f t="shared" si="107"/>
        <v>45299.918633801302</v>
      </c>
      <c r="G183" s="43">
        <f t="shared" si="107"/>
        <v>90599.837267602605</v>
      </c>
      <c r="H183" s="43">
        <f t="shared" si="107"/>
        <v>90599.837267602605</v>
      </c>
      <c r="I183" s="43">
        <f t="shared" si="107"/>
        <v>90599.837267602605</v>
      </c>
      <c r="J183" s="43">
        <f t="shared" si="107"/>
        <v>90599.837267602605</v>
      </c>
      <c r="K183" s="43">
        <f t="shared" si="107"/>
        <v>90599.837267602605</v>
      </c>
      <c r="L183" s="43">
        <f t="shared" si="107"/>
        <v>90599.837267602605</v>
      </c>
      <c r="M183" s="43">
        <f t="shared" si="107"/>
        <v>90599.837267602605</v>
      </c>
      <c r="N183" s="43">
        <f t="shared" si="107"/>
        <v>90599.837267602605</v>
      </c>
      <c r="O183" s="43">
        <f t="shared" si="107"/>
        <v>90599.837267602605</v>
      </c>
      <c r="P183" s="43">
        <f t="shared" si="107"/>
        <v>90599.837267602605</v>
      </c>
      <c r="Q183" s="43">
        <f t="shared" si="107"/>
        <v>90599.837267602605</v>
      </c>
      <c r="R183" s="43">
        <f t="shared" si="107"/>
        <v>90599.837267602605</v>
      </c>
      <c r="S183" s="43">
        <f t="shared" si="107"/>
        <v>90599.837267602605</v>
      </c>
      <c r="T183" s="43">
        <f t="shared" si="107"/>
        <v>90599.837267602605</v>
      </c>
      <c r="U183" s="43">
        <f t="shared" si="107"/>
        <v>90599.837267602605</v>
      </c>
      <c r="V183" s="43">
        <f t="shared" si="107"/>
        <v>90599.837267602605</v>
      </c>
      <c r="W183" s="43">
        <f t="shared" si="107"/>
        <v>90599.837267602605</v>
      </c>
      <c r="X183" s="43">
        <f t="shared" si="107"/>
        <v>90599.837267602605</v>
      </c>
      <c r="Y183" s="43">
        <f t="shared" si="107"/>
        <v>90599.837267602605</v>
      </c>
      <c r="Z183" s="43">
        <f t="shared" si="107"/>
        <v>90599.837267602605</v>
      </c>
      <c r="AA183" s="43">
        <f t="shared" si="107"/>
        <v>90599.837267602605</v>
      </c>
      <c r="AB183" s="43">
        <f t="shared" si="107"/>
        <v>90599.837267602605</v>
      </c>
      <c r="AC183" s="43">
        <f t="shared" si="107"/>
        <v>90599.837267602605</v>
      </c>
      <c r="AD183" s="43">
        <f t="shared" si="107"/>
        <v>90599.837267602605</v>
      </c>
      <c r="AE183" s="43">
        <f t="shared" si="107"/>
        <v>90599.837267602605</v>
      </c>
      <c r="AF183" s="43">
        <f t="shared" si="107"/>
        <v>90599.837267602605</v>
      </c>
      <c r="AG183" s="43">
        <f>SUM(C183:AF183)</f>
        <v>2400895.6875914689</v>
      </c>
    </row>
    <row r="185" spans="1:33">
      <c r="A185" s="302" t="str">
        <f>+Capex!$A$11</f>
        <v>Parking Garage (1,000 Spaces)</v>
      </c>
      <c r="B185" s="324">
        <f>+Capex!$C$11/12</f>
        <v>0</v>
      </c>
    </row>
    <row r="186" spans="1:33">
      <c r="A186" s="6" t="s">
        <v>399</v>
      </c>
      <c r="C186" s="40">
        <f>IF(Capex!$B$11=0,Capex!G$11,IF(Capex!$B$11=Capex!G$4,Capex!$AK$11,0))+IF(Capex!$B$11=0,Capex!G$25,IF(Capex!$B$11=Capex!G$4,Capex!$AK$25,0))</f>
        <v>0</v>
      </c>
      <c r="D186" s="40">
        <f>IF(Capex!$B$11=0,Capex!H$11,IF(Capex!$B$11=Capex!H$4,Capex!$AK$11,0))+IF(Capex!$B$11=0,Capex!H$25,IF(Capex!$B$11=Capex!H$4,Capex!$AK$25,0))</f>
        <v>0</v>
      </c>
      <c r="E186" s="40">
        <f>IF(Capex!$B$11=0,Capex!I$11,IF(Capex!$B$11=Capex!I$4,Capex!$AK$11,0))+IF(Capex!$B$11=0,Capex!I$25,IF(Capex!$B$11=Capex!I$4,Capex!$AK$25,0))</f>
        <v>22497924.584127281</v>
      </c>
      <c r="F186" s="40">
        <f>IF(Capex!$B$11=0,Capex!J$11,IF(Capex!$B$11=Capex!J$4,Capex!$AK$11,0))+IF(Capex!$B$11=0,Capex!J$25,IF(Capex!$B$11=Capex!J$4,Capex!$AK$25,0))</f>
        <v>0</v>
      </c>
      <c r="G186" s="40">
        <f>IF(Capex!$B$11=0,Capex!K$11,IF(Capex!$B$11=Capex!K$4,Capex!$AK$11,0))+IF(Capex!$B$11=0,Capex!K$25,IF(Capex!$B$11=Capex!K$4,Capex!$AK$25,0))</f>
        <v>0</v>
      </c>
      <c r="H186" s="40">
        <f>IF(Capex!$B$11=0,Capex!L$11,IF(Capex!$B$11=Capex!L$4,Capex!$AK$11,0))+IF(Capex!$B$11=0,Capex!L$25,IF(Capex!$B$11=Capex!L$4,Capex!$AK$25,0))</f>
        <v>0</v>
      </c>
      <c r="I186" s="40">
        <f>IF(Capex!$B$11=0,Capex!M$11,IF(Capex!$B$11=Capex!M$4,Capex!$AK$11,0))+IF(Capex!$B$11=0,Capex!M$25,IF(Capex!$B$11=Capex!M$4,Capex!$AK$25,0))</f>
        <v>0</v>
      </c>
      <c r="J186" s="40">
        <f>IF(Capex!$B$11=0,Capex!N$11,IF(Capex!$B$11=Capex!N$4,Capex!$AK$11,0))+IF(Capex!$B$11=0,Capex!N$25,IF(Capex!$B$11=Capex!N$4,Capex!$AK$25,0))</f>
        <v>0</v>
      </c>
      <c r="K186" s="40">
        <f>IF(Capex!$B$11=0,Capex!O$11,IF(Capex!$B$11=Capex!O$4,Capex!$AK$11,0))+IF(Capex!$B$11=0,Capex!O$25,IF(Capex!$B$11=Capex!O$4,Capex!$AK$25,0))</f>
        <v>0</v>
      </c>
      <c r="L186" s="40">
        <f>IF(Capex!$B$11=0,Capex!P$11,IF(Capex!$B$11=Capex!P$4,Capex!$AK$11,0))+IF(Capex!$B$11=0,Capex!P$25,IF(Capex!$B$11=Capex!P$4,Capex!$AK$25,0))</f>
        <v>0</v>
      </c>
      <c r="M186" s="40">
        <f>IF(Capex!$B$11=0,Capex!Q$11,IF(Capex!$B$11=Capex!Q$4,Capex!$AK$11,0))+IF(Capex!$B$11=0,Capex!Q$25,IF(Capex!$B$11=Capex!Q$4,Capex!$AK$25,0))</f>
        <v>0</v>
      </c>
      <c r="N186" s="40">
        <f>IF(Capex!$B$11=0,Capex!R$11,IF(Capex!$B$11=Capex!R$4,Capex!$AK$11,0))+IF(Capex!$B$11=0,Capex!R$25,IF(Capex!$B$11=Capex!R$4,Capex!$AK$25,0))</f>
        <v>0</v>
      </c>
      <c r="O186" s="40">
        <f>IF(Capex!$B$11=0,Capex!S$11,IF(Capex!$B$11=Capex!S$4,Capex!$AK$11,0))+IF(Capex!$B$11=0,Capex!S$25,IF(Capex!$B$11=Capex!S$4,Capex!$AK$25,0))</f>
        <v>0</v>
      </c>
      <c r="P186" s="40">
        <f>IF(Capex!$B$11=0,Capex!T$11,IF(Capex!$B$11=Capex!T$4,Capex!$AK$11,0))+IF(Capex!$B$11=0,Capex!T$25,IF(Capex!$B$11=Capex!T$4,Capex!$AK$25,0))</f>
        <v>0</v>
      </c>
      <c r="Q186" s="40">
        <f>IF(Capex!$B$11=0,Capex!U$11,IF(Capex!$B$11=Capex!U$4,Capex!$AK$11,0))+IF(Capex!$B$11=0,Capex!U$25,IF(Capex!$B$11=Capex!U$4,Capex!$AK$25,0))</f>
        <v>0</v>
      </c>
      <c r="R186" s="40">
        <f>IF(Capex!$B$11=0,Capex!V$11,IF(Capex!$B$11=Capex!V$4,Capex!$AK$11,0))+IF(Capex!$B$11=0,Capex!V$25,IF(Capex!$B$11=Capex!V$4,Capex!$AK$25,0))</f>
        <v>0</v>
      </c>
      <c r="S186" s="40">
        <f>IF(Capex!$B$11=0,Capex!W$11,IF(Capex!$B$11=Capex!W$4,Capex!$AK$11,0))+IF(Capex!$B$11=0,Capex!W$25,IF(Capex!$B$11=Capex!W$4,Capex!$AK$25,0))</f>
        <v>0</v>
      </c>
      <c r="T186" s="40">
        <f>IF(Capex!$B$11=0,Capex!X$11,IF(Capex!$B$11=Capex!X$4,Capex!$AK$11,0))+IF(Capex!$B$11=0,Capex!X$25,IF(Capex!$B$11=Capex!X$4,Capex!$AK$25,0))</f>
        <v>0</v>
      </c>
      <c r="U186" s="40">
        <f>IF(Capex!$B$11=0,Capex!Y$11,IF(Capex!$B$11=Capex!Y$4,Capex!$AK$11,0))+IF(Capex!$B$11=0,Capex!Y$25,IF(Capex!$B$11=Capex!Y$4,Capex!$AK$25,0))</f>
        <v>0</v>
      </c>
      <c r="V186" s="40">
        <f>IF(Capex!$B$11=0,Capex!Z$11,IF(Capex!$B$11=Capex!Z$4,Capex!$AK$11,0))+IF(Capex!$B$11=0,Capex!Z$25,IF(Capex!$B$11=Capex!Z$4,Capex!$AK$25,0))</f>
        <v>0</v>
      </c>
      <c r="W186" s="40">
        <f>IF(Capex!$B$11=0,Capex!AA$11,IF(Capex!$B$11=Capex!AA$4,Capex!$AK$11,0))+IF(Capex!$B$11=0,Capex!AA$25,IF(Capex!$B$11=Capex!AA$4,Capex!$AK$25,0))</f>
        <v>0</v>
      </c>
      <c r="X186" s="40">
        <f>IF(Capex!$B$11=0,Capex!AB$11,IF(Capex!$B$11=Capex!AB$4,Capex!$AK$11,0))+IF(Capex!$B$11=0,Capex!AB$25,IF(Capex!$B$11=Capex!AB$4,Capex!$AK$25,0))</f>
        <v>0</v>
      </c>
      <c r="Y186" s="40">
        <f>IF(Capex!$B$11=0,Capex!AC$11,IF(Capex!$B$11=Capex!AC$4,Capex!$AK$11,0))+IF(Capex!$B$11=0,Capex!AC$25,IF(Capex!$B$11=Capex!AC$4,Capex!$AK$25,0))</f>
        <v>0</v>
      </c>
      <c r="Z186" s="40">
        <f>IF(Capex!$B$11=0,Capex!AD$11,IF(Capex!$B$11=Capex!AD$4,Capex!$AK$11,0))+IF(Capex!$B$11=0,Capex!AD$25,IF(Capex!$B$11=Capex!AD$4,Capex!$AK$25,0))</f>
        <v>0</v>
      </c>
      <c r="AA186" s="40">
        <f>IF(Capex!$B$11=0,Capex!AE$11,IF(Capex!$B$11=Capex!AE$4,Capex!$AK$11,0))+IF(Capex!$B$11=0,Capex!AE$25,IF(Capex!$B$11=Capex!AE$4,Capex!$AK$25,0))</f>
        <v>0</v>
      </c>
      <c r="AB186" s="40">
        <f>IF(Capex!$B$11=0,Capex!AF$11,IF(Capex!$B$11=Capex!AF$4,Capex!$AK$11,0))+IF(Capex!$B$11=0,Capex!AF$25,IF(Capex!$B$11=Capex!AF$4,Capex!$AK$25,0))</f>
        <v>0</v>
      </c>
      <c r="AC186" s="40">
        <f>IF(Capex!$B$11=0,Capex!AG$11,IF(Capex!$B$11=Capex!AG$4,Capex!$AK$11,0))+IF(Capex!$B$11=0,Capex!AG$25,IF(Capex!$B$11=Capex!AG$4,Capex!$AK$25,0))</f>
        <v>0</v>
      </c>
      <c r="AD186" s="40">
        <f>IF(Capex!$B$11=0,Capex!AH$11,IF(Capex!$B$11=Capex!AH$4,Capex!$AK$11,0))+IF(Capex!$B$11=0,Capex!AH$25,IF(Capex!$B$11=Capex!AH$4,Capex!$AK$25,0))</f>
        <v>0</v>
      </c>
      <c r="AE186" s="40">
        <f>IF(Capex!$B$11=0,Capex!AI$11,IF(Capex!$B$11=Capex!AI$4,Capex!$AK$11,0))+IF(Capex!$B$11=0,Capex!AI$25,IF(Capex!$B$11=Capex!AI$4,Capex!$AK$25,0))</f>
        <v>0</v>
      </c>
      <c r="AF186" s="40">
        <f>IF(Capex!$B$11=0,Capex!AJ$11,IF(Capex!$B$11=Capex!AJ$4,Capex!$AK$11,0))+IF(Capex!$B$11=0,Capex!AJ$25,IF(Capex!$B$11=Capex!AJ$4,Capex!$AK$25,0))</f>
        <v>0</v>
      </c>
    </row>
    <row r="187" spans="1:33">
      <c r="A187" s="6" t="s">
        <v>400</v>
      </c>
      <c r="B187" s="299"/>
      <c r="C187" s="49">
        <f>+C186</f>
        <v>0</v>
      </c>
      <c r="D187" s="49">
        <f t="shared" ref="D187" si="108">+D186+C187</f>
        <v>0</v>
      </c>
      <c r="E187" s="49">
        <f t="shared" ref="E187" si="109">+E186+D187</f>
        <v>22497924.584127281</v>
      </c>
      <c r="F187" s="49">
        <f t="shared" ref="F187" si="110">+F186+E187</f>
        <v>22497924.584127281</v>
      </c>
      <c r="G187" s="49">
        <f t="shared" ref="G187" si="111">+G186+F187</f>
        <v>22497924.584127281</v>
      </c>
      <c r="H187" s="49">
        <f t="shared" ref="H187" si="112">+H186+G187</f>
        <v>22497924.584127281</v>
      </c>
      <c r="I187" s="49">
        <f t="shared" ref="I187" si="113">+I186+H187</f>
        <v>22497924.584127281</v>
      </c>
      <c r="J187" s="49">
        <f t="shared" ref="J187" si="114">+J186+I187</f>
        <v>22497924.584127281</v>
      </c>
      <c r="K187" s="49">
        <f t="shared" ref="K187" si="115">+K186+J187</f>
        <v>22497924.584127281</v>
      </c>
      <c r="L187" s="49">
        <f t="shared" ref="L187" si="116">+L186+K187</f>
        <v>22497924.584127281</v>
      </c>
      <c r="M187" s="49">
        <f t="shared" ref="M187" si="117">+M186+L187</f>
        <v>22497924.584127281</v>
      </c>
      <c r="N187" s="49">
        <f t="shared" ref="N187" si="118">+N186+M187</f>
        <v>22497924.584127281</v>
      </c>
      <c r="O187" s="49">
        <f t="shared" ref="O187" si="119">+O186+N187</f>
        <v>22497924.584127281</v>
      </c>
      <c r="P187" s="49">
        <f t="shared" ref="P187" si="120">+P186+O187</f>
        <v>22497924.584127281</v>
      </c>
      <c r="Q187" s="49">
        <f t="shared" ref="Q187" si="121">+Q186+P187</f>
        <v>22497924.584127281</v>
      </c>
      <c r="R187" s="49">
        <f t="shared" ref="R187" si="122">+R186+Q187</f>
        <v>22497924.584127281</v>
      </c>
      <c r="S187" s="49">
        <f t="shared" ref="S187" si="123">+S186+R187</f>
        <v>22497924.584127281</v>
      </c>
      <c r="T187" s="49">
        <f t="shared" ref="T187" si="124">+T186+S187</f>
        <v>22497924.584127281</v>
      </c>
      <c r="U187" s="49">
        <f t="shared" ref="U187" si="125">+U186+T187</f>
        <v>22497924.584127281</v>
      </c>
      <c r="V187" s="49">
        <f t="shared" ref="V187" si="126">+V186+U187</f>
        <v>22497924.584127281</v>
      </c>
      <c r="W187" s="49">
        <f t="shared" ref="W187" si="127">+W186+V187</f>
        <v>22497924.584127281</v>
      </c>
      <c r="X187" s="49">
        <f t="shared" ref="X187" si="128">+X186+W187</f>
        <v>22497924.584127281</v>
      </c>
      <c r="Y187" s="49">
        <f t="shared" ref="Y187" si="129">+Y186+X187</f>
        <v>22497924.584127281</v>
      </c>
      <c r="Z187" s="49">
        <f t="shared" ref="Z187" si="130">+Z186+Y187</f>
        <v>22497924.584127281</v>
      </c>
      <c r="AA187" s="49">
        <f t="shared" ref="AA187" si="131">+AA186+Z187</f>
        <v>22497924.584127281</v>
      </c>
      <c r="AB187" s="49">
        <f t="shared" ref="AB187" si="132">+AB186+AA187</f>
        <v>22497924.584127281</v>
      </c>
      <c r="AC187" s="49">
        <f t="shared" ref="AC187" si="133">+AC186+AB187</f>
        <v>22497924.584127281</v>
      </c>
      <c r="AD187" s="49">
        <f t="shared" ref="AD187" si="134">+AD186+AC187</f>
        <v>22497924.584127281</v>
      </c>
      <c r="AE187" s="49">
        <f t="shared" ref="AE187" si="135">+AE186+AD187</f>
        <v>22497924.584127281</v>
      </c>
      <c r="AF187" s="49">
        <f t="shared" ref="AF187" si="136">+AF186+AE187</f>
        <v>22497924.584127281</v>
      </c>
    </row>
    <row r="188" spans="1:33" ht="16.2">
      <c r="A188" s="6" t="s">
        <v>401</v>
      </c>
      <c r="B188" s="88">
        <f>+Capex!$D$11</f>
        <v>60</v>
      </c>
      <c r="AG188" s="462"/>
    </row>
    <row r="189" spans="1:33">
      <c r="A189" s="6">
        <f>+A9</f>
        <v>2022</v>
      </c>
      <c r="B189" s="4">
        <f t="shared" ref="B189:B218" si="137">SUMIF($C$2:$AF$2,A189,$C$186:$AF$186)</f>
        <v>0</v>
      </c>
      <c r="C189" s="4">
        <f>IF($B$188=0,0,IF(C$2&gt;=$A189,IF(C$2=$A189,($B189/$B$188)*$B$185,IF(C$2&lt;=$A189+$B$188-1,$B189/$B$188,$B189-SUM(B189:$C189))),0))</f>
        <v>0</v>
      </c>
      <c r="D189" s="4">
        <f>IF($B$188=0,0,IF(D$2&gt;=$A189,IF(D$2=$A189,($B189/$B$188)*$B$185,IF(D$2&lt;=$A189+$B$188-1,$B189/$B$188,$B189-SUM(C189:$C189))),0))</f>
        <v>0</v>
      </c>
      <c r="E189" s="4">
        <f>IF($B$188=0,0,IF(E$2&gt;=$A189,IF(E$2=$A189,($B189/$B$188)*$B$185,IF(E$2&lt;=$A189+$B$188-1,$B189/$B$188,$B189-SUM($C189:D189))),0))</f>
        <v>0</v>
      </c>
      <c r="F189" s="4">
        <f>IF($B$188=0,0,IF(F$2&gt;=$A189,IF(F$2=$A189,($B189/$B$188)*$B$185,IF(F$2&lt;=$A189+$B$188-1,$B189/$B$188,$B189-SUM($C189:E189))),0))</f>
        <v>0</v>
      </c>
      <c r="G189" s="4">
        <f>IF($B$188=0,0,IF(G$2&gt;=$A189,IF(G$2=$A189,($B189/$B$188)*$B$185,IF(G$2&lt;=$A189+$B$188-1,$B189/$B$188,$B189-SUM($C189:F189))),0))</f>
        <v>0</v>
      </c>
      <c r="H189" s="4">
        <f>IF($B$188=0,0,IF(H$2&gt;=$A189,IF(H$2=$A189,($B189/$B$188)*$B$185,IF(H$2&lt;=$A189+$B$188-1,$B189/$B$188,$B189-SUM($C189:G189))),0))</f>
        <v>0</v>
      </c>
      <c r="I189" s="4">
        <f>IF($B$188=0,0,IF(I$2&gt;=$A189,IF(I$2=$A189,($B189/$B$188)*$B$185,IF(I$2&lt;=$A189+$B$188-1,$B189/$B$188,$B189-SUM($C189:H189))),0))</f>
        <v>0</v>
      </c>
      <c r="J189" s="4">
        <f>IF($B$188=0,0,IF(J$2&gt;=$A189,IF(J$2=$A189,($B189/$B$188)*$B$185,IF(J$2&lt;=$A189+$B$188-1,$B189/$B$188,$B189-SUM($C189:I189))),0))</f>
        <v>0</v>
      </c>
      <c r="K189" s="4">
        <f>IF($B$188=0,0,IF(K$2&gt;=$A189,IF(K$2=$A189,($B189/$B$188)*$B$185,IF(K$2&lt;=$A189+$B$188-1,$B189/$B$188,$B189-SUM($C189:J189))),0))</f>
        <v>0</v>
      </c>
      <c r="L189" s="4">
        <f>IF($B$188=0,0,IF(L$2&gt;=$A189,IF(L$2=$A189,($B189/$B$188)*$B$185,IF(L$2&lt;=$A189+$B$188-1,$B189/$B$188,$B189-SUM($C189:K189))),0))</f>
        <v>0</v>
      </c>
      <c r="M189" s="4">
        <f>IF($B$188=0,0,IF(M$2&gt;=$A189,IF(M$2=$A189,($B189/$B$188)*$B$185,IF(M$2&lt;=$A189+$B$188-1,$B189/$B$188,$B189-SUM($C189:L189))),0))</f>
        <v>0</v>
      </c>
      <c r="N189" s="4">
        <f>IF($B$188=0,0,IF(N$2&gt;=$A189,IF(N$2=$A189,($B189/$B$188)*$B$185,IF(N$2&lt;=$A189+$B$188-1,$B189/$B$188,$B189-SUM($C189:M189))),0))</f>
        <v>0</v>
      </c>
      <c r="O189" s="4">
        <f>IF($B$188=0,0,IF(O$2&gt;=$A189,IF(O$2=$A189,($B189/$B$188)*$B$185,IF(O$2&lt;=$A189+$B$188-1,$B189/$B$188,$B189-SUM($C189:N189))),0))</f>
        <v>0</v>
      </c>
      <c r="P189" s="4">
        <f>IF($B$188=0,0,IF(P$2&gt;=$A189,IF(P$2=$A189,($B189/$B$188)*$B$185,IF(P$2&lt;=$A189+$B$188-1,$B189/$B$188,$B189-SUM($C189:O189))),0))</f>
        <v>0</v>
      </c>
      <c r="Q189" s="4">
        <f>IF($B$188=0,0,IF(Q$2&gt;=$A189,IF(Q$2=$A189,($B189/$B$188)*$B$185,IF(Q$2&lt;=$A189+$B$188-1,$B189/$B$188,$B189-SUM($C189:P189))),0))</f>
        <v>0</v>
      </c>
      <c r="R189" s="4">
        <f>IF($B$188=0,0,IF(R$2&gt;=$A189,IF(R$2=$A189,($B189/$B$188)*$B$185,IF(R$2&lt;=$A189+$B$188-1,$B189/$B$188,$B189-SUM($C189:Q189))),0))</f>
        <v>0</v>
      </c>
      <c r="S189" s="4">
        <f>IF($B$188=0,0,IF(S$2&gt;=$A189,IF(S$2=$A189,($B189/$B$188)*$B$185,IF(S$2&lt;=$A189+$B$188-1,$B189/$B$188,$B189-SUM($C189:R189))),0))</f>
        <v>0</v>
      </c>
      <c r="T189" s="4">
        <f>IF($B$188=0,0,IF(T$2&gt;=$A189,IF(T$2=$A189,($B189/$B$188)*$B$185,IF(T$2&lt;=$A189+$B$188-1,$B189/$B$188,$B189-SUM($C189:S189))),0))</f>
        <v>0</v>
      </c>
      <c r="U189" s="4">
        <f>IF($B$188=0,0,IF(U$2&gt;=$A189,IF(U$2=$A189,($B189/$B$188)*$B$185,IF(U$2&lt;=$A189+$B$188-1,$B189/$B$188,$B189-SUM($C189:T189))),0))</f>
        <v>0</v>
      </c>
      <c r="V189" s="4">
        <f>IF($B$188=0,0,IF(V$2&gt;=$A189,IF(V$2=$A189,($B189/$B$188)*$B$185,IF(V$2&lt;=$A189+$B$188-1,$B189/$B$188,$B189-SUM($C189:U189))),0))</f>
        <v>0</v>
      </c>
      <c r="W189" s="4">
        <f>IF($B$188=0,0,IF(W$2&gt;=$A189,IF(W$2=$A189,($B189/$B$188)*$B$185,IF(W$2&lt;=$A189+$B$188-1,$B189/$B$188,$B189-SUM($C189:V189))),0))</f>
        <v>0</v>
      </c>
      <c r="X189" s="4">
        <f>IF($B$188=0,0,IF(X$2&gt;=$A189,IF(X$2=$A189,($B189/$B$188)*$B$185,IF(X$2&lt;=$A189+$B$188-1,$B189/$B$188,$B189-SUM($C189:W189))),0))</f>
        <v>0</v>
      </c>
      <c r="Y189" s="4">
        <f>IF($B$188=0,0,IF(Y$2&gt;=$A189,IF(Y$2=$A189,($B189/$B$188)*$B$185,IF(Y$2&lt;=$A189+$B$188-1,$B189/$B$188,$B189-SUM($C189:X189))),0))</f>
        <v>0</v>
      </c>
      <c r="Z189" s="4">
        <f>IF($B$188=0,0,IF(Z$2&gt;=$A189,IF(Z$2=$A189,($B189/$B$188)*$B$185,IF(Z$2&lt;=$A189+$B$188-1,$B189/$B$188,$B189-SUM($C189:Y189))),0))</f>
        <v>0</v>
      </c>
      <c r="AA189" s="4">
        <f>IF($B$188=0,0,IF(AA$2&gt;=$A189,IF(AA$2=$A189,($B189/$B$188)*$B$185,IF(AA$2&lt;=$A189+$B$188-1,$B189/$B$188,$B189-SUM($C189:Z189))),0))</f>
        <v>0</v>
      </c>
      <c r="AB189" s="4">
        <f>IF($B$188=0,0,IF(AB$2&gt;=$A189,IF(AB$2=$A189,($B189/$B$188)*$B$185,IF(AB$2&lt;=$A189+$B$188-1,$B189/$B$188,$B189-SUM($C189:AA189))),0))</f>
        <v>0</v>
      </c>
      <c r="AC189" s="4">
        <f>IF($B$188=0,0,IF(AC$2&gt;=$A189,IF(AC$2=$A189,($B189/$B$188)*$B$185,IF(AC$2&lt;=$A189+$B$188-1,$B189/$B$188,$B189-SUM($C189:AB189))),0))</f>
        <v>0</v>
      </c>
      <c r="AD189" s="4">
        <f>IF($B$188=0,0,IF(AD$2&gt;=$A189,IF(AD$2=$A189,($B189/$B$188)*$B$185,IF(AD$2&lt;=$A189+$B$188-1,$B189/$B$188,$B189-SUM($C189:AC189))),0))</f>
        <v>0</v>
      </c>
      <c r="AE189" s="4">
        <f>IF($B$188=0,0,IF(AE$2&gt;=$A189,IF(AE$2=$A189,($B189/$B$188)*$B$185,IF(AE$2&lt;=$A189+$B$188-1,$B189/$B$188,$B189-SUM($C189:AD189))),0))</f>
        <v>0</v>
      </c>
      <c r="AF189" s="4">
        <f>IF($B$188=0,0,IF(AF$2&gt;=$A189,IF(AF$2=$A189,($B189/$B$188)*$B$185,IF(AF$2&lt;=$A189+$B$188-1,$B189/$B$188,$B189-SUM($C189:AE189))),0))</f>
        <v>0</v>
      </c>
      <c r="AG189" s="4">
        <f t="shared" ref="AG189:AG213" si="138">SUM(C189:AF189)</f>
        <v>0</v>
      </c>
    </row>
    <row r="190" spans="1:33">
      <c r="A190" s="6">
        <f>+A189+1</f>
        <v>2023</v>
      </c>
      <c r="B190" s="4">
        <f t="shared" si="137"/>
        <v>0</v>
      </c>
      <c r="C190" s="4">
        <f>IF($B$188=0,0,IF(C$2&gt;=$A190,IF(C$2=$A190,($B190/$B$188)*$B$185,IF(C$2&lt;=$A190+$B$188-1,$B190/$B$188,$B190-SUM(B190:$C190))),0))</f>
        <v>0</v>
      </c>
      <c r="D190" s="4">
        <f>IF($B$188=0,0,IF(D$2&gt;=$A190,IF(D$2=$A190,($B190/$B$188)*$B$185,IF(D$2&lt;=$A190+$B$188-1,$B190/$B$188,$B190-SUM(C190:$C190))),0))</f>
        <v>0</v>
      </c>
      <c r="E190" s="4">
        <f>IF($B$188=0,0,IF(E$2&gt;=$A190,IF(E$2=$A190,($B190/$B$188)*$B$185,IF(E$2&lt;=$A190+$B$188-1,$B190/$B$188,$B190-SUM($C190:D190))),0))</f>
        <v>0</v>
      </c>
      <c r="F190" s="4">
        <f>IF($B$188=0,0,IF(F$2&gt;=$A190,IF(F$2=$A190,($B190/$B$188)*$B$185,IF(F$2&lt;=$A190+$B$188-1,$B190/$B$188,$B190-SUM($C190:E190))),0))</f>
        <v>0</v>
      </c>
      <c r="G190" s="4">
        <f>IF($B$188=0,0,IF(G$2&gt;=$A190,IF(G$2=$A190,($B190/$B$188)*$B$185,IF(G$2&lt;=$A190+$B$188-1,$B190/$B$188,$B190-SUM($C190:F190))),0))</f>
        <v>0</v>
      </c>
      <c r="H190" s="4">
        <f>IF($B$188=0,0,IF(H$2&gt;=$A190,IF(H$2=$A190,($B190/$B$188)*$B$185,IF(H$2&lt;=$A190+$B$188-1,$B190/$B$188,$B190-SUM($C190:G190))),0))</f>
        <v>0</v>
      </c>
      <c r="I190" s="4">
        <f>IF($B$188=0,0,IF(I$2&gt;=$A190,IF(I$2=$A190,($B190/$B$188)*$B$185,IF(I$2&lt;=$A190+$B$188-1,$B190/$B$188,$B190-SUM($C190:H190))),0))</f>
        <v>0</v>
      </c>
      <c r="J190" s="4">
        <f>IF($B$188=0,0,IF(J$2&gt;=$A190,IF(J$2=$A190,($B190/$B$188)*$B$185,IF(J$2&lt;=$A190+$B$188-1,$B190/$B$188,$B190-SUM($C190:I190))),0))</f>
        <v>0</v>
      </c>
      <c r="K190" s="4">
        <f>IF($B$188=0,0,IF(K$2&gt;=$A190,IF(K$2=$A190,($B190/$B$188)*$B$185,IF(K$2&lt;=$A190+$B$188-1,$B190/$B$188,$B190-SUM($C190:J190))),0))</f>
        <v>0</v>
      </c>
      <c r="L190" s="4">
        <f>IF($B$188=0,0,IF(L$2&gt;=$A190,IF(L$2=$A190,($B190/$B$188)*$B$185,IF(L$2&lt;=$A190+$B$188-1,$B190/$B$188,$B190-SUM($C190:K190))),0))</f>
        <v>0</v>
      </c>
      <c r="M190" s="4">
        <f>IF($B$188=0,0,IF(M$2&gt;=$A190,IF(M$2=$A190,($B190/$B$188)*$B$185,IF(M$2&lt;=$A190+$B$188-1,$B190/$B$188,$B190-SUM($C190:L190))),0))</f>
        <v>0</v>
      </c>
      <c r="N190" s="4">
        <f>IF($B$188=0,0,IF(N$2&gt;=$A190,IF(N$2=$A190,($B190/$B$188)*$B$185,IF(N$2&lt;=$A190+$B$188-1,$B190/$B$188,$B190-SUM($C190:M190))),0))</f>
        <v>0</v>
      </c>
      <c r="O190" s="4">
        <f>IF($B$188=0,0,IF(O$2&gt;=$A190,IF(O$2=$A190,($B190/$B$188)*$B$185,IF(O$2&lt;=$A190+$B$188-1,$B190/$B$188,$B190-SUM($C190:N190))),0))</f>
        <v>0</v>
      </c>
      <c r="P190" s="4">
        <f>IF($B$188=0,0,IF(P$2&gt;=$A190,IF(P$2=$A190,($B190/$B$188)*$B$185,IF(P$2&lt;=$A190+$B$188-1,$B190/$B$188,$B190-SUM($C190:O190))),0))</f>
        <v>0</v>
      </c>
      <c r="Q190" s="4">
        <f>IF($B$188=0,0,IF(Q$2&gt;=$A190,IF(Q$2=$A190,($B190/$B$188)*$B$185,IF(Q$2&lt;=$A190+$B$188-1,$B190/$B$188,$B190-SUM($C190:P190))),0))</f>
        <v>0</v>
      </c>
      <c r="R190" s="4">
        <f>IF($B$188=0,0,IF(R$2&gt;=$A190,IF(R$2=$A190,($B190/$B$188)*$B$185,IF(R$2&lt;=$A190+$B$188-1,$B190/$B$188,$B190-SUM($C190:Q190))),0))</f>
        <v>0</v>
      </c>
      <c r="S190" s="4">
        <f>IF($B$188=0,0,IF(S$2&gt;=$A190,IF(S$2=$A190,($B190/$B$188)*$B$185,IF(S$2&lt;=$A190+$B$188-1,$B190/$B$188,$B190-SUM($C190:R190))),0))</f>
        <v>0</v>
      </c>
      <c r="T190" s="4">
        <f>IF($B$188=0,0,IF(T$2&gt;=$A190,IF(T$2=$A190,($B190/$B$188)*$B$185,IF(T$2&lt;=$A190+$B$188-1,$B190/$B$188,$B190-SUM($C190:S190))),0))</f>
        <v>0</v>
      </c>
      <c r="U190" s="4">
        <f>IF($B$188=0,0,IF(U$2&gt;=$A190,IF(U$2=$A190,($B190/$B$188)*$B$185,IF(U$2&lt;=$A190+$B$188-1,$B190/$B$188,$B190-SUM($C190:T190))),0))</f>
        <v>0</v>
      </c>
      <c r="V190" s="4">
        <f>IF($B$188=0,0,IF(V$2&gt;=$A190,IF(V$2=$A190,($B190/$B$188)*$B$185,IF(V$2&lt;=$A190+$B$188-1,$B190/$B$188,$B190-SUM($C190:U190))),0))</f>
        <v>0</v>
      </c>
      <c r="W190" s="4">
        <f>IF($B$188=0,0,IF(W$2&gt;=$A190,IF(W$2=$A190,($B190/$B$188)*$B$185,IF(W$2&lt;=$A190+$B$188-1,$B190/$B$188,$B190-SUM($C190:V190))),0))</f>
        <v>0</v>
      </c>
      <c r="X190" s="4">
        <f>IF($B$188=0,0,IF(X$2&gt;=$A190,IF(X$2=$A190,($B190/$B$188)*$B$185,IF(X$2&lt;=$A190+$B$188-1,$B190/$B$188,$B190-SUM($C190:W190))),0))</f>
        <v>0</v>
      </c>
      <c r="Y190" s="4">
        <f>IF($B$188=0,0,IF(Y$2&gt;=$A190,IF(Y$2=$A190,($B190/$B$188)*$B$185,IF(Y$2&lt;=$A190+$B$188-1,$B190/$B$188,$B190-SUM($C190:X190))),0))</f>
        <v>0</v>
      </c>
      <c r="Z190" s="4">
        <f>IF($B$188=0,0,IF(Z$2&gt;=$A190,IF(Z$2=$A190,($B190/$B$188)*$B$185,IF(Z$2&lt;=$A190+$B$188-1,$B190/$B$188,$B190-SUM($C190:Y190))),0))</f>
        <v>0</v>
      </c>
      <c r="AA190" s="4">
        <f>IF($B$188=0,0,IF(AA$2&gt;=$A190,IF(AA$2=$A190,($B190/$B$188)*$B$185,IF(AA$2&lt;=$A190+$B$188-1,$B190/$B$188,$B190-SUM($C190:Z190))),0))</f>
        <v>0</v>
      </c>
      <c r="AB190" s="4">
        <f>IF($B$188=0,0,IF(AB$2&gt;=$A190,IF(AB$2=$A190,($B190/$B$188)*$B$185,IF(AB$2&lt;=$A190+$B$188-1,$B190/$B$188,$B190-SUM($C190:AA190))),0))</f>
        <v>0</v>
      </c>
      <c r="AC190" s="4">
        <f>IF($B$188=0,0,IF(AC$2&gt;=$A190,IF(AC$2=$A190,($B190/$B$188)*$B$185,IF(AC$2&lt;=$A190+$B$188-1,$B190/$B$188,$B190-SUM($C190:AB190))),0))</f>
        <v>0</v>
      </c>
      <c r="AD190" s="4">
        <f>IF($B$188=0,0,IF(AD$2&gt;=$A190,IF(AD$2=$A190,($B190/$B$188)*$B$185,IF(AD$2&lt;=$A190+$B$188-1,$B190/$B$188,$B190-SUM($C190:AC190))),0))</f>
        <v>0</v>
      </c>
      <c r="AE190" s="4">
        <f>IF($B$188=0,0,IF(AE$2&gt;=$A190,IF(AE$2=$A190,($B190/$B$188)*$B$185,IF(AE$2&lt;=$A190+$B$188-1,$B190/$B$188,$B190-SUM($C190:AD190))),0))</f>
        <v>0</v>
      </c>
      <c r="AF190" s="4">
        <f>IF($B$188=0,0,IF(AF$2&gt;=$A190,IF(AF$2=$A190,($B190/$B$188)*$B$185,IF(AF$2&lt;=$A190+$B$188-1,$B190/$B$188,$B190-SUM($C190:AE190))),0))</f>
        <v>0</v>
      </c>
      <c r="AG190" s="4">
        <f t="shared" si="138"/>
        <v>0</v>
      </c>
    </row>
    <row r="191" spans="1:33">
      <c r="A191" s="6">
        <f t="shared" ref="A191:A218" si="139">+A190+1</f>
        <v>2024</v>
      </c>
      <c r="B191" s="4">
        <f t="shared" si="137"/>
        <v>22497924.584127281</v>
      </c>
      <c r="C191" s="4">
        <f>IF($B$188=0,0,IF(C$2&gt;=$A191,IF(C$2=$A191,($B191/$B$188)*$B$185,IF(C$2&lt;=$A191+$B$188-1,$B191/$B$188,$B191-SUM(B191:$C191))),0))</f>
        <v>0</v>
      </c>
      <c r="D191" s="4">
        <f>IF($B$188=0,0,IF(D$2&gt;=$A191,IF(D$2=$A191,($B191/$B$188)*$B$185,IF(D$2&lt;=$A191+$B$188-1,$B191/$B$188,$B191-SUM(C191:$C191))),0))</f>
        <v>0</v>
      </c>
      <c r="E191" s="4">
        <f>IF($B$188=0,0,IF(E$2&gt;=$A191,IF(E$2=$A191,($B191/$B$188)*$B$185,IF(E$2&lt;=$A191+$B$188-1,$B191/$B$188,$B191-SUM($C191:D191))),0))</f>
        <v>0</v>
      </c>
      <c r="F191" s="4">
        <f>IF($B$188=0,0,IF(F$2&gt;=$A191,IF(F$2=$A191,($B191/$B$188)*$B$185,IF(F$2&lt;=$A191+$B$188-1,$B191/$B$188,$B191-SUM($C191:E191))),0))</f>
        <v>374965.40973545465</v>
      </c>
      <c r="G191" s="4">
        <f>IF($B$188=0,0,IF(G$2&gt;=$A191,IF(G$2=$A191,($B191/$B$188)*$B$185,IF(G$2&lt;=$A191+$B$188-1,$B191/$B$188,$B191-SUM($C191:F191))),0))</f>
        <v>374965.40973545465</v>
      </c>
      <c r="H191" s="4">
        <f>IF($B$188=0,0,IF(H$2&gt;=$A191,IF(H$2=$A191,($B191/$B$188)*$B$185,IF(H$2&lt;=$A191+$B$188-1,$B191/$B$188,$B191-SUM($C191:G191))),0))</f>
        <v>374965.40973545465</v>
      </c>
      <c r="I191" s="4">
        <f>IF($B$188=0,0,IF(I$2&gt;=$A191,IF(I$2=$A191,($B191/$B$188)*$B$185,IF(I$2&lt;=$A191+$B$188-1,$B191/$B$188,$B191-SUM($C191:H191))),0))</f>
        <v>374965.40973545465</v>
      </c>
      <c r="J191" s="4">
        <f>IF($B$188=0,0,IF(J$2&gt;=$A191,IF(J$2=$A191,($B191/$B$188)*$B$185,IF(J$2&lt;=$A191+$B$188-1,$B191/$B$188,$B191-SUM($C191:I191))),0))</f>
        <v>374965.40973545465</v>
      </c>
      <c r="K191" s="4">
        <f>IF($B$188=0,0,IF(K$2&gt;=$A191,IF(K$2=$A191,($B191/$B$188)*$B$185,IF(K$2&lt;=$A191+$B$188-1,$B191/$B$188,$B191-SUM($C191:J191))),0))</f>
        <v>374965.40973545465</v>
      </c>
      <c r="L191" s="4">
        <f>IF($B$188=0,0,IF(L$2&gt;=$A191,IF(L$2=$A191,($B191/$B$188)*$B$185,IF(L$2&lt;=$A191+$B$188-1,$B191/$B$188,$B191-SUM($C191:K191))),0))</f>
        <v>374965.40973545465</v>
      </c>
      <c r="M191" s="4">
        <f>IF($B$188=0,0,IF(M$2&gt;=$A191,IF(M$2=$A191,($B191/$B$188)*$B$185,IF(M$2&lt;=$A191+$B$188-1,$B191/$B$188,$B191-SUM($C191:L191))),0))</f>
        <v>374965.40973545465</v>
      </c>
      <c r="N191" s="4">
        <f>IF($B$188=0,0,IF(N$2&gt;=$A191,IF(N$2=$A191,($B191/$B$188)*$B$185,IF(N$2&lt;=$A191+$B$188-1,$B191/$B$188,$B191-SUM($C191:M191))),0))</f>
        <v>374965.40973545465</v>
      </c>
      <c r="O191" s="4">
        <f>IF($B$188=0,0,IF(O$2&gt;=$A191,IF(O$2=$A191,($B191/$B$188)*$B$185,IF(O$2&lt;=$A191+$B$188-1,$B191/$B$188,$B191-SUM($C191:N191))),0))</f>
        <v>374965.40973545465</v>
      </c>
      <c r="P191" s="4">
        <f>IF($B$188=0,0,IF(P$2&gt;=$A191,IF(P$2=$A191,($B191/$B$188)*$B$185,IF(P$2&lt;=$A191+$B$188-1,$B191/$B$188,$B191-SUM($C191:O191))),0))</f>
        <v>374965.40973545465</v>
      </c>
      <c r="Q191" s="4">
        <f>IF($B$188=0,0,IF(Q$2&gt;=$A191,IF(Q$2=$A191,($B191/$B$188)*$B$185,IF(Q$2&lt;=$A191+$B$188-1,$B191/$B$188,$B191-SUM($C191:P191))),0))</f>
        <v>374965.40973545465</v>
      </c>
      <c r="R191" s="4">
        <f>IF($B$188=0,0,IF(R$2&gt;=$A191,IF(R$2=$A191,($B191/$B$188)*$B$185,IF(R$2&lt;=$A191+$B$188-1,$B191/$B$188,$B191-SUM($C191:Q191))),0))</f>
        <v>374965.40973545465</v>
      </c>
      <c r="S191" s="4">
        <f>IF($B$188=0,0,IF(S$2&gt;=$A191,IF(S$2=$A191,($B191/$B$188)*$B$185,IF(S$2&lt;=$A191+$B$188-1,$B191/$B$188,$B191-SUM($C191:R191))),0))</f>
        <v>374965.40973545465</v>
      </c>
      <c r="T191" s="4">
        <f>IF($B$188=0,0,IF(T$2&gt;=$A191,IF(T$2=$A191,($B191/$B$188)*$B$185,IF(T$2&lt;=$A191+$B$188-1,$B191/$B$188,$B191-SUM($C191:S191))),0))</f>
        <v>374965.40973545465</v>
      </c>
      <c r="U191" s="4">
        <f>IF($B$188=0,0,IF(U$2&gt;=$A191,IF(U$2=$A191,($B191/$B$188)*$B$185,IF(U$2&lt;=$A191+$B$188-1,$B191/$B$188,$B191-SUM($C191:T191))),0))</f>
        <v>374965.40973545465</v>
      </c>
      <c r="V191" s="4">
        <f>IF($B$188=0,0,IF(V$2&gt;=$A191,IF(V$2=$A191,($B191/$B$188)*$B$185,IF(V$2&lt;=$A191+$B$188-1,$B191/$B$188,$B191-SUM($C191:U191))),0))</f>
        <v>374965.40973545465</v>
      </c>
      <c r="W191" s="4">
        <f>IF($B$188=0,0,IF(W$2&gt;=$A191,IF(W$2=$A191,($B191/$B$188)*$B$185,IF(W$2&lt;=$A191+$B$188-1,$B191/$B$188,$B191-SUM($C191:V191))),0))</f>
        <v>374965.40973545465</v>
      </c>
      <c r="X191" s="4">
        <f>IF($B$188=0,0,IF(X$2&gt;=$A191,IF(X$2=$A191,($B191/$B$188)*$B$185,IF(X$2&lt;=$A191+$B$188-1,$B191/$B$188,$B191-SUM($C191:W191))),0))</f>
        <v>374965.40973545465</v>
      </c>
      <c r="Y191" s="4">
        <f>IF($B$188=0,0,IF(Y$2&gt;=$A191,IF(Y$2=$A191,($B191/$B$188)*$B$185,IF(Y$2&lt;=$A191+$B$188-1,$B191/$B$188,$B191-SUM($C191:X191))),0))</f>
        <v>374965.40973545465</v>
      </c>
      <c r="Z191" s="4">
        <f>IF($B$188=0,0,IF(Z$2&gt;=$A191,IF(Z$2=$A191,($B191/$B$188)*$B$185,IF(Z$2&lt;=$A191+$B$188-1,$B191/$B$188,$B191-SUM($C191:Y191))),0))</f>
        <v>374965.40973545465</v>
      </c>
      <c r="AA191" s="4">
        <f>IF($B$188=0,0,IF(AA$2&gt;=$A191,IF(AA$2=$A191,($B191/$B$188)*$B$185,IF(AA$2&lt;=$A191+$B$188-1,$B191/$B$188,$B191-SUM($C191:Z191))),0))</f>
        <v>374965.40973545465</v>
      </c>
      <c r="AB191" s="4">
        <f>IF($B$188=0,0,IF(AB$2&gt;=$A191,IF(AB$2=$A191,($B191/$B$188)*$B$185,IF(AB$2&lt;=$A191+$B$188-1,$B191/$B$188,$B191-SUM($C191:AA191))),0))</f>
        <v>374965.40973545465</v>
      </c>
      <c r="AC191" s="4">
        <f>IF($B$188=0,0,IF(AC$2&gt;=$A191,IF(AC$2=$A191,($B191/$B$188)*$B$185,IF(AC$2&lt;=$A191+$B$188-1,$B191/$B$188,$B191-SUM($C191:AB191))),0))</f>
        <v>374965.40973545465</v>
      </c>
      <c r="AD191" s="4">
        <f>IF($B$188=0,0,IF(AD$2&gt;=$A191,IF(AD$2=$A191,($B191/$B$188)*$B$185,IF(AD$2&lt;=$A191+$B$188-1,$B191/$B$188,$B191-SUM($C191:AC191))),0))</f>
        <v>374965.40973545465</v>
      </c>
      <c r="AE191" s="4">
        <f>IF($B$188=0,0,IF(AE$2&gt;=$A191,IF(AE$2=$A191,($B191/$B$188)*$B$185,IF(AE$2&lt;=$A191+$B$188-1,$B191/$B$188,$B191-SUM($C191:AD191))),0))</f>
        <v>374965.40973545465</v>
      </c>
      <c r="AF191" s="4">
        <f>IF($B$188=0,0,IF(AF$2&gt;=$A191,IF(AF$2=$A191,($B191/$B$188)*$B$185,IF(AF$2&lt;=$A191+$B$188-1,$B191/$B$188,$B191-SUM($C191:AE191))),0))</f>
        <v>374965.40973545465</v>
      </c>
      <c r="AG191" s="4">
        <f t="shared" si="138"/>
        <v>10124066.06285727</v>
      </c>
    </row>
    <row r="192" spans="1:33">
      <c r="A192" s="6">
        <f t="shared" si="139"/>
        <v>2025</v>
      </c>
      <c r="B192" s="4">
        <f t="shared" si="137"/>
        <v>0</v>
      </c>
      <c r="C192" s="4">
        <f>IF($B$188=0,0,IF(C$2&gt;=$A192,IF(C$2=$A192,($B192/$B$188)*$B$185,IF(C$2&lt;=$A192+$B$188-1,$B192/$B$188,$B192-SUM(B192:$C192))),0))</f>
        <v>0</v>
      </c>
      <c r="D192" s="4">
        <f>IF($B$188=0,0,IF(D$2&gt;=$A192,IF(D$2=$A192,($B192/$B$188)*$B$185,IF(D$2&lt;=$A192+$B$188-1,$B192/$B$188,$B192-SUM(C192:$C192))),0))</f>
        <v>0</v>
      </c>
      <c r="E192" s="4">
        <f>IF($B$188=0,0,IF(E$2&gt;=$A192,IF(E$2=$A192,($B192/$B$188)*$B$185,IF(E$2&lt;=$A192+$B$188-1,$B192/$B$188,$B192-SUM($C192:D192))),0))</f>
        <v>0</v>
      </c>
      <c r="F192" s="4">
        <f>IF($B$188=0,0,IF(F$2&gt;=$A192,IF(F$2=$A192,($B192/$B$188)*$B$185,IF(F$2&lt;=$A192+$B$188-1,$B192/$B$188,$B192-SUM($C192:E192))),0))</f>
        <v>0</v>
      </c>
      <c r="G192" s="4">
        <f>IF($B$188=0,0,IF(G$2&gt;=$A192,IF(G$2=$A192,($B192/$B$188)*$B$185,IF(G$2&lt;=$A192+$B$188-1,$B192/$B$188,$B192-SUM($C192:F192))),0))</f>
        <v>0</v>
      </c>
      <c r="H192" s="4">
        <f>IF($B$188=0,0,IF(H$2&gt;=$A192,IF(H$2=$A192,($B192/$B$188)*$B$185,IF(H$2&lt;=$A192+$B$188-1,$B192/$B$188,$B192-SUM($C192:G192))),0))</f>
        <v>0</v>
      </c>
      <c r="I192" s="4">
        <f>IF($B$188=0,0,IF(I$2&gt;=$A192,IF(I$2=$A192,($B192/$B$188)*$B$185,IF(I$2&lt;=$A192+$B$188-1,$B192/$B$188,$B192-SUM($C192:H192))),0))</f>
        <v>0</v>
      </c>
      <c r="J192" s="4">
        <f>IF($B$188=0,0,IF(J$2&gt;=$A192,IF(J$2=$A192,($B192/$B$188)*$B$185,IF(J$2&lt;=$A192+$B$188-1,$B192/$B$188,$B192-SUM($C192:I192))),0))</f>
        <v>0</v>
      </c>
      <c r="K192" s="4">
        <f>IF($B$188=0,0,IF(K$2&gt;=$A192,IF(K$2=$A192,($B192/$B$188)*$B$185,IF(K$2&lt;=$A192+$B$188-1,$B192/$B$188,$B192-SUM($C192:J192))),0))</f>
        <v>0</v>
      </c>
      <c r="L192" s="4">
        <f>IF($B$188=0,0,IF(L$2&gt;=$A192,IF(L$2=$A192,($B192/$B$188)*$B$185,IF(L$2&lt;=$A192+$B$188-1,$B192/$B$188,$B192-SUM($C192:K192))),0))</f>
        <v>0</v>
      </c>
      <c r="M192" s="4">
        <f>IF($B$188=0,0,IF(M$2&gt;=$A192,IF(M$2=$A192,($B192/$B$188)*$B$185,IF(M$2&lt;=$A192+$B$188-1,$B192/$B$188,$B192-SUM($C192:L192))),0))</f>
        <v>0</v>
      </c>
      <c r="N192" s="4">
        <f>IF($B$188=0,0,IF(N$2&gt;=$A192,IF(N$2=$A192,($B192/$B$188)*$B$185,IF(N$2&lt;=$A192+$B$188-1,$B192/$B$188,$B192-SUM($C192:M192))),0))</f>
        <v>0</v>
      </c>
      <c r="O192" s="4">
        <f>IF($B$188=0,0,IF(O$2&gt;=$A192,IF(O$2=$A192,($B192/$B$188)*$B$185,IF(O$2&lt;=$A192+$B$188-1,$B192/$B$188,$B192-SUM($C192:N192))),0))</f>
        <v>0</v>
      </c>
      <c r="P192" s="4">
        <f>IF($B$188=0,0,IF(P$2&gt;=$A192,IF(P$2=$A192,($B192/$B$188)*$B$185,IF(P$2&lt;=$A192+$B$188-1,$B192/$B$188,$B192-SUM($C192:O192))),0))</f>
        <v>0</v>
      </c>
      <c r="Q192" s="4">
        <f>IF($B$188=0,0,IF(Q$2&gt;=$A192,IF(Q$2=$A192,($B192/$B$188)*$B$185,IF(Q$2&lt;=$A192+$B$188-1,$B192/$B$188,$B192-SUM($C192:P192))),0))</f>
        <v>0</v>
      </c>
      <c r="R192" s="4">
        <f>IF($B$188=0,0,IF(R$2&gt;=$A192,IF(R$2=$A192,($B192/$B$188)*$B$185,IF(R$2&lt;=$A192+$B$188-1,$B192/$B$188,$B192-SUM($C192:Q192))),0))</f>
        <v>0</v>
      </c>
      <c r="S192" s="4">
        <f>IF($B$188=0,0,IF(S$2&gt;=$A192,IF(S$2=$A192,($B192/$B$188)*$B$185,IF(S$2&lt;=$A192+$B$188-1,$B192/$B$188,$B192-SUM($C192:R192))),0))</f>
        <v>0</v>
      </c>
      <c r="T192" s="4">
        <f>IF($B$188=0,0,IF(T$2&gt;=$A192,IF(T$2=$A192,($B192/$B$188)*$B$185,IF(T$2&lt;=$A192+$B$188-1,$B192/$B$188,$B192-SUM($C192:S192))),0))</f>
        <v>0</v>
      </c>
      <c r="U192" s="4">
        <f>IF($B$188=0,0,IF(U$2&gt;=$A192,IF(U$2=$A192,($B192/$B$188)*$B$185,IF(U$2&lt;=$A192+$B$188-1,$B192/$B$188,$B192-SUM($C192:T192))),0))</f>
        <v>0</v>
      </c>
      <c r="V192" s="4">
        <f>IF($B$188=0,0,IF(V$2&gt;=$A192,IF(V$2=$A192,($B192/$B$188)*$B$185,IF(V$2&lt;=$A192+$B$188-1,$B192/$B$188,$B192-SUM($C192:U192))),0))</f>
        <v>0</v>
      </c>
      <c r="W192" s="4">
        <f>IF($B$188=0,0,IF(W$2&gt;=$A192,IF(W$2=$A192,($B192/$B$188)*$B$185,IF(W$2&lt;=$A192+$B$188-1,$B192/$B$188,$B192-SUM($C192:V192))),0))</f>
        <v>0</v>
      </c>
      <c r="X192" s="4">
        <f>IF($B$188=0,0,IF(X$2&gt;=$A192,IF(X$2=$A192,($B192/$B$188)*$B$185,IF(X$2&lt;=$A192+$B$188-1,$B192/$B$188,$B192-SUM($C192:W192))),0))</f>
        <v>0</v>
      </c>
      <c r="Y192" s="4">
        <f>IF($B$188=0,0,IF(Y$2&gt;=$A192,IF(Y$2=$A192,($B192/$B$188)*$B$185,IF(Y$2&lt;=$A192+$B$188-1,$B192/$B$188,$B192-SUM($C192:X192))),0))</f>
        <v>0</v>
      </c>
      <c r="Z192" s="4">
        <f>IF($B$188=0,0,IF(Z$2&gt;=$A192,IF(Z$2=$A192,($B192/$B$188)*$B$185,IF(Z$2&lt;=$A192+$B$188-1,$B192/$B$188,$B192-SUM($C192:Y192))),0))</f>
        <v>0</v>
      </c>
      <c r="AA192" s="4">
        <f>IF($B$188=0,0,IF(AA$2&gt;=$A192,IF(AA$2=$A192,($B192/$B$188)*$B$185,IF(AA$2&lt;=$A192+$B$188-1,$B192/$B$188,$B192-SUM($C192:Z192))),0))</f>
        <v>0</v>
      </c>
      <c r="AB192" s="4">
        <f>IF($B$188=0,0,IF(AB$2&gt;=$A192,IF(AB$2=$A192,($B192/$B$188)*$B$185,IF(AB$2&lt;=$A192+$B$188-1,$B192/$B$188,$B192-SUM($C192:AA192))),0))</f>
        <v>0</v>
      </c>
      <c r="AC192" s="4">
        <f>IF($B$188=0,0,IF(AC$2&gt;=$A192,IF(AC$2=$A192,($B192/$B$188)*$B$185,IF(AC$2&lt;=$A192+$B$188-1,$B192/$B$188,$B192-SUM($C192:AB192))),0))</f>
        <v>0</v>
      </c>
      <c r="AD192" s="4">
        <f>IF($B$188=0,0,IF(AD$2&gt;=$A192,IF(AD$2=$A192,($B192/$B$188)*$B$185,IF(AD$2&lt;=$A192+$B$188-1,$B192/$B$188,$B192-SUM($C192:AC192))),0))</f>
        <v>0</v>
      </c>
      <c r="AE192" s="4">
        <f>IF($B$188=0,0,IF(AE$2&gt;=$A192,IF(AE$2=$A192,($B192/$B$188)*$B$185,IF(AE$2&lt;=$A192+$B$188-1,$B192/$B$188,$B192-SUM($C192:AD192))),0))</f>
        <v>0</v>
      </c>
      <c r="AF192" s="4">
        <f>IF($B$188=0,0,IF(AF$2&gt;=$A192,IF(AF$2=$A192,($B192/$B$188)*$B$185,IF(AF$2&lt;=$A192+$B$188-1,$B192/$B$188,$B192-SUM($C192:AE192))),0))</f>
        <v>0</v>
      </c>
      <c r="AG192" s="4">
        <f t="shared" si="138"/>
        <v>0</v>
      </c>
    </row>
    <row r="193" spans="1:33">
      <c r="A193" s="6">
        <f t="shared" si="139"/>
        <v>2026</v>
      </c>
      <c r="B193" s="4">
        <f t="shared" si="137"/>
        <v>0</v>
      </c>
      <c r="C193" s="4">
        <f>IF($B$188=0,0,IF(C$2&gt;=$A193,IF(C$2=$A193,($B193/$B$188)*$B$185,IF(C$2&lt;=$A193+$B$188-1,$B193/$B$188,$B193-SUM(B193:$C193))),0))</f>
        <v>0</v>
      </c>
      <c r="D193" s="4">
        <f>IF($B$188=0,0,IF(D$2&gt;=$A193,IF(D$2=$A193,($B193/$B$188)*$B$185,IF(D$2&lt;=$A193+$B$188-1,$B193/$B$188,$B193-SUM(C193:$C193))),0))</f>
        <v>0</v>
      </c>
      <c r="E193" s="4">
        <f>IF($B$188=0,0,IF(E$2&gt;=$A193,IF(E$2=$A193,($B193/$B$188)*$B$185,IF(E$2&lt;=$A193+$B$188-1,$B193/$B$188,$B193-SUM($C193:D193))),0))</f>
        <v>0</v>
      </c>
      <c r="F193" s="4">
        <f>IF($B$188=0,0,IF(F$2&gt;=$A193,IF(F$2=$A193,($B193/$B$188)*$B$185,IF(F$2&lt;=$A193+$B$188-1,$B193/$B$188,$B193-SUM($C193:E193))),0))</f>
        <v>0</v>
      </c>
      <c r="G193" s="4">
        <f>IF($B$188=0,0,IF(G$2&gt;=$A193,IF(G$2=$A193,($B193/$B$188)*$B$185,IF(G$2&lt;=$A193+$B$188-1,$B193/$B$188,$B193-SUM($C193:F193))),0))</f>
        <v>0</v>
      </c>
      <c r="H193" s="4">
        <f>IF($B$188=0,0,IF(H$2&gt;=$A193,IF(H$2=$A193,($B193/$B$188)*$B$185,IF(H$2&lt;=$A193+$B$188-1,$B193/$B$188,$B193-SUM($C193:G193))),0))</f>
        <v>0</v>
      </c>
      <c r="I193" s="4">
        <f>IF($B$188=0,0,IF(I$2&gt;=$A193,IF(I$2=$A193,($B193/$B$188)*$B$185,IF(I$2&lt;=$A193+$B$188-1,$B193/$B$188,$B193-SUM($C193:H193))),0))</f>
        <v>0</v>
      </c>
      <c r="J193" s="4">
        <f>IF($B$188=0,0,IF(J$2&gt;=$A193,IF(J$2=$A193,($B193/$B$188)*$B$185,IF(J$2&lt;=$A193+$B$188-1,$B193/$B$188,$B193-SUM($C193:I193))),0))</f>
        <v>0</v>
      </c>
      <c r="K193" s="4">
        <f>IF($B$188=0,0,IF(K$2&gt;=$A193,IF(K$2=$A193,($B193/$B$188)*$B$185,IF(K$2&lt;=$A193+$B$188-1,$B193/$B$188,$B193-SUM($C193:J193))),0))</f>
        <v>0</v>
      </c>
      <c r="L193" s="4">
        <f>IF($B$188=0,0,IF(L$2&gt;=$A193,IF(L$2=$A193,($B193/$B$188)*$B$185,IF(L$2&lt;=$A193+$B$188-1,$B193/$B$188,$B193-SUM($C193:K193))),0))</f>
        <v>0</v>
      </c>
      <c r="M193" s="4">
        <f>IF($B$188=0,0,IF(M$2&gt;=$A193,IF(M$2=$A193,($B193/$B$188)*$B$185,IF(M$2&lt;=$A193+$B$188-1,$B193/$B$188,$B193-SUM($C193:L193))),0))</f>
        <v>0</v>
      </c>
      <c r="N193" s="4">
        <f>IF($B$188=0,0,IF(N$2&gt;=$A193,IF(N$2=$A193,($B193/$B$188)*$B$185,IF(N$2&lt;=$A193+$B$188-1,$B193/$B$188,$B193-SUM($C193:M193))),0))</f>
        <v>0</v>
      </c>
      <c r="O193" s="4">
        <f>IF($B$188=0,0,IF(O$2&gt;=$A193,IF(O$2=$A193,($B193/$B$188)*$B$185,IF(O$2&lt;=$A193+$B$188-1,$B193/$B$188,$B193-SUM($C193:N193))),0))</f>
        <v>0</v>
      </c>
      <c r="P193" s="4">
        <f>IF($B$188=0,0,IF(P$2&gt;=$A193,IF(P$2=$A193,($B193/$B$188)*$B$185,IF(P$2&lt;=$A193+$B$188-1,$B193/$B$188,$B193-SUM($C193:O193))),0))</f>
        <v>0</v>
      </c>
      <c r="Q193" s="4">
        <f>IF($B$188=0,0,IF(Q$2&gt;=$A193,IF(Q$2=$A193,($B193/$B$188)*$B$185,IF(Q$2&lt;=$A193+$B$188-1,$B193/$B$188,$B193-SUM($C193:P193))),0))</f>
        <v>0</v>
      </c>
      <c r="R193" s="4">
        <f>IF($B$188=0,0,IF(R$2&gt;=$A193,IF(R$2=$A193,($B193/$B$188)*$B$185,IF(R$2&lt;=$A193+$B$188-1,$B193/$B$188,$B193-SUM($C193:Q193))),0))</f>
        <v>0</v>
      </c>
      <c r="S193" s="4">
        <f>IF($B$188=0,0,IF(S$2&gt;=$A193,IF(S$2=$A193,($B193/$B$188)*$B$185,IF(S$2&lt;=$A193+$B$188-1,$B193/$B$188,$B193-SUM($C193:R193))),0))</f>
        <v>0</v>
      </c>
      <c r="T193" s="4">
        <f>IF($B$188=0,0,IF(T$2&gt;=$A193,IF(T$2=$A193,($B193/$B$188)*$B$185,IF(T$2&lt;=$A193+$B$188-1,$B193/$B$188,$B193-SUM($C193:S193))),0))</f>
        <v>0</v>
      </c>
      <c r="U193" s="4">
        <f>IF($B$188=0,0,IF(U$2&gt;=$A193,IF(U$2=$A193,($B193/$B$188)*$B$185,IF(U$2&lt;=$A193+$B$188-1,$B193/$B$188,$B193-SUM($C193:T193))),0))</f>
        <v>0</v>
      </c>
      <c r="V193" s="4">
        <f>IF($B$188=0,0,IF(V$2&gt;=$A193,IF(V$2=$A193,($B193/$B$188)*$B$185,IF(V$2&lt;=$A193+$B$188-1,$B193/$B$188,$B193-SUM($C193:U193))),0))</f>
        <v>0</v>
      </c>
      <c r="W193" s="4">
        <f>IF($B$188=0,0,IF(W$2&gt;=$A193,IF(W$2=$A193,($B193/$B$188)*$B$185,IF(W$2&lt;=$A193+$B$188-1,$B193/$B$188,$B193-SUM($C193:V193))),0))</f>
        <v>0</v>
      </c>
      <c r="X193" s="4">
        <f>IF($B$188=0,0,IF(X$2&gt;=$A193,IF(X$2=$A193,($B193/$B$188)*$B$185,IF(X$2&lt;=$A193+$B$188-1,$B193/$B$188,$B193-SUM($C193:W193))),0))</f>
        <v>0</v>
      </c>
      <c r="Y193" s="4">
        <f>IF($B$188=0,0,IF(Y$2&gt;=$A193,IF(Y$2=$A193,($B193/$B$188)*$B$185,IF(Y$2&lt;=$A193+$B$188-1,$B193/$B$188,$B193-SUM($C193:X193))),0))</f>
        <v>0</v>
      </c>
      <c r="Z193" s="4">
        <f>IF($B$188=0,0,IF(Z$2&gt;=$A193,IF(Z$2=$A193,($B193/$B$188)*$B$185,IF(Z$2&lt;=$A193+$B$188-1,$B193/$B$188,$B193-SUM($C193:Y193))),0))</f>
        <v>0</v>
      </c>
      <c r="AA193" s="4">
        <f>IF($B$188=0,0,IF(AA$2&gt;=$A193,IF(AA$2=$A193,($B193/$B$188)*$B$185,IF(AA$2&lt;=$A193+$B$188-1,$B193/$B$188,$B193-SUM($C193:Z193))),0))</f>
        <v>0</v>
      </c>
      <c r="AB193" s="4">
        <f>IF($B$188=0,0,IF(AB$2&gt;=$A193,IF(AB$2=$A193,($B193/$B$188)*$B$185,IF(AB$2&lt;=$A193+$B$188-1,$B193/$B$188,$B193-SUM($C193:AA193))),0))</f>
        <v>0</v>
      </c>
      <c r="AC193" s="4">
        <f>IF($B$188=0,0,IF(AC$2&gt;=$A193,IF(AC$2=$A193,($B193/$B$188)*$B$185,IF(AC$2&lt;=$A193+$B$188-1,$B193/$B$188,$B193-SUM($C193:AB193))),0))</f>
        <v>0</v>
      </c>
      <c r="AD193" s="4">
        <f>IF($B$188=0,0,IF(AD$2&gt;=$A193,IF(AD$2=$A193,($B193/$B$188)*$B$185,IF(AD$2&lt;=$A193+$B$188-1,$B193/$B$188,$B193-SUM($C193:AC193))),0))</f>
        <v>0</v>
      </c>
      <c r="AE193" s="4">
        <f>IF($B$188=0,0,IF(AE$2&gt;=$A193,IF(AE$2=$A193,($B193/$B$188)*$B$185,IF(AE$2&lt;=$A193+$B$188-1,$B193/$B$188,$B193-SUM($C193:AD193))),0))</f>
        <v>0</v>
      </c>
      <c r="AF193" s="4">
        <f>IF($B$188=0,0,IF(AF$2&gt;=$A193,IF(AF$2=$A193,($B193/$B$188)*$B$185,IF(AF$2&lt;=$A193+$B$188-1,$B193/$B$188,$B193-SUM($C193:AE193))),0))</f>
        <v>0</v>
      </c>
      <c r="AG193" s="4">
        <f t="shared" si="138"/>
        <v>0</v>
      </c>
    </row>
    <row r="194" spans="1:33">
      <c r="A194" s="6">
        <f t="shared" si="139"/>
        <v>2027</v>
      </c>
      <c r="B194" s="4">
        <f t="shared" si="137"/>
        <v>0</v>
      </c>
      <c r="C194" s="4">
        <f>IF($B$188=0,0,IF(C$2&gt;=$A194,IF(C$2=$A194,($B194/$B$188)*$B$185,IF(C$2&lt;=$A194+$B$188-1,$B194/$B$188,$B194-SUM(B194:$C194))),0))</f>
        <v>0</v>
      </c>
      <c r="D194" s="4">
        <f>IF($B$188=0,0,IF(D$2&gt;=$A194,IF(D$2=$A194,($B194/$B$188)*$B$185,IF(D$2&lt;=$A194+$B$188-1,$B194/$B$188,$B194-SUM(C194:$C194))),0))</f>
        <v>0</v>
      </c>
      <c r="E194" s="4">
        <f>IF($B$188=0,0,IF(E$2&gt;=$A194,IF(E$2=$A194,($B194/$B$188)*$B$185,IF(E$2&lt;=$A194+$B$188-1,$B194/$B$188,$B194-SUM($C194:D194))),0))</f>
        <v>0</v>
      </c>
      <c r="F194" s="4">
        <f>IF($B$188=0,0,IF(F$2&gt;=$A194,IF(F$2=$A194,($B194/$B$188)*$B$185,IF(F$2&lt;=$A194+$B$188-1,$B194/$B$188,$B194-SUM($C194:E194))),0))</f>
        <v>0</v>
      </c>
      <c r="G194" s="4">
        <f>IF($B$188=0,0,IF(G$2&gt;=$A194,IF(G$2=$A194,($B194/$B$188)*$B$185,IF(G$2&lt;=$A194+$B$188-1,$B194/$B$188,$B194-SUM($C194:F194))),0))</f>
        <v>0</v>
      </c>
      <c r="H194" s="4">
        <f>IF($B$188=0,0,IF(H$2&gt;=$A194,IF(H$2=$A194,($B194/$B$188)*$B$185,IF(H$2&lt;=$A194+$B$188-1,$B194/$B$188,$B194-SUM($C194:G194))),0))</f>
        <v>0</v>
      </c>
      <c r="I194" s="4">
        <f>IF($B$188=0,0,IF(I$2&gt;=$A194,IF(I$2=$A194,($B194/$B$188)*$B$185,IF(I$2&lt;=$A194+$B$188-1,$B194/$B$188,$B194-SUM($C194:H194))),0))</f>
        <v>0</v>
      </c>
      <c r="J194" s="4">
        <f>IF($B$188=0,0,IF(J$2&gt;=$A194,IF(J$2=$A194,($B194/$B$188)*$B$185,IF(J$2&lt;=$A194+$B$188-1,$B194/$B$188,$B194-SUM($C194:I194))),0))</f>
        <v>0</v>
      </c>
      <c r="K194" s="4">
        <f>IF($B$188=0,0,IF(K$2&gt;=$A194,IF(K$2=$A194,($B194/$B$188)*$B$185,IF(K$2&lt;=$A194+$B$188-1,$B194/$B$188,$B194-SUM($C194:J194))),0))</f>
        <v>0</v>
      </c>
      <c r="L194" s="4">
        <f>IF($B$188=0,0,IF(L$2&gt;=$A194,IF(L$2=$A194,($B194/$B$188)*$B$185,IF(L$2&lt;=$A194+$B$188-1,$B194/$B$188,$B194-SUM($C194:K194))),0))</f>
        <v>0</v>
      </c>
      <c r="M194" s="4">
        <f>IF($B$188=0,0,IF(M$2&gt;=$A194,IF(M$2=$A194,($B194/$B$188)*$B$185,IF(M$2&lt;=$A194+$B$188-1,$B194/$B$188,$B194-SUM($C194:L194))),0))</f>
        <v>0</v>
      </c>
      <c r="N194" s="4">
        <f>IF($B$188=0,0,IF(N$2&gt;=$A194,IF(N$2=$A194,($B194/$B$188)*$B$185,IF(N$2&lt;=$A194+$B$188-1,$B194/$B$188,$B194-SUM($C194:M194))),0))</f>
        <v>0</v>
      </c>
      <c r="O194" s="4">
        <f>IF($B$188=0,0,IF(O$2&gt;=$A194,IF(O$2=$A194,($B194/$B$188)*$B$185,IF(O$2&lt;=$A194+$B$188-1,$B194/$B$188,$B194-SUM($C194:N194))),0))</f>
        <v>0</v>
      </c>
      <c r="P194" s="4">
        <f>IF($B$188=0,0,IF(P$2&gt;=$A194,IF(P$2=$A194,($B194/$B$188)*$B$185,IF(P$2&lt;=$A194+$B$188-1,$B194/$B$188,$B194-SUM($C194:O194))),0))</f>
        <v>0</v>
      </c>
      <c r="Q194" s="4">
        <f>IF($B$188=0,0,IF(Q$2&gt;=$A194,IF(Q$2=$A194,($B194/$B$188)*$B$185,IF(Q$2&lt;=$A194+$B$188-1,$B194/$B$188,$B194-SUM($C194:P194))),0))</f>
        <v>0</v>
      </c>
      <c r="R194" s="4">
        <f>IF($B$188=0,0,IF(R$2&gt;=$A194,IF(R$2=$A194,($B194/$B$188)*$B$185,IF(R$2&lt;=$A194+$B$188-1,$B194/$B$188,$B194-SUM($C194:Q194))),0))</f>
        <v>0</v>
      </c>
      <c r="S194" s="4">
        <f>IF($B$188=0,0,IF(S$2&gt;=$A194,IF(S$2=$A194,($B194/$B$188)*$B$185,IF(S$2&lt;=$A194+$B$188-1,$B194/$B$188,$B194-SUM($C194:R194))),0))</f>
        <v>0</v>
      </c>
      <c r="T194" s="4">
        <f>IF($B$188=0,0,IF(T$2&gt;=$A194,IF(T$2=$A194,($B194/$B$188)*$B$185,IF(T$2&lt;=$A194+$B$188-1,$B194/$B$188,$B194-SUM($C194:S194))),0))</f>
        <v>0</v>
      </c>
      <c r="U194" s="4">
        <f>IF($B$188=0,0,IF(U$2&gt;=$A194,IF(U$2=$A194,($B194/$B$188)*$B$185,IF(U$2&lt;=$A194+$B$188-1,$B194/$B$188,$B194-SUM($C194:T194))),0))</f>
        <v>0</v>
      </c>
      <c r="V194" s="4">
        <f>IF($B$188=0,0,IF(V$2&gt;=$A194,IF(V$2=$A194,($B194/$B$188)*$B$185,IF(V$2&lt;=$A194+$B$188-1,$B194/$B$188,$B194-SUM($C194:U194))),0))</f>
        <v>0</v>
      </c>
      <c r="W194" s="4">
        <f>IF($B$188=0,0,IF(W$2&gt;=$A194,IF(W$2=$A194,($B194/$B$188)*$B$185,IF(W$2&lt;=$A194+$B$188-1,$B194/$B$188,$B194-SUM($C194:V194))),0))</f>
        <v>0</v>
      </c>
      <c r="X194" s="4">
        <f>IF($B$188=0,0,IF(X$2&gt;=$A194,IF(X$2=$A194,($B194/$B$188)*$B$185,IF(X$2&lt;=$A194+$B$188-1,$B194/$B$188,$B194-SUM($C194:W194))),0))</f>
        <v>0</v>
      </c>
      <c r="Y194" s="4">
        <f>IF($B$188=0,0,IF(Y$2&gt;=$A194,IF(Y$2=$A194,($B194/$B$188)*$B$185,IF(Y$2&lt;=$A194+$B$188-1,$B194/$B$188,$B194-SUM($C194:X194))),0))</f>
        <v>0</v>
      </c>
      <c r="Z194" s="4">
        <f>IF($B$188=0,0,IF(Z$2&gt;=$A194,IF(Z$2=$A194,($B194/$B$188)*$B$185,IF(Z$2&lt;=$A194+$B$188-1,$B194/$B$188,$B194-SUM($C194:Y194))),0))</f>
        <v>0</v>
      </c>
      <c r="AA194" s="4">
        <f>IF($B$188=0,0,IF(AA$2&gt;=$A194,IF(AA$2=$A194,($B194/$B$188)*$B$185,IF(AA$2&lt;=$A194+$B$188-1,$B194/$B$188,$B194-SUM($C194:Z194))),0))</f>
        <v>0</v>
      </c>
      <c r="AB194" s="4">
        <f>IF($B$188=0,0,IF(AB$2&gt;=$A194,IF(AB$2=$A194,($B194/$B$188)*$B$185,IF(AB$2&lt;=$A194+$B$188-1,$B194/$B$188,$B194-SUM($C194:AA194))),0))</f>
        <v>0</v>
      </c>
      <c r="AC194" s="4">
        <f>IF($B$188=0,0,IF(AC$2&gt;=$A194,IF(AC$2=$A194,($B194/$B$188)*$B$185,IF(AC$2&lt;=$A194+$B$188-1,$B194/$B$188,$B194-SUM($C194:AB194))),0))</f>
        <v>0</v>
      </c>
      <c r="AD194" s="4">
        <f>IF($B$188=0,0,IF(AD$2&gt;=$A194,IF(AD$2=$A194,($B194/$B$188)*$B$185,IF(AD$2&lt;=$A194+$B$188-1,$B194/$B$188,$B194-SUM($C194:AC194))),0))</f>
        <v>0</v>
      </c>
      <c r="AE194" s="4">
        <f>IF($B$188=0,0,IF(AE$2&gt;=$A194,IF(AE$2=$A194,($B194/$B$188)*$B$185,IF(AE$2&lt;=$A194+$B$188-1,$B194/$B$188,$B194-SUM($C194:AD194))),0))</f>
        <v>0</v>
      </c>
      <c r="AF194" s="4">
        <f>IF($B$188=0,0,IF(AF$2&gt;=$A194,IF(AF$2=$A194,($B194/$B$188)*$B$185,IF(AF$2&lt;=$A194+$B$188-1,$B194/$B$188,$B194-SUM($C194:AE194))),0))</f>
        <v>0</v>
      </c>
      <c r="AG194" s="4">
        <f t="shared" si="138"/>
        <v>0</v>
      </c>
    </row>
    <row r="195" spans="1:33">
      <c r="A195" s="6">
        <f t="shared" si="139"/>
        <v>2028</v>
      </c>
      <c r="B195" s="4">
        <f t="shared" si="137"/>
        <v>0</v>
      </c>
      <c r="C195" s="4">
        <f>IF($B$188=0,0,IF(C$2&gt;=$A195,IF(C$2=$A195,($B195/$B$188)*$B$185,IF(C$2&lt;=$A195+$B$188-1,$B195/$B$188,$B195-SUM(B195:$C195))),0))</f>
        <v>0</v>
      </c>
      <c r="D195" s="4">
        <f>IF($B$188=0,0,IF(D$2&gt;=$A195,IF(D$2=$A195,($B195/$B$188)*$B$185,IF(D$2&lt;=$A195+$B$188-1,$B195/$B$188,$B195-SUM(C195:$C195))),0))</f>
        <v>0</v>
      </c>
      <c r="E195" s="4">
        <f>IF($B$188=0,0,IF(E$2&gt;=$A195,IF(E$2=$A195,($B195/$B$188)*$B$185,IF(E$2&lt;=$A195+$B$188-1,$B195/$B$188,$B195-SUM($C195:D195))),0))</f>
        <v>0</v>
      </c>
      <c r="F195" s="4">
        <f>IF($B$188=0,0,IF(F$2&gt;=$A195,IF(F$2=$A195,($B195/$B$188)*$B$185,IF(F$2&lt;=$A195+$B$188-1,$B195/$B$188,$B195-SUM($C195:E195))),0))</f>
        <v>0</v>
      </c>
      <c r="G195" s="4">
        <f>IF($B$188=0,0,IF(G$2&gt;=$A195,IF(G$2=$A195,($B195/$B$188)*$B$185,IF(G$2&lt;=$A195+$B$188-1,$B195/$B$188,$B195-SUM($C195:F195))),0))</f>
        <v>0</v>
      </c>
      <c r="H195" s="4">
        <f>IF($B$188=0,0,IF(H$2&gt;=$A195,IF(H$2=$A195,($B195/$B$188)*$B$185,IF(H$2&lt;=$A195+$B$188-1,$B195/$B$188,$B195-SUM($C195:G195))),0))</f>
        <v>0</v>
      </c>
      <c r="I195" s="4">
        <f>IF($B$188=0,0,IF(I$2&gt;=$A195,IF(I$2=$A195,($B195/$B$188)*$B$185,IF(I$2&lt;=$A195+$B$188-1,$B195/$B$188,$B195-SUM($C195:H195))),0))</f>
        <v>0</v>
      </c>
      <c r="J195" s="4">
        <f>IF($B$188=0,0,IF(J$2&gt;=$A195,IF(J$2=$A195,($B195/$B$188)*$B$185,IF(J$2&lt;=$A195+$B$188-1,$B195/$B$188,$B195-SUM($C195:I195))),0))</f>
        <v>0</v>
      </c>
      <c r="K195" s="4">
        <f>IF($B$188=0,0,IF(K$2&gt;=$A195,IF(K$2=$A195,($B195/$B$188)*$B$185,IF(K$2&lt;=$A195+$B$188-1,$B195/$B$188,$B195-SUM($C195:J195))),0))</f>
        <v>0</v>
      </c>
      <c r="L195" s="4">
        <f>IF($B$188=0,0,IF(L$2&gt;=$A195,IF(L$2=$A195,($B195/$B$188)*$B$185,IF(L$2&lt;=$A195+$B$188-1,$B195/$B$188,$B195-SUM($C195:K195))),0))</f>
        <v>0</v>
      </c>
      <c r="M195" s="4">
        <f>IF($B$188=0,0,IF(M$2&gt;=$A195,IF(M$2=$A195,($B195/$B$188)*$B$185,IF(M$2&lt;=$A195+$B$188-1,$B195/$B$188,$B195-SUM($C195:L195))),0))</f>
        <v>0</v>
      </c>
      <c r="N195" s="4">
        <f>IF($B$188=0,0,IF(N$2&gt;=$A195,IF(N$2=$A195,($B195/$B$188)*$B$185,IF(N$2&lt;=$A195+$B$188-1,$B195/$B$188,$B195-SUM($C195:M195))),0))</f>
        <v>0</v>
      </c>
      <c r="O195" s="4">
        <f>IF($B$188=0,0,IF(O$2&gt;=$A195,IF(O$2=$A195,($B195/$B$188)*$B$185,IF(O$2&lt;=$A195+$B$188-1,$B195/$B$188,$B195-SUM($C195:N195))),0))</f>
        <v>0</v>
      </c>
      <c r="P195" s="4">
        <f>IF($B$188=0,0,IF(P$2&gt;=$A195,IF(P$2=$A195,($B195/$B$188)*$B$185,IF(P$2&lt;=$A195+$B$188-1,$B195/$B$188,$B195-SUM($C195:O195))),0))</f>
        <v>0</v>
      </c>
      <c r="Q195" s="4">
        <f>IF($B$188=0,0,IF(Q$2&gt;=$A195,IF(Q$2=$A195,($B195/$B$188)*$B$185,IF(Q$2&lt;=$A195+$B$188-1,$B195/$B$188,$B195-SUM($C195:P195))),0))</f>
        <v>0</v>
      </c>
      <c r="R195" s="4">
        <f>IF($B$188=0,0,IF(R$2&gt;=$A195,IF(R$2=$A195,($B195/$B$188)*$B$185,IF(R$2&lt;=$A195+$B$188-1,$B195/$B$188,$B195-SUM($C195:Q195))),0))</f>
        <v>0</v>
      </c>
      <c r="S195" s="4">
        <f>IF($B$188=0,0,IF(S$2&gt;=$A195,IF(S$2=$A195,($B195/$B$188)*$B$185,IF(S$2&lt;=$A195+$B$188-1,$B195/$B$188,$B195-SUM($C195:R195))),0))</f>
        <v>0</v>
      </c>
      <c r="T195" s="4">
        <f>IF($B$188=0,0,IF(T$2&gt;=$A195,IF(T$2=$A195,($B195/$B$188)*$B$185,IF(T$2&lt;=$A195+$B$188-1,$B195/$B$188,$B195-SUM($C195:S195))),0))</f>
        <v>0</v>
      </c>
      <c r="U195" s="4">
        <f>IF($B$188=0,0,IF(U$2&gt;=$A195,IF(U$2=$A195,($B195/$B$188)*$B$185,IF(U$2&lt;=$A195+$B$188-1,$B195/$B$188,$B195-SUM($C195:T195))),0))</f>
        <v>0</v>
      </c>
      <c r="V195" s="4">
        <f>IF($B$188=0,0,IF(V$2&gt;=$A195,IF(V$2=$A195,($B195/$B$188)*$B$185,IF(V$2&lt;=$A195+$B$188-1,$B195/$B$188,$B195-SUM($C195:U195))),0))</f>
        <v>0</v>
      </c>
      <c r="W195" s="4">
        <f>IF($B$188=0,0,IF(W$2&gt;=$A195,IF(W$2=$A195,($B195/$B$188)*$B$185,IF(W$2&lt;=$A195+$B$188-1,$B195/$B$188,$B195-SUM($C195:V195))),0))</f>
        <v>0</v>
      </c>
      <c r="X195" s="4">
        <f>IF($B$188=0,0,IF(X$2&gt;=$A195,IF(X$2=$A195,($B195/$B$188)*$B$185,IF(X$2&lt;=$A195+$B$188-1,$B195/$B$188,$B195-SUM($C195:W195))),0))</f>
        <v>0</v>
      </c>
      <c r="Y195" s="4">
        <f>IF($B$188=0,0,IF(Y$2&gt;=$A195,IF(Y$2=$A195,($B195/$B$188)*$B$185,IF(Y$2&lt;=$A195+$B$188-1,$B195/$B$188,$B195-SUM($C195:X195))),0))</f>
        <v>0</v>
      </c>
      <c r="Z195" s="4">
        <f>IF($B$188=0,0,IF(Z$2&gt;=$A195,IF(Z$2=$A195,($B195/$B$188)*$B$185,IF(Z$2&lt;=$A195+$B$188-1,$B195/$B$188,$B195-SUM($C195:Y195))),0))</f>
        <v>0</v>
      </c>
      <c r="AA195" s="4">
        <f>IF($B$188=0,0,IF(AA$2&gt;=$A195,IF(AA$2=$A195,($B195/$B$188)*$B$185,IF(AA$2&lt;=$A195+$B$188-1,$B195/$B$188,$B195-SUM($C195:Z195))),0))</f>
        <v>0</v>
      </c>
      <c r="AB195" s="4">
        <f>IF($B$188=0,0,IF(AB$2&gt;=$A195,IF(AB$2=$A195,($B195/$B$188)*$B$185,IF(AB$2&lt;=$A195+$B$188-1,$B195/$B$188,$B195-SUM($C195:AA195))),0))</f>
        <v>0</v>
      </c>
      <c r="AC195" s="4">
        <f>IF($B$188=0,0,IF(AC$2&gt;=$A195,IF(AC$2=$A195,($B195/$B$188)*$B$185,IF(AC$2&lt;=$A195+$B$188-1,$B195/$B$188,$B195-SUM($C195:AB195))),0))</f>
        <v>0</v>
      </c>
      <c r="AD195" s="4">
        <f>IF($B$188=0,0,IF(AD$2&gt;=$A195,IF(AD$2=$A195,($B195/$B$188)*$B$185,IF(AD$2&lt;=$A195+$B$188-1,$B195/$B$188,$B195-SUM($C195:AC195))),0))</f>
        <v>0</v>
      </c>
      <c r="AE195" s="4">
        <f>IF($B$188=0,0,IF(AE$2&gt;=$A195,IF(AE$2=$A195,($B195/$B$188)*$B$185,IF(AE$2&lt;=$A195+$B$188-1,$B195/$B$188,$B195-SUM($C195:AD195))),0))</f>
        <v>0</v>
      </c>
      <c r="AF195" s="4">
        <f>IF($B$188=0,0,IF(AF$2&gt;=$A195,IF(AF$2=$A195,($B195/$B$188)*$B$185,IF(AF$2&lt;=$A195+$B$188-1,$B195/$B$188,$B195-SUM($C195:AE195))),0))</f>
        <v>0</v>
      </c>
      <c r="AG195" s="4">
        <f t="shared" si="138"/>
        <v>0</v>
      </c>
    </row>
    <row r="196" spans="1:33">
      <c r="A196" s="6">
        <f t="shared" si="139"/>
        <v>2029</v>
      </c>
      <c r="B196" s="4">
        <f t="shared" si="137"/>
        <v>0</v>
      </c>
      <c r="C196" s="4">
        <f>IF($B$188=0,0,IF(C$2&gt;=$A196,IF(C$2=$A196,($B196/$B$188)*$B$185,IF(C$2&lt;=$A196+$B$188-1,$B196/$B$188,$B196-SUM(B196:$C196))),0))</f>
        <v>0</v>
      </c>
      <c r="D196" s="4">
        <f>IF($B$188=0,0,IF(D$2&gt;=$A196,IF(D$2=$A196,($B196/$B$188)*$B$185,IF(D$2&lt;=$A196+$B$188-1,$B196/$B$188,$B196-SUM(C196:$C196))),0))</f>
        <v>0</v>
      </c>
      <c r="E196" s="4">
        <f>IF($B$188=0,0,IF(E$2&gt;=$A196,IF(E$2=$A196,($B196/$B$188)*$B$185,IF(E$2&lt;=$A196+$B$188-1,$B196/$B$188,$B196-SUM($C196:D196))),0))</f>
        <v>0</v>
      </c>
      <c r="F196" s="4">
        <f>IF($B$188=0,0,IF(F$2&gt;=$A196,IF(F$2=$A196,($B196/$B$188)*$B$185,IF(F$2&lt;=$A196+$B$188-1,$B196/$B$188,$B196-SUM($C196:E196))),0))</f>
        <v>0</v>
      </c>
      <c r="G196" s="4">
        <f>IF($B$188=0,0,IF(G$2&gt;=$A196,IF(G$2=$A196,($B196/$B$188)*$B$185,IF(G$2&lt;=$A196+$B$188-1,$B196/$B$188,$B196-SUM($C196:F196))),0))</f>
        <v>0</v>
      </c>
      <c r="H196" s="4">
        <f>IF($B$188=0,0,IF(H$2&gt;=$A196,IF(H$2=$A196,($B196/$B$188)*$B$185,IF(H$2&lt;=$A196+$B$188-1,$B196/$B$188,$B196-SUM($C196:G196))),0))</f>
        <v>0</v>
      </c>
      <c r="I196" s="4">
        <f>IF($B$188=0,0,IF(I$2&gt;=$A196,IF(I$2=$A196,($B196/$B$188)*$B$185,IF(I$2&lt;=$A196+$B$188-1,$B196/$B$188,$B196-SUM($C196:H196))),0))</f>
        <v>0</v>
      </c>
      <c r="J196" s="4">
        <f>IF($B$188=0,0,IF(J$2&gt;=$A196,IF(J$2=$A196,($B196/$B$188)*$B$185,IF(J$2&lt;=$A196+$B$188-1,$B196/$B$188,$B196-SUM($C196:I196))),0))</f>
        <v>0</v>
      </c>
      <c r="K196" s="4">
        <f>IF($B$188=0,0,IF(K$2&gt;=$A196,IF(K$2=$A196,($B196/$B$188)*$B$185,IF(K$2&lt;=$A196+$B$188-1,$B196/$B$188,$B196-SUM($C196:J196))),0))</f>
        <v>0</v>
      </c>
      <c r="L196" s="4">
        <f>IF($B$188=0,0,IF(L$2&gt;=$A196,IF(L$2=$A196,($B196/$B$188)*$B$185,IF(L$2&lt;=$A196+$B$188-1,$B196/$B$188,$B196-SUM($C196:K196))),0))</f>
        <v>0</v>
      </c>
      <c r="M196" s="4">
        <f>IF($B$188=0,0,IF(M$2&gt;=$A196,IF(M$2=$A196,($B196/$B$188)*$B$185,IF(M$2&lt;=$A196+$B$188-1,$B196/$B$188,$B196-SUM($C196:L196))),0))</f>
        <v>0</v>
      </c>
      <c r="N196" s="4">
        <f>IF($B$188=0,0,IF(N$2&gt;=$A196,IF(N$2=$A196,($B196/$B$188)*$B$185,IF(N$2&lt;=$A196+$B$188-1,$B196/$B$188,$B196-SUM($C196:M196))),0))</f>
        <v>0</v>
      </c>
      <c r="O196" s="4">
        <f>IF($B$188=0,0,IF(O$2&gt;=$A196,IF(O$2=$A196,($B196/$B$188)*$B$185,IF(O$2&lt;=$A196+$B$188-1,$B196/$B$188,$B196-SUM($C196:N196))),0))</f>
        <v>0</v>
      </c>
      <c r="P196" s="4">
        <f>IF($B$188=0,0,IF(P$2&gt;=$A196,IF(P$2=$A196,($B196/$B$188)*$B$185,IF(P$2&lt;=$A196+$B$188-1,$B196/$B$188,$B196-SUM($C196:O196))),0))</f>
        <v>0</v>
      </c>
      <c r="Q196" s="4">
        <f>IF($B$188=0,0,IF(Q$2&gt;=$A196,IF(Q$2=$A196,($B196/$B$188)*$B$185,IF(Q$2&lt;=$A196+$B$188-1,$B196/$B$188,$B196-SUM($C196:P196))),0))</f>
        <v>0</v>
      </c>
      <c r="R196" s="4">
        <f>IF($B$188=0,0,IF(R$2&gt;=$A196,IF(R$2=$A196,($B196/$B$188)*$B$185,IF(R$2&lt;=$A196+$B$188-1,$B196/$B$188,$B196-SUM($C196:Q196))),0))</f>
        <v>0</v>
      </c>
      <c r="S196" s="4">
        <f>IF($B$188=0,0,IF(S$2&gt;=$A196,IF(S$2=$A196,($B196/$B$188)*$B$185,IF(S$2&lt;=$A196+$B$188-1,$B196/$B$188,$B196-SUM($C196:R196))),0))</f>
        <v>0</v>
      </c>
      <c r="T196" s="4">
        <f>IF($B$188=0,0,IF(T$2&gt;=$A196,IF(T$2=$A196,($B196/$B$188)*$B$185,IF(T$2&lt;=$A196+$B$188-1,$B196/$B$188,$B196-SUM($C196:S196))),0))</f>
        <v>0</v>
      </c>
      <c r="U196" s="4">
        <f>IF($B$188=0,0,IF(U$2&gt;=$A196,IF(U$2=$A196,($B196/$B$188)*$B$185,IF(U$2&lt;=$A196+$B$188-1,$B196/$B$188,$B196-SUM($C196:T196))),0))</f>
        <v>0</v>
      </c>
      <c r="V196" s="4">
        <f>IF($B$188=0,0,IF(V$2&gt;=$A196,IF(V$2=$A196,($B196/$B$188)*$B$185,IF(V$2&lt;=$A196+$B$188-1,$B196/$B$188,$B196-SUM($C196:U196))),0))</f>
        <v>0</v>
      </c>
      <c r="W196" s="4">
        <f>IF($B$188=0,0,IF(W$2&gt;=$A196,IF(W$2=$A196,($B196/$B$188)*$B$185,IF(W$2&lt;=$A196+$B$188-1,$B196/$B$188,$B196-SUM($C196:V196))),0))</f>
        <v>0</v>
      </c>
      <c r="X196" s="4">
        <f>IF($B$188=0,0,IF(X$2&gt;=$A196,IF(X$2=$A196,($B196/$B$188)*$B$185,IF(X$2&lt;=$A196+$B$188-1,$B196/$B$188,$B196-SUM($C196:W196))),0))</f>
        <v>0</v>
      </c>
      <c r="Y196" s="4">
        <f>IF($B$188=0,0,IF(Y$2&gt;=$A196,IF(Y$2=$A196,($B196/$B$188)*$B$185,IF(Y$2&lt;=$A196+$B$188-1,$B196/$B$188,$B196-SUM($C196:X196))),0))</f>
        <v>0</v>
      </c>
      <c r="Z196" s="4">
        <f>IF($B$188=0,0,IF(Z$2&gt;=$A196,IF(Z$2=$A196,($B196/$B$188)*$B$185,IF(Z$2&lt;=$A196+$B$188-1,$B196/$B$188,$B196-SUM($C196:Y196))),0))</f>
        <v>0</v>
      </c>
      <c r="AA196" s="4">
        <f>IF($B$188=0,0,IF(AA$2&gt;=$A196,IF(AA$2=$A196,($B196/$B$188)*$B$185,IF(AA$2&lt;=$A196+$B$188-1,$B196/$B$188,$B196-SUM($C196:Z196))),0))</f>
        <v>0</v>
      </c>
      <c r="AB196" s="4">
        <f>IF($B$188=0,0,IF(AB$2&gt;=$A196,IF(AB$2=$A196,($B196/$B$188)*$B$185,IF(AB$2&lt;=$A196+$B$188-1,$B196/$B$188,$B196-SUM($C196:AA196))),0))</f>
        <v>0</v>
      </c>
      <c r="AC196" s="4">
        <f>IF($B$188=0,0,IF(AC$2&gt;=$A196,IF(AC$2=$A196,($B196/$B$188)*$B$185,IF(AC$2&lt;=$A196+$B$188-1,$B196/$B$188,$B196-SUM($C196:AB196))),0))</f>
        <v>0</v>
      </c>
      <c r="AD196" s="4">
        <f>IF($B$188=0,0,IF(AD$2&gt;=$A196,IF(AD$2=$A196,($B196/$B$188)*$B$185,IF(AD$2&lt;=$A196+$B$188-1,$B196/$B$188,$B196-SUM($C196:AC196))),0))</f>
        <v>0</v>
      </c>
      <c r="AE196" s="4">
        <f>IF($B$188=0,0,IF(AE$2&gt;=$A196,IF(AE$2=$A196,($B196/$B$188)*$B$185,IF(AE$2&lt;=$A196+$B$188-1,$B196/$B$188,$B196-SUM($C196:AD196))),0))</f>
        <v>0</v>
      </c>
      <c r="AF196" s="4">
        <f>IF($B$188=0,0,IF(AF$2&gt;=$A196,IF(AF$2=$A196,($B196/$B$188)*$B$185,IF(AF$2&lt;=$A196+$B$188-1,$B196/$B$188,$B196-SUM($C196:AE196))),0))</f>
        <v>0</v>
      </c>
      <c r="AG196" s="4">
        <f t="shared" si="138"/>
        <v>0</v>
      </c>
    </row>
    <row r="197" spans="1:33">
      <c r="A197" s="6">
        <f t="shared" si="139"/>
        <v>2030</v>
      </c>
      <c r="B197" s="4">
        <f t="shared" si="137"/>
        <v>0</v>
      </c>
      <c r="C197" s="4">
        <f>IF($B$188=0,0,IF(C$2&gt;=$A197,IF(C$2=$A197,($B197/$B$188)*$B$185,IF(C$2&lt;=$A197+$B$188-1,$B197/$B$188,$B197-SUM(B197:$C197))),0))</f>
        <v>0</v>
      </c>
      <c r="D197" s="4">
        <f>IF($B$188=0,0,IF(D$2&gt;=$A197,IF(D$2=$A197,($B197/$B$188)*$B$185,IF(D$2&lt;=$A197+$B$188-1,$B197/$B$188,$B197-SUM(C197:$C197))),0))</f>
        <v>0</v>
      </c>
      <c r="E197" s="4">
        <f>IF($B$188=0,0,IF(E$2&gt;=$A197,IF(E$2=$A197,($B197/$B$188)*$B$185,IF(E$2&lt;=$A197+$B$188-1,$B197/$B$188,$B197-SUM($C197:D197))),0))</f>
        <v>0</v>
      </c>
      <c r="F197" s="4">
        <f>IF($B$188=0,0,IF(F$2&gt;=$A197,IF(F$2=$A197,($B197/$B$188)*$B$185,IF(F$2&lt;=$A197+$B$188-1,$B197/$B$188,$B197-SUM($C197:E197))),0))</f>
        <v>0</v>
      </c>
      <c r="G197" s="4">
        <f>IF($B$188=0,0,IF(G$2&gt;=$A197,IF(G$2=$A197,($B197/$B$188)*$B$185,IF(G$2&lt;=$A197+$B$188-1,$B197/$B$188,$B197-SUM($C197:F197))),0))</f>
        <v>0</v>
      </c>
      <c r="H197" s="4">
        <f>IF($B$188=0,0,IF(H$2&gt;=$A197,IF(H$2=$A197,($B197/$B$188)*$B$185,IF(H$2&lt;=$A197+$B$188-1,$B197/$B$188,$B197-SUM($C197:G197))),0))</f>
        <v>0</v>
      </c>
      <c r="I197" s="4">
        <f>IF($B$188=0,0,IF(I$2&gt;=$A197,IF(I$2=$A197,($B197/$B$188)*$B$185,IF(I$2&lt;=$A197+$B$188-1,$B197/$B$188,$B197-SUM($C197:H197))),0))</f>
        <v>0</v>
      </c>
      <c r="J197" s="4">
        <f>IF($B$188=0,0,IF(J$2&gt;=$A197,IF(J$2=$A197,($B197/$B$188)*$B$185,IF(J$2&lt;=$A197+$B$188-1,$B197/$B$188,$B197-SUM($C197:I197))),0))</f>
        <v>0</v>
      </c>
      <c r="K197" s="4">
        <f>IF($B$188=0,0,IF(K$2&gt;=$A197,IF(K$2=$A197,($B197/$B$188)*$B$185,IF(K$2&lt;=$A197+$B$188-1,$B197/$B$188,$B197-SUM($C197:J197))),0))</f>
        <v>0</v>
      </c>
      <c r="L197" s="4">
        <f>IF($B$188=0,0,IF(L$2&gt;=$A197,IF(L$2=$A197,($B197/$B$188)*$B$185,IF(L$2&lt;=$A197+$B$188-1,$B197/$B$188,$B197-SUM($C197:K197))),0))</f>
        <v>0</v>
      </c>
      <c r="M197" s="4">
        <f>IF($B$188=0,0,IF(M$2&gt;=$A197,IF(M$2=$A197,($B197/$B$188)*$B$185,IF(M$2&lt;=$A197+$B$188-1,$B197/$B$188,$B197-SUM($C197:L197))),0))</f>
        <v>0</v>
      </c>
      <c r="N197" s="4">
        <f>IF($B$188=0,0,IF(N$2&gt;=$A197,IF(N$2=$A197,($B197/$B$188)*$B$185,IF(N$2&lt;=$A197+$B$188-1,$B197/$B$188,$B197-SUM($C197:M197))),0))</f>
        <v>0</v>
      </c>
      <c r="O197" s="4">
        <f>IF($B$188=0,0,IF(O$2&gt;=$A197,IF(O$2=$A197,($B197/$B$188)*$B$185,IF(O$2&lt;=$A197+$B$188-1,$B197/$B$188,$B197-SUM($C197:N197))),0))</f>
        <v>0</v>
      </c>
      <c r="P197" s="4">
        <f>IF($B$188=0,0,IF(P$2&gt;=$A197,IF(P$2=$A197,($B197/$B$188)*$B$185,IF(P$2&lt;=$A197+$B$188-1,$B197/$B$188,$B197-SUM($C197:O197))),0))</f>
        <v>0</v>
      </c>
      <c r="Q197" s="4">
        <f>IF($B$188=0,0,IF(Q$2&gt;=$A197,IF(Q$2=$A197,($B197/$B$188)*$B$185,IF(Q$2&lt;=$A197+$B$188-1,$B197/$B$188,$B197-SUM($C197:P197))),0))</f>
        <v>0</v>
      </c>
      <c r="R197" s="4">
        <f>IF($B$188=0,0,IF(R$2&gt;=$A197,IF(R$2=$A197,($B197/$B$188)*$B$185,IF(R$2&lt;=$A197+$B$188-1,$B197/$B$188,$B197-SUM($C197:Q197))),0))</f>
        <v>0</v>
      </c>
      <c r="S197" s="4">
        <f>IF($B$188=0,0,IF(S$2&gt;=$A197,IF(S$2=$A197,($B197/$B$188)*$B$185,IF(S$2&lt;=$A197+$B$188-1,$B197/$B$188,$B197-SUM($C197:R197))),0))</f>
        <v>0</v>
      </c>
      <c r="T197" s="4">
        <f>IF($B$188=0,0,IF(T$2&gt;=$A197,IF(T$2=$A197,($B197/$B$188)*$B$185,IF(T$2&lt;=$A197+$B$188-1,$B197/$B$188,$B197-SUM($C197:S197))),0))</f>
        <v>0</v>
      </c>
      <c r="U197" s="4">
        <f>IF($B$188=0,0,IF(U$2&gt;=$A197,IF(U$2=$A197,($B197/$B$188)*$B$185,IF(U$2&lt;=$A197+$B$188-1,$B197/$B$188,$B197-SUM($C197:T197))),0))</f>
        <v>0</v>
      </c>
      <c r="V197" s="4">
        <f>IF($B$188=0,0,IF(V$2&gt;=$A197,IF(V$2=$A197,($B197/$B$188)*$B$185,IF(V$2&lt;=$A197+$B$188-1,$B197/$B$188,$B197-SUM($C197:U197))),0))</f>
        <v>0</v>
      </c>
      <c r="W197" s="4">
        <f>IF($B$188=0,0,IF(W$2&gt;=$A197,IF(W$2=$A197,($B197/$B$188)*$B$185,IF(W$2&lt;=$A197+$B$188-1,$B197/$B$188,$B197-SUM($C197:V197))),0))</f>
        <v>0</v>
      </c>
      <c r="X197" s="4">
        <f>IF($B$188=0,0,IF(X$2&gt;=$A197,IF(X$2=$A197,($B197/$B$188)*$B$185,IF(X$2&lt;=$A197+$B$188-1,$B197/$B$188,$B197-SUM($C197:W197))),0))</f>
        <v>0</v>
      </c>
      <c r="Y197" s="4">
        <f>IF($B$188=0,0,IF(Y$2&gt;=$A197,IF(Y$2=$A197,($B197/$B$188)*$B$185,IF(Y$2&lt;=$A197+$B$188-1,$B197/$B$188,$B197-SUM($C197:X197))),0))</f>
        <v>0</v>
      </c>
      <c r="Z197" s="4">
        <f>IF($B$188=0,0,IF(Z$2&gt;=$A197,IF(Z$2=$A197,($B197/$B$188)*$B$185,IF(Z$2&lt;=$A197+$B$188-1,$B197/$B$188,$B197-SUM($C197:Y197))),0))</f>
        <v>0</v>
      </c>
      <c r="AA197" s="4">
        <f>IF($B$188=0,0,IF(AA$2&gt;=$A197,IF(AA$2=$A197,($B197/$B$188)*$B$185,IF(AA$2&lt;=$A197+$B$188-1,$B197/$B$188,$B197-SUM($C197:Z197))),0))</f>
        <v>0</v>
      </c>
      <c r="AB197" s="4">
        <f>IF($B$188=0,0,IF(AB$2&gt;=$A197,IF(AB$2=$A197,($B197/$B$188)*$B$185,IF(AB$2&lt;=$A197+$B$188-1,$B197/$B$188,$B197-SUM($C197:AA197))),0))</f>
        <v>0</v>
      </c>
      <c r="AC197" s="4">
        <f>IF($B$188=0,0,IF(AC$2&gt;=$A197,IF(AC$2=$A197,($B197/$B$188)*$B$185,IF(AC$2&lt;=$A197+$B$188-1,$B197/$B$188,$B197-SUM($C197:AB197))),0))</f>
        <v>0</v>
      </c>
      <c r="AD197" s="4">
        <f>IF($B$188=0,0,IF(AD$2&gt;=$A197,IF(AD$2=$A197,($B197/$B$188)*$B$185,IF(AD$2&lt;=$A197+$B$188-1,$B197/$B$188,$B197-SUM($C197:AC197))),0))</f>
        <v>0</v>
      </c>
      <c r="AE197" s="4">
        <f>IF($B$188=0,0,IF(AE$2&gt;=$A197,IF(AE$2=$A197,($B197/$B$188)*$B$185,IF(AE$2&lt;=$A197+$B$188-1,$B197/$B$188,$B197-SUM($C197:AD197))),0))</f>
        <v>0</v>
      </c>
      <c r="AF197" s="4">
        <f>IF($B$188=0,0,IF(AF$2&gt;=$A197,IF(AF$2=$A197,($B197/$B$188)*$B$185,IF(AF$2&lt;=$A197+$B$188-1,$B197/$B$188,$B197-SUM($C197:AE197))),0))</f>
        <v>0</v>
      </c>
      <c r="AG197" s="4">
        <f t="shared" si="138"/>
        <v>0</v>
      </c>
    </row>
    <row r="198" spans="1:33">
      <c r="A198" s="6">
        <f t="shared" si="139"/>
        <v>2031</v>
      </c>
      <c r="B198" s="4">
        <f t="shared" si="137"/>
        <v>0</v>
      </c>
      <c r="C198" s="4">
        <f>IF($B$188=0,0,IF(C$2&gt;=$A198,IF(C$2=$A198,($B198/$B$188)*$B$185,IF(C$2&lt;=$A198+$B$188-1,$B198/$B$188,$B198-SUM(B198:$C198))),0))</f>
        <v>0</v>
      </c>
      <c r="D198" s="4">
        <f>IF($B$188=0,0,IF(D$2&gt;=$A198,IF(D$2=$A198,($B198/$B$188)*$B$185,IF(D$2&lt;=$A198+$B$188-1,$B198/$B$188,$B198-SUM(C198:$C198))),0))</f>
        <v>0</v>
      </c>
      <c r="E198" s="4">
        <f>IF($B$188=0,0,IF(E$2&gt;=$A198,IF(E$2=$A198,($B198/$B$188)*$B$185,IF(E$2&lt;=$A198+$B$188-1,$B198/$B$188,$B198-SUM($C198:D198))),0))</f>
        <v>0</v>
      </c>
      <c r="F198" s="4">
        <f>IF($B$188=0,0,IF(F$2&gt;=$A198,IF(F$2=$A198,($B198/$B$188)*$B$185,IF(F$2&lt;=$A198+$B$188-1,$B198/$B$188,$B198-SUM($C198:E198))),0))</f>
        <v>0</v>
      </c>
      <c r="G198" s="4">
        <f>IF($B$188=0,0,IF(G$2&gt;=$A198,IF(G$2=$A198,($B198/$B$188)*$B$185,IF(G$2&lt;=$A198+$B$188-1,$B198/$B$188,$B198-SUM($C198:F198))),0))</f>
        <v>0</v>
      </c>
      <c r="H198" s="4">
        <f>IF($B$188=0,0,IF(H$2&gt;=$A198,IF(H$2=$A198,($B198/$B$188)*$B$185,IF(H$2&lt;=$A198+$B$188-1,$B198/$B$188,$B198-SUM($C198:G198))),0))</f>
        <v>0</v>
      </c>
      <c r="I198" s="4">
        <f>IF($B$188=0,0,IF(I$2&gt;=$A198,IF(I$2=$A198,($B198/$B$188)*$B$185,IF(I$2&lt;=$A198+$B$188-1,$B198/$B$188,$B198-SUM($C198:H198))),0))</f>
        <v>0</v>
      </c>
      <c r="J198" s="4">
        <f>IF($B$188=0,0,IF(J$2&gt;=$A198,IF(J$2=$A198,($B198/$B$188)*$B$185,IF(J$2&lt;=$A198+$B$188-1,$B198/$B$188,$B198-SUM($C198:I198))),0))</f>
        <v>0</v>
      </c>
      <c r="K198" s="4">
        <f>IF($B$188=0,0,IF(K$2&gt;=$A198,IF(K$2=$A198,($B198/$B$188)*$B$185,IF(K$2&lt;=$A198+$B$188-1,$B198/$B$188,$B198-SUM($C198:J198))),0))</f>
        <v>0</v>
      </c>
      <c r="L198" s="4">
        <f>IF($B$188=0,0,IF(L$2&gt;=$A198,IF(L$2=$A198,($B198/$B$188)*$B$185,IF(L$2&lt;=$A198+$B$188-1,$B198/$B$188,$B198-SUM($C198:K198))),0))</f>
        <v>0</v>
      </c>
      <c r="M198" s="4">
        <f>IF($B$188=0,0,IF(M$2&gt;=$A198,IF(M$2=$A198,($B198/$B$188)*$B$185,IF(M$2&lt;=$A198+$B$188-1,$B198/$B$188,$B198-SUM($C198:L198))),0))</f>
        <v>0</v>
      </c>
      <c r="N198" s="4">
        <f>IF($B$188=0,0,IF(N$2&gt;=$A198,IF(N$2=$A198,($B198/$B$188)*$B$185,IF(N$2&lt;=$A198+$B$188-1,$B198/$B$188,$B198-SUM($C198:M198))),0))</f>
        <v>0</v>
      </c>
      <c r="O198" s="4">
        <f>IF($B$188=0,0,IF(O$2&gt;=$A198,IF(O$2=$A198,($B198/$B$188)*$B$185,IF(O$2&lt;=$A198+$B$188-1,$B198/$B$188,$B198-SUM($C198:N198))),0))</f>
        <v>0</v>
      </c>
      <c r="P198" s="4">
        <f>IF($B$188=0,0,IF(P$2&gt;=$A198,IF(P$2=$A198,($B198/$B$188)*$B$185,IF(P$2&lt;=$A198+$B$188-1,$B198/$B$188,$B198-SUM($C198:O198))),0))</f>
        <v>0</v>
      </c>
      <c r="Q198" s="4">
        <f>IF($B$188=0,0,IF(Q$2&gt;=$A198,IF(Q$2=$A198,($B198/$B$188)*$B$185,IF(Q$2&lt;=$A198+$B$188-1,$B198/$B$188,$B198-SUM($C198:P198))),0))</f>
        <v>0</v>
      </c>
      <c r="R198" s="4">
        <f>IF($B$188=0,0,IF(R$2&gt;=$A198,IF(R$2=$A198,($B198/$B$188)*$B$185,IF(R$2&lt;=$A198+$B$188-1,$B198/$B$188,$B198-SUM($C198:Q198))),0))</f>
        <v>0</v>
      </c>
      <c r="S198" s="4">
        <f>IF($B$188=0,0,IF(S$2&gt;=$A198,IF(S$2=$A198,($B198/$B$188)*$B$185,IF(S$2&lt;=$A198+$B$188-1,$B198/$B$188,$B198-SUM($C198:R198))),0))</f>
        <v>0</v>
      </c>
      <c r="T198" s="4">
        <f>IF($B$188=0,0,IF(T$2&gt;=$A198,IF(T$2=$A198,($B198/$B$188)*$B$185,IF(T$2&lt;=$A198+$B$188-1,$B198/$B$188,$B198-SUM($C198:S198))),0))</f>
        <v>0</v>
      </c>
      <c r="U198" s="4">
        <f>IF($B$188=0,0,IF(U$2&gt;=$A198,IF(U$2=$A198,($B198/$B$188)*$B$185,IF(U$2&lt;=$A198+$B$188-1,$B198/$B$188,$B198-SUM($C198:T198))),0))</f>
        <v>0</v>
      </c>
      <c r="V198" s="4">
        <f>IF($B$188=0,0,IF(V$2&gt;=$A198,IF(V$2=$A198,($B198/$B$188)*$B$185,IF(V$2&lt;=$A198+$B$188-1,$B198/$B$188,$B198-SUM($C198:U198))),0))</f>
        <v>0</v>
      </c>
      <c r="W198" s="4">
        <f>IF($B$188=0,0,IF(W$2&gt;=$A198,IF(W$2=$A198,($B198/$B$188)*$B$185,IF(W$2&lt;=$A198+$B$188-1,$B198/$B$188,$B198-SUM($C198:V198))),0))</f>
        <v>0</v>
      </c>
      <c r="X198" s="4">
        <f>IF($B$188=0,0,IF(X$2&gt;=$A198,IF(X$2=$A198,($B198/$B$188)*$B$185,IF(X$2&lt;=$A198+$B$188-1,$B198/$B$188,$B198-SUM($C198:W198))),0))</f>
        <v>0</v>
      </c>
      <c r="Y198" s="4">
        <f>IF($B$188=0,0,IF(Y$2&gt;=$A198,IF(Y$2=$A198,($B198/$B$188)*$B$185,IF(Y$2&lt;=$A198+$B$188-1,$B198/$B$188,$B198-SUM($C198:X198))),0))</f>
        <v>0</v>
      </c>
      <c r="Z198" s="4">
        <f>IF($B$188=0,0,IF(Z$2&gt;=$A198,IF(Z$2=$A198,($B198/$B$188)*$B$185,IF(Z$2&lt;=$A198+$B$188-1,$B198/$B$188,$B198-SUM($C198:Y198))),0))</f>
        <v>0</v>
      </c>
      <c r="AA198" s="4">
        <f>IF($B$188=0,0,IF(AA$2&gt;=$A198,IF(AA$2=$A198,($B198/$B$188)*$B$185,IF(AA$2&lt;=$A198+$B$188-1,$B198/$B$188,$B198-SUM($C198:Z198))),0))</f>
        <v>0</v>
      </c>
      <c r="AB198" s="4">
        <f>IF($B$188=0,0,IF(AB$2&gt;=$A198,IF(AB$2=$A198,($B198/$B$188)*$B$185,IF(AB$2&lt;=$A198+$B$188-1,$B198/$B$188,$B198-SUM($C198:AA198))),0))</f>
        <v>0</v>
      </c>
      <c r="AC198" s="4">
        <f>IF($B$188=0,0,IF(AC$2&gt;=$A198,IF(AC$2=$A198,($B198/$B$188)*$B$185,IF(AC$2&lt;=$A198+$B$188-1,$B198/$B$188,$B198-SUM($C198:AB198))),0))</f>
        <v>0</v>
      </c>
      <c r="AD198" s="4">
        <f>IF($B$188=0,0,IF(AD$2&gt;=$A198,IF(AD$2=$A198,($B198/$B$188)*$B$185,IF(AD$2&lt;=$A198+$B$188-1,$B198/$B$188,$B198-SUM($C198:AC198))),0))</f>
        <v>0</v>
      </c>
      <c r="AE198" s="4">
        <f>IF($B$188=0,0,IF(AE$2&gt;=$A198,IF(AE$2=$A198,($B198/$B$188)*$B$185,IF(AE$2&lt;=$A198+$B$188-1,$B198/$B$188,$B198-SUM($C198:AD198))),0))</f>
        <v>0</v>
      </c>
      <c r="AF198" s="4">
        <f>IF($B$188=0,0,IF(AF$2&gt;=$A198,IF(AF$2=$A198,($B198/$B$188)*$B$185,IF(AF$2&lt;=$A198+$B$188-1,$B198/$B$188,$B198-SUM($C198:AE198))),0))</f>
        <v>0</v>
      </c>
      <c r="AG198" s="4">
        <f t="shared" si="138"/>
        <v>0</v>
      </c>
    </row>
    <row r="199" spans="1:33">
      <c r="A199" s="6">
        <f t="shared" si="139"/>
        <v>2032</v>
      </c>
      <c r="B199" s="4">
        <f t="shared" si="137"/>
        <v>0</v>
      </c>
      <c r="C199" s="4">
        <f>IF($B$188=0,0,IF(C$2&gt;=$A199,IF(C$2=$A199,($B199/$B$188)*$B$185,IF(C$2&lt;=$A199+$B$188-1,$B199/$B$188,$B199-SUM(B199:$C199))),0))</f>
        <v>0</v>
      </c>
      <c r="D199" s="4">
        <f>IF($B$188=0,0,IF(D$2&gt;=$A199,IF(D$2=$A199,($B199/$B$188)*$B$185,IF(D$2&lt;=$A199+$B$188-1,$B199/$B$188,$B199-SUM(C199:$C199))),0))</f>
        <v>0</v>
      </c>
      <c r="E199" s="4">
        <f>IF($B$188=0,0,IF(E$2&gt;=$A199,IF(E$2=$A199,($B199/$B$188)*$B$185,IF(E$2&lt;=$A199+$B$188-1,$B199/$B$188,$B199-SUM($C199:D199))),0))</f>
        <v>0</v>
      </c>
      <c r="F199" s="4">
        <f>IF($B$188=0,0,IF(F$2&gt;=$A199,IF(F$2=$A199,($B199/$B$188)*$B$185,IF(F$2&lt;=$A199+$B$188-1,$B199/$B$188,$B199-SUM($C199:E199))),0))</f>
        <v>0</v>
      </c>
      <c r="G199" s="4">
        <f>IF($B$188=0,0,IF(G$2&gt;=$A199,IF(G$2=$A199,($B199/$B$188)*$B$185,IF(G$2&lt;=$A199+$B$188-1,$B199/$B$188,$B199-SUM($C199:F199))),0))</f>
        <v>0</v>
      </c>
      <c r="H199" s="4">
        <f>IF($B$188=0,0,IF(H$2&gt;=$A199,IF(H$2=$A199,($B199/$B$188)*$B$185,IF(H$2&lt;=$A199+$B$188-1,$B199/$B$188,$B199-SUM($C199:G199))),0))</f>
        <v>0</v>
      </c>
      <c r="I199" s="4">
        <f>IF($B$188=0,0,IF(I$2&gt;=$A199,IF(I$2=$A199,($B199/$B$188)*$B$185,IF(I$2&lt;=$A199+$B$188-1,$B199/$B$188,$B199-SUM($C199:H199))),0))</f>
        <v>0</v>
      </c>
      <c r="J199" s="4">
        <f>IF($B$188=0,0,IF(J$2&gt;=$A199,IF(J$2=$A199,($B199/$B$188)*$B$185,IF(J$2&lt;=$A199+$B$188-1,$B199/$B$188,$B199-SUM($C199:I199))),0))</f>
        <v>0</v>
      </c>
      <c r="K199" s="4">
        <f>IF($B$188=0,0,IF(K$2&gt;=$A199,IF(K$2=$A199,($B199/$B$188)*$B$185,IF(K$2&lt;=$A199+$B$188-1,$B199/$B$188,$B199-SUM($C199:J199))),0))</f>
        <v>0</v>
      </c>
      <c r="L199" s="4">
        <f>IF($B$188=0,0,IF(L$2&gt;=$A199,IF(L$2=$A199,($B199/$B$188)*$B$185,IF(L$2&lt;=$A199+$B$188-1,$B199/$B$188,$B199-SUM($C199:K199))),0))</f>
        <v>0</v>
      </c>
      <c r="M199" s="4">
        <f>IF($B$188=0,0,IF(M$2&gt;=$A199,IF(M$2=$A199,($B199/$B$188)*$B$185,IF(M$2&lt;=$A199+$B$188-1,$B199/$B$188,$B199-SUM($C199:L199))),0))</f>
        <v>0</v>
      </c>
      <c r="N199" s="4">
        <f>IF($B$188=0,0,IF(N$2&gt;=$A199,IF(N$2=$A199,($B199/$B$188)*$B$185,IF(N$2&lt;=$A199+$B$188-1,$B199/$B$188,$B199-SUM($C199:M199))),0))</f>
        <v>0</v>
      </c>
      <c r="O199" s="4">
        <f>IF($B$188=0,0,IF(O$2&gt;=$A199,IF(O$2=$A199,($B199/$B$188)*$B$185,IF(O$2&lt;=$A199+$B$188-1,$B199/$B$188,$B199-SUM($C199:N199))),0))</f>
        <v>0</v>
      </c>
      <c r="P199" s="4">
        <f>IF($B$188=0,0,IF(P$2&gt;=$A199,IF(P$2=$A199,($B199/$B$188)*$B$185,IF(P$2&lt;=$A199+$B$188-1,$B199/$B$188,$B199-SUM($C199:O199))),0))</f>
        <v>0</v>
      </c>
      <c r="Q199" s="4">
        <f>IF($B$188=0,0,IF(Q$2&gt;=$A199,IF(Q$2=$A199,($B199/$B$188)*$B$185,IF(Q$2&lt;=$A199+$B$188-1,$B199/$B$188,$B199-SUM($C199:P199))),0))</f>
        <v>0</v>
      </c>
      <c r="R199" s="4">
        <f>IF($B$188=0,0,IF(R$2&gt;=$A199,IF(R$2=$A199,($B199/$B$188)*$B$185,IF(R$2&lt;=$A199+$B$188-1,$B199/$B$188,$B199-SUM($C199:Q199))),0))</f>
        <v>0</v>
      </c>
      <c r="S199" s="4">
        <f>IF($B$188=0,0,IF(S$2&gt;=$A199,IF(S$2=$A199,($B199/$B$188)*$B$185,IF(S$2&lt;=$A199+$B$188-1,$B199/$B$188,$B199-SUM($C199:R199))),0))</f>
        <v>0</v>
      </c>
      <c r="T199" s="4">
        <f>IF($B$188=0,0,IF(T$2&gt;=$A199,IF(T$2=$A199,($B199/$B$188)*$B$185,IF(T$2&lt;=$A199+$B$188-1,$B199/$B$188,$B199-SUM($C199:S199))),0))</f>
        <v>0</v>
      </c>
      <c r="U199" s="4">
        <f>IF($B$188=0,0,IF(U$2&gt;=$A199,IF(U$2=$A199,($B199/$B$188)*$B$185,IF(U$2&lt;=$A199+$B$188-1,$B199/$B$188,$B199-SUM($C199:T199))),0))</f>
        <v>0</v>
      </c>
      <c r="V199" s="4">
        <f>IF($B$188=0,0,IF(V$2&gt;=$A199,IF(V$2=$A199,($B199/$B$188)*$B$185,IF(V$2&lt;=$A199+$B$188-1,$B199/$B$188,$B199-SUM($C199:U199))),0))</f>
        <v>0</v>
      </c>
      <c r="W199" s="4">
        <f>IF($B$188=0,0,IF(W$2&gt;=$A199,IF(W$2=$A199,($B199/$B$188)*$B$185,IF(W$2&lt;=$A199+$B$188-1,$B199/$B$188,$B199-SUM($C199:V199))),0))</f>
        <v>0</v>
      </c>
      <c r="X199" s="4">
        <f>IF($B$188=0,0,IF(X$2&gt;=$A199,IF(X$2=$A199,($B199/$B$188)*$B$185,IF(X$2&lt;=$A199+$B$188-1,$B199/$B$188,$B199-SUM($C199:W199))),0))</f>
        <v>0</v>
      </c>
      <c r="Y199" s="4">
        <f>IF($B$188=0,0,IF(Y$2&gt;=$A199,IF(Y$2=$A199,($B199/$B$188)*$B$185,IF(Y$2&lt;=$A199+$B$188-1,$B199/$B$188,$B199-SUM($C199:X199))),0))</f>
        <v>0</v>
      </c>
      <c r="Z199" s="4">
        <f>IF($B$188=0,0,IF(Z$2&gt;=$A199,IF(Z$2=$A199,($B199/$B$188)*$B$185,IF(Z$2&lt;=$A199+$B$188-1,$B199/$B$188,$B199-SUM($C199:Y199))),0))</f>
        <v>0</v>
      </c>
      <c r="AA199" s="4">
        <f>IF($B$188=0,0,IF(AA$2&gt;=$A199,IF(AA$2=$A199,($B199/$B$188)*$B$185,IF(AA$2&lt;=$A199+$B$188-1,$B199/$B$188,$B199-SUM($C199:Z199))),0))</f>
        <v>0</v>
      </c>
      <c r="AB199" s="4">
        <f>IF($B$188=0,0,IF(AB$2&gt;=$A199,IF(AB$2=$A199,($B199/$B$188)*$B$185,IF(AB$2&lt;=$A199+$B$188-1,$B199/$B$188,$B199-SUM($C199:AA199))),0))</f>
        <v>0</v>
      </c>
      <c r="AC199" s="4">
        <f>IF($B$188=0,0,IF(AC$2&gt;=$A199,IF(AC$2=$A199,($B199/$B$188)*$B$185,IF(AC$2&lt;=$A199+$B$188-1,$B199/$B$188,$B199-SUM($C199:AB199))),0))</f>
        <v>0</v>
      </c>
      <c r="AD199" s="4">
        <f>IF($B$188=0,0,IF(AD$2&gt;=$A199,IF(AD$2=$A199,($B199/$B$188)*$B$185,IF(AD$2&lt;=$A199+$B$188-1,$B199/$B$188,$B199-SUM($C199:AC199))),0))</f>
        <v>0</v>
      </c>
      <c r="AE199" s="4">
        <f>IF($B$188=0,0,IF(AE$2&gt;=$A199,IF(AE$2=$A199,($B199/$B$188)*$B$185,IF(AE$2&lt;=$A199+$B$188-1,$B199/$B$188,$B199-SUM($C199:AD199))),0))</f>
        <v>0</v>
      </c>
      <c r="AF199" s="4">
        <f>IF($B$188=0,0,IF(AF$2&gt;=$A199,IF(AF$2=$A199,($B199/$B$188)*$B$185,IF(AF$2&lt;=$A199+$B$188-1,$B199/$B$188,$B199-SUM($C199:AE199))),0))</f>
        <v>0</v>
      </c>
      <c r="AG199" s="4">
        <f t="shared" si="138"/>
        <v>0</v>
      </c>
    </row>
    <row r="200" spans="1:33">
      <c r="A200" s="6">
        <f t="shared" si="139"/>
        <v>2033</v>
      </c>
      <c r="B200" s="4">
        <f t="shared" si="137"/>
        <v>0</v>
      </c>
      <c r="C200" s="4">
        <f>IF($B$188=0,0,IF(C$2&gt;=$A200,IF(C$2=$A200,($B200/$B$188)*$B$185,IF(C$2&lt;=$A200+$B$188-1,$B200/$B$188,$B200-SUM(B200:$C200))),0))</f>
        <v>0</v>
      </c>
      <c r="D200" s="4">
        <f>IF($B$188=0,0,IF(D$2&gt;=$A200,IF(D$2=$A200,($B200/$B$188)*$B$185,IF(D$2&lt;=$A200+$B$188-1,$B200/$B$188,$B200-SUM(C200:$C200))),0))</f>
        <v>0</v>
      </c>
      <c r="E200" s="4">
        <f>IF($B$188=0,0,IF(E$2&gt;=$A200,IF(E$2=$A200,($B200/$B$188)*$B$185,IF(E$2&lt;=$A200+$B$188-1,$B200/$B$188,$B200-SUM($C200:D200))),0))</f>
        <v>0</v>
      </c>
      <c r="F200" s="4">
        <f>IF($B$188=0,0,IF(F$2&gt;=$A200,IF(F$2=$A200,($B200/$B$188)*$B$185,IF(F$2&lt;=$A200+$B$188-1,$B200/$B$188,$B200-SUM($C200:E200))),0))</f>
        <v>0</v>
      </c>
      <c r="G200" s="4">
        <f>IF($B$188=0,0,IF(G$2&gt;=$A200,IF(G$2=$A200,($B200/$B$188)*$B$185,IF(G$2&lt;=$A200+$B$188-1,$B200/$B$188,$B200-SUM($C200:F200))),0))</f>
        <v>0</v>
      </c>
      <c r="H200" s="4">
        <f>IF($B$188=0,0,IF(H$2&gt;=$A200,IF(H$2=$A200,($B200/$B$188)*$B$185,IF(H$2&lt;=$A200+$B$188-1,$B200/$B$188,$B200-SUM($C200:G200))),0))</f>
        <v>0</v>
      </c>
      <c r="I200" s="4">
        <f>IF($B$188=0,0,IF(I$2&gt;=$A200,IF(I$2=$A200,($B200/$B$188)*$B$185,IF(I$2&lt;=$A200+$B$188-1,$B200/$B$188,$B200-SUM($C200:H200))),0))</f>
        <v>0</v>
      </c>
      <c r="J200" s="4">
        <f>IF($B$188=0,0,IF(J$2&gt;=$A200,IF(J$2=$A200,($B200/$B$188)*$B$185,IF(J$2&lt;=$A200+$B$188-1,$B200/$B$188,$B200-SUM($C200:I200))),0))</f>
        <v>0</v>
      </c>
      <c r="K200" s="4">
        <f>IF($B$188=0,0,IF(K$2&gt;=$A200,IF(K$2=$A200,($B200/$B$188)*$B$185,IF(K$2&lt;=$A200+$B$188-1,$B200/$B$188,$B200-SUM($C200:J200))),0))</f>
        <v>0</v>
      </c>
      <c r="L200" s="4">
        <f>IF($B$188=0,0,IF(L$2&gt;=$A200,IF(L$2=$A200,($B200/$B$188)*$B$185,IF(L$2&lt;=$A200+$B$188-1,$B200/$B$188,$B200-SUM($C200:K200))),0))</f>
        <v>0</v>
      </c>
      <c r="M200" s="4">
        <f>IF($B$188=0,0,IF(M$2&gt;=$A200,IF(M$2=$A200,($B200/$B$188)*$B$185,IF(M$2&lt;=$A200+$B$188-1,$B200/$B$188,$B200-SUM($C200:L200))),0))</f>
        <v>0</v>
      </c>
      <c r="N200" s="4">
        <f>IF($B$188=0,0,IF(N$2&gt;=$A200,IF(N$2=$A200,($B200/$B$188)*$B$185,IF(N$2&lt;=$A200+$B$188-1,$B200/$B$188,$B200-SUM($C200:M200))),0))</f>
        <v>0</v>
      </c>
      <c r="O200" s="4">
        <f>IF($B$188=0,0,IF(O$2&gt;=$A200,IF(O$2=$A200,($B200/$B$188)*$B$185,IF(O$2&lt;=$A200+$B$188-1,$B200/$B$188,$B200-SUM($C200:N200))),0))</f>
        <v>0</v>
      </c>
      <c r="P200" s="4">
        <f>IF($B$188=0,0,IF(P$2&gt;=$A200,IF(P$2=$A200,($B200/$B$188)*$B$185,IF(P$2&lt;=$A200+$B$188-1,$B200/$B$188,$B200-SUM($C200:O200))),0))</f>
        <v>0</v>
      </c>
      <c r="Q200" s="4">
        <f>IF($B$188=0,0,IF(Q$2&gt;=$A200,IF(Q$2=$A200,($B200/$B$188)*$B$185,IF(Q$2&lt;=$A200+$B$188-1,$B200/$B$188,$B200-SUM($C200:P200))),0))</f>
        <v>0</v>
      </c>
      <c r="R200" s="4">
        <f>IF($B$188=0,0,IF(R$2&gt;=$A200,IF(R$2=$A200,($B200/$B$188)*$B$185,IF(R$2&lt;=$A200+$B$188-1,$B200/$B$188,$B200-SUM($C200:Q200))),0))</f>
        <v>0</v>
      </c>
      <c r="S200" s="4">
        <f>IF($B$188=0,0,IF(S$2&gt;=$A200,IF(S$2=$A200,($B200/$B$188)*$B$185,IF(S$2&lt;=$A200+$B$188-1,$B200/$B$188,$B200-SUM($C200:R200))),0))</f>
        <v>0</v>
      </c>
      <c r="T200" s="4">
        <f>IF($B$188=0,0,IF(T$2&gt;=$A200,IF(T$2=$A200,($B200/$B$188)*$B$185,IF(T$2&lt;=$A200+$B$188-1,$B200/$B$188,$B200-SUM($C200:S200))),0))</f>
        <v>0</v>
      </c>
      <c r="U200" s="4">
        <f>IF($B$188=0,0,IF(U$2&gt;=$A200,IF(U$2=$A200,($B200/$B$188)*$B$185,IF(U$2&lt;=$A200+$B$188-1,$B200/$B$188,$B200-SUM($C200:T200))),0))</f>
        <v>0</v>
      </c>
      <c r="V200" s="4">
        <f>IF($B$188=0,0,IF(V$2&gt;=$A200,IF(V$2=$A200,($B200/$B$188)*$B$185,IF(V$2&lt;=$A200+$B$188-1,$B200/$B$188,$B200-SUM($C200:U200))),0))</f>
        <v>0</v>
      </c>
      <c r="W200" s="4">
        <f>IF($B$188=0,0,IF(W$2&gt;=$A200,IF(W$2=$A200,($B200/$B$188)*$B$185,IF(W$2&lt;=$A200+$B$188-1,$B200/$B$188,$B200-SUM($C200:V200))),0))</f>
        <v>0</v>
      </c>
      <c r="X200" s="4">
        <f>IF($B$188=0,0,IF(X$2&gt;=$A200,IF(X$2=$A200,($B200/$B$188)*$B$185,IF(X$2&lt;=$A200+$B$188-1,$B200/$B$188,$B200-SUM($C200:W200))),0))</f>
        <v>0</v>
      </c>
      <c r="Y200" s="4">
        <f>IF($B$188=0,0,IF(Y$2&gt;=$A200,IF(Y$2=$A200,($B200/$B$188)*$B$185,IF(Y$2&lt;=$A200+$B$188-1,$B200/$B$188,$B200-SUM($C200:X200))),0))</f>
        <v>0</v>
      </c>
      <c r="Z200" s="4">
        <f>IF($B$188=0,0,IF(Z$2&gt;=$A200,IF(Z$2=$A200,($B200/$B$188)*$B$185,IF(Z$2&lt;=$A200+$B$188-1,$B200/$B$188,$B200-SUM($C200:Y200))),0))</f>
        <v>0</v>
      </c>
      <c r="AA200" s="4">
        <f>IF($B$188=0,0,IF(AA$2&gt;=$A200,IF(AA$2=$A200,($B200/$B$188)*$B$185,IF(AA$2&lt;=$A200+$B$188-1,$B200/$B$188,$B200-SUM($C200:Z200))),0))</f>
        <v>0</v>
      </c>
      <c r="AB200" s="4">
        <f>IF($B$188=0,0,IF(AB$2&gt;=$A200,IF(AB$2=$A200,($B200/$B$188)*$B$185,IF(AB$2&lt;=$A200+$B$188-1,$B200/$B$188,$B200-SUM($C200:AA200))),0))</f>
        <v>0</v>
      </c>
      <c r="AC200" s="4">
        <f>IF($B$188=0,0,IF(AC$2&gt;=$A200,IF(AC$2=$A200,($B200/$B$188)*$B$185,IF(AC$2&lt;=$A200+$B$188-1,$B200/$B$188,$B200-SUM($C200:AB200))),0))</f>
        <v>0</v>
      </c>
      <c r="AD200" s="4">
        <f>IF($B$188=0,0,IF(AD$2&gt;=$A200,IF(AD$2=$A200,($B200/$B$188)*$B$185,IF(AD$2&lt;=$A200+$B$188-1,$B200/$B$188,$B200-SUM($C200:AC200))),0))</f>
        <v>0</v>
      </c>
      <c r="AE200" s="4">
        <f>IF($B$188=0,0,IF(AE$2&gt;=$A200,IF(AE$2=$A200,($B200/$B$188)*$B$185,IF(AE$2&lt;=$A200+$B$188-1,$B200/$B$188,$B200-SUM($C200:AD200))),0))</f>
        <v>0</v>
      </c>
      <c r="AF200" s="4">
        <f>IF($B$188=0,0,IF(AF$2&gt;=$A200,IF(AF$2=$A200,($B200/$B$188)*$B$185,IF(AF$2&lt;=$A200+$B$188-1,$B200/$B$188,$B200-SUM($C200:AE200))),0))</f>
        <v>0</v>
      </c>
      <c r="AG200" s="4">
        <f t="shared" si="138"/>
        <v>0</v>
      </c>
    </row>
    <row r="201" spans="1:33">
      <c r="A201" s="6">
        <f t="shared" si="139"/>
        <v>2034</v>
      </c>
      <c r="B201" s="4">
        <f t="shared" si="137"/>
        <v>0</v>
      </c>
      <c r="C201" s="4">
        <f>IF($B$188=0,0,IF(C$2&gt;=$A201,IF(C$2=$A201,($B201/$B$188)*$B$185,IF(C$2&lt;=$A201+$B$188-1,$B201/$B$188,$B201-SUM(B201:$C201))),0))</f>
        <v>0</v>
      </c>
      <c r="D201" s="4">
        <f>IF($B$188=0,0,IF(D$2&gt;=$A201,IF(D$2=$A201,($B201/$B$188)*$B$185,IF(D$2&lt;=$A201+$B$188-1,$B201/$B$188,$B201-SUM(C201:$C201))),0))</f>
        <v>0</v>
      </c>
      <c r="E201" s="4">
        <f>IF($B$188=0,0,IF(E$2&gt;=$A201,IF(E$2=$A201,($B201/$B$188)*$B$185,IF(E$2&lt;=$A201+$B$188-1,$B201/$B$188,$B201-SUM($C201:D201))),0))</f>
        <v>0</v>
      </c>
      <c r="F201" s="4">
        <f>IF($B$188=0,0,IF(F$2&gt;=$A201,IF(F$2=$A201,($B201/$B$188)*$B$185,IF(F$2&lt;=$A201+$B$188-1,$B201/$B$188,$B201-SUM($C201:E201))),0))</f>
        <v>0</v>
      </c>
      <c r="G201" s="4">
        <f>IF($B$188=0,0,IF(G$2&gt;=$A201,IF(G$2=$A201,($B201/$B$188)*$B$185,IF(G$2&lt;=$A201+$B$188-1,$B201/$B$188,$B201-SUM($C201:F201))),0))</f>
        <v>0</v>
      </c>
      <c r="H201" s="4">
        <f>IF($B$188=0,0,IF(H$2&gt;=$A201,IF(H$2=$A201,($B201/$B$188)*$B$185,IF(H$2&lt;=$A201+$B$188-1,$B201/$B$188,$B201-SUM($C201:G201))),0))</f>
        <v>0</v>
      </c>
      <c r="I201" s="4">
        <f>IF($B$188=0,0,IF(I$2&gt;=$A201,IF(I$2=$A201,($B201/$B$188)*$B$185,IF(I$2&lt;=$A201+$B$188-1,$B201/$B$188,$B201-SUM($C201:H201))),0))</f>
        <v>0</v>
      </c>
      <c r="J201" s="4">
        <f>IF($B$188=0,0,IF(J$2&gt;=$A201,IF(J$2=$A201,($B201/$B$188)*$B$185,IF(J$2&lt;=$A201+$B$188-1,$B201/$B$188,$B201-SUM($C201:I201))),0))</f>
        <v>0</v>
      </c>
      <c r="K201" s="4">
        <f>IF($B$188=0,0,IF(K$2&gt;=$A201,IF(K$2=$A201,($B201/$B$188)*$B$185,IF(K$2&lt;=$A201+$B$188-1,$B201/$B$188,$B201-SUM($C201:J201))),0))</f>
        <v>0</v>
      </c>
      <c r="L201" s="4">
        <f>IF($B$188=0,0,IF(L$2&gt;=$A201,IF(L$2=$A201,($B201/$B$188)*$B$185,IF(L$2&lt;=$A201+$B$188-1,$B201/$B$188,$B201-SUM($C201:K201))),0))</f>
        <v>0</v>
      </c>
      <c r="M201" s="4">
        <f>IF($B$188=0,0,IF(M$2&gt;=$A201,IF(M$2=$A201,($B201/$B$188)*$B$185,IF(M$2&lt;=$A201+$B$188-1,$B201/$B$188,$B201-SUM($C201:L201))),0))</f>
        <v>0</v>
      </c>
      <c r="N201" s="4">
        <f>IF($B$188=0,0,IF(N$2&gt;=$A201,IF(N$2=$A201,($B201/$B$188)*$B$185,IF(N$2&lt;=$A201+$B$188-1,$B201/$B$188,$B201-SUM($C201:M201))),0))</f>
        <v>0</v>
      </c>
      <c r="O201" s="4">
        <f>IF($B$188=0,0,IF(O$2&gt;=$A201,IF(O$2=$A201,($B201/$B$188)*$B$185,IF(O$2&lt;=$A201+$B$188-1,$B201/$B$188,$B201-SUM($C201:N201))),0))</f>
        <v>0</v>
      </c>
      <c r="P201" s="4">
        <f>IF($B$188=0,0,IF(P$2&gt;=$A201,IF(P$2=$A201,($B201/$B$188)*$B$185,IF(P$2&lt;=$A201+$B$188-1,$B201/$B$188,$B201-SUM($C201:O201))),0))</f>
        <v>0</v>
      </c>
      <c r="Q201" s="4">
        <f>IF($B$188=0,0,IF(Q$2&gt;=$A201,IF(Q$2=$A201,($B201/$B$188)*$B$185,IF(Q$2&lt;=$A201+$B$188-1,$B201/$B$188,$B201-SUM($C201:P201))),0))</f>
        <v>0</v>
      </c>
      <c r="R201" s="4">
        <f>IF($B$188=0,0,IF(R$2&gt;=$A201,IF(R$2=$A201,($B201/$B$188)*$B$185,IF(R$2&lt;=$A201+$B$188-1,$B201/$B$188,$B201-SUM($C201:Q201))),0))</f>
        <v>0</v>
      </c>
      <c r="S201" s="4">
        <f>IF($B$188=0,0,IF(S$2&gt;=$A201,IF(S$2=$A201,($B201/$B$188)*$B$185,IF(S$2&lt;=$A201+$B$188-1,$B201/$B$188,$B201-SUM($C201:R201))),0))</f>
        <v>0</v>
      </c>
      <c r="T201" s="4">
        <f>IF($B$188=0,0,IF(T$2&gt;=$A201,IF(T$2=$A201,($B201/$B$188)*$B$185,IF(T$2&lt;=$A201+$B$188-1,$B201/$B$188,$B201-SUM($C201:S201))),0))</f>
        <v>0</v>
      </c>
      <c r="U201" s="4">
        <f>IF($B$188=0,0,IF(U$2&gt;=$A201,IF(U$2=$A201,($B201/$B$188)*$B$185,IF(U$2&lt;=$A201+$B$188-1,$B201/$B$188,$B201-SUM($C201:T201))),0))</f>
        <v>0</v>
      </c>
      <c r="V201" s="4">
        <f>IF($B$188=0,0,IF(V$2&gt;=$A201,IF(V$2=$A201,($B201/$B$188)*$B$185,IF(V$2&lt;=$A201+$B$188-1,$B201/$B$188,$B201-SUM($C201:U201))),0))</f>
        <v>0</v>
      </c>
      <c r="W201" s="4">
        <f>IF($B$188=0,0,IF(W$2&gt;=$A201,IF(W$2=$A201,($B201/$B$188)*$B$185,IF(W$2&lt;=$A201+$B$188-1,$B201/$B$188,$B201-SUM($C201:V201))),0))</f>
        <v>0</v>
      </c>
      <c r="X201" s="4">
        <f>IF($B$188=0,0,IF(X$2&gt;=$A201,IF(X$2=$A201,($B201/$B$188)*$B$185,IF(X$2&lt;=$A201+$B$188-1,$B201/$B$188,$B201-SUM($C201:W201))),0))</f>
        <v>0</v>
      </c>
      <c r="Y201" s="4">
        <f>IF($B$188=0,0,IF(Y$2&gt;=$A201,IF(Y$2=$A201,($B201/$B$188)*$B$185,IF(Y$2&lt;=$A201+$B$188-1,$B201/$B$188,$B201-SUM($C201:X201))),0))</f>
        <v>0</v>
      </c>
      <c r="Z201" s="4">
        <f>IF($B$188=0,0,IF(Z$2&gt;=$A201,IF(Z$2=$A201,($B201/$B$188)*$B$185,IF(Z$2&lt;=$A201+$B$188-1,$B201/$B$188,$B201-SUM($C201:Y201))),0))</f>
        <v>0</v>
      </c>
      <c r="AA201" s="4">
        <f>IF($B$188=0,0,IF(AA$2&gt;=$A201,IF(AA$2=$A201,($B201/$B$188)*$B$185,IF(AA$2&lt;=$A201+$B$188-1,$B201/$B$188,$B201-SUM($C201:Z201))),0))</f>
        <v>0</v>
      </c>
      <c r="AB201" s="4">
        <f>IF($B$188=0,0,IF(AB$2&gt;=$A201,IF(AB$2=$A201,($B201/$B$188)*$B$185,IF(AB$2&lt;=$A201+$B$188-1,$B201/$B$188,$B201-SUM($C201:AA201))),0))</f>
        <v>0</v>
      </c>
      <c r="AC201" s="4">
        <f>IF($B$188=0,0,IF(AC$2&gt;=$A201,IF(AC$2=$A201,($B201/$B$188)*$B$185,IF(AC$2&lt;=$A201+$B$188-1,$B201/$B$188,$B201-SUM($C201:AB201))),0))</f>
        <v>0</v>
      </c>
      <c r="AD201" s="4">
        <f>IF($B$188=0,0,IF(AD$2&gt;=$A201,IF(AD$2=$A201,($B201/$B$188)*$B$185,IF(AD$2&lt;=$A201+$B$188-1,$B201/$B$188,$B201-SUM($C201:AC201))),0))</f>
        <v>0</v>
      </c>
      <c r="AE201" s="4">
        <f>IF($B$188=0,0,IF(AE$2&gt;=$A201,IF(AE$2=$A201,($B201/$B$188)*$B$185,IF(AE$2&lt;=$A201+$B$188-1,$B201/$B$188,$B201-SUM($C201:AD201))),0))</f>
        <v>0</v>
      </c>
      <c r="AF201" s="4">
        <f>IF($B$188=0,0,IF(AF$2&gt;=$A201,IF(AF$2=$A201,($B201/$B$188)*$B$185,IF(AF$2&lt;=$A201+$B$188-1,$B201/$B$188,$B201-SUM($C201:AE201))),0))</f>
        <v>0</v>
      </c>
      <c r="AG201" s="4">
        <f t="shared" si="138"/>
        <v>0</v>
      </c>
    </row>
    <row r="202" spans="1:33">
      <c r="A202" s="6">
        <f t="shared" si="139"/>
        <v>2035</v>
      </c>
      <c r="B202" s="4">
        <f t="shared" si="137"/>
        <v>0</v>
      </c>
      <c r="C202" s="4">
        <f>IF($B$188=0,0,IF(C$2&gt;=$A202,IF(C$2=$A202,($B202/$B$188)*$B$185,IF(C$2&lt;=$A202+$B$188-1,$B202/$B$188,$B202-SUM(B202:$C202))),0))</f>
        <v>0</v>
      </c>
      <c r="D202" s="4">
        <f>IF($B$188=0,0,IF(D$2&gt;=$A202,IF(D$2=$A202,($B202/$B$188)*$B$185,IF(D$2&lt;=$A202+$B$188-1,$B202/$B$188,$B202-SUM(C202:$C202))),0))</f>
        <v>0</v>
      </c>
      <c r="E202" s="4">
        <f>IF($B$188=0,0,IF(E$2&gt;=$A202,IF(E$2=$A202,($B202/$B$188)*$B$185,IF(E$2&lt;=$A202+$B$188-1,$B202/$B$188,$B202-SUM($C202:D202))),0))</f>
        <v>0</v>
      </c>
      <c r="F202" s="4">
        <f>IF($B$188=0,0,IF(F$2&gt;=$A202,IF(F$2=$A202,($B202/$B$188)*$B$185,IF(F$2&lt;=$A202+$B$188-1,$B202/$B$188,$B202-SUM($C202:E202))),0))</f>
        <v>0</v>
      </c>
      <c r="G202" s="4">
        <f>IF($B$188=0,0,IF(G$2&gt;=$A202,IF(G$2=$A202,($B202/$B$188)*$B$185,IF(G$2&lt;=$A202+$B$188-1,$B202/$B$188,$B202-SUM($C202:F202))),0))</f>
        <v>0</v>
      </c>
      <c r="H202" s="4">
        <f>IF($B$188=0,0,IF(H$2&gt;=$A202,IF(H$2=$A202,($B202/$B$188)*$B$185,IF(H$2&lt;=$A202+$B$188-1,$B202/$B$188,$B202-SUM($C202:G202))),0))</f>
        <v>0</v>
      </c>
      <c r="I202" s="4">
        <f>IF($B$188=0,0,IF(I$2&gt;=$A202,IF(I$2=$A202,($B202/$B$188)*$B$185,IF(I$2&lt;=$A202+$B$188-1,$B202/$B$188,$B202-SUM($C202:H202))),0))</f>
        <v>0</v>
      </c>
      <c r="J202" s="4">
        <f>IF($B$188=0,0,IF(J$2&gt;=$A202,IF(J$2=$A202,($B202/$B$188)*$B$185,IF(J$2&lt;=$A202+$B$188-1,$B202/$B$188,$B202-SUM($C202:I202))),0))</f>
        <v>0</v>
      </c>
      <c r="K202" s="4">
        <f>IF($B$188=0,0,IF(K$2&gt;=$A202,IF(K$2=$A202,($B202/$B$188)*$B$185,IF(K$2&lt;=$A202+$B$188-1,$B202/$B$188,$B202-SUM($C202:J202))),0))</f>
        <v>0</v>
      </c>
      <c r="L202" s="4">
        <f>IF($B$188=0,0,IF(L$2&gt;=$A202,IF(L$2=$A202,($B202/$B$188)*$B$185,IF(L$2&lt;=$A202+$B$188-1,$B202/$B$188,$B202-SUM($C202:K202))),0))</f>
        <v>0</v>
      </c>
      <c r="M202" s="4">
        <f>IF($B$188=0,0,IF(M$2&gt;=$A202,IF(M$2=$A202,($B202/$B$188)*$B$185,IF(M$2&lt;=$A202+$B$188-1,$B202/$B$188,$B202-SUM($C202:L202))),0))</f>
        <v>0</v>
      </c>
      <c r="N202" s="4">
        <f>IF($B$188=0,0,IF(N$2&gt;=$A202,IF(N$2=$A202,($B202/$B$188)*$B$185,IF(N$2&lt;=$A202+$B$188-1,$B202/$B$188,$B202-SUM($C202:M202))),0))</f>
        <v>0</v>
      </c>
      <c r="O202" s="4">
        <f>IF($B$188=0,0,IF(O$2&gt;=$A202,IF(O$2=$A202,($B202/$B$188)*$B$185,IF(O$2&lt;=$A202+$B$188-1,$B202/$B$188,$B202-SUM($C202:N202))),0))</f>
        <v>0</v>
      </c>
      <c r="P202" s="4">
        <f>IF($B$188=0,0,IF(P$2&gt;=$A202,IF(P$2=$A202,($B202/$B$188)*$B$185,IF(P$2&lt;=$A202+$B$188-1,$B202/$B$188,$B202-SUM($C202:O202))),0))</f>
        <v>0</v>
      </c>
      <c r="Q202" s="4">
        <f>IF($B$188=0,0,IF(Q$2&gt;=$A202,IF(Q$2=$A202,($B202/$B$188)*$B$185,IF(Q$2&lt;=$A202+$B$188-1,$B202/$B$188,$B202-SUM($C202:P202))),0))</f>
        <v>0</v>
      </c>
      <c r="R202" s="4">
        <f>IF($B$188=0,0,IF(R$2&gt;=$A202,IF(R$2=$A202,($B202/$B$188)*$B$185,IF(R$2&lt;=$A202+$B$188-1,$B202/$B$188,$B202-SUM($C202:Q202))),0))</f>
        <v>0</v>
      </c>
      <c r="S202" s="4">
        <f>IF($B$188=0,0,IF(S$2&gt;=$A202,IF(S$2=$A202,($B202/$B$188)*$B$185,IF(S$2&lt;=$A202+$B$188-1,$B202/$B$188,$B202-SUM($C202:R202))),0))</f>
        <v>0</v>
      </c>
      <c r="T202" s="4">
        <f>IF($B$188=0,0,IF(T$2&gt;=$A202,IF(T$2=$A202,($B202/$B$188)*$B$185,IF(T$2&lt;=$A202+$B$188-1,$B202/$B$188,$B202-SUM($C202:S202))),0))</f>
        <v>0</v>
      </c>
      <c r="U202" s="4">
        <f>IF($B$188=0,0,IF(U$2&gt;=$A202,IF(U$2=$A202,($B202/$B$188)*$B$185,IF(U$2&lt;=$A202+$B$188-1,$B202/$B$188,$B202-SUM($C202:T202))),0))</f>
        <v>0</v>
      </c>
      <c r="V202" s="4">
        <f>IF($B$188=0,0,IF(V$2&gt;=$A202,IF(V$2=$A202,($B202/$B$188)*$B$185,IF(V$2&lt;=$A202+$B$188-1,$B202/$B$188,$B202-SUM($C202:U202))),0))</f>
        <v>0</v>
      </c>
      <c r="W202" s="4">
        <f>IF($B$188=0,0,IF(W$2&gt;=$A202,IF(W$2=$A202,($B202/$B$188)*$B$185,IF(W$2&lt;=$A202+$B$188-1,$B202/$B$188,$B202-SUM($C202:V202))),0))</f>
        <v>0</v>
      </c>
      <c r="X202" s="4">
        <f>IF($B$188=0,0,IF(X$2&gt;=$A202,IF(X$2=$A202,($B202/$B$188)*$B$185,IF(X$2&lt;=$A202+$B$188-1,$B202/$B$188,$B202-SUM($C202:W202))),0))</f>
        <v>0</v>
      </c>
      <c r="Y202" s="4">
        <f>IF($B$188=0,0,IF(Y$2&gt;=$A202,IF(Y$2=$A202,($B202/$B$188)*$B$185,IF(Y$2&lt;=$A202+$B$188-1,$B202/$B$188,$B202-SUM($C202:X202))),0))</f>
        <v>0</v>
      </c>
      <c r="Z202" s="4">
        <f>IF($B$188=0,0,IF(Z$2&gt;=$A202,IF(Z$2=$A202,($B202/$B$188)*$B$185,IF(Z$2&lt;=$A202+$B$188-1,$B202/$B$188,$B202-SUM($C202:Y202))),0))</f>
        <v>0</v>
      </c>
      <c r="AA202" s="4">
        <f>IF($B$188=0,0,IF(AA$2&gt;=$A202,IF(AA$2=$A202,($B202/$B$188)*$B$185,IF(AA$2&lt;=$A202+$B$188-1,$B202/$B$188,$B202-SUM($C202:Z202))),0))</f>
        <v>0</v>
      </c>
      <c r="AB202" s="4">
        <f>IF($B$188=0,0,IF(AB$2&gt;=$A202,IF(AB$2=$A202,($B202/$B$188)*$B$185,IF(AB$2&lt;=$A202+$B$188-1,$B202/$B$188,$B202-SUM($C202:AA202))),0))</f>
        <v>0</v>
      </c>
      <c r="AC202" s="4">
        <f>IF($B$188=0,0,IF(AC$2&gt;=$A202,IF(AC$2=$A202,($B202/$B$188)*$B$185,IF(AC$2&lt;=$A202+$B$188-1,$B202/$B$188,$B202-SUM($C202:AB202))),0))</f>
        <v>0</v>
      </c>
      <c r="AD202" s="4">
        <f>IF($B$188=0,0,IF(AD$2&gt;=$A202,IF(AD$2=$A202,($B202/$B$188)*$B$185,IF(AD$2&lt;=$A202+$B$188-1,$B202/$B$188,$B202-SUM($C202:AC202))),0))</f>
        <v>0</v>
      </c>
      <c r="AE202" s="4">
        <f>IF($B$188=0,0,IF(AE$2&gt;=$A202,IF(AE$2=$A202,($B202/$B$188)*$B$185,IF(AE$2&lt;=$A202+$B$188-1,$B202/$B$188,$B202-SUM($C202:AD202))),0))</f>
        <v>0</v>
      </c>
      <c r="AF202" s="4">
        <f>IF($B$188=0,0,IF(AF$2&gt;=$A202,IF(AF$2=$A202,($B202/$B$188)*$B$185,IF(AF$2&lt;=$A202+$B$188-1,$B202/$B$188,$B202-SUM($C202:AE202))),0))</f>
        <v>0</v>
      </c>
      <c r="AG202" s="4">
        <f t="shared" si="138"/>
        <v>0</v>
      </c>
    </row>
    <row r="203" spans="1:33">
      <c r="A203" s="6">
        <f t="shared" si="139"/>
        <v>2036</v>
      </c>
      <c r="B203" s="4">
        <f t="shared" si="137"/>
        <v>0</v>
      </c>
      <c r="C203" s="4">
        <f>IF($B$188=0,0,IF(C$2&gt;=$A203,IF(C$2=$A203,($B203/$B$188)*$B$185,IF(C$2&lt;=$A203+$B$188-1,$B203/$B$188,$B203-SUM(B203:$C203))),0))</f>
        <v>0</v>
      </c>
      <c r="D203" s="4">
        <f>IF($B$188=0,0,IF(D$2&gt;=$A203,IF(D$2=$A203,($B203/$B$188)*$B$185,IF(D$2&lt;=$A203+$B$188-1,$B203/$B$188,$B203-SUM(C203:$C203))),0))</f>
        <v>0</v>
      </c>
      <c r="E203" s="4">
        <f>IF($B$188=0,0,IF(E$2&gt;=$A203,IF(E$2=$A203,($B203/$B$188)*$B$185,IF(E$2&lt;=$A203+$B$188-1,$B203/$B$188,$B203-SUM($C203:D203))),0))</f>
        <v>0</v>
      </c>
      <c r="F203" s="4">
        <f>IF($B$188=0,0,IF(F$2&gt;=$A203,IF(F$2=$A203,($B203/$B$188)*$B$185,IF(F$2&lt;=$A203+$B$188-1,$B203/$B$188,$B203-SUM($C203:E203))),0))</f>
        <v>0</v>
      </c>
      <c r="G203" s="4">
        <f>IF($B$188=0,0,IF(G$2&gt;=$A203,IF(G$2=$A203,($B203/$B$188)*$B$185,IF(G$2&lt;=$A203+$B$188-1,$B203/$B$188,$B203-SUM($C203:F203))),0))</f>
        <v>0</v>
      </c>
      <c r="H203" s="4">
        <f>IF($B$188=0,0,IF(H$2&gt;=$A203,IF(H$2=$A203,($B203/$B$188)*$B$185,IF(H$2&lt;=$A203+$B$188-1,$B203/$B$188,$B203-SUM($C203:G203))),0))</f>
        <v>0</v>
      </c>
      <c r="I203" s="4">
        <f>IF($B$188=0,0,IF(I$2&gt;=$A203,IF(I$2=$A203,($B203/$B$188)*$B$185,IF(I$2&lt;=$A203+$B$188-1,$B203/$B$188,$B203-SUM($C203:H203))),0))</f>
        <v>0</v>
      </c>
      <c r="J203" s="4">
        <f>IF($B$188=0,0,IF(J$2&gt;=$A203,IF(J$2=$A203,($B203/$B$188)*$B$185,IF(J$2&lt;=$A203+$B$188-1,$B203/$B$188,$B203-SUM($C203:I203))),0))</f>
        <v>0</v>
      </c>
      <c r="K203" s="4">
        <f>IF($B$188=0,0,IF(K$2&gt;=$A203,IF(K$2=$A203,($B203/$B$188)*$B$185,IF(K$2&lt;=$A203+$B$188-1,$B203/$B$188,$B203-SUM($C203:J203))),0))</f>
        <v>0</v>
      </c>
      <c r="L203" s="4">
        <f>IF($B$188=0,0,IF(L$2&gt;=$A203,IF(L$2=$A203,($B203/$B$188)*$B$185,IF(L$2&lt;=$A203+$B$188-1,$B203/$B$188,$B203-SUM($C203:K203))),0))</f>
        <v>0</v>
      </c>
      <c r="M203" s="4">
        <f>IF($B$188=0,0,IF(M$2&gt;=$A203,IF(M$2=$A203,($B203/$B$188)*$B$185,IF(M$2&lt;=$A203+$B$188-1,$B203/$B$188,$B203-SUM($C203:L203))),0))</f>
        <v>0</v>
      </c>
      <c r="N203" s="4">
        <f>IF($B$188=0,0,IF(N$2&gt;=$A203,IF(N$2=$A203,($B203/$B$188)*$B$185,IF(N$2&lt;=$A203+$B$188-1,$B203/$B$188,$B203-SUM($C203:M203))),0))</f>
        <v>0</v>
      </c>
      <c r="O203" s="4">
        <f>IF($B$188=0,0,IF(O$2&gt;=$A203,IF(O$2=$A203,($B203/$B$188)*$B$185,IF(O$2&lt;=$A203+$B$188-1,$B203/$B$188,$B203-SUM($C203:N203))),0))</f>
        <v>0</v>
      </c>
      <c r="P203" s="4">
        <f>IF($B$188=0,0,IF(P$2&gt;=$A203,IF(P$2=$A203,($B203/$B$188)*$B$185,IF(P$2&lt;=$A203+$B$188-1,$B203/$B$188,$B203-SUM($C203:O203))),0))</f>
        <v>0</v>
      </c>
      <c r="Q203" s="4">
        <f>IF($B$188=0,0,IF(Q$2&gt;=$A203,IF(Q$2=$A203,($B203/$B$188)*$B$185,IF(Q$2&lt;=$A203+$B$188-1,$B203/$B$188,$B203-SUM($C203:P203))),0))</f>
        <v>0</v>
      </c>
      <c r="R203" s="4">
        <f>IF($B$188=0,0,IF(R$2&gt;=$A203,IF(R$2=$A203,($B203/$B$188)*$B$185,IF(R$2&lt;=$A203+$B$188-1,$B203/$B$188,$B203-SUM($C203:Q203))),0))</f>
        <v>0</v>
      </c>
      <c r="S203" s="4">
        <f>IF($B$188=0,0,IF(S$2&gt;=$A203,IF(S$2=$A203,($B203/$B$188)*$B$185,IF(S$2&lt;=$A203+$B$188-1,$B203/$B$188,$B203-SUM($C203:R203))),0))</f>
        <v>0</v>
      </c>
      <c r="T203" s="4">
        <f>IF($B$188=0,0,IF(T$2&gt;=$A203,IF(T$2=$A203,($B203/$B$188)*$B$185,IF(T$2&lt;=$A203+$B$188-1,$B203/$B$188,$B203-SUM($C203:S203))),0))</f>
        <v>0</v>
      </c>
      <c r="U203" s="4">
        <f>IF($B$188=0,0,IF(U$2&gt;=$A203,IF(U$2=$A203,($B203/$B$188)*$B$185,IF(U$2&lt;=$A203+$B$188-1,$B203/$B$188,$B203-SUM($C203:T203))),0))</f>
        <v>0</v>
      </c>
      <c r="V203" s="4">
        <f>IF($B$188=0,0,IF(V$2&gt;=$A203,IF(V$2=$A203,($B203/$B$188)*$B$185,IF(V$2&lt;=$A203+$B$188-1,$B203/$B$188,$B203-SUM($C203:U203))),0))</f>
        <v>0</v>
      </c>
      <c r="W203" s="4">
        <f>IF($B$188=0,0,IF(W$2&gt;=$A203,IF(W$2=$A203,($B203/$B$188)*$B$185,IF(W$2&lt;=$A203+$B$188-1,$B203/$B$188,$B203-SUM($C203:V203))),0))</f>
        <v>0</v>
      </c>
      <c r="X203" s="4">
        <f>IF($B$188=0,0,IF(X$2&gt;=$A203,IF(X$2=$A203,($B203/$B$188)*$B$185,IF(X$2&lt;=$A203+$B$188-1,$B203/$B$188,$B203-SUM($C203:W203))),0))</f>
        <v>0</v>
      </c>
      <c r="Y203" s="4">
        <f>IF($B$188=0,0,IF(Y$2&gt;=$A203,IF(Y$2=$A203,($B203/$B$188)*$B$185,IF(Y$2&lt;=$A203+$B$188-1,$B203/$B$188,$B203-SUM($C203:X203))),0))</f>
        <v>0</v>
      </c>
      <c r="Z203" s="4">
        <f>IF($B$188=0,0,IF(Z$2&gt;=$A203,IF(Z$2=$A203,($B203/$B$188)*$B$185,IF(Z$2&lt;=$A203+$B$188-1,$B203/$B$188,$B203-SUM($C203:Y203))),0))</f>
        <v>0</v>
      </c>
      <c r="AA203" s="4">
        <f>IF($B$188=0,0,IF(AA$2&gt;=$A203,IF(AA$2=$A203,($B203/$B$188)*$B$185,IF(AA$2&lt;=$A203+$B$188-1,$B203/$B$188,$B203-SUM($C203:Z203))),0))</f>
        <v>0</v>
      </c>
      <c r="AB203" s="4">
        <f>IF($B$188=0,0,IF(AB$2&gt;=$A203,IF(AB$2=$A203,($B203/$B$188)*$B$185,IF(AB$2&lt;=$A203+$B$188-1,$B203/$B$188,$B203-SUM($C203:AA203))),0))</f>
        <v>0</v>
      </c>
      <c r="AC203" s="4">
        <f>IF($B$188=0,0,IF(AC$2&gt;=$A203,IF(AC$2=$A203,($B203/$B$188)*$B$185,IF(AC$2&lt;=$A203+$B$188-1,$B203/$B$188,$B203-SUM($C203:AB203))),0))</f>
        <v>0</v>
      </c>
      <c r="AD203" s="4">
        <f>IF($B$188=0,0,IF(AD$2&gt;=$A203,IF(AD$2=$A203,($B203/$B$188)*$B$185,IF(AD$2&lt;=$A203+$B$188-1,$B203/$B$188,$B203-SUM($C203:AC203))),0))</f>
        <v>0</v>
      </c>
      <c r="AE203" s="4">
        <f>IF($B$188=0,0,IF(AE$2&gt;=$A203,IF(AE$2=$A203,($B203/$B$188)*$B$185,IF(AE$2&lt;=$A203+$B$188-1,$B203/$B$188,$B203-SUM($C203:AD203))),0))</f>
        <v>0</v>
      </c>
      <c r="AF203" s="4">
        <f>IF($B$188=0,0,IF(AF$2&gt;=$A203,IF(AF$2=$A203,($B203/$B$188)*$B$185,IF(AF$2&lt;=$A203+$B$188-1,$B203/$B$188,$B203-SUM($C203:AE203))),0))</f>
        <v>0</v>
      </c>
      <c r="AG203" s="4">
        <f t="shared" si="138"/>
        <v>0</v>
      </c>
    </row>
    <row r="204" spans="1:33">
      <c r="A204" s="6">
        <f t="shared" si="139"/>
        <v>2037</v>
      </c>
      <c r="B204" s="4">
        <f t="shared" si="137"/>
        <v>0</v>
      </c>
      <c r="C204" s="4">
        <f>IF($B$188=0,0,IF(C$2&gt;=$A204,IF(C$2=$A204,($B204/$B$188)*$B$185,IF(C$2&lt;=$A204+$B$188-1,$B204/$B$188,$B204-SUM(B204:$C204))),0))</f>
        <v>0</v>
      </c>
      <c r="D204" s="4">
        <f>IF($B$188=0,0,IF(D$2&gt;=$A204,IF(D$2=$A204,($B204/$B$188)*$B$185,IF(D$2&lt;=$A204+$B$188-1,$B204/$B$188,$B204-SUM(C204:$C204))),0))</f>
        <v>0</v>
      </c>
      <c r="E204" s="4">
        <f>IF($B$188=0,0,IF(E$2&gt;=$A204,IF(E$2=$A204,($B204/$B$188)*$B$185,IF(E$2&lt;=$A204+$B$188-1,$B204/$B$188,$B204-SUM($C204:D204))),0))</f>
        <v>0</v>
      </c>
      <c r="F204" s="4">
        <f>IF($B$188=0,0,IF(F$2&gt;=$A204,IF(F$2=$A204,($B204/$B$188)*$B$185,IF(F$2&lt;=$A204+$B$188-1,$B204/$B$188,$B204-SUM($C204:E204))),0))</f>
        <v>0</v>
      </c>
      <c r="G204" s="4">
        <f>IF($B$188=0,0,IF(G$2&gt;=$A204,IF(G$2=$A204,($B204/$B$188)*$B$185,IF(G$2&lt;=$A204+$B$188-1,$B204/$B$188,$B204-SUM($C204:F204))),0))</f>
        <v>0</v>
      </c>
      <c r="H204" s="4">
        <f>IF($B$188=0,0,IF(H$2&gt;=$A204,IF(H$2=$A204,($B204/$B$188)*$B$185,IF(H$2&lt;=$A204+$B$188-1,$B204/$B$188,$B204-SUM($C204:G204))),0))</f>
        <v>0</v>
      </c>
      <c r="I204" s="4">
        <f>IF($B$188=0,0,IF(I$2&gt;=$A204,IF(I$2=$A204,($B204/$B$188)*$B$185,IF(I$2&lt;=$A204+$B$188-1,$B204/$B$188,$B204-SUM($C204:H204))),0))</f>
        <v>0</v>
      </c>
      <c r="J204" s="4">
        <f>IF($B$188=0,0,IF(J$2&gt;=$A204,IF(J$2=$A204,($B204/$B$188)*$B$185,IF(J$2&lt;=$A204+$B$188-1,$B204/$B$188,$B204-SUM($C204:I204))),0))</f>
        <v>0</v>
      </c>
      <c r="K204" s="4">
        <f>IF($B$188=0,0,IF(K$2&gt;=$A204,IF(K$2=$A204,($B204/$B$188)*$B$185,IF(K$2&lt;=$A204+$B$188-1,$B204/$B$188,$B204-SUM($C204:J204))),0))</f>
        <v>0</v>
      </c>
      <c r="L204" s="4">
        <f>IF($B$188=0,0,IF(L$2&gt;=$A204,IF(L$2=$A204,($B204/$B$188)*$B$185,IF(L$2&lt;=$A204+$B$188-1,$B204/$B$188,$B204-SUM($C204:K204))),0))</f>
        <v>0</v>
      </c>
      <c r="M204" s="4">
        <f>IF($B$188=0,0,IF(M$2&gt;=$A204,IF(M$2=$A204,($B204/$B$188)*$B$185,IF(M$2&lt;=$A204+$B$188-1,$B204/$B$188,$B204-SUM($C204:L204))),0))</f>
        <v>0</v>
      </c>
      <c r="N204" s="4">
        <f>IF($B$188=0,0,IF(N$2&gt;=$A204,IF(N$2=$A204,($B204/$B$188)*$B$185,IF(N$2&lt;=$A204+$B$188-1,$B204/$B$188,$B204-SUM($C204:M204))),0))</f>
        <v>0</v>
      </c>
      <c r="O204" s="4">
        <f>IF($B$188=0,0,IF(O$2&gt;=$A204,IF(O$2=$A204,($B204/$B$188)*$B$185,IF(O$2&lt;=$A204+$B$188-1,$B204/$B$188,$B204-SUM($C204:N204))),0))</f>
        <v>0</v>
      </c>
      <c r="P204" s="4">
        <f>IF($B$188=0,0,IF(P$2&gt;=$A204,IF(P$2=$A204,($B204/$B$188)*$B$185,IF(P$2&lt;=$A204+$B$188-1,$B204/$B$188,$B204-SUM($C204:O204))),0))</f>
        <v>0</v>
      </c>
      <c r="Q204" s="4">
        <f>IF($B$188=0,0,IF(Q$2&gt;=$A204,IF(Q$2=$A204,($B204/$B$188)*$B$185,IF(Q$2&lt;=$A204+$B$188-1,$B204/$B$188,$B204-SUM($C204:P204))),0))</f>
        <v>0</v>
      </c>
      <c r="R204" s="4">
        <f>IF($B$188=0,0,IF(R$2&gt;=$A204,IF(R$2=$A204,($B204/$B$188)*$B$185,IF(R$2&lt;=$A204+$B$188-1,$B204/$B$188,$B204-SUM($C204:Q204))),0))</f>
        <v>0</v>
      </c>
      <c r="S204" s="4">
        <f>IF($B$188=0,0,IF(S$2&gt;=$A204,IF(S$2=$A204,($B204/$B$188)*$B$185,IF(S$2&lt;=$A204+$B$188-1,$B204/$B$188,$B204-SUM($C204:R204))),0))</f>
        <v>0</v>
      </c>
      <c r="T204" s="4">
        <f>IF($B$188=0,0,IF(T$2&gt;=$A204,IF(T$2=$A204,($B204/$B$188)*$B$185,IF(T$2&lt;=$A204+$B$188-1,$B204/$B$188,$B204-SUM($C204:S204))),0))</f>
        <v>0</v>
      </c>
      <c r="U204" s="4">
        <f>IF($B$188=0,0,IF(U$2&gt;=$A204,IF(U$2=$A204,($B204/$B$188)*$B$185,IF(U$2&lt;=$A204+$B$188-1,$B204/$B$188,$B204-SUM($C204:T204))),0))</f>
        <v>0</v>
      </c>
      <c r="V204" s="4">
        <f>IF($B$188=0,0,IF(V$2&gt;=$A204,IF(V$2=$A204,($B204/$B$188)*$B$185,IF(V$2&lt;=$A204+$B$188-1,$B204/$B$188,$B204-SUM($C204:U204))),0))</f>
        <v>0</v>
      </c>
      <c r="W204" s="4">
        <f>IF($B$188=0,0,IF(W$2&gt;=$A204,IF(W$2=$A204,($B204/$B$188)*$B$185,IF(W$2&lt;=$A204+$B$188-1,$B204/$B$188,$B204-SUM($C204:V204))),0))</f>
        <v>0</v>
      </c>
      <c r="X204" s="4">
        <f>IF($B$188=0,0,IF(X$2&gt;=$A204,IF(X$2=$A204,($B204/$B$188)*$B$185,IF(X$2&lt;=$A204+$B$188-1,$B204/$B$188,$B204-SUM($C204:W204))),0))</f>
        <v>0</v>
      </c>
      <c r="Y204" s="4">
        <f>IF($B$188=0,0,IF(Y$2&gt;=$A204,IF(Y$2=$A204,($B204/$B$188)*$B$185,IF(Y$2&lt;=$A204+$B$188-1,$B204/$B$188,$B204-SUM($C204:X204))),0))</f>
        <v>0</v>
      </c>
      <c r="Z204" s="4">
        <f>IF($B$188=0,0,IF(Z$2&gt;=$A204,IF(Z$2=$A204,($B204/$B$188)*$B$185,IF(Z$2&lt;=$A204+$B$188-1,$B204/$B$188,$B204-SUM($C204:Y204))),0))</f>
        <v>0</v>
      </c>
      <c r="AA204" s="4">
        <f>IF($B$188=0,0,IF(AA$2&gt;=$A204,IF(AA$2=$A204,($B204/$B$188)*$B$185,IF(AA$2&lt;=$A204+$B$188-1,$B204/$B$188,$B204-SUM($C204:Z204))),0))</f>
        <v>0</v>
      </c>
      <c r="AB204" s="4">
        <f>IF($B$188=0,0,IF(AB$2&gt;=$A204,IF(AB$2=$A204,($B204/$B$188)*$B$185,IF(AB$2&lt;=$A204+$B$188-1,$B204/$B$188,$B204-SUM($C204:AA204))),0))</f>
        <v>0</v>
      </c>
      <c r="AC204" s="4">
        <f>IF($B$188=0,0,IF(AC$2&gt;=$A204,IF(AC$2=$A204,($B204/$B$188)*$B$185,IF(AC$2&lt;=$A204+$B$188-1,$B204/$B$188,$B204-SUM($C204:AB204))),0))</f>
        <v>0</v>
      </c>
      <c r="AD204" s="4">
        <f>IF($B$188=0,0,IF(AD$2&gt;=$A204,IF(AD$2=$A204,($B204/$B$188)*$B$185,IF(AD$2&lt;=$A204+$B$188-1,$B204/$B$188,$B204-SUM($C204:AC204))),0))</f>
        <v>0</v>
      </c>
      <c r="AE204" s="4">
        <f>IF($B$188=0,0,IF(AE$2&gt;=$A204,IF(AE$2=$A204,($B204/$B$188)*$B$185,IF(AE$2&lt;=$A204+$B$188-1,$B204/$B$188,$B204-SUM($C204:AD204))),0))</f>
        <v>0</v>
      </c>
      <c r="AF204" s="4">
        <f>IF($B$188=0,0,IF(AF$2&gt;=$A204,IF(AF$2=$A204,($B204/$B$188)*$B$185,IF(AF$2&lt;=$A204+$B$188-1,$B204/$B$188,$B204-SUM($C204:AE204))),0))</f>
        <v>0</v>
      </c>
      <c r="AG204" s="4">
        <f t="shared" si="138"/>
        <v>0</v>
      </c>
    </row>
    <row r="205" spans="1:33">
      <c r="A205" s="6">
        <f t="shared" si="139"/>
        <v>2038</v>
      </c>
      <c r="B205" s="4">
        <f t="shared" si="137"/>
        <v>0</v>
      </c>
      <c r="C205" s="4">
        <f>IF($B$188=0,0,IF(C$2&gt;=$A205,IF(C$2=$A205,($B205/$B$188)*$B$185,IF(C$2&lt;=$A205+$B$188-1,$B205/$B$188,$B205-SUM(B205:$C205))),0))</f>
        <v>0</v>
      </c>
      <c r="D205" s="4">
        <f>IF($B$188=0,0,IF(D$2&gt;=$A205,IF(D$2=$A205,($B205/$B$188)*$B$185,IF(D$2&lt;=$A205+$B$188-1,$B205/$B$188,$B205-SUM(C205:$C205))),0))</f>
        <v>0</v>
      </c>
      <c r="E205" s="4">
        <f>IF($B$188=0,0,IF(E$2&gt;=$A205,IF(E$2=$A205,($B205/$B$188)*$B$185,IF(E$2&lt;=$A205+$B$188-1,$B205/$B$188,$B205-SUM($C205:D205))),0))</f>
        <v>0</v>
      </c>
      <c r="F205" s="4">
        <f>IF($B$188=0,0,IF(F$2&gt;=$A205,IF(F$2=$A205,($B205/$B$188)*$B$185,IF(F$2&lt;=$A205+$B$188-1,$B205/$B$188,$B205-SUM($C205:E205))),0))</f>
        <v>0</v>
      </c>
      <c r="G205" s="4">
        <f>IF($B$188=0,0,IF(G$2&gt;=$A205,IF(G$2=$A205,($B205/$B$188)*$B$185,IF(G$2&lt;=$A205+$B$188-1,$B205/$B$188,$B205-SUM($C205:F205))),0))</f>
        <v>0</v>
      </c>
      <c r="H205" s="4">
        <f>IF($B$188=0,0,IF(H$2&gt;=$A205,IF(H$2=$A205,($B205/$B$188)*$B$185,IF(H$2&lt;=$A205+$B$188-1,$B205/$B$188,$B205-SUM($C205:G205))),0))</f>
        <v>0</v>
      </c>
      <c r="I205" s="4">
        <f>IF($B$188=0,0,IF(I$2&gt;=$A205,IF(I$2=$A205,($B205/$B$188)*$B$185,IF(I$2&lt;=$A205+$B$188-1,$B205/$B$188,$B205-SUM($C205:H205))),0))</f>
        <v>0</v>
      </c>
      <c r="J205" s="4">
        <f>IF($B$188=0,0,IF(J$2&gt;=$A205,IF(J$2=$A205,($B205/$B$188)*$B$185,IF(J$2&lt;=$A205+$B$188-1,$B205/$B$188,$B205-SUM($C205:I205))),0))</f>
        <v>0</v>
      </c>
      <c r="K205" s="4">
        <f>IF($B$188=0,0,IF(K$2&gt;=$A205,IF(K$2=$A205,($B205/$B$188)*$B$185,IF(K$2&lt;=$A205+$B$188-1,$B205/$B$188,$B205-SUM($C205:J205))),0))</f>
        <v>0</v>
      </c>
      <c r="L205" s="4">
        <f>IF($B$188=0,0,IF(L$2&gt;=$A205,IF(L$2=$A205,($B205/$B$188)*$B$185,IF(L$2&lt;=$A205+$B$188-1,$B205/$B$188,$B205-SUM($C205:K205))),0))</f>
        <v>0</v>
      </c>
      <c r="M205" s="4">
        <f>IF($B$188=0,0,IF(M$2&gt;=$A205,IF(M$2=$A205,($B205/$B$188)*$B$185,IF(M$2&lt;=$A205+$B$188-1,$B205/$B$188,$B205-SUM($C205:L205))),0))</f>
        <v>0</v>
      </c>
      <c r="N205" s="4">
        <f>IF($B$188=0,0,IF(N$2&gt;=$A205,IF(N$2=$A205,($B205/$B$188)*$B$185,IF(N$2&lt;=$A205+$B$188-1,$B205/$B$188,$B205-SUM($C205:M205))),0))</f>
        <v>0</v>
      </c>
      <c r="O205" s="4">
        <f>IF($B$188=0,0,IF(O$2&gt;=$A205,IF(O$2=$A205,($B205/$B$188)*$B$185,IF(O$2&lt;=$A205+$B$188-1,$B205/$B$188,$B205-SUM($C205:N205))),0))</f>
        <v>0</v>
      </c>
      <c r="P205" s="4">
        <f>IF($B$188=0,0,IF(P$2&gt;=$A205,IF(P$2=$A205,($B205/$B$188)*$B$185,IF(P$2&lt;=$A205+$B$188-1,$B205/$B$188,$B205-SUM($C205:O205))),0))</f>
        <v>0</v>
      </c>
      <c r="Q205" s="4">
        <f>IF($B$188=0,0,IF(Q$2&gt;=$A205,IF(Q$2=$A205,($B205/$B$188)*$B$185,IF(Q$2&lt;=$A205+$B$188-1,$B205/$B$188,$B205-SUM($C205:P205))),0))</f>
        <v>0</v>
      </c>
      <c r="R205" s="4">
        <f>IF($B$188=0,0,IF(R$2&gt;=$A205,IF(R$2=$A205,($B205/$B$188)*$B$185,IF(R$2&lt;=$A205+$B$188-1,$B205/$B$188,$B205-SUM($C205:Q205))),0))</f>
        <v>0</v>
      </c>
      <c r="S205" s="4">
        <f>IF($B$188=0,0,IF(S$2&gt;=$A205,IF(S$2=$A205,($B205/$B$188)*$B$185,IF(S$2&lt;=$A205+$B$188-1,$B205/$B$188,$B205-SUM($C205:R205))),0))</f>
        <v>0</v>
      </c>
      <c r="T205" s="4">
        <f>IF($B$188=0,0,IF(T$2&gt;=$A205,IF(T$2=$A205,($B205/$B$188)*$B$185,IF(T$2&lt;=$A205+$B$188-1,$B205/$B$188,$B205-SUM($C205:S205))),0))</f>
        <v>0</v>
      </c>
      <c r="U205" s="4">
        <f>IF($B$188=0,0,IF(U$2&gt;=$A205,IF(U$2=$A205,($B205/$B$188)*$B$185,IF(U$2&lt;=$A205+$B$188-1,$B205/$B$188,$B205-SUM($C205:T205))),0))</f>
        <v>0</v>
      </c>
      <c r="V205" s="4">
        <f>IF($B$188=0,0,IF(V$2&gt;=$A205,IF(V$2=$A205,($B205/$B$188)*$B$185,IF(V$2&lt;=$A205+$B$188-1,$B205/$B$188,$B205-SUM($C205:U205))),0))</f>
        <v>0</v>
      </c>
      <c r="W205" s="4">
        <f>IF($B$188=0,0,IF(W$2&gt;=$A205,IF(W$2=$A205,($B205/$B$188)*$B$185,IF(W$2&lt;=$A205+$B$188-1,$B205/$B$188,$B205-SUM($C205:V205))),0))</f>
        <v>0</v>
      </c>
      <c r="X205" s="4">
        <f>IF($B$188=0,0,IF(X$2&gt;=$A205,IF(X$2=$A205,($B205/$B$188)*$B$185,IF(X$2&lt;=$A205+$B$188-1,$B205/$B$188,$B205-SUM($C205:W205))),0))</f>
        <v>0</v>
      </c>
      <c r="Y205" s="4">
        <f>IF($B$188=0,0,IF(Y$2&gt;=$A205,IF(Y$2=$A205,($B205/$B$188)*$B$185,IF(Y$2&lt;=$A205+$B$188-1,$B205/$B$188,$B205-SUM($C205:X205))),0))</f>
        <v>0</v>
      </c>
      <c r="Z205" s="4">
        <f>IF($B$188=0,0,IF(Z$2&gt;=$A205,IF(Z$2=$A205,($B205/$B$188)*$B$185,IF(Z$2&lt;=$A205+$B$188-1,$B205/$B$188,$B205-SUM($C205:Y205))),0))</f>
        <v>0</v>
      </c>
      <c r="AA205" s="4">
        <f>IF($B$188=0,0,IF(AA$2&gt;=$A205,IF(AA$2=$A205,($B205/$B$188)*$B$185,IF(AA$2&lt;=$A205+$B$188-1,$B205/$B$188,$B205-SUM($C205:Z205))),0))</f>
        <v>0</v>
      </c>
      <c r="AB205" s="4">
        <f>IF($B$188=0,0,IF(AB$2&gt;=$A205,IF(AB$2=$A205,($B205/$B$188)*$B$185,IF(AB$2&lt;=$A205+$B$188-1,$B205/$B$188,$B205-SUM($C205:AA205))),0))</f>
        <v>0</v>
      </c>
      <c r="AC205" s="4">
        <f>IF($B$188=0,0,IF(AC$2&gt;=$A205,IF(AC$2=$A205,($B205/$B$188)*$B$185,IF(AC$2&lt;=$A205+$B$188-1,$B205/$B$188,$B205-SUM($C205:AB205))),0))</f>
        <v>0</v>
      </c>
      <c r="AD205" s="4">
        <f>IF($B$188=0,0,IF(AD$2&gt;=$A205,IF(AD$2=$A205,($B205/$B$188)*$B$185,IF(AD$2&lt;=$A205+$B$188-1,$B205/$B$188,$B205-SUM($C205:AC205))),0))</f>
        <v>0</v>
      </c>
      <c r="AE205" s="4">
        <f>IF($B$188=0,0,IF(AE$2&gt;=$A205,IF(AE$2=$A205,($B205/$B$188)*$B$185,IF(AE$2&lt;=$A205+$B$188-1,$B205/$B$188,$B205-SUM($C205:AD205))),0))</f>
        <v>0</v>
      </c>
      <c r="AF205" s="4">
        <f>IF($B$188=0,0,IF(AF$2&gt;=$A205,IF(AF$2=$A205,($B205/$B$188)*$B$185,IF(AF$2&lt;=$A205+$B$188-1,$B205/$B$188,$B205-SUM($C205:AE205))),0))</f>
        <v>0</v>
      </c>
      <c r="AG205" s="4">
        <f t="shared" si="138"/>
        <v>0</v>
      </c>
    </row>
    <row r="206" spans="1:33">
      <c r="A206" s="6">
        <f t="shared" si="139"/>
        <v>2039</v>
      </c>
      <c r="B206" s="4">
        <f t="shared" si="137"/>
        <v>0</v>
      </c>
      <c r="C206" s="4">
        <f>IF($B$188=0,0,IF(C$2&gt;=$A206,IF(C$2=$A206,($B206/$B$188)*$B$185,IF(C$2&lt;=$A206+$B$188-1,$B206/$B$188,$B206-SUM(B206:$C206))),0))</f>
        <v>0</v>
      </c>
      <c r="D206" s="4">
        <f>IF($B$188=0,0,IF(D$2&gt;=$A206,IF(D$2=$A206,($B206/$B$188)*$B$185,IF(D$2&lt;=$A206+$B$188-1,$B206/$B$188,$B206-SUM(C206:$C206))),0))</f>
        <v>0</v>
      </c>
      <c r="E206" s="4">
        <f>IF($B$188=0,0,IF(E$2&gt;=$A206,IF(E$2=$A206,($B206/$B$188)*$B$185,IF(E$2&lt;=$A206+$B$188-1,$B206/$B$188,$B206-SUM($C206:D206))),0))</f>
        <v>0</v>
      </c>
      <c r="F206" s="4">
        <f>IF($B$188=0,0,IF(F$2&gt;=$A206,IF(F$2=$A206,($B206/$B$188)*$B$185,IF(F$2&lt;=$A206+$B$188-1,$B206/$B$188,$B206-SUM($C206:E206))),0))</f>
        <v>0</v>
      </c>
      <c r="G206" s="4">
        <f>IF($B$188=0,0,IF(G$2&gt;=$A206,IF(G$2=$A206,($B206/$B$188)*$B$185,IF(G$2&lt;=$A206+$B$188-1,$B206/$B$188,$B206-SUM($C206:F206))),0))</f>
        <v>0</v>
      </c>
      <c r="H206" s="4">
        <f>IF($B$188=0,0,IF(H$2&gt;=$A206,IF(H$2=$A206,($B206/$B$188)*$B$185,IF(H$2&lt;=$A206+$B$188-1,$B206/$B$188,$B206-SUM($C206:G206))),0))</f>
        <v>0</v>
      </c>
      <c r="I206" s="4">
        <f>IF($B$188=0,0,IF(I$2&gt;=$A206,IF(I$2=$A206,($B206/$B$188)*$B$185,IF(I$2&lt;=$A206+$B$188-1,$B206/$B$188,$B206-SUM($C206:H206))),0))</f>
        <v>0</v>
      </c>
      <c r="J206" s="4">
        <f>IF($B$188=0,0,IF(J$2&gt;=$A206,IF(J$2=$A206,($B206/$B$188)*$B$185,IF(J$2&lt;=$A206+$B$188-1,$B206/$B$188,$B206-SUM($C206:I206))),0))</f>
        <v>0</v>
      </c>
      <c r="K206" s="4">
        <f>IF($B$188=0,0,IF(K$2&gt;=$A206,IF(K$2=$A206,($B206/$B$188)*$B$185,IF(K$2&lt;=$A206+$B$188-1,$B206/$B$188,$B206-SUM($C206:J206))),0))</f>
        <v>0</v>
      </c>
      <c r="L206" s="4">
        <f>IF($B$188=0,0,IF(L$2&gt;=$A206,IF(L$2=$A206,($B206/$B$188)*$B$185,IF(L$2&lt;=$A206+$B$188-1,$B206/$B$188,$B206-SUM($C206:K206))),0))</f>
        <v>0</v>
      </c>
      <c r="M206" s="4">
        <f>IF($B$188=0,0,IF(M$2&gt;=$A206,IF(M$2=$A206,($B206/$B$188)*$B$185,IF(M$2&lt;=$A206+$B$188-1,$B206/$B$188,$B206-SUM($C206:L206))),0))</f>
        <v>0</v>
      </c>
      <c r="N206" s="4">
        <f>IF($B$188=0,0,IF(N$2&gt;=$A206,IF(N$2=$A206,($B206/$B$188)*$B$185,IF(N$2&lt;=$A206+$B$188-1,$B206/$B$188,$B206-SUM($C206:M206))),0))</f>
        <v>0</v>
      </c>
      <c r="O206" s="4">
        <f>IF($B$188=0,0,IF(O$2&gt;=$A206,IF(O$2=$A206,($B206/$B$188)*$B$185,IF(O$2&lt;=$A206+$B$188-1,$B206/$B$188,$B206-SUM($C206:N206))),0))</f>
        <v>0</v>
      </c>
      <c r="P206" s="4">
        <f>IF($B$188=0,0,IF(P$2&gt;=$A206,IF(P$2=$A206,($B206/$B$188)*$B$185,IF(P$2&lt;=$A206+$B$188-1,$B206/$B$188,$B206-SUM($C206:O206))),0))</f>
        <v>0</v>
      </c>
      <c r="Q206" s="4">
        <f>IF($B$188=0,0,IF(Q$2&gt;=$A206,IF(Q$2=$A206,($B206/$B$188)*$B$185,IF(Q$2&lt;=$A206+$B$188-1,$B206/$B$188,$B206-SUM($C206:P206))),0))</f>
        <v>0</v>
      </c>
      <c r="R206" s="4">
        <f>IF($B$188=0,0,IF(R$2&gt;=$A206,IF(R$2=$A206,($B206/$B$188)*$B$185,IF(R$2&lt;=$A206+$B$188-1,$B206/$B$188,$B206-SUM($C206:Q206))),0))</f>
        <v>0</v>
      </c>
      <c r="S206" s="4">
        <f>IF($B$188=0,0,IF(S$2&gt;=$A206,IF(S$2=$A206,($B206/$B$188)*$B$185,IF(S$2&lt;=$A206+$B$188-1,$B206/$B$188,$B206-SUM($C206:R206))),0))</f>
        <v>0</v>
      </c>
      <c r="T206" s="4">
        <f>IF($B$188=0,0,IF(T$2&gt;=$A206,IF(T$2=$A206,($B206/$B$188)*$B$185,IF(T$2&lt;=$A206+$B$188-1,$B206/$B$188,$B206-SUM($C206:S206))),0))</f>
        <v>0</v>
      </c>
      <c r="U206" s="4">
        <f>IF($B$188=0,0,IF(U$2&gt;=$A206,IF(U$2=$A206,($B206/$B$188)*$B$185,IF(U$2&lt;=$A206+$B$188-1,$B206/$B$188,$B206-SUM($C206:T206))),0))</f>
        <v>0</v>
      </c>
      <c r="V206" s="4">
        <f>IF($B$188=0,0,IF(V$2&gt;=$A206,IF(V$2=$A206,($B206/$B$188)*$B$185,IF(V$2&lt;=$A206+$B$188-1,$B206/$B$188,$B206-SUM($C206:U206))),0))</f>
        <v>0</v>
      </c>
      <c r="W206" s="4">
        <f>IF($B$188=0,0,IF(W$2&gt;=$A206,IF(W$2=$A206,($B206/$B$188)*$B$185,IF(W$2&lt;=$A206+$B$188-1,$B206/$B$188,$B206-SUM($C206:V206))),0))</f>
        <v>0</v>
      </c>
      <c r="X206" s="4">
        <f>IF($B$188=0,0,IF(X$2&gt;=$A206,IF(X$2=$A206,($B206/$B$188)*$B$185,IF(X$2&lt;=$A206+$B$188-1,$B206/$B$188,$B206-SUM($C206:W206))),0))</f>
        <v>0</v>
      </c>
      <c r="Y206" s="4">
        <f>IF($B$188=0,0,IF(Y$2&gt;=$A206,IF(Y$2=$A206,($B206/$B$188)*$B$185,IF(Y$2&lt;=$A206+$B$188-1,$B206/$B$188,$B206-SUM($C206:X206))),0))</f>
        <v>0</v>
      </c>
      <c r="Z206" s="4">
        <f>IF($B$188=0,0,IF(Z$2&gt;=$A206,IF(Z$2=$A206,($B206/$B$188)*$B$185,IF(Z$2&lt;=$A206+$B$188-1,$B206/$B$188,$B206-SUM($C206:Y206))),0))</f>
        <v>0</v>
      </c>
      <c r="AA206" s="4">
        <f>IF($B$188=0,0,IF(AA$2&gt;=$A206,IF(AA$2=$A206,($B206/$B$188)*$B$185,IF(AA$2&lt;=$A206+$B$188-1,$B206/$B$188,$B206-SUM($C206:Z206))),0))</f>
        <v>0</v>
      </c>
      <c r="AB206" s="4">
        <f>IF($B$188=0,0,IF(AB$2&gt;=$A206,IF(AB$2=$A206,($B206/$B$188)*$B$185,IF(AB$2&lt;=$A206+$B$188-1,$B206/$B$188,$B206-SUM($C206:AA206))),0))</f>
        <v>0</v>
      </c>
      <c r="AC206" s="4">
        <f>IF($B$188=0,0,IF(AC$2&gt;=$A206,IF(AC$2=$A206,($B206/$B$188)*$B$185,IF(AC$2&lt;=$A206+$B$188-1,$B206/$B$188,$B206-SUM($C206:AB206))),0))</f>
        <v>0</v>
      </c>
      <c r="AD206" s="4">
        <f>IF($B$188=0,0,IF(AD$2&gt;=$A206,IF(AD$2=$A206,($B206/$B$188)*$B$185,IF(AD$2&lt;=$A206+$B$188-1,$B206/$B$188,$B206-SUM($C206:AC206))),0))</f>
        <v>0</v>
      </c>
      <c r="AE206" s="4">
        <f>IF($B$188=0,0,IF(AE$2&gt;=$A206,IF(AE$2=$A206,($B206/$B$188)*$B$185,IF(AE$2&lt;=$A206+$B$188-1,$B206/$B$188,$B206-SUM($C206:AD206))),0))</f>
        <v>0</v>
      </c>
      <c r="AF206" s="4">
        <f>IF($B$188=0,0,IF(AF$2&gt;=$A206,IF(AF$2=$A206,($B206/$B$188)*$B$185,IF(AF$2&lt;=$A206+$B$188-1,$B206/$B$188,$B206-SUM($C206:AE206))),0))</f>
        <v>0</v>
      </c>
      <c r="AG206" s="4">
        <f t="shared" si="138"/>
        <v>0</v>
      </c>
    </row>
    <row r="207" spans="1:33">
      <c r="A207" s="6">
        <f t="shared" si="139"/>
        <v>2040</v>
      </c>
      <c r="B207" s="4">
        <f t="shared" si="137"/>
        <v>0</v>
      </c>
      <c r="C207" s="4">
        <f>IF($B$188=0,0,IF(C$2&gt;=$A207,IF(C$2=$A207,($B207/$B$188)*$B$185,IF(C$2&lt;=$A207+$B$188-1,$B207/$B$188,$B207-SUM(B207:$C207))),0))</f>
        <v>0</v>
      </c>
      <c r="D207" s="4">
        <f>IF($B$188=0,0,IF(D$2&gt;=$A207,IF(D$2=$A207,($B207/$B$188)*$B$185,IF(D$2&lt;=$A207+$B$188-1,$B207/$B$188,$B207-SUM(C207:$C207))),0))</f>
        <v>0</v>
      </c>
      <c r="E207" s="4">
        <f>IF($B$188=0,0,IF(E$2&gt;=$A207,IF(E$2=$A207,($B207/$B$188)*$B$185,IF(E$2&lt;=$A207+$B$188-1,$B207/$B$188,$B207-SUM($C207:D207))),0))</f>
        <v>0</v>
      </c>
      <c r="F207" s="4">
        <f>IF($B$188=0,0,IF(F$2&gt;=$A207,IF(F$2=$A207,($B207/$B$188)*$B$185,IF(F$2&lt;=$A207+$B$188-1,$B207/$B$188,$B207-SUM($C207:E207))),0))</f>
        <v>0</v>
      </c>
      <c r="G207" s="4">
        <f>IF($B$188=0,0,IF(G$2&gt;=$A207,IF(G$2=$A207,($B207/$B$188)*$B$185,IF(G$2&lt;=$A207+$B$188-1,$B207/$B$188,$B207-SUM($C207:F207))),0))</f>
        <v>0</v>
      </c>
      <c r="H207" s="4">
        <f>IF($B$188=0,0,IF(H$2&gt;=$A207,IF(H$2=$A207,($B207/$B$188)*$B$185,IF(H$2&lt;=$A207+$B$188-1,$B207/$B$188,$B207-SUM($C207:G207))),0))</f>
        <v>0</v>
      </c>
      <c r="I207" s="4">
        <f>IF($B$188=0,0,IF(I$2&gt;=$A207,IF(I$2=$A207,($B207/$B$188)*$B$185,IF(I$2&lt;=$A207+$B$188-1,$B207/$B$188,$B207-SUM($C207:H207))),0))</f>
        <v>0</v>
      </c>
      <c r="J207" s="4">
        <f>IF($B$188=0,0,IF(J$2&gt;=$A207,IF(J$2=$A207,($B207/$B$188)*$B$185,IF(J$2&lt;=$A207+$B$188-1,$B207/$B$188,$B207-SUM($C207:I207))),0))</f>
        <v>0</v>
      </c>
      <c r="K207" s="4">
        <f>IF($B$188=0,0,IF(K$2&gt;=$A207,IF(K$2=$A207,($B207/$B$188)*$B$185,IF(K$2&lt;=$A207+$B$188-1,$B207/$B$188,$B207-SUM($C207:J207))),0))</f>
        <v>0</v>
      </c>
      <c r="L207" s="4">
        <f>IF($B$188=0,0,IF(L$2&gt;=$A207,IF(L$2=$A207,($B207/$B$188)*$B$185,IF(L$2&lt;=$A207+$B$188-1,$B207/$B$188,$B207-SUM($C207:K207))),0))</f>
        <v>0</v>
      </c>
      <c r="M207" s="4">
        <f>IF($B$188=0,0,IF(M$2&gt;=$A207,IF(M$2=$A207,($B207/$B$188)*$B$185,IF(M$2&lt;=$A207+$B$188-1,$B207/$B$188,$B207-SUM($C207:L207))),0))</f>
        <v>0</v>
      </c>
      <c r="N207" s="4">
        <f>IF($B$188=0,0,IF(N$2&gt;=$A207,IF(N$2=$A207,($B207/$B$188)*$B$185,IF(N$2&lt;=$A207+$B$188-1,$B207/$B$188,$B207-SUM($C207:M207))),0))</f>
        <v>0</v>
      </c>
      <c r="O207" s="4">
        <f>IF($B$188=0,0,IF(O$2&gt;=$A207,IF(O$2=$A207,($B207/$B$188)*$B$185,IF(O$2&lt;=$A207+$B$188-1,$B207/$B$188,$B207-SUM($C207:N207))),0))</f>
        <v>0</v>
      </c>
      <c r="P207" s="4">
        <f>IF($B$188=0,0,IF(P$2&gt;=$A207,IF(P$2=$A207,($B207/$B$188)*$B$185,IF(P$2&lt;=$A207+$B$188-1,$B207/$B$188,$B207-SUM($C207:O207))),0))</f>
        <v>0</v>
      </c>
      <c r="Q207" s="4">
        <f>IF($B$188=0,0,IF(Q$2&gt;=$A207,IF(Q$2=$A207,($B207/$B$188)*$B$185,IF(Q$2&lt;=$A207+$B$188-1,$B207/$B$188,$B207-SUM($C207:P207))),0))</f>
        <v>0</v>
      </c>
      <c r="R207" s="4">
        <f>IF($B$188=0,0,IF(R$2&gt;=$A207,IF(R$2=$A207,($B207/$B$188)*$B$185,IF(R$2&lt;=$A207+$B$188-1,$B207/$B$188,$B207-SUM($C207:Q207))),0))</f>
        <v>0</v>
      </c>
      <c r="S207" s="4">
        <f>IF($B$188=0,0,IF(S$2&gt;=$A207,IF(S$2=$A207,($B207/$B$188)*$B$185,IF(S$2&lt;=$A207+$B$188-1,$B207/$B$188,$B207-SUM($C207:R207))),0))</f>
        <v>0</v>
      </c>
      <c r="T207" s="4">
        <f>IF($B$188=0,0,IF(T$2&gt;=$A207,IF(T$2=$A207,($B207/$B$188)*$B$185,IF(T$2&lt;=$A207+$B$188-1,$B207/$B$188,$B207-SUM($C207:S207))),0))</f>
        <v>0</v>
      </c>
      <c r="U207" s="4">
        <f>IF($B$188=0,0,IF(U$2&gt;=$A207,IF(U$2=$A207,($B207/$B$188)*$B$185,IF(U$2&lt;=$A207+$B$188-1,$B207/$B$188,$B207-SUM($C207:T207))),0))</f>
        <v>0</v>
      </c>
      <c r="V207" s="4">
        <f>IF($B$188=0,0,IF(V$2&gt;=$A207,IF(V$2=$A207,($B207/$B$188)*$B$185,IF(V$2&lt;=$A207+$B$188-1,$B207/$B$188,$B207-SUM($C207:U207))),0))</f>
        <v>0</v>
      </c>
      <c r="W207" s="4">
        <f>IF($B$188=0,0,IF(W$2&gt;=$A207,IF(W$2=$A207,($B207/$B$188)*$B$185,IF(W$2&lt;=$A207+$B$188-1,$B207/$B$188,$B207-SUM($C207:V207))),0))</f>
        <v>0</v>
      </c>
      <c r="X207" s="4">
        <f>IF($B$188=0,0,IF(X$2&gt;=$A207,IF(X$2=$A207,($B207/$B$188)*$B$185,IF(X$2&lt;=$A207+$B$188-1,$B207/$B$188,$B207-SUM($C207:W207))),0))</f>
        <v>0</v>
      </c>
      <c r="Y207" s="4">
        <f>IF($B$188=0,0,IF(Y$2&gt;=$A207,IF(Y$2=$A207,($B207/$B$188)*$B$185,IF(Y$2&lt;=$A207+$B$188-1,$B207/$B$188,$B207-SUM($C207:X207))),0))</f>
        <v>0</v>
      </c>
      <c r="Z207" s="4">
        <f>IF($B$188=0,0,IF(Z$2&gt;=$A207,IF(Z$2=$A207,($B207/$B$188)*$B$185,IF(Z$2&lt;=$A207+$B$188-1,$B207/$B$188,$B207-SUM($C207:Y207))),0))</f>
        <v>0</v>
      </c>
      <c r="AA207" s="4">
        <f>IF($B$188=0,0,IF(AA$2&gt;=$A207,IF(AA$2=$A207,($B207/$B$188)*$B$185,IF(AA$2&lt;=$A207+$B$188-1,$B207/$B$188,$B207-SUM($C207:Z207))),0))</f>
        <v>0</v>
      </c>
      <c r="AB207" s="4">
        <f>IF($B$188=0,0,IF(AB$2&gt;=$A207,IF(AB$2=$A207,($B207/$B$188)*$B$185,IF(AB$2&lt;=$A207+$B$188-1,$B207/$B$188,$B207-SUM($C207:AA207))),0))</f>
        <v>0</v>
      </c>
      <c r="AC207" s="4">
        <f>IF($B$188=0,0,IF(AC$2&gt;=$A207,IF(AC$2=$A207,($B207/$B$188)*$B$185,IF(AC$2&lt;=$A207+$B$188-1,$B207/$B$188,$B207-SUM($C207:AB207))),0))</f>
        <v>0</v>
      </c>
      <c r="AD207" s="4">
        <f>IF($B$188=0,0,IF(AD$2&gt;=$A207,IF(AD$2=$A207,($B207/$B$188)*$B$185,IF(AD$2&lt;=$A207+$B$188-1,$B207/$B$188,$B207-SUM($C207:AC207))),0))</f>
        <v>0</v>
      </c>
      <c r="AE207" s="4">
        <f>IF($B$188=0,0,IF(AE$2&gt;=$A207,IF(AE$2=$A207,($B207/$B$188)*$B$185,IF(AE$2&lt;=$A207+$B$188-1,$B207/$B$188,$B207-SUM($C207:AD207))),0))</f>
        <v>0</v>
      </c>
      <c r="AF207" s="4">
        <f>IF($B$188=0,0,IF(AF$2&gt;=$A207,IF(AF$2=$A207,($B207/$B$188)*$B$185,IF(AF$2&lt;=$A207+$B$188-1,$B207/$B$188,$B207-SUM($C207:AE207))),0))</f>
        <v>0</v>
      </c>
      <c r="AG207" s="4">
        <f t="shared" si="138"/>
        <v>0</v>
      </c>
    </row>
    <row r="208" spans="1:33">
      <c r="A208" s="6">
        <f t="shared" si="139"/>
        <v>2041</v>
      </c>
      <c r="B208" s="4">
        <f t="shared" si="137"/>
        <v>0</v>
      </c>
      <c r="C208" s="4">
        <f>IF($B$188=0,0,IF(C$2&gt;=$A208,IF(C$2=$A208,($B208/$B$188)*$B$185,IF(C$2&lt;=$A208+$B$188-1,$B208/$B$188,$B208-SUM(B208:$C208))),0))</f>
        <v>0</v>
      </c>
      <c r="D208" s="4">
        <f>IF($B$188=0,0,IF(D$2&gt;=$A208,IF(D$2=$A208,($B208/$B$188)*$B$185,IF(D$2&lt;=$A208+$B$188-1,$B208/$B$188,$B208-SUM(C208:$C208))),0))</f>
        <v>0</v>
      </c>
      <c r="E208" s="4">
        <f>IF($B$188=0,0,IF(E$2&gt;=$A208,IF(E$2=$A208,($B208/$B$188)*$B$185,IF(E$2&lt;=$A208+$B$188-1,$B208/$B$188,$B208-SUM($C208:D208))),0))</f>
        <v>0</v>
      </c>
      <c r="F208" s="4">
        <f>IF($B$188=0,0,IF(F$2&gt;=$A208,IF(F$2=$A208,($B208/$B$188)*$B$185,IF(F$2&lt;=$A208+$B$188-1,$B208/$B$188,$B208-SUM($C208:E208))),0))</f>
        <v>0</v>
      </c>
      <c r="G208" s="4">
        <f>IF($B$188=0,0,IF(G$2&gt;=$A208,IF(G$2=$A208,($B208/$B$188)*$B$185,IF(G$2&lt;=$A208+$B$188-1,$B208/$B$188,$B208-SUM($C208:F208))),0))</f>
        <v>0</v>
      </c>
      <c r="H208" s="4">
        <f>IF($B$188=0,0,IF(H$2&gt;=$A208,IF(H$2=$A208,($B208/$B$188)*$B$185,IF(H$2&lt;=$A208+$B$188-1,$B208/$B$188,$B208-SUM($C208:G208))),0))</f>
        <v>0</v>
      </c>
      <c r="I208" s="4">
        <f>IF($B$188=0,0,IF(I$2&gt;=$A208,IF(I$2=$A208,($B208/$B$188)*$B$185,IF(I$2&lt;=$A208+$B$188-1,$B208/$B$188,$B208-SUM($C208:H208))),0))</f>
        <v>0</v>
      </c>
      <c r="J208" s="4">
        <f>IF($B$188=0,0,IF(J$2&gt;=$A208,IF(J$2=$A208,($B208/$B$188)*$B$185,IF(J$2&lt;=$A208+$B$188-1,$B208/$B$188,$B208-SUM($C208:I208))),0))</f>
        <v>0</v>
      </c>
      <c r="K208" s="4">
        <f>IF($B$188=0,0,IF(K$2&gt;=$A208,IF(K$2=$A208,($B208/$B$188)*$B$185,IF(K$2&lt;=$A208+$B$188-1,$B208/$B$188,$B208-SUM($C208:J208))),0))</f>
        <v>0</v>
      </c>
      <c r="L208" s="4">
        <f>IF($B$188=0,0,IF(L$2&gt;=$A208,IF(L$2=$A208,($B208/$B$188)*$B$185,IF(L$2&lt;=$A208+$B$188-1,$B208/$B$188,$B208-SUM($C208:K208))),0))</f>
        <v>0</v>
      </c>
      <c r="M208" s="4">
        <f>IF($B$188=0,0,IF(M$2&gt;=$A208,IF(M$2=$A208,($B208/$B$188)*$B$185,IF(M$2&lt;=$A208+$B$188-1,$B208/$B$188,$B208-SUM($C208:L208))),0))</f>
        <v>0</v>
      </c>
      <c r="N208" s="4">
        <f>IF($B$188=0,0,IF(N$2&gt;=$A208,IF(N$2=$A208,($B208/$B$188)*$B$185,IF(N$2&lt;=$A208+$B$188-1,$B208/$B$188,$B208-SUM($C208:M208))),0))</f>
        <v>0</v>
      </c>
      <c r="O208" s="4">
        <f>IF($B$188=0,0,IF(O$2&gt;=$A208,IF(O$2=$A208,($B208/$B$188)*$B$185,IF(O$2&lt;=$A208+$B$188-1,$B208/$B$188,$B208-SUM($C208:N208))),0))</f>
        <v>0</v>
      </c>
      <c r="P208" s="4">
        <f>IF($B$188=0,0,IF(P$2&gt;=$A208,IF(P$2=$A208,($B208/$B$188)*$B$185,IF(P$2&lt;=$A208+$B$188-1,$B208/$B$188,$B208-SUM($C208:O208))),0))</f>
        <v>0</v>
      </c>
      <c r="Q208" s="4">
        <f>IF($B$188=0,0,IF(Q$2&gt;=$A208,IF(Q$2=$A208,($B208/$B$188)*$B$185,IF(Q$2&lt;=$A208+$B$188-1,$B208/$B$188,$B208-SUM($C208:P208))),0))</f>
        <v>0</v>
      </c>
      <c r="R208" s="4">
        <f>IF($B$188=0,0,IF(R$2&gt;=$A208,IF(R$2=$A208,($B208/$B$188)*$B$185,IF(R$2&lt;=$A208+$B$188-1,$B208/$B$188,$B208-SUM($C208:Q208))),0))</f>
        <v>0</v>
      </c>
      <c r="S208" s="4">
        <f>IF($B$188=0,0,IF(S$2&gt;=$A208,IF(S$2=$A208,($B208/$B$188)*$B$185,IF(S$2&lt;=$A208+$B$188-1,$B208/$B$188,$B208-SUM($C208:R208))),0))</f>
        <v>0</v>
      </c>
      <c r="T208" s="4">
        <f>IF($B$188=0,0,IF(T$2&gt;=$A208,IF(T$2=$A208,($B208/$B$188)*$B$185,IF(T$2&lt;=$A208+$B$188-1,$B208/$B$188,$B208-SUM($C208:S208))),0))</f>
        <v>0</v>
      </c>
      <c r="U208" s="4">
        <f>IF($B$188=0,0,IF(U$2&gt;=$A208,IF(U$2=$A208,($B208/$B$188)*$B$185,IF(U$2&lt;=$A208+$B$188-1,$B208/$B$188,$B208-SUM($C208:T208))),0))</f>
        <v>0</v>
      </c>
      <c r="V208" s="4">
        <f>IF($B$188=0,0,IF(V$2&gt;=$A208,IF(V$2=$A208,($B208/$B$188)*$B$185,IF(V$2&lt;=$A208+$B$188-1,$B208/$B$188,$B208-SUM($C208:U208))),0))</f>
        <v>0</v>
      </c>
      <c r="W208" s="4">
        <f>IF($B$188=0,0,IF(W$2&gt;=$A208,IF(W$2=$A208,($B208/$B$188)*$B$185,IF(W$2&lt;=$A208+$B$188-1,$B208/$B$188,$B208-SUM($C208:V208))),0))</f>
        <v>0</v>
      </c>
      <c r="X208" s="4">
        <f>IF($B$188=0,0,IF(X$2&gt;=$A208,IF(X$2=$A208,($B208/$B$188)*$B$185,IF(X$2&lt;=$A208+$B$188-1,$B208/$B$188,$B208-SUM($C208:W208))),0))</f>
        <v>0</v>
      </c>
      <c r="Y208" s="4">
        <f>IF($B$188=0,0,IF(Y$2&gt;=$A208,IF(Y$2=$A208,($B208/$B$188)*$B$185,IF(Y$2&lt;=$A208+$B$188-1,$B208/$B$188,$B208-SUM($C208:X208))),0))</f>
        <v>0</v>
      </c>
      <c r="Z208" s="4">
        <f>IF($B$188=0,0,IF(Z$2&gt;=$A208,IF(Z$2=$A208,($B208/$B$188)*$B$185,IF(Z$2&lt;=$A208+$B$188-1,$B208/$B$188,$B208-SUM($C208:Y208))),0))</f>
        <v>0</v>
      </c>
      <c r="AA208" s="4">
        <f>IF($B$188=0,0,IF(AA$2&gt;=$A208,IF(AA$2=$A208,($B208/$B$188)*$B$185,IF(AA$2&lt;=$A208+$B$188-1,$B208/$B$188,$B208-SUM($C208:Z208))),0))</f>
        <v>0</v>
      </c>
      <c r="AB208" s="4">
        <f>IF($B$188=0,0,IF(AB$2&gt;=$A208,IF(AB$2=$A208,($B208/$B$188)*$B$185,IF(AB$2&lt;=$A208+$B$188-1,$B208/$B$188,$B208-SUM($C208:AA208))),0))</f>
        <v>0</v>
      </c>
      <c r="AC208" s="4">
        <f>IF($B$188=0,0,IF(AC$2&gt;=$A208,IF(AC$2=$A208,($B208/$B$188)*$B$185,IF(AC$2&lt;=$A208+$B$188-1,$B208/$B$188,$B208-SUM($C208:AB208))),0))</f>
        <v>0</v>
      </c>
      <c r="AD208" s="4">
        <f>IF($B$188=0,0,IF(AD$2&gt;=$A208,IF(AD$2=$A208,($B208/$B$188)*$B$185,IF(AD$2&lt;=$A208+$B$188-1,$B208/$B$188,$B208-SUM($C208:AC208))),0))</f>
        <v>0</v>
      </c>
      <c r="AE208" s="4">
        <f>IF($B$188=0,0,IF(AE$2&gt;=$A208,IF(AE$2=$A208,($B208/$B$188)*$B$185,IF(AE$2&lt;=$A208+$B$188-1,$B208/$B$188,$B208-SUM($C208:AD208))),0))</f>
        <v>0</v>
      </c>
      <c r="AF208" s="4">
        <f>IF($B$188=0,0,IF(AF$2&gt;=$A208,IF(AF$2=$A208,($B208/$B$188)*$B$185,IF(AF$2&lt;=$A208+$B$188-1,$B208/$B$188,$B208-SUM($C208:AE208))),0))</f>
        <v>0</v>
      </c>
      <c r="AG208" s="4">
        <f t="shared" si="138"/>
        <v>0</v>
      </c>
    </row>
    <row r="209" spans="1:33">
      <c r="A209" s="6">
        <f t="shared" si="139"/>
        <v>2042</v>
      </c>
      <c r="B209" s="4">
        <f t="shared" si="137"/>
        <v>0</v>
      </c>
      <c r="C209" s="4">
        <f>IF($B$188=0,0,IF(C$2&gt;=$A209,IF(C$2=$A209,($B209/$B$188)*$B$185,IF(C$2&lt;=$A209+$B$188-1,$B209/$B$188,$B209-SUM(B209:$C209))),0))</f>
        <v>0</v>
      </c>
      <c r="D209" s="4">
        <f>IF($B$188=0,0,IF(D$2&gt;=$A209,IF(D$2=$A209,($B209/$B$188)*$B$185,IF(D$2&lt;=$A209+$B$188-1,$B209/$B$188,$B209-SUM(C209:$C209))),0))</f>
        <v>0</v>
      </c>
      <c r="E209" s="4">
        <f>IF($B$188=0,0,IF(E$2&gt;=$A209,IF(E$2=$A209,($B209/$B$188)*$B$185,IF(E$2&lt;=$A209+$B$188-1,$B209/$B$188,$B209-SUM($C209:D209))),0))</f>
        <v>0</v>
      </c>
      <c r="F209" s="4">
        <f>IF($B$188=0,0,IF(F$2&gt;=$A209,IF(F$2=$A209,($B209/$B$188)*$B$185,IF(F$2&lt;=$A209+$B$188-1,$B209/$B$188,$B209-SUM($C209:E209))),0))</f>
        <v>0</v>
      </c>
      <c r="G209" s="4">
        <f>IF($B$188=0,0,IF(G$2&gt;=$A209,IF(G$2=$A209,($B209/$B$188)*$B$185,IF(G$2&lt;=$A209+$B$188-1,$B209/$B$188,$B209-SUM($C209:F209))),0))</f>
        <v>0</v>
      </c>
      <c r="H209" s="4">
        <f>IF($B$188=0,0,IF(H$2&gt;=$A209,IF(H$2=$A209,($B209/$B$188)*$B$185,IF(H$2&lt;=$A209+$B$188-1,$B209/$B$188,$B209-SUM($C209:G209))),0))</f>
        <v>0</v>
      </c>
      <c r="I209" s="4">
        <f>IF($B$188=0,0,IF(I$2&gt;=$A209,IF(I$2=$A209,($B209/$B$188)*$B$185,IF(I$2&lt;=$A209+$B$188-1,$B209/$B$188,$B209-SUM($C209:H209))),0))</f>
        <v>0</v>
      </c>
      <c r="J209" s="4">
        <f>IF($B$188=0,0,IF(J$2&gt;=$A209,IF(J$2=$A209,($B209/$B$188)*$B$185,IF(J$2&lt;=$A209+$B$188-1,$B209/$B$188,$B209-SUM($C209:I209))),0))</f>
        <v>0</v>
      </c>
      <c r="K209" s="4">
        <f>IF($B$188=0,0,IF(K$2&gt;=$A209,IF(K$2=$A209,($B209/$B$188)*$B$185,IF(K$2&lt;=$A209+$B$188-1,$B209/$B$188,$B209-SUM($C209:J209))),0))</f>
        <v>0</v>
      </c>
      <c r="L209" s="4">
        <f>IF($B$188=0,0,IF(L$2&gt;=$A209,IF(L$2=$A209,($B209/$B$188)*$B$185,IF(L$2&lt;=$A209+$B$188-1,$B209/$B$188,$B209-SUM($C209:K209))),0))</f>
        <v>0</v>
      </c>
      <c r="M209" s="4">
        <f>IF($B$188=0,0,IF(M$2&gt;=$A209,IF(M$2=$A209,($B209/$B$188)*$B$185,IF(M$2&lt;=$A209+$B$188-1,$B209/$B$188,$B209-SUM($C209:L209))),0))</f>
        <v>0</v>
      </c>
      <c r="N209" s="4">
        <f>IF($B$188=0,0,IF(N$2&gt;=$A209,IF(N$2=$A209,($B209/$B$188)*$B$185,IF(N$2&lt;=$A209+$B$188-1,$B209/$B$188,$B209-SUM($C209:M209))),0))</f>
        <v>0</v>
      </c>
      <c r="O209" s="4">
        <f>IF($B$188=0,0,IF(O$2&gt;=$A209,IF(O$2=$A209,($B209/$B$188)*$B$185,IF(O$2&lt;=$A209+$B$188-1,$B209/$B$188,$B209-SUM($C209:N209))),0))</f>
        <v>0</v>
      </c>
      <c r="P209" s="4">
        <f>IF($B$188=0,0,IF(P$2&gt;=$A209,IF(P$2=$A209,($B209/$B$188)*$B$185,IF(P$2&lt;=$A209+$B$188-1,$B209/$B$188,$B209-SUM($C209:O209))),0))</f>
        <v>0</v>
      </c>
      <c r="Q209" s="4">
        <f>IF($B$188=0,0,IF(Q$2&gt;=$A209,IF(Q$2=$A209,($B209/$B$188)*$B$185,IF(Q$2&lt;=$A209+$B$188-1,$B209/$B$188,$B209-SUM($C209:P209))),0))</f>
        <v>0</v>
      </c>
      <c r="R209" s="4">
        <f>IF($B$188=0,0,IF(R$2&gt;=$A209,IF(R$2=$A209,($B209/$B$188)*$B$185,IF(R$2&lt;=$A209+$B$188-1,$B209/$B$188,$B209-SUM($C209:Q209))),0))</f>
        <v>0</v>
      </c>
      <c r="S209" s="4">
        <f>IF($B$188=0,0,IF(S$2&gt;=$A209,IF(S$2=$A209,($B209/$B$188)*$B$185,IF(S$2&lt;=$A209+$B$188-1,$B209/$B$188,$B209-SUM($C209:R209))),0))</f>
        <v>0</v>
      </c>
      <c r="T209" s="4">
        <f>IF($B$188=0,0,IF(T$2&gt;=$A209,IF(T$2=$A209,($B209/$B$188)*$B$185,IF(T$2&lt;=$A209+$B$188-1,$B209/$B$188,$B209-SUM($C209:S209))),0))</f>
        <v>0</v>
      </c>
      <c r="U209" s="4">
        <f>IF($B$188=0,0,IF(U$2&gt;=$A209,IF(U$2=$A209,($B209/$B$188)*$B$185,IF(U$2&lt;=$A209+$B$188-1,$B209/$B$188,$B209-SUM($C209:T209))),0))</f>
        <v>0</v>
      </c>
      <c r="V209" s="4">
        <f>IF($B$188=0,0,IF(V$2&gt;=$A209,IF(V$2=$A209,($B209/$B$188)*$B$185,IF(V$2&lt;=$A209+$B$188-1,$B209/$B$188,$B209-SUM($C209:U209))),0))</f>
        <v>0</v>
      </c>
      <c r="W209" s="4">
        <f>IF($B$188=0,0,IF(W$2&gt;=$A209,IF(W$2=$A209,($B209/$B$188)*$B$185,IF(W$2&lt;=$A209+$B$188-1,$B209/$B$188,$B209-SUM($C209:V209))),0))</f>
        <v>0</v>
      </c>
      <c r="X209" s="4">
        <f>IF($B$188=0,0,IF(X$2&gt;=$A209,IF(X$2=$A209,($B209/$B$188)*$B$185,IF(X$2&lt;=$A209+$B$188-1,$B209/$B$188,$B209-SUM($C209:W209))),0))</f>
        <v>0</v>
      </c>
      <c r="Y209" s="4">
        <f>IF($B$188=0,0,IF(Y$2&gt;=$A209,IF(Y$2=$A209,($B209/$B$188)*$B$185,IF(Y$2&lt;=$A209+$B$188-1,$B209/$B$188,$B209-SUM($C209:X209))),0))</f>
        <v>0</v>
      </c>
      <c r="Z209" s="4">
        <f>IF($B$188=0,0,IF(Z$2&gt;=$A209,IF(Z$2=$A209,($B209/$B$188)*$B$185,IF(Z$2&lt;=$A209+$B$188-1,$B209/$B$188,$B209-SUM($C209:Y209))),0))</f>
        <v>0</v>
      </c>
      <c r="AA209" s="4">
        <f>IF($B$188=0,0,IF(AA$2&gt;=$A209,IF(AA$2=$A209,($B209/$B$188)*$B$185,IF(AA$2&lt;=$A209+$B$188-1,$B209/$B$188,$B209-SUM($C209:Z209))),0))</f>
        <v>0</v>
      </c>
      <c r="AB209" s="4">
        <f>IF($B$188=0,0,IF(AB$2&gt;=$A209,IF(AB$2=$A209,($B209/$B$188)*$B$185,IF(AB$2&lt;=$A209+$B$188-1,$B209/$B$188,$B209-SUM($C209:AA209))),0))</f>
        <v>0</v>
      </c>
      <c r="AC209" s="4">
        <f>IF($B$188=0,0,IF(AC$2&gt;=$A209,IF(AC$2=$A209,($B209/$B$188)*$B$185,IF(AC$2&lt;=$A209+$B$188-1,$B209/$B$188,$B209-SUM($C209:AB209))),0))</f>
        <v>0</v>
      </c>
      <c r="AD209" s="4">
        <f>IF($B$188=0,0,IF(AD$2&gt;=$A209,IF(AD$2=$A209,($B209/$B$188)*$B$185,IF(AD$2&lt;=$A209+$B$188-1,$B209/$B$188,$B209-SUM($C209:AC209))),0))</f>
        <v>0</v>
      </c>
      <c r="AE209" s="4">
        <f>IF($B$188=0,0,IF(AE$2&gt;=$A209,IF(AE$2=$A209,($B209/$B$188)*$B$185,IF(AE$2&lt;=$A209+$B$188-1,$B209/$B$188,$B209-SUM($C209:AD209))),0))</f>
        <v>0</v>
      </c>
      <c r="AF209" s="4">
        <f>IF($B$188=0,0,IF(AF$2&gt;=$A209,IF(AF$2=$A209,($B209/$B$188)*$B$185,IF(AF$2&lt;=$A209+$B$188-1,$B209/$B$188,$B209-SUM($C209:AE209))),0))</f>
        <v>0</v>
      </c>
      <c r="AG209" s="4">
        <f t="shared" si="138"/>
        <v>0</v>
      </c>
    </row>
    <row r="210" spans="1:33">
      <c r="A210" s="6">
        <f t="shared" si="139"/>
        <v>2043</v>
      </c>
      <c r="B210" s="4">
        <f t="shared" si="137"/>
        <v>0</v>
      </c>
      <c r="C210" s="4">
        <f>IF($B$188=0,0,IF(C$2&gt;=$A210,IF(C$2=$A210,($B210/$B$188)*$B$185,IF(C$2&lt;=$A210+$B$188-1,$B210/$B$188,$B210-SUM(B210:$C210))),0))</f>
        <v>0</v>
      </c>
      <c r="D210" s="4">
        <f>IF($B$188=0,0,IF(D$2&gt;=$A210,IF(D$2=$A210,($B210/$B$188)*$B$185,IF(D$2&lt;=$A210+$B$188-1,$B210/$B$188,$B210-SUM(C210:$C210))),0))</f>
        <v>0</v>
      </c>
      <c r="E210" s="4">
        <f>IF($B$188=0,0,IF(E$2&gt;=$A210,IF(E$2=$A210,($B210/$B$188)*$B$185,IF(E$2&lt;=$A210+$B$188-1,$B210/$B$188,$B210-SUM($C210:D210))),0))</f>
        <v>0</v>
      </c>
      <c r="F210" s="4">
        <f>IF($B$188=0,0,IF(F$2&gt;=$A210,IF(F$2=$A210,($B210/$B$188)*$B$185,IF(F$2&lt;=$A210+$B$188-1,$B210/$B$188,$B210-SUM($C210:E210))),0))</f>
        <v>0</v>
      </c>
      <c r="G210" s="4">
        <f>IF($B$188=0,0,IF(G$2&gt;=$A210,IF(G$2=$A210,($B210/$B$188)*$B$185,IF(G$2&lt;=$A210+$B$188-1,$B210/$B$188,$B210-SUM($C210:F210))),0))</f>
        <v>0</v>
      </c>
      <c r="H210" s="4">
        <f>IF($B$188=0,0,IF(H$2&gt;=$A210,IF(H$2=$A210,($B210/$B$188)*$B$185,IF(H$2&lt;=$A210+$B$188-1,$B210/$B$188,$B210-SUM($C210:G210))),0))</f>
        <v>0</v>
      </c>
      <c r="I210" s="4">
        <f>IF($B$188=0,0,IF(I$2&gt;=$A210,IF(I$2=$A210,($B210/$B$188)*$B$185,IF(I$2&lt;=$A210+$B$188-1,$B210/$B$188,$B210-SUM($C210:H210))),0))</f>
        <v>0</v>
      </c>
      <c r="J210" s="4">
        <f>IF($B$188=0,0,IF(J$2&gt;=$A210,IF(J$2=$A210,($B210/$B$188)*$B$185,IF(J$2&lt;=$A210+$B$188-1,$B210/$B$188,$B210-SUM($C210:I210))),0))</f>
        <v>0</v>
      </c>
      <c r="K210" s="4">
        <f>IF($B$188=0,0,IF(K$2&gt;=$A210,IF(K$2=$A210,($B210/$B$188)*$B$185,IF(K$2&lt;=$A210+$B$188-1,$B210/$B$188,$B210-SUM($C210:J210))),0))</f>
        <v>0</v>
      </c>
      <c r="L210" s="4">
        <f>IF($B$188=0,0,IF(L$2&gt;=$A210,IF(L$2=$A210,($B210/$B$188)*$B$185,IF(L$2&lt;=$A210+$B$188-1,$B210/$B$188,$B210-SUM($C210:K210))),0))</f>
        <v>0</v>
      </c>
      <c r="M210" s="4">
        <f>IF($B$188=0,0,IF(M$2&gt;=$A210,IF(M$2=$A210,($B210/$B$188)*$B$185,IF(M$2&lt;=$A210+$B$188-1,$B210/$B$188,$B210-SUM($C210:L210))),0))</f>
        <v>0</v>
      </c>
      <c r="N210" s="4">
        <f>IF($B$188=0,0,IF(N$2&gt;=$A210,IF(N$2=$A210,($B210/$B$188)*$B$185,IF(N$2&lt;=$A210+$B$188-1,$B210/$B$188,$B210-SUM($C210:M210))),0))</f>
        <v>0</v>
      </c>
      <c r="O210" s="4">
        <f>IF($B$188=0,0,IF(O$2&gt;=$A210,IF(O$2=$A210,($B210/$B$188)*$B$185,IF(O$2&lt;=$A210+$B$188-1,$B210/$B$188,$B210-SUM($C210:N210))),0))</f>
        <v>0</v>
      </c>
      <c r="P210" s="4">
        <f>IF($B$188=0,0,IF(P$2&gt;=$A210,IF(P$2=$A210,($B210/$B$188)*$B$185,IF(P$2&lt;=$A210+$B$188-1,$B210/$B$188,$B210-SUM($C210:O210))),0))</f>
        <v>0</v>
      </c>
      <c r="Q210" s="4">
        <f>IF($B$188=0,0,IF(Q$2&gt;=$A210,IF(Q$2=$A210,($B210/$B$188)*$B$185,IF(Q$2&lt;=$A210+$B$188-1,$B210/$B$188,$B210-SUM($C210:P210))),0))</f>
        <v>0</v>
      </c>
      <c r="R210" s="4">
        <f>IF($B$188=0,0,IF(R$2&gt;=$A210,IF(R$2=$A210,($B210/$B$188)*$B$185,IF(R$2&lt;=$A210+$B$188-1,$B210/$B$188,$B210-SUM($C210:Q210))),0))</f>
        <v>0</v>
      </c>
      <c r="S210" s="4">
        <f>IF($B$188=0,0,IF(S$2&gt;=$A210,IF(S$2=$A210,($B210/$B$188)*$B$185,IF(S$2&lt;=$A210+$B$188-1,$B210/$B$188,$B210-SUM($C210:R210))),0))</f>
        <v>0</v>
      </c>
      <c r="T210" s="4">
        <f>IF($B$188=0,0,IF(T$2&gt;=$A210,IF(T$2=$A210,($B210/$B$188)*$B$185,IF(T$2&lt;=$A210+$B$188-1,$B210/$B$188,$B210-SUM($C210:S210))),0))</f>
        <v>0</v>
      </c>
      <c r="U210" s="4">
        <f>IF($B$188=0,0,IF(U$2&gt;=$A210,IF(U$2=$A210,($B210/$B$188)*$B$185,IF(U$2&lt;=$A210+$B$188-1,$B210/$B$188,$B210-SUM($C210:T210))),0))</f>
        <v>0</v>
      </c>
      <c r="V210" s="4">
        <f>IF($B$188=0,0,IF(V$2&gt;=$A210,IF(V$2=$A210,($B210/$B$188)*$B$185,IF(V$2&lt;=$A210+$B$188-1,$B210/$B$188,$B210-SUM($C210:U210))),0))</f>
        <v>0</v>
      </c>
      <c r="W210" s="4">
        <f>IF($B$188=0,0,IF(W$2&gt;=$A210,IF(W$2=$A210,($B210/$B$188)*$B$185,IF(W$2&lt;=$A210+$B$188-1,$B210/$B$188,$B210-SUM($C210:V210))),0))</f>
        <v>0</v>
      </c>
      <c r="X210" s="4">
        <f>IF($B$188=0,0,IF(X$2&gt;=$A210,IF(X$2=$A210,($B210/$B$188)*$B$185,IF(X$2&lt;=$A210+$B$188-1,$B210/$B$188,$B210-SUM($C210:W210))),0))</f>
        <v>0</v>
      </c>
      <c r="Y210" s="4">
        <f>IF($B$188=0,0,IF(Y$2&gt;=$A210,IF(Y$2=$A210,($B210/$B$188)*$B$185,IF(Y$2&lt;=$A210+$B$188-1,$B210/$B$188,$B210-SUM($C210:X210))),0))</f>
        <v>0</v>
      </c>
      <c r="Z210" s="4">
        <f>IF($B$188=0,0,IF(Z$2&gt;=$A210,IF(Z$2=$A210,($B210/$B$188)*$B$185,IF(Z$2&lt;=$A210+$B$188-1,$B210/$B$188,$B210-SUM($C210:Y210))),0))</f>
        <v>0</v>
      </c>
      <c r="AA210" s="4">
        <f>IF($B$188=0,0,IF(AA$2&gt;=$A210,IF(AA$2=$A210,($B210/$B$188)*$B$185,IF(AA$2&lt;=$A210+$B$188-1,$B210/$B$188,$B210-SUM($C210:Z210))),0))</f>
        <v>0</v>
      </c>
      <c r="AB210" s="4">
        <f>IF($B$188=0,0,IF(AB$2&gt;=$A210,IF(AB$2=$A210,($B210/$B$188)*$B$185,IF(AB$2&lt;=$A210+$B$188-1,$B210/$B$188,$B210-SUM($C210:AA210))),0))</f>
        <v>0</v>
      </c>
      <c r="AC210" s="4">
        <f>IF($B$188=0,0,IF(AC$2&gt;=$A210,IF(AC$2=$A210,($B210/$B$188)*$B$185,IF(AC$2&lt;=$A210+$B$188-1,$B210/$B$188,$B210-SUM($C210:AB210))),0))</f>
        <v>0</v>
      </c>
      <c r="AD210" s="4">
        <f>IF($B$188=0,0,IF(AD$2&gt;=$A210,IF(AD$2=$A210,($B210/$B$188)*$B$185,IF(AD$2&lt;=$A210+$B$188-1,$B210/$B$188,$B210-SUM($C210:AC210))),0))</f>
        <v>0</v>
      </c>
      <c r="AE210" s="4">
        <f>IF($B$188=0,0,IF(AE$2&gt;=$A210,IF(AE$2=$A210,($B210/$B$188)*$B$185,IF(AE$2&lt;=$A210+$B$188-1,$B210/$B$188,$B210-SUM($C210:AD210))),0))</f>
        <v>0</v>
      </c>
      <c r="AF210" s="4">
        <f>IF($B$188=0,0,IF(AF$2&gt;=$A210,IF(AF$2=$A210,($B210/$B$188)*$B$185,IF(AF$2&lt;=$A210+$B$188-1,$B210/$B$188,$B210-SUM($C210:AE210))),0))</f>
        <v>0</v>
      </c>
      <c r="AG210" s="4">
        <f t="shared" si="138"/>
        <v>0</v>
      </c>
    </row>
    <row r="211" spans="1:33">
      <c r="A211" s="6">
        <f t="shared" si="139"/>
        <v>2044</v>
      </c>
      <c r="B211" s="4">
        <f t="shared" si="137"/>
        <v>0</v>
      </c>
      <c r="C211" s="4">
        <f>IF($B$188=0,0,IF(C$2&gt;=$A211,IF(C$2=$A211,($B211/$B$188)*$B$185,IF(C$2&lt;=$A211+$B$188-1,$B211/$B$188,$B211-SUM(B211:$C211))),0))</f>
        <v>0</v>
      </c>
      <c r="D211" s="4">
        <f>IF($B$188=0,0,IF(D$2&gt;=$A211,IF(D$2=$A211,($B211/$B$188)*$B$185,IF(D$2&lt;=$A211+$B$188-1,$B211/$B$188,$B211-SUM(C211:$C211))),0))</f>
        <v>0</v>
      </c>
      <c r="E211" s="4">
        <f>IF($B$188=0,0,IF(E$2&gt;=$A211,IF(E$2=$A211,($B211/$B$188)*$B$185,IF(E$2&lt;=$A211+$B$188-1,$B211/$B$188,$B211-SUM($C211:D211))),0))</f>
        <v>0</v>
      </c>
      <c r="F211" s="4">
        <f>IF($B$188=0,0,IF(F$2&gt;=$A211,IF(F$2=$A211,($B211/$B$188)*$B$185,IF(F$2&lt;=$A211+$B$188-1,$B211/$B$188,$B211-SUM($C211:E211))),0))</f>
        <v>0</v>
      </c>
      <c r="G211" s="4">
        <f>IF($B$188=0,0,IF(G$2&gt;=$A211,IF(G$2=$A211,($B211/$B$188)*$B$185,IF(G$2&lt;=$A211+$B$188-1,$B211/$B$188,$B211-SUM($C211:F211))),0))</f>
        <v>0</v>
      </c>
      <c r="H211" s="4">
        <f>IF($B$188=0,0,IF(H$2&gt;=$A211,IF(H$2=$A211,($B211/$B$188)*$B$185,IF(H$2&lt;=$A211+$B$188-1,$B211/$B$188,$B211-SUM($C211:G211))),0))</f>
        <v>0</v>
      </c>
      <c r="I211" s="4">
        <f>IF($B$188=0,0,IF(I$2&gt;=$A211,IF(I$2=$A211,($B211/$B$188)*$B$185,IF(I$2&lt;=$A211+$B$188-1,$B211/$B$188,$B211-SUM($C211:H211))),0))</f>
        <v>0</v>
      </c>
      <c r="J211" s="4">
        <f>IF($B$188=0,0,IF(J$2&gt;=$A211,IF(J$2=$A211,($B211/$B$188)*$B$185,IF(J$2&lt;=$A211+$B$188-1,$B211/$B$188,$B211-SUM($C211:I211))),0))</f>
        <v>0</v>
      </c>
      <c r="K211" s="4">
        <f>IF($B$188=0,0,IF(K$2&gt;=$A211,IF(K$2=$A211,($B211/$B$188)*$B$185,IF(K$2&lt;=$A211+$B$188-1,$B211/$B$188,$B211-SUM($C211:J211))),0))</f>
        <v>0</v>
      </c>
      <c r="L211" s="4">
        <f>IF($B$188=0,0,IF(L$2&gt;=$A211,IF(L$2=$A211,($B211/$B$188)*$B$185,IF(L$2&lt;=$A211+$B$188-1,$B211/$B$188,$B211-SUM($C211:K211))),0))</f>
        <v>0</v>
      </c>
      <c r="M211" s="4">
        <f>IF($B$188=0,0,IF(M$2&gt;=$A211,IF(M$2=$A211,($B211/$B$188)*$B$185,IF(M$2&lt;=$A211+$B$188-1,$B211/$B$188,$B211-SUM($C211:L211))),0))</f>
        <v>0</v>
      </c>
      <c r="N211" s="4">
        <f>IF($B$188=0,0,IF(N$2&gt;=$A211,IF(N$2=$A211,($B211/$B$188)*$B$185,IF(N$2&lt;=$A211+$B$188-1,$B211/$B$188,$B211-SUM($C211:M211))),0))</f>
        <v>0</v>
      </c>
      <c r="O211" s="4">
        <f>IF($B$188=0,0,IF(O$2&gt;=$A211,IF(O$2=$A211,($B211/$B$188)*$B$185,IF(O$2&lt;=$A211+$B$188-1,$B211/$B$188,$B211-SUM($C211:N211))),0))</f>
        <v>0</v>
      </c>
      <c r="P211" s="4">
        <f>IF($B$188=0,0,IF(P$2&gt;=$A211,IF(P$2=$A211,($B211/$B$188)*$B$185,IF(P$2&lt;=$A211+$B$188-1,$B211/$B$188,$B211-SUM($C211:O211))),0))</f>
        <v>0</v>
      </c>
      <c r="Q211" s="4">
        <f>IF($B$188=0,0,IF(Q$2&gt;=$A211,IF(Q$2=$A211,($B211/$B$188)*$B$185,IF(Q$2&lt;=$A211+$B$188-1,$B211/$B$188,$B211-SUM($C211:P211))),0))</f>
        <v>0</v>
      </c>
      <c r="R211" s="4">
        <f>IF($B$188=0,0,IF(R$2&gt;=$A211,IF(R$2=$A211,($B211/$B$188)*$B$185,IF(R$2&lt;=$A211+$B$188-1,$B211/$B$188,$B211-SUM($C211:Q211))),0))</f>
        <v>0</v>
      </c>
      <c r="S211" s="4">
        <f>IF($B$188=0,0,IF(S$2&gt;=$A211,IF(S$2=$A211,($B211/$B$188)*$B$185,IF(S$2&lt;=$A211+$B$188-1,$B211/$B$188,$B211-SUM($C211:R211))),0))</f>
        <v>0</v>
      </c>
      <c r="T211" s="4">
        <f>IF($B$188=0,0,IF(T$2&gt;=$A211,IF(T$2=$A211,($B211/$B$188)*$B$185,IF(T$2&lt;=$A211+$B$188-1,$B211/$B$188,$B211-SUM($C211:S211))),0))</f>
        <v>0</v>
      </c>
      <c r="U211" s="4">
        <f>IF($B$188=0,0,IF(U$2&gt;=$A211,IF(U$2=$A211,($B211/$B$188)*$B$185,IF(U$2&lt;=$A211+$B$188-1,$B211/$B$188,$B211-SUM($C211:T211))),0))</f>
        <v>0</v>
      </c>
      <c r="V211" s="4">
        <f>IF($B$188=0,0,IF(V$2&gt;=$A211,IF(V$2=$A211,($B211/$B$188)*$B$185,IF(V$2&lt;=$A211+$B$188-1,$B211/$B$188,$B211-SUM($C211:U211))),0))</f>
        <v>0</v>
      </c>
      <c r="W211" s="4">
        <f>IF($B$188=0,0,IF(W$2&gt;=$A211,IF(W$2=$A211,($B211/$B$188)*$B$185,IF(W$2&lt;=$A211+$B$188-1,$B211/$B$188,$B211-SUM($C211:V211))),0))</f>
        <v>0</v>
      </c>
      <c r="X211" s="4">
        <f>IF($B$188=0,0,IF(X$2&gt;=$A211,IF(X$2=$A211,($B211/$B$188)*$B$185,IF(X$2&lt;=$A211+$B$188-1,$B211/$B$188,$B211-SUM($C211:W211))),0))</f>
        <v>0</v>
      </c>
      <c r="Y211" s="4">
        <f>IF($B$188=0,0,IF(Y$2&gt;=$A211,IF(Y$2=$A211,($B211/$B$188)*$B$185,IF(Y$2&lt;=$A211+$B$188-1,$B211/$B$188,$B211-SUM($C211:X211))),0))</f>
        <v>0</v>
      </c>
      <c r="Z211" s="4">
        <f>IF($B$188=0,0,IF(Z$2&gt;=$A211,IF(Z$2=$A211,($B211/$B$188)*$B$185,IF(Z$2&lt;=$A211+$B$188-1,$B211/$B$188,$B211-SUM($C211:Y211))),0))</f>
        <v>0</v>
      </c>
      <c r="AA211" s="4">
        <f>IF($B$188=0,0,IF(AA$2&gt;=$A211,IF(AA$2=$A211,($B211/$B$188)*$B$185,IF(AA$2&lt;=$A211+$B$188-1,$B211/$B$188,$B211-SUM($C211:Z211))),0))</f>
        <v>0</v>
      </c>
      <c r="AB211" s="4">
        <f>IF($B$188=0,0,IF(AB$2&gt;=$A211,IF(AB$2=$A211,($B211/$B$188)*$B$185,IF(AB$2&lt;=$A211+$B$188-1,$B211/$B$188,$B211-SUM($C211:AA211))),0))</f>
        <v>0</v>
      </c>
      <c r="AC211" s="4">
        <f>IF($B$188=0,0,IF(AC$2&gt;=$A211,IF(AC$2=$A211,($B211/$B$188)*$B$185,IF(AC$2&lt;=$A211+$B$188-1,$B211/$B$188,$B211-SUM($C211:AB211))),0))</f>
        <v>0</v>
      </c>
      <c r="AD211" s="4">
        <f>IF($B$188=0,0,IF(AD$2&gt;=$A211,IF(AD$2=$A211,($B211/$B$188)*$B$185,IF(AD$2&lt;=$A211+$B$188-1,$B211/$B$188,$B211-SUM($C211:AC211))),0))</f>
        <v>0</v>
      </c>
      <c r="AE211" s="4">
        <f>IF($B$188=0,0,IF(AE$2&gt;=$A211,IF(AE$2=$A211,($B211/$B$188)*$B$185,IF(AE$2&lt;=$A211+$B$188-1,$B211/$B$188,$B211-SUM($C211:AD211))),0))</f>
        <v>0</v>
      </c>
      <c r="AF211" s="4">
        <f>IF($B$188=0,0,IF(AF$2&gt;=$A211,IF(AF$2=$A211,($B211/$B$188)*$B$185,IF(AF$2&lt;=$A211+$B$188-1,$B211/$B$188,$B211-SUM($C211:AE211))),0))</f>
        <v>0</v>
      </c>
      <c r="AG211" s="4">
        <f t="shared" si="138"/>
        <v>0</v>
      </c>
    </row>
    <row r="212" spans="1:33">
      <c r="A212" s="6">
        <f t="shared" si="139"/>
        <v>2045</v>
      </c>
      <c r="B212" s="4">
        <f t="shared" si="137"/>
        <v>0</v>
      </c>
      <c r="C212" s="4">
        <f>IF($B$188=0,0,IF(C$2&gt;=$A212,IF(C$2=$A212,($B212/$B$188)*$B$185,IF(C$2&lt;=$A212+$B$188-1,$B212/$B$188,$B212-SUM(B212:$C212))),0))</f>
        <v>0</v>
      </c>
      <c r="D212" s="4">
        <f>IF($B$188=0,0,IF(D$2&gt;=$A212,IF(D$2=$A212,($B212/$B$188)*$B$185,IF(D$2&lt;=$A212+$B$188-1,$B212/$B$188,$B212-SUM(C212:$C212))),0))</f>
        <v>0</v>
      </c>
      <c r="E212" s="4">
        <f>IF($B$188=0,0,IF(E$2&gt;=$A212,IF(E$2=$A212,($B212/$B$188)*$B$185,IF(E$2&lt;=$A212+$B$188-1,$B212/$B$188,$B212-SUM($C212:D212))),0))</f>
        <v>0</v>
      </c>
      <c r="F212" s="4">
        <f>IF($B$188=0,0,IF(F$2&gt;=$A212,IF(F$2=$A212,($B212/$B$188)*$B$185,IF(F$2&lt;=$A212+$B$188-1,$B212/$B$188,$B212-SUM($C212:E212))),0))</f>
        <v>0</v>
      </c>
      <c r="G212" s="4">
        <f>IF($B$188=0,0,IF(G$2&gt;=$A212,IF(G$2=$A212,($B212/$B$188)*$B$185,IF(G$2&lt;=$A212+$B$188-1,$B212/$B$188,$B212-SUM($C212:F212))),0))</f>
        <v>0</v>
      </c>
      <c r="H212" s="4">
        <f>IF($B$188=0,0,IF(H$2&gt;=$A212,IF(H$2=$A212,($B212/$B$188)*$B$185,IF(H$2&lt;=$A212+$B$188-1,$B212/$B$188,$B212-SUM($C212:G212))),0))</f>
        <v>0</v>
      </c>
      <c r="I212" s="4">
        <f>IF($B$188=0,0,IF(I$2&gt;=$A212,IF(I$2=$A212,($B212/$B$188)*$B$185,IF(I$2&lt;=$A212+$B$188-1,$B212/$B$188,$B212-SUM($C212:H212))),0))</f>
        <v>0</v>
      </c>
      <c r="J212" s="4">
        <f>IF($B$188=0,0,IF(J$2&gt;=$A212,IF(J$2=$A212,($B212/$B$188)*$B$185,IF(J$2&lt;=$A212+$B$188-1,$B212/$B$188,$B212-SUM($C212:I212))),0))</f>
        <v>0</v>
      </c>
      <c r="K212" s="4">
        <f>IF($B$188=0,0,IF(K$2&gt;=$A212,IF(K$2=$A212,($B212/$B$188)*$B$185,IF(K$2&lt;=$A212+$B$188-1,$B212/$B$188,$B212-SUM($C212:J212))),0))</f>
        <v>0</v>
      </c>
      <c r="L212" s="4">
        <f>IF($B$188=0,0,IF(L$2&gt;=$A212,IF(L$2=$A212,($B212/$B$188)*$B$185,IF(L$2&lt;=$A212+$B$188-1,$B212/$B$188,$B212-SUM($C212:K212))),0))</f>
        <v>0</v>
      </c>
      <c r="M212" s="4">
        <f>IF($B$188=0,0,IF(M$2&gt;=$A212,IF(M$2=$A212,($B212/$B$188)*$B$185,IF(M$2&lt;=$A212+$B$188-1,$B212/$B$188,$B212-SUM($C212:L212))),0))</f>
        <v>0</v>
      </c>
      <c r="N212" s="4">
        <f>IF($B$188=0,0,IF(N$2&gt;=$A212,IF(N$2=$A212,($B212/$B$188)*$B$185,IF(N$2&lt;=$A212+$B$188-1,$B212/$B$188,$B212-SUM($C212:M212))),0))</f>
        <v>0</v>
      </c>
      <c r="O212" s="4">
        <f>IF($B$188=0,0,IF(O$2&gt;=$A212,IF(O$2=$A212,($B212/$B$188)*$B$185,IF(O$2&lt;=$A212+$B$188-1,$B212/$B$188,$B212-SUM($C212:N212))),0))</f>
        <v>0</v>
      </c>
      <c r="P212" s="4">
        <f>IF($B$188=0,0,IF(P$2&gt;=$A212,IF(P$2=$A212,($B212/$B$188)*$B$185,IF(P$2&lt;=$A212+$B$188-1,$B212/$B$188,$B212-SUM($C212:O212))),0))</f>
        <v>0</v>
      </c>
      <c r="Q212" s="4">
        <f>IF($B$188=0,0,IF(Q$2&gt;=$A212,IF(Q$2=$A212,($B212/$B$188)*$B$185,IF(Q$2&lt;=$A212+$B$188-1,$B212/$B$188,$B212-SUM($C212:P212))),0))</f>
        <v>0</v>
      </c>
      <c r="R212" s="4">
        <f>IF($B$188=0,0,IF(R$2&gt;=$A212,IF(R$2=$A212,($B212/$B$188)*$B$185,IF(R$2&lt;=$A212+$B$188-1,$B212/$B$188,$B212-SUM($C212:Q212))),0))</f>
        <v>0</v>
      </c>
      <c r="S212" s="4">
        <f>IF($B$188=0,0,IF(S$2&gt;=$A212,IF(S$2=$A212,($B212/$B$188)*$B$185,IF(S$2&lt;=$A212+$B$188-1,$B212/$B$188,$B212-SUM($C212:R212))),0))</f>
        <v>0</v>
      </c>
      <c r="T212" s="4">
        <f>IF($B$188=0,0,IF(T$2&gt;=$A212,IF(T$2=$A212,($B212/$B$188)*$B$185,IF(T$2&lt;=$A212+$B$188-1,$B212/$B$188,$B212-SUM($C212:S212))),0))</f>
        <v>0</v>
      </c>
      <c r="U212" s="4">
        <f>IF($B$188=0,0,IF(U$2&gt;=$A212,IF(U$2=$A212,($B212/$B$188)*$B$185,IF(U$2&lt;=$A212+$B$188-1,$B212/$B$188,$B212-SUM($C212:T212))),0))</f>
        <v>0</v>
      </c>
      <c r="V212" s="4">
        <f>IF($B$188=0,0,IF(V$2&gt;=$A212,IF(V$2=$A212,($B212/$B$188)*$B$185,IF(V$2&lt;=$A212+$B$188-1,$B212/$B$188,$B212-SUM($C212:U212))),0))</f>
        <v>0</v>
      </c>
      <c r="W212" s="4">
        <f>IF($B$188=0,0,IF(W$2&gt;=$A212,IF(W$2=$A212,($B212/$B$188)*$B$185,IF(W$2&lt;=$A212+$B$188-1,$B212/$B$188,$B212-SUM($C212:V212))),0))</f>
        <v>0</v>
      </c>
      <c r="X212" s="4">
        <f>IF($B$188=0,0,IF(X$2&gt;=$A212,IF(X$2=$A212,($B212/$B$188)*$B$185,IF(X$2&lt;=$A212+$B$188-1,$B212/$B$188,$B212-SUM($C212:W212))),0))</f>
        <v>0</v>
      </c>
      <c r="Y212" s="4">
        <f>IF($B$188=0,0,IF(Y$2&gt;=$A212,IF(Y$2=$A212,($B212/$B$188)*$B$185,IF(Y$2&lt;=$A212+$B$188-1,$B212/$B$188,$B212-SUM($C212:X212))),0))</f>
        <v>0</v>
      </c>
      <c r="Z212" s="4">
        <f>IF($B$188=0,0,IF(Z$2&gt;=$A212,IF(Z$2=$A212,($B212/$B$188)*$B$185,IF(Z$2&lt;=$A212+$B$188-1,$B212/$B$188,$B212-SUM($C212:Y212))),0))</f>
        <v>0</v>
      </c>
      <c r="AA212" s="4">
        <f>IF($B$188=0,0,IF(AA$2&gt;=$A212,IF(AA$2=$A212,($B212/$B$188)*$B$185,IF(AA$2&lt;=$A212+$B$188-1,$B212/$B$188,$B212-SUM($C212:Z212))),0))</f>
        <v>0</v>
      </c>
      <c r="AB212" s="4">
        <f>IF($B$188=0,0,IF(AB$2&gt;=$A212,IF(AB$2=$A212,($B212/$B$188)*$B$185,IF(AB$2&lt;=$A212+$B$188-1,$B212/$B$188,$B212-SUM($C212:AA212))),0))</f>
        <v>0</v>
      </c>
      <c r="AC212" s="4">
        <f>IF($B$188=0,0,IF(AC$2&gt;=$A212,IF(AC$2=$A212,($B212/$B$188)*$B$185,IF(AC$2&lt;=$A212+$B$188-1,$B212/$B$188,$B212-SUM($C212:AB212))),0))</f>
        <v>0</v>
      </c>
      <c r="AD212" s="4">
        <f>IF($B$188=0,0,IF(AD$2&gt;=$A212,IF(AD$2=$A212,($B212/$B$188)*$B$185,IF(AD$2&lt;=$A212+$B$188-1,$B212/$B$188,$B212-SUM($C212:AC212))),0))</f>
        <v>0</v>
      </c>
      <c r="AE212" s="4">
        <f>IF($B$188=0,0,IF(AE$2&gt;=$A212,IF(AE$2=$A212,($B212/$B$188)*$B$185,IF(AE$2&lt;=$A212+$B$188-1,$B212/$B$188,$B212-SUM($C212:AD212))),0))</f>
        <v>0</v>
      </c>
      <c r="AF212" s="4">
        <f>IF($B$188=0,0,IF(AF$2&gt;=$A212,IF(AF$2=$A212,($B212/$B$188)*$B$185,IF(AF$2&lt;=$A212+$B$188-1,$B212/$B$188,$B212-SUM($C212:AE212))),0))</f>
        <v>0</v>
      </c>
      <c r="AG212" s="4">
        <f t="shared" si="138"/>
        <v>0</v>
      </c>
    </row>
    <row r="213" spans="1:33">
      <c r="A213" s="6">
        <f t="shared" si="139"/>
        <v>2046</v>
      </c>
      <c r="B213" s="4">
        <f t="shared" si="137"/>
        <v>0</v>
      </c>
      <c r="C213" s="4">
        <f>IF($B$188=0,0,IF(C$2&gt;=$A213,IF(C$2=$A213,($B213/$B$188)*$B$185,IF(C$2&lt;=$A213+$B$188-1,$B213/$B$188,$B213-SUM(B213:$C213))),0))</f>
        <v>0</v>
      </c>
      <c r="D213" s="4">
        <f>IF($B$188=0,0,IF(D$2&gt;=$A213,IF(D$2=$A213,($B213/$B$188)*$B$185,IF(D$2&lt;=$A213+$B$188-1,$B213/$B$188,$B213-SUM(C213:$C213))),0))</f>
        <v>0</v>
      </c>
      <c r="E213" s="4">
        <f>IF($B$188=0,0,IF(E$2&gt;=$A213,IF(E$2=$A213,($B213/$B$188)*$B$185,IF(E$2&lt;=$A213+$B$188-1,$B213/$B$188,$B213-SUM($C213:D213))),0))</f>
        <v>0</v>
      </c>
      <c r="F213" s="4">
        <f>IF($B$188=0,0,IF(F$2&gt;=$A213,IF(F$2=$A213,($B213/$B$188)*$B$185,IF(F$2&lt;=$A213+$B$188-1,$B213/$B$188,$B213-SUM($C213:E213))),0))</f>
        <v>0</v>
      </c>
      <c r="G213" s="4">
        <f>IF($B$188=0,0,IF(G$2&gt;=$A213,IF(G$2=$A213,($B213/$B$188)*$B$185,IF(G$2&lt;=$A213+$B$188-1,$B213/$B$188,$B213-SUM($C213:F213))),0))</f>
        <v>0</v>
      </c>
      <c r="H213" s="4">
        <f>IF($B$188=0,0,IF(H$2&gt;=$A213,IF(H$2=$A213,($B213/$B$188)*$B$185,IF(H$2&lt;=$A213+$B$188-1,$B213/$B$188,$B213-SUM($C213:G213))),0))</f>
        <v>0</v>
      </c>
      <c r="I213" s="4">
        <f>IF($B$188=0,0,IF(I$2&gt;=$A213,IF(I$2=$A213,($B213/$B$188)*$B$185,IF(I$2&lt;=$A213+$B$188-1,$B213/$B$188,$B213-SUM($C213:H213))),0))</f>
        <v>0</v>
      </c>
      <c r="J213" s="4">
        <f>IF($B$188=0,0,IF(J$2&gt;=$A213,IF(J$2=$A213,($B213/$B$188)*$B$185,IF(J$2&lt;=$A213+$B$188-1,$B213/$B$188,$B213-SUM($C213:I213))),0))</f>
        <v>0</v>
      </c>
      <c r="K213" s="4">
        <f>IF($B$188=0,0,IF(K$2&gt;=$A213,IF(K$2=$A213,($B213/$B$188)*$B$185,IF(K$2&lt;=$A213+$B$188-1,$B213/$B$188,$B213-SUM($C213:J213))),0))</f>
        <v>0</v>
      </c>
      <c r="L213" s="4">
        <f>IF($B$188=0,0,IF(L$2&gt;=$A213,IF(L$2=$A213,($B213/$B$188)*$B$185,IF(L$2&lt;=$A213+$B$188-1,$B213/$B$188,$B213-SUM($C213:K213))),0))</f>
        <v>0</v>
      </c>
      <c r="M213" s="4">
        <f>IF($B$188=0,0,IF(M$2&gt;=$A213,IF(M$2=$A213,($B213/$B$188)*$B$185,IF(M$2&lt;=$A213+$B$188-1,$B213/$B$188,$B213-SUM($C213:L213))),0))</f>
        <v>0</v>
      </c>
      <c r="N213" s="4">
        <f>IF($B$188=0,0,IF(N$2&gt;=$A213,IF(N$2=$A213,($B213/$B$188)*$B$185,IF(N$2&lt;=$A213+$B$188-1,$B213/$B$188,$B213-SUM($C213:M213))),0))</f>
        <v>0</v>
      </c>
      <c r="O213" s="4">
        <f>IF($B$188=0,0,IF(O$2&gt;=$A213,IF(O$2=$A213,($B213/$B$188)*$B$185,IF(O$2&lt;=$A213+$B$188-1,$B213/$B$188,$B213-SUM($C213:N213))),0))</f>
        <v>0</v>
      </c>
      <c r="P213" s="4">
        <f>IF($B$188=0,0,IF(P$2&gt;=$A213,IF(P$2=$A213,($B213/$B$188)*$B$185,IF(P$2&lt;=$A213+$B$188-1,$B213/$B$188,$B213-SUM($C213:O213))),0))</f>
        <v>0</v>
      </c>
      <c r="Q213" s="4">
        <f>IF($B$188=0,0,IF(Q$2&gt;=$A213,IF(Q$2=$A213,($B213/$B$188)*$B$185,IF(Q$2&lt;=$A213+$B$188-1,$B213/$B$188,$B213-SUM($C213:P213))),0))</f>
        <v>0</v>
      </c>
      <c r="R213" s="4">
        <f>IF($B$188=0,0,IF(R$2&gt;=$A213,IF(R$2=$A213,($B213/$B$188)*$B$185,IF(R$2&lt;=$A213+$B$188-1,$B213/$B$188,$B213-SUM($C213:Q213))),0))</f>
        <v>0</v>
      </c>
      <c r="S213" s="4">
        <f>IF($B$188=0,0,IF(S$2&gt;=$A213,IF(S$2=$A213,($B213/$B$188)*$B$185,IF(S$2&lt;=$A213+$B$188-1,$B213/$B$188,$B213-SUM($C213:R213))),0))</f>
        <v>0</v>
      </c>
      <c r="T213" s="4">
        <f>IF($B$188=0,0,IF(T$2&gt;=$A213,IF(T$2=$A213,($B213/$B$188)*$B$185,IF(T$2&lt;=$A213+$B$188-1,$B213/$B$188,$B213-SUM($C213:S213))),0))</f>
        <v>0</v>
      </c>
      <c r="U213" s="4">
        <f>IF($B$188=0,0,IF(U$2&gt;=$A213,IF(U$2=$A213,($B213/$B$188)*$B$185,IF(U$2&lt;=$A213+$B$188-1,$B213/$B$188,$B213-SUM($C213:T213))),0))</f>
        <v>0</v>
      </c>
      <c r="V213" s="4">
        <f>IF($B$188=0,0,IF(V$2&gt;=$A213,IF(V$2=$A213,($B213/$B$188)*$B$185,IF(V$2&lt;=$A213+$B$188-1,$B213/$B$188,$B213-SUM($C213:U213))),0))</f>
        <v>0</v>
      </c>
      <c r="W213" s="4">
        <f>IF($B$188=0,0,IF(W$2&gt;=$A213,IF(W$2=$A213,($B213/$B$188)*$B$185,IF(W$2&lt;=$A213+$B$188-1,$B213/$B$188,$B213-SUM($C213:V213))),0))</f>
        <v>0</v>
      </c>
      <c r="X213" s="4">
        <f>IF($B$188=0,0,IF(X$2&gt;=$A213,IF(X$2=$A213,($B213/$B$188)*$B$185,IF(X$2&lt;=$A213+$B$188-1,$B213/$B$188,$B213-SUM($C213:W213))),0))</f>
        <v>0</v>
      </c>
      <c r="Y213" s="4">
        <f>IF($B$188=0,0,IF(Y$2&gt;=$A213,IF(Y$2=$A213,($B213/$B$188)*$B$185,IF(Y$2&lt;=$A213+$B$188-1,$B213/$B$188,$B213-SUM($C213:X213))),0))</f>
        <v>0</v>
      </c>
      <c r="Z213" s="4">
        <f>IF($B$188=0,0,IF(Z$2&gt;=$A213,IF(Z$2=$A213,($B213/$B$188)*$B$185,IF(Z$2&lt;=$A213+$B$188-1,$B213/$B$188,$B213-SUM($C213:Y213))),0))</f>
        <v>0</v>
      </c>
      <c r="AA213" s="4">
        <f>IF($B$188=0,0,IF(AA$2&gt;=$A213,IF(AA$2=$A213,($B213/$B$188)*$B$185,IF(AA$2&lt;=$A213+$B$188-1,$B213/$B$188,$B213-SUM($C213:Z213))),0))</f>
        <v>0</v>
      </c>
      <c r="AB213" s="4">
        <f>IF($B$188=0,0,IF(AB$2&gt;=$A213,IF(AB$2=$A213,($B213/$B$188)*$B$185,IF(AB$2&lt;=$A213+$B$188-1,$B213/$B$188,$B213-SUM($C213:AA213))),0))</f>
        <v>0</v>
      </c>
      <c r="AC213" s="4">
        <f>IF($B$188=0,0,IF(AC$2&gt;=$A213,IF(AC$2=$A213,($B213/$B$188)*$B$185,IF(AC$2&lt;=$A213+$B$188-1,$B213/$B$188,$B213-SUM($C213:AB213))),0))</f>
        <v>0</v>
      </c>
      <c r="AD213" s="4">
        <f>IF($B$188=0,0,IF(AD$2&gt;=$A213,IF(AD$2=$A213,($B213/$B$188)*$B$185,IF(AD$2&lt;=$A213+$B$188-1,$B213/$B$188,$B213-SUM($C213:AC213))),0))</f>
        <v>0</v>
      </c>
      <c r="AE213" s="4">
        <f>IF($B$188=0,0,IF(AE$2&gt;=$A213,IF(AE$2=$A213,($B213/$B$188)*$B$185,IF(AE$2&lt;=$A213+$B$188-1,$B213/$B$188,$B213-SUM($C213:AD213))),0))</f>
        <v>0</v>
      </c>
      <c r="AF213" s="4">
        <f>IF($B$188=0,0,IF(AF$2&gt;=$A213,IF(AF$2=$A213,($B213/$B$188)*$B$185,IF(AF$2&lt;=$A213+$B$188-1,$B213/$B$188,$B213-SUM($C213:AE213))),0))</f>
        <v>0</v>
      </c>
      <c r="AG213" s="4">
        <f t="shared" si="138"/>
        <v>0</v>
      </c>
    </row>
    <row r="214" spans="1:33">
      <c r="A214" s="6">
        <f t="shared" si="139"/>
        <v>2047</v>
      </c>
      <c r="B214" s="4">
        <f t="shared" si="137"/>
        <v>0</v>
      </c>
      <c r="C214" s="4">
        <f>IF($B$188=0,0,IF(C$2&gt;=$A214,IF(C$2=$A214,($B214/$B$188)*$B$185,IF(C$2&lt;=$A214+$B$188-1,$B214/$B$188,$B214-SUM(B214:$C214))),0))</f>
        <v>0</v>
      </c>
      <c r="D214" s="4">
        <f>IF($B$188=0,0,IF(D$2&gt;=$A214,IF(D$2=$A214,($B214/$B$188)*$B$185,IF(D$2&lt;=$A214+$B$188-1,$B214/$B$188,$B214-SUM(C214:$C214))),0))</f>
        <v>0</v>
      </c>
      <c r="E214" s="4">
        <f>IF($B$188=0,0,IF(E$2&gt;=$A214,IF(E$2=$A214,($B214/$B$188)*$B$185,IF(E$2&lt;=$A214+$B$188-1,$B214/$B$188,$B214-SUM($C214:D214))),0))</f>
        <v>0</v>
      </c>
      <c r="F214" s="4">
        <f>IF($B$188=0,0,IF(F$2&gt;=$A214,IF(F$2=$A214,($B214/$B$188)*$B$185,IF(F$2&lt;=$A214+$B$188-1,$B214/$B$188,$B214-SUM($C214:E214))),0))</f>
        <v>0</v>
      </c>
      <c r="G214" s="4">
        <f>IF($B$188=0,0,IF(G$2&gt;=$A214,IF(G$2=$A214,($B214/$B$188)*$B$185,IF(G$2&lt;=$A214+$B$188-1,$B214/$B$188,$B214-SUM($C214:F214))),0))</f>
        <v>0</v>
      </c>
      <c r="H214" s="4">
        <f>IF($B$188=0,0,IF(H$2&gt;=$A214,IF(H$2=$A214,($B214/$B$188)*$B$185,IF(H$2&lt;=$A214+$B$188-1,$B214/$B$188,$B214-SUM($C214:G214))),0))</f>
        <v>0</v>
      </c>
      <c r="I214" s="4">
        <f>IF($B$188=0,0,IF(I$2&gt;=$A214,IF(I$2=$A214,($B214/$B$188)*$B$185,IF(I$2&lt;=$A214+$B$188-1,$B214/$B$188,$B214-SUM($C214:H214))),0))</f>
        <v>0</v>
      </c>
      <c r="J214" s="4">
        <f>IF($B$188=0,0,IF(J$2&gt;=$A214,IF(J$2=$A214,($B214/$B$188)*$B$185,IF(J$2&lt;=$A214+$B$188-1,$B214/$B$188,$B214-SUM($C214:I214))),0))</f>
        <v>0</v>
      </c>
      <c r="K214" s="4">
        <f>IF($B$188=0,0,IF(K$2&gt;=$A214,IF(K$2=$A214,($B214/$B$188)*$B$185,IF(K$2&lt;=$A214+$B$188-1,$B214/$B$188,$B214-SUM($C214:J214))),0))</f>
        <v>0</v>
      </c>
      <c r="L214" s="4">
        <f>IF($B$188=0,0,IF(L$2&gt;=$A214,IF(L$2=$A214,($B214/$B$188)*$B$185,IF(L$2&lt;=$A214+$B$188-1,$B214/$B$188,$B214-SUM($C214:K214))),0))</f>
        <v>0</v>
      </c>
      <c r="M214" s="4">
        <f>IF($B$188=0,0,IF(M$2&gt;=$A214,IF(M$2=$A214,($B214/$B$188)*$B$185,IF(M$2&lt;=$A214+$B$188-1,$B214/$B$188,$B214-SUM($C214:L214))),0))</f>
        <v>0</v>
      </c>
      <c r="N214" s="4">
        <f>IF($B$188=0,0,IF(N$2&gt;=$A214,IF(N$2=$A214,($B214/$B$188)*$B$185,IF(N$2&lt;=$A214+$B$188-1,$B214/$B$188,$B214-SUM($C214:M214))),0))</f>
        <v>0</v>
      </c>
      <c r="O214" s="4">
        <f>IF($B$188=0,0,IF(O$2&gt;=$A214,IF(O$2=$A214,($B214/$B$188)*$B$185,IF(O$2&lt;=$A214+$B$188-1,$B214/$B$188,$B214-SUM($C214:N214))),0))</f>
        <v>0</v>
      </c>
      <c r="P214" s="4">
        <f>IF($B$188=0,0,IF(P$2&gt;=$A214,IF(P$2=$A214,($B214/$B$188)*$B$185,IF(P$2&lt;=$A214+$B$188-1,$B214/$B$188,$B214-SUM($C214:O214))),0))</f>
        <v>0</v>
      </c>
      <c r="Q214" s="4">
        <f>IF($B$188=0,0,IF(Q$2&gt;=$A214,IF(Q$2=$A214,($B214/$B$188)*$B$185,IF(Q$2&lt;=$A214+$B$188-1,$B214/$B$188,$B214-SUM($C214:P214))),0))</f>
        <v>0</v>
      </c>
      <c r="R214" s="4">
        <f>IF($B$188=0,0,IF(R$2&gt;=$A214,IF(R$2=$A214,($B214/$B$188)*$B$185,IF(R$2&lt;=$A214+$B$188-1,$B214/$B$188,$B214-SUM($C214:Q214))),0))</f>
        <v>0</v>
      </c>
      <c r="S214" s="4">
        <f>IF($B$188=0,0,IF(S$2&gt;=$A214,IF(S$2=$A214,($B214/$B$188)*$B$185,IF(S$2&lt;=$A214+$B$188-1,$B214/$B$188,$B214-SUM($C214:R214))),0))</f>
        <v>0</v>
      </c>
      <c r="T214" s="4">
        <f>IF($B$188=0,0,IF(T$2&gt;=$A214,IF(T$2=$A214,($B214/$B$188)*$B$185,IF(T$2&lt;=$A214+$B$188-1,$B214/$B$188,$B214-SUM($C214:S214))),0))</f>
        <v>0</v>
      </c>
      <c r="U214" s="4">
        <f>IF($B$188=0,0,IF(U$2&gt;=$A214,IF(U$2=$A214,($B214/$B$188)*$B$185,IF(U$2&lt;=$A214+$B$188-1,$B214/$B$188,$B214-SUM($C214:T214))),0))</f>
        <v>0</v>
      </c>
      <c r="V214" s="4">
        <f>IF($B$188=0,0,IF(V$2&gt;=$A214,IF(V$2=$A214,($B214/$B$188)*$B$185,IF(V$2&lt;=$A214+$B$188-1,$B214/$B$188,$B214-SUM($C214:U214))),0))</f>
        <v>0</v>
      </c>
      <c r="W214" s="4">
        <f>IF($B$188=0,0,IF(W$2&gt;=$A214,IF(W$2=$A214,($B214/$B$188)*$B$185,IF(W$2&lt;=$A214+$B$188-1,$B214/$B$188,$B214-SUM($C214:V214))),0))</f>
        <v>0</v>
      </c>
      <c r="X214" s="4">
        <f>IF($B$188=0,0,IF(X$2&gt;=$A214,IF(X$2=$A214,($B214/$B$188)*$B$185,IF(X$2&lt;=$A214+$B$188-1,$B214/$B$188,$B214-SUM($C214:W214))),0))</f>
        <v>0</v>
      </c>
      <c r="Y214" s="4">
        <f>IF($B$188=0,0,IF(Y$2&gt;=$A214,IF(Y$2=$A214,($B214/$B$188)*$B$185,IF(Y$2&lt;=$A214+$B$188-1,$B214/$B$188,$B214-SUM($C214:X214))),0))</f>
        <v>0</v>
      </c>
      <c r="Z214" s="4">
        <f>IF($B$188=0,0,IF(Z$2&gt;=$A214,IF(Z$2=$A214,($B214/$B$188)*$B$185,IF(Z$2&lt;=$A214+$B$188-1,$B214/$B$188,$B214-SUM($C214:Y214))),0))</f>
        <v>0</v>
      </c>
      <c r="AA214" s="4">
        <f>IF($B$188=0,0,IF(AA$2&gt;=$A214,IF(AA$2=$A214,($B214/$B$188)*$B$185,IF(AA$2&lt;=$A214+$B$188-1,$B214/$B$188,$B214-SUM($C214:Z214))),0))</f>
        <v>0</v>
      </c>
      <c r="AB214" s="4">
        <f>IF($B$188=0,0,IF(AB$2&gt;=$A214,IF(AB$2=$A214,($B214/$B$188)*$B$185,IF(AB$2&lt;=$A214+$B$188-1,$B214/$B$188,$B214-SUM($C214:AA214))),0))</f>
        <v>0</v>
      </c>
      <c r="AC214" s="4">
        <f>IF($B$188=0,0,IF(AC$2&gt;=$A214,IF(AC$2=$A214,($B214/$B$188)*$B$185,IF(AC$2&lt;=$A214+$B$188-1,$B214/$B$188,$B214-SUM($C214:AB214))),0))</f>
        <v>0</v>
      </c>
      <c r="AD214" s="4">
        <f>IF($B$188=0,0,IF(AD$2&gt;=$A214,IF(AD$2=$A214,($B214/$B$188)*$B$185,IF(AD$2&lt;=$A214+$B$188-1,$B214/$B$188,$B214-SUM($C214:AC214))),0))</f>
        <v>0</v>
      </c>
      <c r="AE214" s="4">
        <f>IF($B$188=0,0,IF(AE$2&gt;=$A214,IF(AE$2=$A214,($B214/$B$188)*$B$185,IF(AE$2&lt;=$A214+$B$188-1,$B214/$B$188,$B214-SUM($C214:AD214))),0))</f>
        <v>0</v>
      </c>
      <c r="AF214" s="4">
        <f>IF($B$188=0,0,IF(AF$2&gt;=$A214,IF(AF$2=$A214,($B214/$B$188)*$B$185,IF(AF$2&lt;=$A214+$B$188-1,$B214/$B$188,$B214-SUM($C214:AE214))),0))</f>
        <v>0</v>
      </c>
      <c r="AG214" s="4">
        <f t="shared" ref="AG214:AG218" si="140">SUM(C214:AF214)</f>
        <v>0</v>
      </c>
    </row>
    <row r="215" spans="1:33">
      <c r="A215" s="6">
        <f t="shared" si="139"/>
        <v>2048</v>
      </c>
      <c r="B215" s="4">
        <f t="shared" si="137"/>
        <v>0</v>
      </c>
      <c r="C215" s="4">
        <f>IF($B$188=0,0,IF(C$2&gt;=$A215,IF(C$2=$A215,($B215/$B$188)*$B$185,IF(C$2&lt;=$A215+$B$188-1,$B215/$B$188,$B215-SUM(B215:$C215))),0))</f>
        <v>0</v>
      </c>
      <c r="D215" s="4">
        <f>IF($B$188=0,0,IF(D$2&gt;=$A215,IF(D$2=$A215,($B215/$B$188)*$B$185,IF(D$2&lt;=$A215+$B$188-1,$B215/$B$188,$B215-SUM(C215:$C215))),0))</f>
        <v>0</v>
      </c>
      <c r="E215" s="4">
        <f>IF($B$188=0,0,IF(E$2&gt;=$A215,IF(E$2=$A215,($B215/$B$188)*$B$185,IF(E$2&lt;=$A215+$B$188-1,$B215/$B$188,$B215-SUM($C215:D215))),0))</f>
        <v>0</v>
      </c>
      <c r="F215" s="4">
        <f>IF($B$188=0,0,IF(F$2&gt;=$A215,IF(F$2=$A215,($B215/$B$188)*$B$185,IF(F$2&lt;=$A215+$B$188-1,$B215/$B$188,$B215-SUM($C215:E215))),0))</f>
        <v>0</v>
      </c>
      <c r="G215" s="4">
        <f>IF($B$188=0,0,IF(G$2&gt;=$A215,IF(G$2=$A215,($B215/$B$188)*$B$185,IF(G$2&lt;=$A215+$B$188-1,$B215/$B$188,$B215-SUM($C215:F215))),0))</f>
        <v>0</v>
      </c>
      <c r="H215" s="4">
        <f>IF($B$188=0,0,IF(H$2&gt;=$A215,IF(H$2=$A215,($B215/$B$188)*$B$185,IF(H$2&lt;=$A215+$B$188-1,$B215/$B$188,$B215-SUM($C215:G215))),0))</f>
        <v>0</v>
      </c>
      <c r="I215" s="4">
        <f>IF($B$188=0,0,IF(I$2&gt;=$A215,IF(I$2=$A215,($B215/$B$188)*$B$185,IF(I$2&lt;=$A215+$B$188-1,$B215/$B$188,$B215-SUM($C215:H215))),0))</f>
        <v>0</v>
      </c>
      <c r="J215" s="4">
        <f>IF($B$188=0,0,IF(J$2&gt;=$A215,IF(J$2=$A215,($B215/$B$188)*$B$185,IF(J$2&lt;=$A215+$B$188-1,$B215/$B$188,$B215-SUM($C215:I215))),0))</f>
        <v>0</v>
      </c>
      <c r="K215" s="4">
        <f>IF($B$188=0,0,IF(K$2&gt;=$A215,IF(K$2=$A215,($B215/$B$188)*$B$185,IF(K$2&lt;=$A215+$B$188-1,$B215/$B$188,$B215-SUM($C215:J215))),0))</f>
        <v>0</v>
      </c>
      <c r="L215" s="4">
        <f>IF($B$188=0,0,IF(L$2&gt;=$A215,IF(L$2=$A215,($B215/$B$188)*$B$185,IF(L$2&lt;=$A215+$B$188-1,$B215/$B$188,$B215-SUM($C215:K215))),0))</f>
        <v>0</v>
      </c>
      <c r="M215" s="4">
        <f>IF($B$188=0,0,IF(M$2&gt;=$A215,IF(M$2=$A215,($B215/$B$188)*$B$185,IF(M$2&lt;=$A215+$B$188-1,$B215/$B$188,$B215-SUM($C215:L215))),0))</f>
        <v>0</v>
      </c>
      <c r="N215" s="4">
        <f>IF($B$188=0,0,IF(N$2&gt;=$A215,IF(N$2=$A215,($B215/$B$188)*$B$185,IF(N$2&lt;=$A215+$B$188-1,$B215/$B$188,$B215-SUM($C215:M215))),0))</f>
        <v>0</v>
      </c>
      <c r="O215" s="4">
        <f>IF($B$188=0,0,IF(O$2&gt;=$A215,IF(O$2=$A215,($B215/$B$188)*$B$185,IF(O$2&lt;=$A215+$B$188-1,$B215/$B$188,$B215-SUM($C215:N215))),0))</f>
        <v>0</v>
      </c>
      <c r="P215" s="4">
        <f>IF($B$188=0,0,IF(P$2&gt;=$A215,IF(P$2=$A215,($B215/$B$188)*$B$185,IF(P$2&lt;=$A215+$B$188-1,$B215/$B$188,$B215-SUM($C215:O215))),0))</f>
        <v>0</v>
      </c>
      <c r="Q215" s="4">
        <f>IF($B$188=0,0,IF(Q$2&gt;=$A215,IF(Q$2=$A215,($B215/$B$188)*$B$185,IF(Q$2&lt;=$A215+$B$188-1,$B215/$B$188,$B215-SUM($C215:P215))),0))</f>
        <v>0</v>
      </c>
      <c r="R215" s="4">
        <f>IF($B$188=0,0,IF(R$2&gt;=$A215,IF(R$2=$A215,($B215/$B$188)*$B$185,IF(R$2&lt;=$A215+$B$188-1,$B215/$B$188,$B215-SUM($C215:Q215))),0))</f>
        <v>0</v>
      </c>
      <c r="S215" s="4">
        <f>IF($B$188=0,0,IF(S$2&gt;=$A215,IF(S$2=$A215,($B215/$B$188)*$B$185,IF(S$2&lt;=$A215+$B$188-1,$B215/$B$188,$B215-SUM($C215:R215))),0))</f>
        <v>0</v>
      </c>
      <c r="T215" s="4">
        <f>IF($B$188=0,0,IF(T$2&gt;=$A215,IF(T$2=$A215,($B215/$B$188)*$B$185,IF(T$2&lt;=$A215+$B$188-1,$B215/$B$188,$B215-SUM($C215:S215))),0))</f>
        <v>0</v>
      </c>
      <c r="U215" s="4">
        <f>IF($B$188=0,0,IF(U$2&gt;=$A215,IF(U$2=$A215,($B215/$B$188)*$B$185,IF(U$2&lt;=$A215+$B$188-1,$B215/$B$188,$B215-SUM($C215:T215))),0))</f>
        <v>0</v>
      </c>
      <c r="V215" s="4">
        <f>IF($B$188=0,0,IF(V$2&gt;=$A215,IF(V$2=$A215,($B215/$B$188)*$B$185,IF(V$2&lt;=$A215+$B$188-1,$B215/$B$188,$B215-SUM($C215:U215))),0))</f>
        <v>0</v>
      </c>
      <c r="W215" s="4">
        <f>IF($B$188=0,0,IF(W$2&gt;=$A215,IF(W$2=$A215,($B215/$B$188)*$B$185,IF(W$2&lt;=$A215+$B$188-1,$B215/$B$188,$B215-SUM($C215:V215))),0))</f>
        <v>0</v>
      </c>
      <c r="X215" s="4">
        <f>IF($B$188=0,0,IF(X$2&gt;=$A215,IF(X$2=$A215,($B215/$B$188)*$B$185,IF(X$2&lt;=$A215+$B$188-1,$B215/$B$188,$B215-SUM($C215:W215))),0))</f>
        <v>0</v>
      </c>
      <c r="Y215" s="4">
        <f>IF($B$188=0,0,IF(Y$2&gt;=$A215,IF(Y$2=$A215,($B215/$B$188)*$B$185,IF(Y$2&lt;=$A215+$B$188-1,$B215/$B$188,$B215-SUM($C215:X215))),0))</f>
        <v>0</v>
      </c>
      <c r="Z215" s="4">
        <f>IF($B$188=0,0,IF(Z$2&gt;=$A215,IF(Z$2=$A215,($B215/$B$188)*$B$185,IF(Z$2&lt;=$A215+$B$188-1,$B215/$B$188,$B215-SUM($C215:Y215))),0))</f>
        <v>0</v>
      </c>
      <c r="AA215" s="4">
        <f>IF($B$188=0,0,IF(AA$2&gt;=$A215,IF(AA$2=$A215,($B215/$B$188)*$B$185,IF(AA$2&lt;=$A215+$B$188-1,$B215/$B$188,$B215-SUM($C215:Z215))),0))</f>
        <v>0</v>
      </c>
      <c r="AB215" s="4">
        <f>IF($B$188=0,0,IF(AB$2&gt;=$A215,IF(AB$2=$A215,($B215/$B$188)*$B$185,IF(AB$2&lt;=$A215+$B$188-1,$B215/$B$188,$B215-SUM($C215:AA215))),0))</f>
        <v>0</v>
      </c>
      <c r="AC215" s="4">
        <f>IF($B$188=0,0,IF(AC$2&gt;=$A215,IF(AC$2=$A215,($B215/$B$188)*$B$185,IF(AC$2&lt;=$A215+$B$188-1,$B215/$B$188,$B215-SUM($C215:AB215))),0))</f>
        <v>0</v>
      </c>
      <c r="AD215" s="4">
        <f>IF($B$188=0,0,IF(AD$2&gt;=$A215,IF(AD$2=$A215,($B215/$B$188)*$B$185,IF(AD$2&lt;=$A215+$B$188-1,$B215/$B$188,$B215-SUM($C215:AC215))),0))</f>
        <v>0</v>
      </c>
      <c r="AE215" s="4">
        <f>IF($B$188=0,0,IF(AE$2&gt;=$A215,IF(AE$2=$A215,($B215/$B$188)*$B$185,IF(AE$2&lt;=$A215+$B$188-1,$B215/$B$188,$B215-SUM($C215:AD215))),0))</f>
        <v>0</v>
      </c>
      <c r="AF215" s="4">
        <f>IF($B$188=0,0,IF(AF$2&gt;=$A215,IF(AF$2=$A215,($B215/$B$188)*$B$185,IF(AF$2&lt;=$A215+$B$188-1,$B215/$B$188,$B215-SUM($C215:AE215))),0))</f>
        <v>0</v>
      </c>
      <c r="AG215" s="4">
        <f t="shared" si="140"/>
        <v>0</v>
      </c>
    </row>
    <row r="216" spans="1:33">
      <c r="A216" s="6">
        <f t="shared" si="139"/>
        <v>2049</v>
      </c>
      <c r="B216" s="4">
        <f t="shared" si="137"/>
        <v>0</v>
      </c>
      <c r="C216" s="4">
        <f>IF($B$188=0,0,IF(C$2&gt;=$A216,IF(C$2=$A216,($B216/$B$188)*$B$185,IF(C$2&lt;=$A216+$B$188-1,$B216/$B$188,$B216-SUM(B216:$C216))),0))</f>
        <v>0</v>
      </c>
      <c r="D216" s="4">
        <f>IF($B$188=0,0,IF(D$2&gt;=$A216,IF(D$2=$A216,($B216/$B$188)*$B$185,IF(D$2&lt;=$A216+$B$188-1,$B216/$B$188,$B216-SUM(C216:$C216))),0))</f>
        <v>0</v>
      </c>
      <c r="E216" s="4">
        <f>IF($B$188=0,0,IF(E$2&gt;=$A216,IF(E$2=$A216,($B216/$B$188)*$B$185,IF(E$2&lt;=$A216+$B$188-1,$B216/$B$188,$B216-SUM($C216:D216))),0))</f>
        <v>0</v>
      </c>
      <c r="F216" s="4">
        <f>IF($B$188=0,0,IF(F$2&gt;=$A216,IF(F$2=$A216,($B216/$B$188)*$B$185,IF(F$2&lt;=$A216+$B$188-1,$B216/$B$188,$B216-SUM($C216:E216))),0))</f>
        <v>0</v>
      </c>
      <c r="G216" s="4">
        <f>IF($B$188=0,0,IF(G$2&gt;=$A216,IF(G$2=$A216,($B216/$B$188)*$B$185,IF(G$2&lt;=$A216+$B$188-1,$B216/$B$188,$B216-SUM($C216:F216))),0))</f>
        <v>0</v>
      </c>
      <c r="H216" s="4">
        <f>IF($B$188=0,0,IF(H$2&gt;=$A216,IF(H$2=$A216,($B216/$B$188)*$B$185,IF(H$2&lt;=$A216+$B$188-1,$B216/$B$188,$B216-SUM($C216:G216))),0))</f>
        <v>0</v>
      </c>
      <c r="I216" s="4">
        <f>IF($B$188=0,0,IF(I$2&gt;=$A216,IF(I$2=$A216,($B216/$B$188)*$B$185,IF(I$2&lt;=$A216+$B$188-1,$B216/$B$188,$B216-SUM($C216:H216))),0))</f>
        <v>0</v>
      </c>
      <c r="J216" s="4">
        <f>IF($B$188=0,0,IF(J$2&gt;=$A216,IF(J$2=$A216,($B216/$B$188)*$B$185,IF(J$2&lt;=$A216+$B$188-1,$B216/$B$188,$B216-SUM($C216:I216))),0))</f>
        <v>0</v>
      </c>
      <c r="K216" s="4">
        <f>IF($B$188=0,0,IF(K$2&gt;=$A216,IF(K$2=$A216,($B216/$B$188)*$B$185,IF(K$2&lt;=$A216+$B$188-1,$B216/$B$188,$B216-SUM($C216:J216))),0))</f>
        <v>0</v>
      </c>
      <c r="L216" s="4">
        <f>IF($B$188=0,0,IF(L$2&gt;=$A216,IF(L$2=$A216,($B216/$B$188)*$B$185,IF(L$2&lt;=$A216+$B$188-1,$B216/$B$188,$B216-SUM($C216:K216))),0))</f>
        <v>0</v>
      </c>
      <c r="M216" s="4">
        <f>IF($B$188=0,0,IF(M$2&gt;=$A216,IF(M$2=$A216,($B216/$B$188)*$B$185,IF(M$2&lt;=$A216+$B$188-1,$B216/$B$188,$B216-SUM($C216:L216))),0))</f>
        <v>0</v>
      </c>
      <c r="N216" s="4">
        <f>IF($B$188=0,0,IF(N$2&gt;=$A216,IF(N$2=$A216,($B216/$B$188)*$B$185,IF(N$2&lt;=$A216+$B$188-1,$B216/$B$188,$B216-SUM($C216:M216))),0))</f>
        <v>0</v>
      </c>
      <c r="O216" s="4">
        <f>IF($B$188=0,0,IF(O$2&gt;=$A216,IF(O$2=$A216,($B216/$B$188)*$B$185,IF(O$2&lt;=$A216+$B$188-1,$B216/$B$188,$B216-SUM($C216:N216))),0))</f>
        <v>0</v>
      </c>
      <c r="P216" s="4">
        <f>IF($B$188=0,0,IF(P$2&gt;=$A216,IF(P$2=$A216,($B216/$B$188)*$B$185,IF(P$2&lt;=$A216+$B$188-1,$B216/$B$188,$B216-SUM($C216:O216))),0))</f>
        <v>0</v>
      </c>
      <c r="Q216" s="4">
        <f>IF($B$188=0,0,IF(Q$2&gt;=$A216,IF(Q$2=$A216,($B216/$B$188)*$B$185,IF(Q$2&lt;=$A216+$B$188-1,$B216/$B$188,$B216-SUM($C216:P216))),0))</f>
        <v>0</v>
      </c>
      <c r="R216" s="4">
        <f>IF($B$188=0,0,IF(R$2&gt;=$A216,IF(R$2=$A216,($B216/$B$188)*$B$185,IF(R$2&lt;=$A216+$B$188-1,$B216/$B$188,$B216-SUM($C216:Q216))),0))</f>
        <v>0</v>
      </c>
      <c r="S216" s="4">
        <f>IF($B$188=0,0,IF(S$2&gt;=$A216,IF(S$2=$A216,($B216/$B$188)*$B$185,IF(S$2&lt;=$A216+$B$188-1,$B216/$B$188,$B216-SUM($C216:R216))),0))</f>
        <v>0</v>
      </c>
      <c r="T216" s="4">
        <f>IF($B$188=0,0,IF(T$2&gt;=$A216,IF(T$2=$A216,($B216/$B$188)*$B$185,IF(T$2&lt;=$A216+$B$188-1,$B216/$B$188,$B216-SUM($C216:S216))),0))</f>
        <v>0</v>
      </c>
      <c r="U216" s="4">
        <f>IF($B$188=0,0,IF(U$2&gt;=$A216,IF(U$2=$A216,($B216/$B$188)*$B$185,IF(U$2&lt;=$A216+$B$188-1,$B216/$B$188,$B216-SUM($C216:T216))),0))</f>
        <v>0</v>
      </c>
      <c r="V216" s="4">
        <f>IF($B$188=0,0,IF(V$2&gt;=$A216,IF(V$2=$A216,($B216/$B$188)*$B$185,IF(V$2&lt;=$A216+$B$188-1,$B216/$B$188,$B216-SUM($C216:U216))),0))</f>
        <v>0</v>
      </c>
      <c r="W216" s="4">
        <f>IF($B$188=0,0,IF(W$2&gt;=$A216,IF(W$2=$A216,($B216/$B$188)*$B$185,IF(W$2&lt;=$A216+$B$188-1,$B216/$B$188,$B216-SUM($C216:V216))),0))</f>
        <v>0</v>
      </c>
      <c r="X216" s="4">
        <f>IF($B$188=0,0,IF(X$2&gt;=$A216,IF(X$2=$A216,($B216/$B$188)*$B$185,IF(X$2&lt;=$A216+$B$188-1,$B216/$B$188,$B216-SUM($C216:W216))),0))</f>
        <v>0</v>
      </c>
      <c r="Y216" s="4">
        <f>IF($B$188=0,0,IF(Y$2&gt;=$A216,IF(Y$2=$A216,($B216/$B$188)*$B$185,IF(Y$2&lt;=$A216+$B$188-1,$B216/$B$188,$B216-SUM($C216:X216))),0))</f>
        <v>0</v>
      </c>
      <c r="Z216" s="4">
        <f>IF($B$188=0,0,IF(Z$2&gt;=$A216,IF(Z$2=$A216,($B216/$B$188)*$B$185,IF(Z$2&lt;=$A216+$B$188-1,$B216/$B$188,$B216-SUM($C216:Y216))),0))</f>
        <v>0</v>
      </c>
      <c r="AA216" s="4">
        <f>IF($B$188=0,0,IF(AA$2&gt;=$A216,IF(AA$2=$A216,($B216/$B$188)*$B$185,IF(AA$2&lt;=$A216+$B$188-1,$B216/$B$188,$B216-SUM($C216:Z216))),0))</f>
        <v>0</v>
      </c>
      <c r="AB216" s="4">
        <f>IF($B$188=0,0,IF(AB$2&gt;=$A216,IF(AB$2=$A216,($B216/$B$188)*$B$185,IF(AB$2&lt;=$A216+$B$188-1,$B216/$B$188,$B216-SUM($C216:AA216))),0))</f>
        <v>0</v>
      </c>
      <c r="AC216" s="4">
        <f>IF($B$188=0,0,IF(AC$2&gt;=$A216,IF(AC$2=$A216,($B216/$B$188)*$B$185,IF(AC$2&lt;=$A216+$B$188-1,$B216/$B$188,$B216-SUM($C216:AB216))),0))</f>
        <v>0</v>
      </c>
      <c r="AD216" s="4">
        <f>IF($B$188=0,0,IF(AD$2&gt;=$A216,IF(AD$2=$A216,($B216/$B$188)*$B$185,IF(AD$2&lt;=$A216+$B$188-1,$B216/$B$188,$B216-SUM($C216:AC216))),0))</f>
        <v>0</v>
      </c>
      <c r="AE216" s="4">
        <f>IF($B$188=0,0,IF(AE$2&gt;=$A216,IF(AE$2=$A216,($B216/$B$188)*$B$185,IF(AE$2&lt;=$A216+$B$188-1,$B216/$B$188,$B216-SUM($C216:AD216))),0))</f>
        <v>0</v>
      </c>
      <c r="AF216" s="4">
        <f>IF($B$188=0,0,IF(AF$2&gt;=$A216,IF(AF$2=$A216,($B216/$B$188)*$B$185,IF(AF$2&lt;=$A216+$B$188-1,$B216/$B$188,$B216-SUM($C216:AE216))),0))</f>
        <v>0</v>
      </c>
      <c r="AG216" s="4">
        <f t="shared" si="140"/>
        <v>0</v>
      </c>
    </row>
    <row r="217" spans="1:33">
      <c r="A217" s="6">
        <f t="shared" si="139"/>
        <v>2050</v>
      </c>
      <c r="B217" s="4">
        <f t="shared" si="137"/>
        <v>0</v>
      </c>
      <c r="C217" s="4">
        <f>IF($B$188=0,0,IF(C$2&gt;=$A217,IF(C$2=$A217,($B217/$B$188)*$B$185,IF(C$2&lt;=$A217+$B$188-1,$B217/$B$188,$B217-SUM(B217:$C217))),0))</f>
        <v>0</v>
      </c>
      <c r="D217" s="4">
        <f>IF($B$188=0,0,IF(D$2&gt;=$A217,IF(D$2=$A217,($B217/$B$188)*$B$185,IF(D$2&lt;=$A217+$B$188-1,$B217/$B$188,$B217-SUM(C217:$C217))),0))</f>
        <v>0</v>
      </c>
      <c r="E217" s="4">
        <f>IF($B$188=0,0,IF(E$2&gt;=$A217,IF(E$2=$A217,($B217/$B$188)*$B$185,IF(E$2&lt;=$A217+$B$188-1,$B217/$B$188,$B217-SUM($C217:D217))),0))</f>
        <v>0</v>
      </c>
      <c r="F217" s="4">
        <f>IF($B$188=0,0,IF(F$2&gt;=$A217,IF(F$2=$A217,($B217/$B$188)*$B$185,IF(F$2&lt;=$A217+$B$188-1,$B217/$B$188,$B217-SUM($C217:E217))),0))</f>
        <v>0</v>
      </c>
      <c r="G217" s="4">
        <f>IF($B$188=0,0,IF(G$2&gt;=$A217,IF(G$2=$A217,($B217/$B$188)*$B$185,IF(G$2&lt;=$A217+$B$188-1,$B217/$B$188,$B217-SUM($C217:F217))),0))</f>
        <v>0</v>
      </c>
      <c r="H217" s="4">
        <f>IF($B$188=0,0,IF(H$2&gt;=$A217,IF(H$2=$A217,($B217/$B$188)*$B$185,IF(H$2&lt;=$A217+$B$188-1,$B217/$B$188,$B217-SUM($C217:G217))),0))</f>
        <v>0</v>
      </c>
      <c r="I217" s="4">
        <f>IF($B$188=0,0,IF(I$2&gt;=$A217,IF(I$2=$A217,($B217/$B$188)*$B$185,IF(I$2&lt;=$A217+$B$188-1,$B217/$B$188,$B217-SUM($C217:H217))),0))</f>
        <v>0</v>
      </c>
      <c r="J217" s="4">
        <f>IF($B$188=0,0,IF(J$2&gt;=$A217,IF(J$2=$A217,($B217/$B$188)*$B$185,IF(J$2&lt;=$A217+$B$188-1,$B217/$B$188,$B217-SUM($C217:I217))),0))</f>
        <v>0</v>
      </c>
      <c r="K217" s="4">
        <f>IF($B$188=0,0,IF(K$2&gt;=$A217,IF(K$2=$A217,($B217/$B$188)*$B$185,IF(K$2&lt;=$A217+$B$188-1,$B217/$B$188,$B217-SUM($C217:J217))),0))</f>
        <v>0</v>
      </c>
      <c r="L217" s="4">
        <f>IF($B$188=0,0,IF(L$2&gt;=$A217,IF(L$2=$A217,($B217/$B$188)*$B$185,IF(L$2&lt;=$A217+$B$188-1,$B217/$B$188,$B217-SUM($C217:K217))),0))</f>
        <v>0</v>
      </c>
      <c r="M217" s="4">
        <f>IF($B$188=0,0,IF(M$2&gt;=$A217,IF(M$2=$A217,($B217/$B$188)*$B$185,IF(M$2&lt;=$A217+$B$188-1,$B217/$B$188,$B217-SUM($C217:L217))),0))</f>
        <v>0</v>
      </c>
      <c r="N217" s="4">
        <f>IF($B$188=0,0,IF(N$2&gt;=$A217,IF(N$2=$A217,($B217/$B$188)*$B$185,IF(N$2&lt;=$A217+$B$188-1,$B217/$B$188,$B217-SUM($C217:M217))),0))</f>
        <v>0</v>
      </c>
      <c r="O217" s="4">
        <f>IF($B$188=0,0,IF(O$2&gt;=$A217,IF(O$2=$A217,($B217/$B$188)*$B$185,IF(O$2&lt;=$A217+$B$188-1,$B217/$B$188,$B217-SUM($C217:N217))),0))</f>
        <v>0</v>
      </c>
      <c r="P217" s="4">
        <f>IF($B$188=0,0,IF(P$2&gt;=$A217,IF(P$2=$A217,($B217/$B$188)*$B$185,IF(P$2&lt;=$A217+$B$188-1,$B217/$B$188,$B217-SUM($C217:O217))),0))</f>
        <v>0</v>
      </c>
      <c r="Q217" s="4">
        <f>IF($B$188=0,0,IF(Q$2&gt;=$A217,IF(Q$2=$A217,($B217/$B$188)*$B$185,IF(Q$2&lt;=$A217+$B$188-1,$B217/$B$188,$B217-SUM($C217:P217))),0))</f>
        <v>0</v>
      </c>
      <c r="R217" s="4">
        <f>IF($B$188=0,0,IF(R$2&gt;=$A217,IF(R$2=$A217,($B217/$B$188)*$B$185,IF(R$2&lt;=$A217+$B$188-1,$B217/$B$188,$B217-SUM($C217:Q217))),0))</f>
        <v>0</v>
      </c>
      <c r="S217" s="4">
        <f>IF($B$188=0,0,IF(S$2&gt;=$A217,IF(S$2=$A217,($B217/$B$188)*$B$185,IF(S$2&lt;=$A217+$B$188-1,$B217/$B$188,$B217-SUM($C217:R217))),0))</f>
        <v>0</v>
      </c>
      <c r="T217" s="4">
        <f>IF($B$188=0,0,IF(T$2&gt;=$A217,IF(T$2=$A217,($B217/$B$188)*$B$185,IF(T$2&lt;=$A217+$B$188-1,$B217/$B$188,$B217-SUM($C217:S217))),0))</f>
        <v>0</v>
      </c>
      <c r="U217" s="4">
        <f>IF($B$188=0,0,IF(U$2&gt;=$A217,IF(U$2=$A217,($B217/$B$188)*$B$185,IF(U$2&lt;=$A217+$B$188-1,$B217/$B$188,$B217-SUM($C217:T217))),0))</f>
        <v>0</v>
      </c>
      <c r="V217" s="4">
        <f>IF($B$188=0,0,IF(V$2&gt;=$A217,IF(V$2=$A217,($B217/$B$188)*$B$185,IF(V$2&lt;=$A217+$B$188-1,$B217/$B$188,$B217-SUM($C217:U217))),0))</f>
        <v>0</v>
      </c>
      <c r="W217" s="4">
        <f>IF($B$188=0,0,IF(W$2&gt;=$A217,IF(W$2=$A217,($B217/$B$188)*$B$185,IF(W$2&lt;=$A217+$B$188-1,$B217/$B$188,$B217-SUM($C217:V217))),0))</f>
        <v>0</v>
      </c>
      <c r="X217" s="4">
        <f>IF($B$188=0,0,IF(X$2&gt;=$A217,IF(X$2=$A217,($B217/$B$188)*$B$185,IF(X$2&lt;=$A217+$B$188-1,$B217/$B$188,$B217-SUM($C217:W217))),0))</f>
        <v>0</v>
      </c>
      <c r="Y217" s="4">
        <f>IF($B$188=0,0,IF(Y$2&gt;=$A217,IF(Y$2=$A217,($B217/$B$188)*$B$185,IF(Y$2&lt;=$A217+$B$188-1,$B217/$B$188,$B217-SUM($C217:X217))),0))</f>
        <v>0</v>
      </c>
      <c r="Z217" s="4">
        <f>IF($B$188=0,0,IF(Z$2&gt;=$A217,IF(Z$2=$A217,($B217/$B$188)*$B$185,IF(Z$2&lt;=$A217+$B$188-1,$B217/$B$188,$B217-SUM($C217:Y217))),0))</f>
        <v>0</v>
      </c>
      <c r="AA217" s="4">
        <f>IF($B$188=0,0,IF(AA$2&gt;=$A217,IF(AA$2=$A217,($B217/$B$188)*$B$185,IF(AA$2&lt;=$A217+$B$188-1,$B217/$B$188,$B217-SUM($C217:Z217))),0))</f>
        <v>0</v>
      </c>
      <c r="AB217" s="4">
        <f>IF($B$188=0,0,IF(AB$2&gt;=$A217,IF(AB$2=$A217,($B217/$B$188)*$B$185,IF(AB$2&lt;=$A217+$B$188-1,$B217/$B$188,$B217-SUM($C217:AA217))),0))</f>
        <v>0</v>
      </c>
      <c r="AC217" s="4">
        <f>IF($B$188=0,0,IF(AC$2&gt;=$A217,IF(AC$2=$A217,($B217/$B$188)*$B$185,IF(AC$2&lt;=$A217+$B$188-1,$B217/$B$188,$B217-SUM($C217:AB217))),0))</f>
        <v>0</v>
      </c>
      <c r="AD217" s="4">
        <f>IF($B$188=0,0,IF(AD$2&gt;=$A217,IF(AD$2=$A217,($B217/$B$188)*$B$185,IF(AD$2&lt;=$A217+$B$188-1,$B217/$B$188,$B217-SUM($C217:AC217))),0))</f>
        <v>0</v>
      </c>
      <c r="AE217" s="4">
        <f>IF($B$188=0,0,IF(AE$2&gt;=$A217,IF(AE$2=$A217,($B217/$B$188)*$B$185,IF(AE$2&lt;=$A217+$B$188-1,$B217/$B$188,$B217-SUM($C217:AD217))),0))</f>
        <v>0</v>
      </c>
      <c r="AF217" s="4">
        <f>IF($B$188=0,0,IF(AF$2&gt;=$A217,IF(AF$2=$A217,($B217/$B$188)*$B$185,IF(AF$2&lt;=$A217+$B$188-1,$B217/$B$188,$B217-SUM($C217:AE217))),0))</f>
        <v>0</v>
      </c>
      <c r="AG217" s="4">
        <f t="shared" si="140"/>
        <v>0</v>
      </c>
    </row>
    <row r="218" spans="1:33">
      <c r="A218" s="6">
        <f t="shared" si="139"/>
        <v>2051</v>
      </c>
      <c r="B218" s="4">
        <f t="shared" si="137"/>
        <v>0</v>
      </c>
      <c r="C218" s="4">
        <f>IF($B$188=0,0,IF(C$2&gt;=$A218,IF(C$2=$A218,($B218/$B$188)*$B$185,IF(C$2&lt;=$A218+$B$188-1,$B218/$B$188,$B218-SUM(B218:$C218))),0))</f>
        <v>0</v>
      </c>
      <c r="D218" s="4">
        <f>IF($B$188=0,0,IF(D$2&gt;=$A218,IF(D$2=$A218,($B218/$B$188)*$B$185,IF(D$2&lt;=$A218+$B$188-1,$B218/$B$188,$B218-SUM(C218:$C218))),0))</f>
        <v>0</v>
      </c>
      <c r="E218" s="4">
        <f>IF($B$188=0,0,IF(E$2&gt;=$A218,IF(E$2=$A218,($B218/$B$188)*$B$185,IF(E$2&lt;=$A218+$B$188-1,$B218/$B$188,$B218-SUM($C218:D218))),0))</f>
        <v>0</v>
      </c>
      <c r="F218" s="4">
        <f>IF($B$188=0,0,IF(F$2&gt;=$A218,IF(F$2=$A218,($B218/$B$188)*$B$185,IF(F$2&lt;=$A218+$B$188-1,$B218/$B$188,$B218-SUM($C218:E218))),0))</f>
        <v>0</v>
      </c>
      <c r="G218" s="4">
        <f>IF($B$188=0,0,IF(G$2&gt;=$A218,IF(G$2=$A218,($B218/$B$188)*$B$185,IF(G$2&lt;=$A218+$B$188-1,$B218/$B$188,$B218-SUM($C218:F218))),0))</f>
        <v>0</v>
      </c>
      <c r="H218" s="4">
        <f>IF($B$188=0,0,IF(H$2&gt;=$A218,IF(H$2=$A218,($B218/$B$188)*$B$185,IF(H$2&lt;=$A218+$B$188-1,$B218/$B$188,$B218-SUM($C218:G218))),0))</f>
        <v>0</v>
      </c>
      <c r="I218" s="4">
        <f>IF($B$188=0,0,IF(I$2&gt;=$A218,IF(I$2=$A218,($B218/$B$188)*$B$185,IF(I$2&lt;=$A218+$B$188-1,$B218/$B$188,$B218-SUM($C218:H218))),0))</f>
        <v>0</v>
      </c>
      <c r="J218" s="4">
        <f>IF($B$188=0,0,IF(J$2&gt;=$A218,IF(J$2=$A218,($B218/$B$188)*$B$185,IF(J$2&lt;=$A218+$B$188-1,$B218/$B$188,$B218-SUM($C218:I218))),0))</f>
        <v>0</v>
      </c>
      <c r="K218" s="4">
        <f>IF($B$188=0,0,IF(K$2&gt;=$A218,IF(K$2=$A218,($B218/$B$188)*$B$185,IF(K$2&lt;=$A218+$B$188-1,$B218/$B$188,$B218-SUM($C218:J218))),0))</f>
        <v>0</v>
      </c>
      <c r="L218" s="4">
        <f>IF($B$188=0,0,IF(L$2&gt;=$A218,IF(L$2=$A218,($B218/$B$188)*$B$185,IF(L$2&lt;=$A218+$B$188-1,$B218/$B$188,$B218-SUM($C218:K218))),0))</f>
        <v>0</v>
      </c>
      <c r="M218" s="4">
        <f>IF($B$188=0,0,IF(M$2&gt;=$A218,IF(M$2=$A218,($B218/$B$188)*$B$185,IF(M$2&lt;=$A218+$B$188-1,$B218/$B$188,$B218-SUM($C218:L218))),0))</f>
        <v>0</v>
      </c>
      <c r="N218" s="4">
        <f>IF($B$188=0,0,IF(N$2&gt;=$A218,IF(N$2=$A218,($B218/$B$188)*$B$185,IF(N$2&lt;=$A218+$B$188-1,$B218/$B$188,$B218-SUM($C218:M218))),0))</f>
        <v>0</v>
      </c>
      <c r="O218" s="4">
        <f>IF($B$188=0,0,IF(O$2&gt;=$A218,IF(O$2=$A218,($B218/$B$188)*$B$185,IF(O$2&lt;=$A218+$B$188-1,$B218/$B$188,$B218-SUM($C218:N218))),0))</f>
        <v>0</v>
      </c>
      <c r="P218" s="4">
        <f>IF($B$188=0,0,IF(P$2&gt;=$A218,IF(P$2=$A218,($B218/$B$188)*$B$185,IF(P$2&lt;=$A218+$B$188-1,$B218/$B$188,$B218-SUM($C218:O218))),0))</f>
        <v>0</v>
      </c>
      <c r="Q218" s="4">
        <f>IF($B$188=0,0,IF(Q$2&gt;=$A218,IF(Q$2=$A218,($B218/$B$188)*$B$185,IF(Q$2&lt;=$A218+$B$188-1,$B218/$B$188,$B218-SUM($C218:P218))),0))</f>
        <v>0</v>
      </c>
      <c r="R218" s="4">
        <f>IF($B$188=0,0,IF(R$2&gt;=$A218,IF(R$2=$A218,($B218/$B$188)*$B$185,IF(R$2&lt;=$A218+$B$188-1,$B218/$B$188,$B218-SUM($C218:Q218))),0))</f>
        <v>0</v>
      </c>
      <c r="S218" s="4">
        <f>IF($B$188=0,0,IF(S$2&gt;=$A218,IF(S$2=$A218,($B218/$B$188)*$B$185,IF(S$2&lt;=$A218+$B$188-1,$B218/$B$188,$B218-SUM($C218:R218))),0))</f>
        <v>0</v>
      </c>
      <c r="T218" s="4">
        <f>IF($B$188=0,0,IF(T$2&gt;=$A218,IF(T$2=$A218,($B218/$B$188)*$B$185,IF(T$2&lt;=$A218+$B$188-1,$B218/$B$188,$B218-SUM($C218:S218))),0))</f>
        <v>0</v>
      </c>
      <c r="U218" s="4">
        <f>IF($B$188=0,0,IF(U$2&gt;=$A218,IF(U$2=$A218,($B218/$B$188)*$B$185,IF(U$2&lt;=$A218+$B$188-1,$B218/$B$188,$B218-SUM($C218:T218))),0))</f>
        <v>0</v>
      </c>
      <c r="V218" s="4">
        <f>IF($B$188=0,0,IF(V$2&gt;=$A218,IF(V$2=$A218,($B218/$B$188)*$B$185,IF(V$2&lt;=$A218+$B$188-1,$B218/$B$188,$B218-SUM($C218:U218))),0))</f>
        <v>0</v>
      </c>
      <c r="W218" s="4">
        <f>IF($B$188=0,0,IF(W$2&gt;=$A218,IF(W$2=$A218,($B218/$B$188)*$B$185,IF(W$2&lt;=$A218+$B$188-1,$B218/$B$188,$B218-SUM($C218:V218))),0))</f>
        <v>0</v>
      </c>
      <c r="X218" s="4">
        <f>IF($B$188=0,0,IF(X$2&gt;=$A218,IF(X$2=$A218,($B218/$B$188)*$B$185,IF(X$2&lt;=$A218+$B$188-1,$B218/$B$188,$B218-SUM($C218:W218))),0))</f>
        <v>0</v>
      </c>
      <c r="Y218" s="4">
        <f>IF($B$188=0,0,IF(Y$2&gt;=$A218,IF(Y$2=$A218,($B218/$B$188)*$B$185,IF(Y$2&lt;=$A218+$B$188-1,$B218/$B$188,$B218-SUM($C218:X218))),0))</f>
        <v>0</v>
      </c>
      <c r="Z218" s="4">
        <f>IF($B$188=0,0,IF(Z$2&gt;=$A218,IF(Z$2=$A218,($B218/$B$188)*$B$185,IF(Z$2&lt;=$A218+$B$188-1,$B218/$B$188,$B218-SUM($C218:Y218))),0))</f>
        <v>0</v>
      </c>
      <c r="AA218" s="4">
        <f>IF($B$188=0,0,IF(AA$2&gt;=$A218,IF(AA$2=$A218,($B218/$B$188)*$B$185,IF(AA$2&lt;=$A218+$B$188-1,$B218/$B$188,$B218-SUM($C218:Z218))),0))</f>
        <v>0</v>
      </c>
      <c r="AB218" s="4">
        <f>IF($B$188=0,0,IF(AB$2&gt;=$A218,IF(AB$2=$A218,($B218/$B$188)*$B$185,IF(AB$2&lt;=$A218+$B$188-1,$B218/$B$188,$B218-SUM($C218:AA218))),0))</f>
        <v>0</v>
      </c>
      <c r="AC218" s="4">
        <f>IF($B$188=0,0,IF(AC$2&gt;=$A218,IF(AC$2=$A218,($B218/$B$188)*$B$185,IF(AC$2&lt;=$A218+$B$188-1,$B218/$B$188,$B218-SUM($C218:AB218))),0))</f>
        <v>0</v>
      </c>
      <c r="AD218" s="4">
        <f>IF($B$188=0,0,IF(AD$2&gt;=$A218,IF(AD$2=$A218,($B218/$B$188)*$B$185,IF(AD$2&lt;=$A218+$B$188-1,$B218/$B$188,$B218-SUM($C218:AC218))),0))</f>
        <v>0</v>
      </c>
      <c r="AE218" s="4">
        <f>IF($B$188=0,0,IF(AE$2&gt;=$A218,IF(AE$2=$A218,($B218/$B$188)*$B$185,IF(AE$2&lt;=$A218+$B$188-1,$B218/$B$188,$B218-SUM($C218:AD218))),0))</f>
        <v>0</v>
      </c>
      <c r="AF218" s="4">
        <f>IF($B$188=0,0,IF(AF$2&gt;=$A218,IF(AF$2=$A218,($B218/$B$188)*$B$185,IF(AF$2&lt;=$A218+$B$188-1,$B218/$B$188,$B218-SUM($C218:AE218))),0))</f>
        <v>0</v>
      </c>
      <c r="AG218" s="4">
        <f t="shared" si="140"/>
        <v>0</v>
      </c>
    </row>
    <row r="219" spans="1:33" ht="15" thickBot="1">
      <c r="A219" s="6" t="str">
        <f>"Total Depreciation - "&amp;A185</f>
        <v>Total Depreciation - Parking Garage (1,000 Spaces)</v>
      </c>
      <c r="B219" s="43">
        <f>SUM(B189:B218)</f>
        <v>22497924.584127281</v>
      </c>
      <c r="C219" s="43">
        <f>SUM(C189:C218)</f>
        <v>0</v>
      </c>
      <c r="D219" s="43">
        <f t="shared" ref="D219:AF219" si="141">SUM(D189:D218)</f>
        <v>0</v>
      </c>
      <c r="E219" s="43">
        <f t="shared" si="141"/>
        <v>0</v>
      </c>
      <c r="F219" s="43">
        <f t="shared" si="141"/>
        <v>374965.40973545465</v>
      </c>
      <c r="G219" s="43">
        <f t="shared" si="141"/>
        <v>374965.40973545465</v>
      </c>
      <c r="H219" s="43">
        <f t="shared" si="141"/>
        <v>374965.40973545465</v>
      </c>
      <c r="I219" s="43">
        <f t="shared" si="141"/>
        <v>374965.40973545465</v>
      </c>
      <c r="J219" s="43">
        <f t="shared" si="141"/>
        <v>374965.40973545465</v>
      </c>
      <c r="K219" s="43">
        <f t="shared" si="141"/>
        <v>374965.40973545465</v>
      </c>
      <c r="L219" s="43">
        <f t="shared" si="141"/>
        <v>374965.40973545465</v>
      </c>
      <c r="M219" s="43">
        <f t="shared" si="141"/>
        <v>374965.40973545465</v>
      </c>
      <c r="N219" s="43">
        <f t="shared" si="141"/>
        <v>374965.40973545465</v>
      </c>
      <c r="O219" s="43">
        <f t="shared" si="141"/>
        <v>374965.40973545465</v>
      </c>
      <c r="P219" s="43">
        <f t="shared" si="141"/>
        <v>374965.40973545465</v>
      </c>
      <c r="Q219" s="43">
        <f t="shared" si="141"/>
        <v>374965.40973545465</v>
      </c>
      <c r="R219" s="43">
        <f t="shared" si="141"/>
        <v>374965.40973545465</v>
      </c>
      <c r="S219" s="43">
        <f t="shared" si="141"/>
        <v>374965.40973545465</v>
      </c>
      <c r="T219" s="43">
        <f t="shared" si="141"/>
        <v>374965.40973545465</v>
      </c>
      <c r="U219" s="43">
        <f t="shared" si="141"/>
        <v>374965.40973545465</v>
      </c>
      <c r="V219" s="43">
        <f t="shared" si="141"/>
        <v>374965.40973545465</v>
      </c>
      <c r="W219" s="43">
        <f t="shared" si="141"/>
        <v>374965.40973545465</v>
      </c>
      <c r="X219" s="43">
        <f t="shared" si="141"/>
        <v>374965.40973545465</v>
      </c>
      <c r="Y219" s="43">
        <f t="shared" si="141"/>
        <v>374965.40973545465</v>
      </c>
      <c r="Z219" s="43">
        <f t="shared" si="141"/>
        <v>374965.40973545465</v>
      </c>
      <c r="AA219" s="43">
        <f t="shared" si="141"/>
        <v>374965.40973545465</v>
      </c>
      <c r="AB219" s="43">
        <f t="shared" si="141"/>
        <v>374965.40973545465</v>
      </c>
      <c r="AC219" s="43">
        <f t="shared" si="141"/>
        <v>374965.40973545465</v>
      </c>
      <c r="AD219" s="43">
        <f t="shared" si="141"/>
        <v>374965.40973545465</v>
      </c>
      <c r="AE219" s="43">
        <f t="shared" si="141"/>
        <v>374965.40973545465</v>
      </c>
      <c r="AF219" s="43">
        <f t="shared" si="141"/>
        <v>374965.40973545465</v>
      </c>
      <c r="AG219" s="43">
        <f>SUM(C219:AF219)</f>
        <v>10124066.06285727</v>
      </c>
    </row>
    <row r="221" spans="1:33">
      <c r="A221" s="302" t="str">
        <f>+Capex!$A$12</f>
        <v>Interior Costs - Soft Costs</v>
      </c>
      <c r="B221" s="324">
        <f>+Capex!$C$12/12</f>
        <v>0.5</v>
      </c>
    </row>
    <row r="222" spans="1:33">
      <c r="A222" s="6" t="s">
        <v>399</v>
      </c>
      <c r="C222" s="40">
        <f>IF(Capex!$B$12=0,Capex!G$12,IF(Capex!$B$12=Capex!G$4,Capex!$AK$12,0))+IF(Capex!$B$12=0,Capex!G$26,IF(Capex!$B$12=Capex!G$4,Capex!$AK$26,0))</f>
        <v>0</v>
      </c>
      <c r="D222" s="40">
        <f>IF(Capex!$B$12=0,Capex!H$12,IF(Capex!$B$12=Capex!H$4,Capex!$AK$12,0))+IF(Capex!$B$12=0,Capex!H$26,IF(Capex!$B$12=Capex!H$4,Capex!$AK$26,0))</f>
        <v>0</v>
      </c>
      <c r="E222" s="40">
        <f>IF(Capex!$B$12=0,Capex!I$12,IF(Capex!$B$12=Capex!I$4,Capex!$AK$12,0))+IF(Capex!$B$12=0,Capex!I$26,IF(Capex!$B$12=Capex!I$4,Capex!$AK$26,0))</f>
        <v>0</v>
      </c>
      <c r="F222" s="40">
        <f>IF(Capex!$B$12=0,Capex!J$12,IF(Capex!$B$12=Capex!J$4,Capex!$AK$12,0))+IF(Capex!$B$12=0,Capex!J$26,IF(Capex!$B$12=Capex!J$4,Capex!$AK$26,0))</f>
        <v>9701578.8821190707</v>
      </c>
      <c r="G222" s="40">
        <f>IF(Capex!$B$12=0,Capex!K$12,IF(Capex!$B$12=Capex!K$4,Capex!$AK$12,0))+IF(Capex!$B$12=0,Capex!K$26,IF(Capex!$B$12=Capex!K$4,Capex!$AK$26,0))</f>
        <v>0</v>
      </c>
      <c r="H222" s="40">
        <f>IF(Capex!$B$12=0,Capex!L$12,IF(Capex!$B$12=Capex!L$4,Capex!$AK$12,0))+IF(Capex!$B$12=0,Capex!L$26,IF(Capex!$B$12=Capex!L$4,Capex!$AK$26,0))</f>
        <v>0</v>
      </c>
      <c r="I222" s="40">
        <f>IF(Capex!$B$12=0,Capex!M$12,IF(Capex!$B$12=Capex!M$4,Capex!$AK$12,0))+IF(Capex!$B$12=0,Capex!M$26,IF(Capex!$B$12=Capex!M$4,Capex!$AK$26,0))</f>
        <v>0</v>
      </c>
      <c r="J222" s="40">
        <f>IF(Capex!$B$12=0,Capex!N$12,IF(Capex!$B$12=Capex!N$4,Capex!$AK$12,0))+IF(Capex!$B$12=0,Capex!N$26,IF(Capex!$B$12=Capex!N$4,Capex!$AK$26,0))</f>
        <v>0</v>
      </c>
      <c r="K222" s="40">
        <f>IF(Capex!$B$12=0,Capex!O$12,IF(Capex!$B$12=Capex!O$4,Capex!$AK$12,0))+IF(Capex!$B$12=0,Capex!O$26,IF(Capex!$B$12=Capex!O$4,Capex!$AK$26,0))</f>
        <v>0</v>
      </c>
      <c r="L222" s="40">
        <f>IF(Capex!$B$12=0,Capex!P$12,IF(Capex!$B$12=Capex!P$4,Capex!$AK$12,0))+IF(Capex!$B$12=0,Capex!P$26,IF(Capex!$B$12=Capex!P$4,Capex!$AK$26,0))</f>
        <v>0</v>
      </c>
      <c r="M222" s="40">
        <f>IF(Capex!$B$12=0,Capex!Q$12,IF(Capex!$B$12=Capex!Q$4,Capex!$AK$12,0))+IF(Capex!$B$12=0,Capex!Q$26,IF(Capex!$B$12=Capex!Q$4,Capex!$AK$26,0))</f>
        <v>0</v>
      </c>
      <c r="N222" s="40">
        <f>IF(Capex!$B$12=0,Capex!R$12,IF(Capex!$B$12=Capex!R$4,Capex!$AK$12,0))+IF(Capex!$B$12=0,Capex!R$26,IF(Capex!$B$12=Capex!R$4,Capex!$AK$26,0))</f>
        <v>0</v>
      </c>
      <c r="O222" s="40">
        <f>IF(Capex!$B$12=0,Capex!S$12,IF(Capex!$B$12=Capex!S$4,Capex!$AK$12,0))+IF(Capex!$B$12=0,Capex!S$26,IF(Capex!$B$12=Capex!S$4,Capex!$AK$26,0))</f>
        <v>0</v>
      </c>
      <c r="P222" s="40">
        <f>IF(Capex!$B$12=0,Capex!T$12,IF(Capex!$B$12=Capex!T$4,Capex!$AK$12,0))+IF(Capex!$B$12=0,Capex!T$26,IF(Capex!$B$12=Capex!T$4,Capex!$AK$26,0))</f>
        <v>0</v>
      </c>
      <c r="Q222" s="40">
        <f>IF(Capex!$B$12=0,Capex!U$12,IF(Capex!$B$12=Capex!U$4,Capex!$AK$12,0))+IF(Capex!$B$12=0,Capex!U$26,IF(Capex!$B$12=Capex!U$4,Capex!$AK$26,0))</f>
        <v>0</v>
      </c>
      <c r="R222" s="40">
        <f>IF(Capex!$B$12=0,Capex!V$12,IF(Capex!$B$12=Capex!V$4,Capex!$AK$12,0))+IF(Capex!$B$12=0,Capex!V$26,IF(Capex!$B$12=Capex!V$4,Capex!$AK$26,0))</f>
        <v>0</v>
      </c>
      <c r="S222" s="40">
        <f>IF(Capex!$B$12=0,Capex!W$12,IF(Capex!$B$12=Capex!W$4,Capex!$AK$12,0))+IF(Capex!$B$12=0,Capex!W$26,IF(Capex!$B$12=Capex!W$4,Capex!$AK$26,0))</f>
        <v>0</v>
      </c>
      <c r="T222" s="40">
        <f>IF(Capex!$B$12=0,Capex!X$12,IF(Capex!$B$12=Capex!X$4,Capex!$AK$12,0))+IF(Capex!$B$12=0,Capex!X$26,IF(Capex!$B$12=Capex!X$4,Capex!$AK$26,0))</f>
        <v>0</v>
      </c>
      <c r="U222" s="40">
        <f>IF(Capex!$B$12=0,Capex!Y$12,IF(Capex!$B$12=Capex!Y$4,Capex!$AK$12,0))+IF(Capex!$B$12=0,Capex!Y$26,IF(Capex!$B$12=Capex!Y$4,Capex!$AK$26,0))</f>
        <v>0</v>
      </c>
      <c r="V222" s="40">
        <f>IF(Capex!$B$12=0,Capex!Z$12,IF(Capex!$B$12=Capex!Z$4,Capex!$AK$12,0))+IF(Capex!$B$12=0,Capex!Z$26,IF(Capex!$B$12=Capex!Z$4,Capex!$AK$26,0))</f>
        <v>0</v>
      </c>
      <c r="W222" s="40">
        <f>IF(Capex!$B$12=0,Capex!AA$12,IF(Capex!$B$12=Capex!AA$4,Capex!$AK$12,0))+IF(Capex!$B$12=0,Capex!AA$26,IF(Capex!$B$12=Capex!AA$4,Capex!$AK$26,0))</f>
        <v>0</v>
      </c>
      <c r="X222" s="40">
        <f>IF(Capex!$B$12=0,Capex!AB$12,IF(Capex!$B$12=Capex!AB$4,Capex!$AK$12,0))+IF(Capex!$B$12=0,Capex!AB$26,IF(Capex!$B$12=Capex!AB$4,Capex!$AK$26,0))</f>
        <v>0</v>
      </c>
      <c r="Y222" s="40">
        <f>IF(Capex!$B$12=0,Capex!AC$12,IF(Capex!$B$12=Capex!AC$4,Capex!$AK$12,0))+IF(Capex!$B$12=0,Capex!AC$26,IF(Capex!$B$12=Capex!AC$4,Capex!$AK$26,0))</f>
        <v>0</v>
      </c>
      <c r="Z222" s="40">
        <f>IF(Capex!$B$12=0,Capex!AD$12,IF(Capex!$B$12=Capex!AD$4,Capex!$AK$12,0))+IF(Capex!$B$12=0,Capex!AD$26,IF(Capex!$B$12=Capex!AD$4,Capex!$AK$26,0))</f>
        <v>0</v>
      </c>
      <c r="AA222" s="40">
        <f>IF(Capex!$B$12=0,Capex!AE$12,IF(Capex!$B$12=Capex!AE$4,Capex!$AK$12,0))+IF(Capex!$B$12=0,Capex!AE$26,IF(Capex!$B$12=Capex!AE$4,Capex!$AK$26,0))</f>
        <v>0</v>
      </c>
      <c r="AB222" s="40">
        <f>IF(Capex!$B$12=0,Capex!AF$12,IF(Capex!$B$12=Capex!AF$4,Capex!$AK$12,0))+IF(Capex!$B$12=0,Capex!AF$26,IF(Capex!$B$12=Capex!AF$4,Capex!$AK$26,0))</f>
        <v>0</v>
      </c>
      <c r="AC222" s="40">
        <f>IF(Capex!$B$12=0,Capex!AG$12,IF(Capex!$B$12=Capex!AG$4,Capex!$AK$12,0))+IF(Capex!$B$12=0,Capex!AG$26,IF(Capex!$B$12=Capex!AG$4,Capex!$AK$26,0))</f>
        <v>0</v>
      </c>
      <c r="AD222" s="40">
        <f>IF(Capex!$B$12=0,Capex!AH$12,IF(Capex!$B$12=Capex!AH$4,Capex!$AK$12,0))+IF(Capex!$B$12=0,Capex!AH$26,IF(Capex!$B$12=Capex!AH$4,Capex!$AK$26,0))</f>
        <v>0</v>
      </c>
      <c r="AE222" s="40">
        <f>IF(Capex!$B$12=0,Capex!AI$12,IF(Capex!$B$12=Capex!AI$4,Capex!$AK$12,0))+IF(Capex!$B$12=0,Capex!AI$26,IF(Capex!$B$12=Capex!AI$4,Capex!$AK$26,0))</f>
        <v>0</v>
      </c>
      <c r="AF222" s="40">
        <f>IF(Capex!$B$12=0,Capex!AJ$12,IF(Capex!$B$12=Capex!AJ$4,Capex!$AK$12,0))+IF(Capex!$B$12=0,Capex!AJ$26,IF(Capex!$B$12=Capex!AJ$4,Capex!$AK$26,0))</f>
        <v>0</v>
      </c>
    </row>
    <row r="223" spans="1:33">
      <c r="A223" s="6" t="s">
        <v>400</v>
      </c>
      <c r="B223" s="299"/>
      <c r="C223" s="49">
        <f>+C222</f>
        <v>0</v>
      </c>
      <c r="D223" s="49">
        <f t="shared" ref="D223" si="142">+D222+C223</f>
        <v>0</v>
      </c>
      <c r="E223" s="49">
        <f t="shared" ref="E223" si="143">+E222+D223</f>
        <v>0</v>
      </c>
      <c r="F223" s="49">
        <f t="shared" ref="F223" si="144">+F222+E223</f>
        <v>9701578.8821190707</v>
      </c>
      <c r="G223" s="49">
        <f t="shared" ref="G223" si="145">+G222+F223</f>
        <v>9701578.8821190707</v>
      </c>
      <c r="H223" s="49">
        <f t="shared" ref="H223" si="146">+H222+G223</f>
        <v>9701578.8821190707</v>
      </c>
      <c r="I223" s="49">
        <f t="shared" ref="I223" si="147">+I222+H223</f>
        <v>9701578.8821190707</v>
      </c>
      <c r="J223" s="49">
        <f t="shared" ref="J223" si="148">+J222+I223</f>
        <v>9701578.8821190707</v>
      </c>
      <c r="K223" s="49">
        <f t="shared" ref="K223" si="149">+K222+J223</f>
        <v>9701578.8821190707</v>
      </c>
      <c r="L223" s="49">
        <f t="shared" ref="L223" si="150">+L222+K223</f>
        <v>9701578.8821190707</v>
      </c>
      <c r="M223" s="49">
        <f t="shared" ref="M223" si="151">+M222+L223</f>
        <v>9701578.8821190707</v>
      </c>
      <c r="N223" s="49">
        <f t="shared" ref="N223" si="152">+N222+M223</f>
        <v>9701578.8821190707</v>
      </c>
      <c r="O223" s="49">
        <f t="shared" ref="O223" si="153">+O222+N223</f>
        <v>9701578.8821190707</v>
      </c>
      <c r="P223" s="49">
        <f t="shared" ref="P223" si="154">+P222+O223</f>
        <v>9701578.8821190707</v>
      </c>
      <c r="Q223" s="49">
        <f t="shared" ref="Q223" si="155">+Q222+P223</f>
        <v>9701578.8821190707</v>
      </c>
      <c r="R223" s="49">
        <f t="shared" ref="R223" si="156">+R222+Q223</f>
        <v>9701578.8821190707</v>
      </c>
      <c r="S223" s="49">
        <f t="shared" ref="S223" si="157">+S222+R223</f>
        <v>9701578.8821190707</v>
      </c>
      <c r="T223" s="49">
        <f t="shared" ref="T223" si="158">+T222+S223</f>
        <v>9701578.8821190707</v>
      </c>
      <c r="U223" s="49">
        <f t="shared" ref="U223" si="159">+U222+T223</f>
        <v>9701578.8821190707</v>
      </c>
      <c r="V223" s="49">
        <f t="shared" ref="V223" si="160">+V222+U223</f>
        <v>9701578.8821190707</v>
      </c>
      <c r="W223" s="49">
        <f t="shared" ref="W223" si="161">+W222+V223</f>
        <v>9701578.8821190707</v>
      </c>
      <c r="X223" s="49">
        <f t="shared" ref="X223" si="162">+X222+W223</f>
        <v>9701578.8821190707</v>
      </c>
      <c r="Y223" s="49">
        <f t="shared" ref="Y223" si="163">+Y222+X223</f>
        <v>9701578.8821190707</v>
      </c>
      <c r="Z223" s="49">
        <f t="shared" ref="Z223" si="164">+Z222+Y223</f>
        <v>9701578.8821190707</v>
      </c>
      <c r="AA223" s="49">
        <f t="shared" ref="AA223" si="165">+AA222+Z223</f>
        <v>9701578.8821190707</v>
      </c>
      <c r="AB223" s="49">
        <f t="shared" ref="AB223" si="166">+AB222+AA223</f>
        <v>9701578.8821190707</v>
      </c>
      <c r="AC223" s="49">
        <f t="shared" ref="AC223" si="167">+AC222+AB223</f>
        <v>9701578.8821190707</v>
      </c>
      <c r="AD223" s="49">
        <f t="shared" ref="AD223" si="168">+AD222+AC223</f>
        <v>9701578.8821190707</v>
      </c>
      <c r="AE223" s="49">
        <f t="shared" ref="AE223" si="169">+AE222+AD223</f>
        <v>9701578.8821190707</v>
      </c>
      <c r="AF223" s="49">
        <f t="shared" ref="AF223" si="170">+AF222+AE223</f>
        <v>9701578.8821190707</v>
      </c>
    </row>
    <row r="224" spans="1:33" ht="16.2">
      <c r="A224" s="6" t="s">
        <v>401</v>
      </c>
      <c r="B224" s="88">
        <f>+Capex!$D$12</f>
        <v>60</v>
      </c>
      <c r="AG224" s="462"/>
    </row>
    <row r="225" spans="1:33">
      <c r="A225" s="6">
        <f>+A45</f>
        <v>2022</v>
      </c>
      <c r="B225" s="4">
        <f t="shared" ref="B225:B254" si="171">SUMIF($C$2:$AF$2,A225,$C$222:$AF$222)</f>
        <v>0</v>
      </c>
      <c r="C225" s="4">
        <f>IF($B$224=0,0,IF(C$2&gt;=$A225,IF(C$2=$A225,($B225/$B$224)*$B$221,IF(C$2&lt;=$A225+$B$224-1,$B225/$B$224,$B225-SUM(B225:$C225))),0))</f>
        <v>0</v>
      </c>
      <c r="D225" s="4">
        <f>IF($B$224=0,0,IF(D$2&gt;=$A225,IF(D$2=$A225,($B225/$B$224)*$B$221,IF(D$2&lt;=$A225+$B$224-1,$B225/$B$224,$B225-SUM(C225:$C225))),0))</f>
        <v>0</v>
      </c>
      <c r="E225" s="4">
        <f>IF($B$224=0,0,IF(E$2&gt;=$A225,IF(E$2=$A225,($B225/$B$224)*$B$221,IF(E$2&lt;=$A225+$B$224-1,$B225/$B$224,$B225-SUM($C225:D225))),0))</f>
        <v>0</v>
      </c>
      <c r="F225" s="4">
        <f>IF($B$224=0,0,IF(F$2&gt;=$A225,IF(F$2=$A225,($B225/$B$224)*$B$221,IF(F$2&lt;=$A225+$B$224-1,$B225/$B$224,$B225-SUM($C225:E225))),0))</f>
        <v>0</v>
      </c>
      <c r="G225" s="4">
        <f>IF($B$224=0,0,IF(G$2&gt;=$A225,IF(G$2=$A225,($B225/$B$224)*$B$221,IF(G$2&lt;=$A225+$B$224-1,$B225/$B$224,$B225-SUM($C225:F225))),0))</f>
        <v>0</v>
      </c>
      <c r="H225" s="4">
        <f>IF($B$224=0,0,IF(H$2&gt;=$A225,IF(H$2=$A225,($B225/$B$224)*$B$221,IF(H$2&lt;=$A225+$B$224-1,$B225/$B$224,$B225-SUM($C225:G225))),0))</f>
        <v>0</v>
      </c>
      <c r="I225" s="4">
        <f>IF($B$224=0,0,IF(I$2&gt;=$A225,IF(I$2=$A225,($B225/$B$224)*$B$221,IF(I$2&lt;=$A225+$B$224-1,$B225/$B$224,$B225-SUM($C225:H225))),0))</f>
        <v>0</v>
      </c>
      <c r="J225" s="4">
        <f>IF($B$224=0,0,IF(J$2&gt;=$A225,IF(J$2=$A225,($B225/$B$224)*$B$221,IF(J$2&lt;=$A225+$B$224-1,$B225/$B$224,$B225-SUM($C225:I225))),0))</f>
        <v>0</v>
      </c>
      <c r="K225" s="4">
        <f>IF($B$224=0,0,IF(K$2&gt;=$A225,IF(K$2=$A225,($B225/$B$224)*$B$221,IF(K$2&lt;=$A225+$B$224-1,$B225/$B$224,$B225-SUM($C225:J225))),0))</f>
        <v>0</v>
      </c>
      <c r="L225" s="4">
        <f>IF($B$224=0,0,IF(L$2&gt;=$A225,IF(L$2=$A225,($B225/$B$224)*$B$221,IF(L$2&lt;=$A225+$B$224-1,$B225/$B$224,$B225-SUM($C225:K225))),0))</f>
        <v>0</v>
      </c>
      <c r="M225" s="4">
        <f>IF($B$224=0,0,IF(M$2&gt;=$A225,IF(M$2=$A225,($B225/$B$224)*$B$221,IF(M$2&lt;=$A225+$B$224-1,$B225/$B$224,$B225-SUM($C225:L225))),0))</f>
        <v>0</v>
      </c>
      <c r="N225" s="4">
        <f>IF($B$224=0,0,IF(N$2&gt;=$A225,IF(N$2=$A225,($B225/$B$224)*$B$221,IF(N$2&lt;=$A225+$B$224-1,$B225/$B$224,$B225-SUM($C225:M225))),0))</f>
        <v>0</v>
      </c>
      <c r="O225" s="4">
        <f>IF($B$224=0,0,IF(O$2&gt;=$A225,IF(O$2=$A225,($B225/$B$224)*$B$221,IF(O$2&lt;=$A225+$B$224-1,$B225/$B$224,$B225-SUM($C225:N225))),0))</f>
        <v>0</v>
      </c>
      <c r="P225" s="4">
        <f>IF($B$224=0,0,IF(P$2&gt;=$A225,IF(P$2=$A225,($B225/$B$224)*$B$221,IF(P$2&lt;=$A225+$B$224-1,$B225/$B$224,$B225-SUM($C225:O225))),0))</f>
        <v>0</v>
      </c>
      <c r="Q225" s="4">
        <f>IF($B$224=0,0,IF(Q$2&gt;=$A225,IF(Q$2=$A225,($B225/$B$224)*$B$221,IF(Q$2&lt;=$A225+$B$224-1,$B225/$B$224,$B225-SUM($C225:P225))),0))</f>
        <v>0</v>
      </c>
      <c r="R225" s="4">
        <f>IF($B$224=0,0,IF(R$2&gt;=$A225,IF(R$2=$A225,($B225/$B$224)*$B$221,IF(R$2&lt;=$A225+$B$224-1,$B225/$B$224,$B225-SUM($C225:Q225))),0))</f>
        <v>0</v>
      </c>
      <c r="S225" s="4">
        <f>IF($B$224=0,0,IF(S$2&gt;=$A225,IF(S$2=$A225,($B225/$B$224)*$B$221,IF(S$2&lt;=$A225+$B$224-1,$B225/$B$224,$B225-SUM($C225:R225))),0))</f>
        <v>0</v>
      </c>
      <c r="T225" s="4">
        <f>IF($B$224=0,0,IF(T$2&gt;=$A225,IF(T$2=$A225,($B225/$B$224)*$B$221,IF(T$2&lt;=$A225+$B$224-1,$B225/$B$224,$B225-SUM($C225:S225))),0))</f>
        <v>0</v>
      </c>
      <c r="U225" s="4">
        <f>IF($B$224=0,0,IF(U$2&gt;=$A225,IF(U$2=$A225,($B225/$B$224)*$B$221,IF(U$2&lt;=$A225+$B$224-1,$B225/$B$224,$B225-SUM($C225:T225))),0))</f>
        <v>0</v>
      </c>
      <c r="V225" s="4">
        <f>IF($B$224=0,0,IF(V$2&gt;=$A225,IF(V$2=$A225,($B225/$B$224)*$B$221,IF(V$2&lt;=$A225+$B$224-1,$B225/$B$224,$B225-SUM($C225:U225))),0))</f>
        <v>0</v>
      </c>
      <c r="W225" s="4">
        <f>IF($B$224=0,0,IF(W$2&gt;=$A225,IF(W$2=$A225,($B225/$B$224)*$B$221,IF(W$2&lt;=$A225+$B$224-1,$B225/$B$224,$B225-SUM($C225:V225))),0))</f>
        <v>0</v>
      </c>
      <c r="X225" s="4">
        <f>IF($B$224=0,0,IF(X$2&gt;=$A225,IF(X$2=$A225,($B225/$B$224)*$B$221,IF(X$2&lt;=$A225+$B$224-1,$B225/$B$224,$B225-SUM($C225:W225))),0))</f>
        <v>0</v>
      </c>
      <c r="Y225" s="4">
        <f>IF($B$224=0,0,IF(Y$2&gt;=$A225,IF(Y$2=$A225,($B225/$B$224)*$B$221,IF(Y$2&lt;=$A225+$B$224-1,$B225/$B$224,$B225-SUM($C225:X225))),0))</f>
        <v>0</v>
      </c>
      <c r="Z225" s="4">
        <f>IF($B$224=0,0,IF(Z$2&gt;=$A225,IF(Z$2=$A225,($B225/$B$224)*$B$221,IF(Z$2&lt;=$A225+$B$224-1,$B225/$B$224,$B225-SUM($C225:Y225))),0))</f>
        <v>0</v>
      </c>
      <c r="AA225" s="4">
        <f>IF($B$224=0,0,IF(AA$2&gt;=$A225,IF(AA$2=$A225,($B225/$B$224)*$B$221,IF(AA$2&lt;=$A225+$B$224-1,$B225/$B$224,$B225-SUM($C225:Z225))),0))</f>
        <v>0</v>
      </c>
      <c r="AB225" s="4">
        <f>IF($B$224=0,0,IF(AB$2&gt;=$A225,IF(AB$2=$A225,($B225/$B$224)*$B$221,IF(AB$2&lt;=$A225+$B$224-1,$B225/$B$224,$B225-SUM($C225:AA225))),0))</f>
        <v>0</v>
      </c>
      <c r="AC225" s="4">
        <f>IF($B$224=0,0,IF(AC$2&gt;=$A225,IF(AC$2=$A225,($B225/$B$224)*$B$221,IF(AC$2&lt;=$A225+$B$224-1,$B225/$B$224,$B225-SUM($C225:AB225))),0))</f>
        <v>0</v>
      </c>
      <c r="AD225" s="4">
        <f>IF($B$224=0,0,IF(AD$2&gt;=$A225,IF(AD$2=$A225,($B225/$B$224)*$B$221,IF(AD$2&lt;=$A225+$B$224-1,$B225/$B$224,$B225-SUM($C225:AC225))),0))</f>
        <v>0</v>
      </c>
      <c r="AE225" s="4">
        <f>IF($B$224=0,0,IF(AE$2&gt;=$A225,IF(AE$2=$A225,($B225/$B$224)*$B$221,IF(AE$2&lt;=$A225+$B$224-1,$B225/$B$224,$B225-SUM($C225:AD225))),0))</f>
        <v>0</v>
      </c>
      <c r="AF225" s="4">
        <f>IF($B$224=0,0,IF(AF$2&gt;=$A225,IF(AF$2=$A225,($B225/$B$224)*$B$221,IF(AF$2&lt;=$A225+$B$224-1,$B225/$B$224,$B225-SUM($C225:AE225))),0))</f>
        <v>0</v>
      </c>
      <c r="AG225" s="4">
        <f t="shared" ref="AG225:AG249" si="172">SUM(C225:AF225)</f>
        <v>0</v>
      </c>
    </row>
    <row r="226" spans="1:33">
      <c r="A226" s="6">
        <f>+A225+1</f>
        <v>2023</v>
      </c>
      <c r="B226" s="4">
        <f t="shared" si="171"/>
        <v>0</v>
      </c>
      <c r="C226" s="4">
        <f>IF($B$224=0,0,IF(C$2&gt;=$A226,IF(C$2=$A226,($B226/$B$224)*$B$221,IF(C$2&lt;=$A226+$B$224-1,$B226/$B$224,$B226-SUM(B226:$C226))),0))</f>
        <v>0</v>
      </c>
      <c r="D226" s="4">
        <f>IF($B$224=0,0,IF(D$2&gt;=$A226,IF(D$2=$A226,($B226/$B$224)*$B$221,IF(D$2&lt;=$A226+$B$224-1,$B226/$B$224,$B226-SUM(C226:$C226))),0))</f>
        <v>0</v>
      </c>
      <c r="E226" s="4">
        <f>IF($B$224=0,0,IF(E$2&gt;=$A226,IF(E$2=$A226,($B226/$B$224)*$B$221,IF(E$2&lt;=$A226+$B$224-1,$B226/$B$224,$B226-SUM($C226:D226))),0))</f>
        <v>0</v>
      </c>
      <c r="F226" s="4">
        <f>IF($B$224=0,0,IF(F$2&gt;=$A226,IF(F$2=$A226,($B226/$B$224)*$B$221,IF(F$2&lt;=$A226+$B$224-1,$B226/$B$224,$B226-SUM($C226:E226))),0))</f>
        <v>0</v>
      </c>
      <c r="G226" s="4">
        <f>IF($B$224=0,0,IF(G$2&gt;=$A226,IF(G$2=$A226,($B226/$B$224)*$B$221,IF(G$2&lt;=$A226+$B$224-1,$B226/$B$224,$B226-SUM($C226:F226))),0))</f>
        <v>0</v>
      </c>
      <c r="H226" s="4">
        <f>IF($B$224=0,0,IF(H$2&gt;=$A226,IF(H$2=$A226,($B226/$B$224)*$B$221,IF(H$2&lt;=$A226+$B$224-1,$B226/$B$224,$B226-SUM($C226:G226))),0))</f>
        <v>0</v>
      </c>
      <c r="I226" s="4">
        <f>IF($B$224=0,0,IF(I$2&gt;=$A226,IF(I$2=$A226,($B226/$B$224)*$B$221,IF(I$2&lt;=$A226+$B$224-1,$B226/$B$224,$B226-SUM($C226:H226))),0))</f>
        <v>0</v>
      </c>
      <c r="J226" s="4">
        <f>IF($B$224=0,0,IF(J$2&gt;=$A226,IF(J$2=$A226,($B226/$B$224)*$B$221,IF(J$2&lt;=$A226+$B$224-1,$B226/$B$224,$B226-SUM($C226:I226))),0))</f>
        <v>0</v>
      </c>
      <c r="K226" s="4">
        <f>IF($B$224=0,0,IF(K$2&gt;=$A226,IF(K$2=$A226,($B226/$B$224)*$B$221,IF(K$2&lt;=$A226+$B$224-1,$B226/$B$224,$B226-SUM($C226:J226))),0))</f>
        <v>0</v>
      </c>
      <c r="L226" s="4">
        <f>IF($B$224=0,0,IF(L$2&gt;=$A226,IF(L$2=$A226,($B226/$B$224)*$B$221,IF(L$2&lt;=$A226+$B$224-1,$B226/$B$224,$B226-SUM($C226:K226))),0))</f>
        <v>0</v>
      </c>
      <c r="M226" s="4">
        <f>IF($B$224=0,0,IF(M$2&gt;=$A226,IF(M$2=$A226,($B226/$B$224)*$B$221,IF(M$2&lt;=$A226+$B$224-1,$B226/$B$224,$B226-SUM($C226:L226))),0))</f>
        <v>0</v>
      </c>
      <c r="N226" s="4">
        <f>IF($B$224=0,0,IF(N$2&gt;=$A226,IF(N$2=$A226,($B226/$B$224)*$B$221,IF(N$2&lt;=$A226+$B$224-1,$B226/$B$224,$B226-SUM($C226:M226))),0))</f>
        <v>0</v>
      </c>
      <c r="O226" s="4">
        <f>IF($B$224=0,0,IF(O$2&gt;=$A226,IF(O$2=$A226,($B226/$B$224)*$B$221,IF(O$2&lt;=$A226+$B$224-1,$B226/$B$224,$B226-SUM($C226:N226))),0))</f>
        <v>0</v>
      </c>
      <c r="P226" s="4">
        <f>IF($B$224=0,0,IF(P$2&gt;=$A226,IF(P$2=$A226,($B226/$B$224)*$B$221,IF(P$2&lt;=$A226+$B$224-1,$B226/$B$224,$B226-SUM($C226:O226))),0))</f>
        <v>0</v>
      </c>
      <c r="Q226" s="4">
        <f>IF($B$224=0,0,IF(Q$2&gt;=$A226,IF(Q$2=$A226,($B226/$B$224)*$B$221,IF(Q$2&lt;=$A226+$B$224-1,$B226/$B$224,$B226-SUM($C226:P226))),0))</f>
        <v>0</v>
      </c>
      <c r="R226" s="4">
        <f>IF($B$224=0,0,IF(R$2&gt;=$A226,IF(R$2=$A226,($B226/$B$224)*$B$221,IF(R$2&lt;=$A226+$B$224-1,$B226/$B$224,$B226-SUM($C226:Q226))),0))</f>
        <v>0</v>
      </c>
      <c r="S226" s="4">
        <f>IF($B$224=0,0,IF(S$2&gt;=$A226,IF(S$2=$A226,($B226/$B$224)*$B$221,IF(S$2&lt;=$A226+$B$224-1,$B226/$B$224,$B226-SUM($C226:R226))),0))</f>
        <v>0</v>
      </c>
      <c r="T226" s="4">
        <f>IF($B$224=0,0,IF(T$2&gt;=$A226,IF(T$2=$A226,($B226/$B$224)*$B$221,IF(T$2&lt;=$A226+$B$224-1,$B226/$B$224,$B226-SUM($C226:S226))),0))</f>
        <v>0</v>
      </c>
      <c r="U226" s="4">
        <f>IF($B$224=0,0,IF(U$2&gt;=$A226,IF(U$2=$A226,($B226/$B$224)*$B$221,IF(U$2&lt;=$A226+$B$224-1,$B226/$B$224,$B226-SUM($C226:T226))),0))</f>
        <v>0</v>
      </c>
      <c r="V226" s="4">
        <f>IF($B$224=0,0,IF(V$2&gt;=$A226,IF(V$2=$A226,($B226/$B$224)*$B$221,IF(V$2&lt;=$A226+$B$224-1,$B226/$B$224,$B226-SUM($C226:U226))),0))</f>
        <v>0</v>
      </c>
      <c r="W226" s="4">
        <f>IF($B$224=0,0,IF(W$2&gt;=$A226,IF(W$2=$A226,($B226/$B$224)*$B$221,IF(W$2&lt;=$A226+$B$224-1,$B226/$B$224,$B226-SUM($C226:V226))),0))</f>
        <v>0</v>
      </c>
      <c r="X226" s="4">
        <f>IF($B$224=0,0,IF(X$2&gt;=$A226,IF(X$2=$A226,($B226/$B$224)*$B$221,IF(X$2&lt;=$A226+$B$224-1,$B226/$B$224,$B226-SUM($C226:W226))),0))</f>
        <v>0</v>
      </c>
      <c r="Y226" s="4">
        <f>IF($B$224=0,0,IF(Y$2&gt;=$A226,IF(Y$2=$A226,($B226/$B$224)*$B$221,IF(Y$2&lt;=$A226+$B$224-1,$B226/$B$224,$B226-SUM($C226:X226))),0))</f>
        <v>0</v>
      </c>
      <c r="Z226" s="4">
        <f>IF($B$224=0,0,IF(Z$2&gt;=$A226,IF(Z$2=$A226,($B226/$B$224)*$B$221,IF(Z$2&lt;=$A226+$B$224-1,$B226/$B$224,$B226-SUM($C226:Y226))),0))</f>
        <v>0</v>
      </c>
      <c r="AA226" s="4">
        <f>IF($B$224=0,0,IF(AA$2&gt;=$A226,IF(AA$2=$A226,($B226/$B$224)*$B$221,IF(AA$2&lt;=$A226+$B$224-1,$B226/$B$224,$B226-SUM($C226:Z226))),0))</f>
        <v>0</v>
      </c>
      <c r="AB226" s="4">
        <f>IF($B$224=0,0,IF(AB$2&gt;=$A226,IF(AB$2=$A226,($B226/$B$224)*$B$221,IF(AB$2&lt;=$A226+$B$224-1,$B226/$B$224,$B226-SUM($C226:AA226))),0))</f>
        <v>0</v>
      </c>
      <c r="AC226" s="4">
        <f>IF($B$224=0,0,IF(AC$2&gt;=$A226,IF(AC$2=$A226,($B226/$B$224)*$B$221,IF(AC$2&lt;=$A226+$B$224-1,$B226/$B$224,$B226-SUM($C226:AB226))),0))</f>
        <v>0</v>
      </c>
      <c r="AD226" s="4">
        <f>IF($B$224=0,0,IF(AD$2&gt;=$A226,IF(AD$2=$A226,($B226/$B$224)*$B$221,IF(AD$2&lt;=$A226+$B$224-1,$B226/$B$224,$B226-SUM($C226:AC226))),0))</f>
        <v>0</v>
      </c>
      <c r="AE226" s="4">
        <f>IF($B$224=0,0,IF(AE$2&gt;=$A226,IF(AE$2=$A226,($B226/$B$224)*$B$221,IF(AE$2&lt;=$A226+$B$224-1,$B226/$B$224,$B226-SUM($C226:AD226))),0))</f>
        <v>0</v>
      </c>
      <c r="AF226" s="4">
        <f>IF($B$224=0,0,IF(AF$2&gt;=$A226,IF(AF$2=$A226,($B226/$B$224)*$B$221,IF(AF$2&lt;=$A226+$B$224-1,$B226/$B$224,$B226-SUM($C226:AE226))),0))</f>
        <v>0</v>
      </c>
      <c r="AG226" s="4">
        <f t="shared" si="172"/>
        <v>0</v>
      </c>
    </row>
    <row r="227" spans="1:33">
      <c r="A227" s="6">
        <f t="shared" ref="A227:A254" si="173">+A226+1</f>
        <v>2024</v>
      </c>
      <c r="B227" s="4">
        <f t="shared" si="171"/>
        <v>0</v>
      </c>
      <c r="C227" s="4">
        <f>IF($B$224=0,0,IF(C$2&gt;=$A227,IF(C$2=$A227,($B227/$B$224)*$B$221,IF(C$2&lt;=$A227+$B$224-1,$B227/$B$224,$B227-SUM(B227:$C227))),0))</f>
        <v>0</v>
      </c>
      <c r="D227" s="4">
        <f>IF($B$224=0,0,IF(D$2&gt;=$A227,IF(D$2=$A227,($B227/$B$224)*$B$221,IF(D$2&lt;=$A227+$B$224-1,$B227/$B$224,$B227-SUM(C227:$C227))),0))</f>
        <v>0</v>
      </c>
      <c r="E227" s="4">
        <f>IF($B$224=0,0,IF(E$2&gt;=$A227,IF(E$2=$A227,($B227/$B$224)*$B$221,IF(E$2&lt;=$A227+$B$224-1,$B227/$B$224,$B227-SUM($C227:D227))),0))</f>
        <v>0</v>
      </c>
      <c r="F227" s="4">
        <f>IF($B$224=0,0,IF(F$2&gt;=$A227,IF(F$2=$A227,($B227/$B$224)*$B$221,IF(F$2&lt;=$A227+$B$224-1,$B227/$B$224,$B227-SUM($C227:E227))),0))</f>
        <v>0</v>
      </c>
      <c r="G227" s="4">
        <f>IF($B$224=0,0,IF(G$2&gt;=$A227,IF(G$2=$A227,($B227/$B$224)*$B$221,IF(G$2&lt;=$A227+$B$224-1,$B227/$B$224,$B227-SUM($C227:F227))),0))</f>
        <v>0</v>
      </c>
      <c r="H227" s="4">
        <f>IF($B$224=0,0,IF(H$2&gt;=$A227,IF(H$2=$A227,($B227/$B$224)*$B$221,IF(H$2&lt;=$A227+$B$224-1,$B227/$B$224,$B227-SUM($C227:G227))),0))</f>
        <v>0</v>
      </c>
      <c r="I227" s="4">
        <f>IF($B$224=0,0,IF(I$2&gt;=$A227,IF(I$2=$A227,($B227/$B$224)*$B$221,IF(I$2&lt;=$A227+$B$224-1,$B227/$B$224,$B227-SUM($C227:H227))),0))</f>
        <v>0</v>
      </c>
      <c r="J227" s="4">
        <f>IF($B$224=0,0,IF(J$2&gt;=$A227,IF(J$2=$A227,($B227/$B$224)*$B$221,IF(J$2&lt;=$A227+$B$224-1,$B227/$B$224,$B227-SUM($C227:I227))),0))</f>
        <v>0</v>
      </c>
      <c r="K227" s="4">
        <f>IF($B$224=0,0,IF(K$2&gt;=$A227,IF(K$2=$A227,($B227/$B$224)*$B$221,IF(K$2&lt;=$A227+$B$224-1,$B227/$B$224,$B227-SUM($C227:J227))),0))</f>
        <v>0</v>
      </c>
      <c r="L227" s="4">
        <f>IF($B$224=0,0,IF(L$2&gt;=$A227,IF(L$2=$A227,($B227/$B$224)*$B$221,IF(L$2&lt;=$A227+$B$224-1,$B227/$B$224,$B227-SUM($C227:K227))),0))</f>
        <v>0</v>
      </c>
      <c r="M227" s="4">
        <f>IF($B$224=0,0,IF(M$2&gt;=$A227,IF(M$2=$A227,($B227/$B$224)*$B$221,IF(M$2&lt;=$A227+$B$224-1,$B227/$B$224,$B227-SUM($C227:L227))),0))</f>
        <v>0</v>
      </c>
      <c r="N227" s="4">
        <f>IF($B$224=0,0,IF(N$2&gt;=$A227,IF(N$2=$A227,($B227/$B$224)*$B$221,IF(N$2&lt;=$A227+$B$224-1,$B227/$B$224,$B227-SUM($C227:M227))),0))</f>
        <v>0</v>
      </c>
      <c r="O227" s="4">
        <f>IF($B$224=0,0,IF(O$2&gt;=$A227,IF(O$2=$A227,($B227/$B$224)*$B$221,IF(O$2&lt;=$A227+$B$224-1,$B227/$B$224,$B227-SUM($C227:N227))),0))</f>
        <v>0</v>
      </c>
      <c r="P227" s="4">
        <f>IF($B$224=0,0,IF(P$2&gt;=$A227,IF(P$2=$A227,($B227/$B$224)*$B$221,IF(P$2&lt;=$A227+$B$224-1,$B227/$B$224,$B227-SUM($C227:O227))),0))</f>
        <v>0</v>
      </c>
      <c r="Q227" s="4">
        <f>IF($B$224=0,0,IF(Q$2&gt;=$A227,IF(Q$2=$A227,($B227/$B$224)*$B$221,IF(Q$2&lt;=$A227+$B$224-1,$B227/$B$224,$B227-SUM($C227:P227))),0))</f>
        <v>0</v>
      </c>
      <c r="R227" s="4">
        <f>IF($B$224=0,0,IF(R$2&gt;=$A227,IF(R$2=$A227,($B227/$B$224)*$B$221,IF(R$2&lt;=$A227+$B$224-1,$B227/$B$224,$B227-SUM($C227:Q227))),0))</f>
        <v>0</v>
      </c>
      <c r="S227" s="4">
        <f>IF($B$224=0,0,IF(S$2&gt;=$A227,IF(S$2=$A227,($B227/$B$224)*$B$221,IF(S$2&lt;=$A227+$B$224-1,$B227/$B$224,$B227-SUM($C227:R227))),0))</f>
        <v>0</v>
      </c>
      <c r="T227" s="4">
        <f>IF($B$224=0,0,IF(T$2&gt;=$A227,IF(T$2=$A227,($B227/$B$224)*$B$221,IF(T$2&lt;=$A227+$B$224-1,$B227/$B$224,$B227-SUM($C227:S227))),0))</f>
        <v>0</v>
      </c>
      <c r="U227" s="4">
        <f>IF($B$224=0,0,IF(U$2&gt;=$A227,IF(U$2=$A227,($B227/$B$224)*$B$221,IF(U$2&lt;=$A227+$B$224-1,$B227/$B$224,$B227-SUM($C227:T227))),0))</f>
        <v>0</v>
      </c>
      <c r="V227" s="4">
        <f>IF($B$224=0,0,IF(V$2&gt;=$A227,IF(V$2=$A227,($B227/$B$224)*$B$221,IF(V$2&lt;=$A227+$B$224-1,$B227/$B$224,$B227-SUM($C227:U227))),0))</f>
        <v>0</v>
      </c>
      <c r="W227" s="4">
        <f>IF($B$224=0,0,IF(W$2&gt;=$A227,IF(W$2=$A227,($B227/$B$224)*$B$221,IF(W$2&lt;=$A227+$B$224-1,$B227/$B$224,$B227-SUM($C227:V227))),0))</f>
        <v>0</v>
      </c>
      <c r="X227" s="4">
        <f>IF($B$224=0,0,IF(X$2&gt;=$A227,IF(X$2=$A227,($B227/$B$224)*$B$221,IF(X$2&lt;=$A227+$B$224-1,$B227/$B$224,$B227-SUM($C227:W227))),0))</f>
        <v>0</v>
      </c>
      <c r="Y227" s="4">
        <f>IF($B$224=0,0,IF(Y$2&gt;=$A227,IF(Y$2=$A227,($B227/$B$224)*$B$221,IF(Y$2&lt;=$A227+$B$224-1,$B227/$B$224,$B227-SUM($C227:X227))),0))</f>
        <v>0</v>
      </c>
      <c r="Z227" s="4">
        <f>IF($B$224=0,0,IF(Z$2&gt;=$A227,IF(Z$2=$A227,($B227/$B$224)*$B$221,IF(Z$2&lt;=$A227+$B$224-1,$B227/$B$224,$B227-SUM($C227:Y227))),0))</f>
        <v>0</v>
      </c>
      <c r="AA227" s="4">
        <f>IF($B$224=0,0,IF(AA$2&gt;=$A227,IF(AA$2=$A227,($B227/$B$224)*$B$221,IF(AA$2&lt;=$A227+$B$224-1,$B227/$B$224,$B227-SUM($C227:Z227))),0))</f>
        <v>0</v>
      </c>
      <c r="AB227" s="4">
        <f>IF($B$224=0,0,IF(AB$2&gt;=$A227,IF(AB$2=$A227,($B227/$B$224)*$B$221,IF(AB$2&lt;=$A227+$B$224-1,$B227/$B$224,$B227-SUM($C227:AA227))),0))</f>
        <v>0</v>
      </c>
      <c r="AC227" s="4">
        <f>IF($B$224=0,0,IF(AC$2&gt;=$A227,IF(AC$2=$A227,($B227/$B$224)*$B$221,IF(AC$2&lt;=$A227+$B$224-1,$B227/$B$224,$B227-SUM($C227:AB227))),0))</f>
        <v>0</v>
      </c>
      <c r="AD227" s="4">
        <f>IF($B$224=0,0,IF(AD$2&gt;=$A227,IF(AD$2=$A227,($B227/$B$224)*$B$221,IF(AD$2&lt;=$A227+$B$224-1,$B227/$B$224,$B227-SUM($C227:AC227))),0))</f>
        <v>0</v>
      </c>
      <c r="AE227" s="4">
        <f>IF($B$224=0,0,IF(AE$2&gt;=$A227,IF(AE$2=$A227,($B227/$B$224)*$B$221,IF(AE$2&lt;=$A227+$B$224-1,$B227/$B$224,$B227-SUM($C227:AD227))),0))</f>
        <v>0</v>
      </c>
      <c r="AF227" s="4">
        <f>IF($B$224=0,0,IF(AF$2&gt;=$A227,IF(AF$2=$A227,($B227/$B$224)*$B$221,IF(AF$2&lt;=$A227+$B$224-1,$B227/$B$224,$B227-SUM($C227:AE227))),0))</f>
        <v>0</v>
      </c>
      <c r="AG227" s="4">
        <f t="shared" si="172"/>
        <v>0</v>
      </c>
    </row>
    <row r="228" spans="1:33">
      <c r="A228" s="6">
        <f t="shared" si="173"/>
        <v>2025</v>
      </c>
      <c r="B228" s="4">
        <f t="shared" si="171"/>
        <v>9701578.8821190707</v>
      </c>
      <c r="C228" s="4">
        <f>IF($B$224=0,0,IF(C$2&gt;=$A228,IF(C$2=$A228,($B228/$B$224)*$B$221,IF(C$2&lt;=$A228+$B$224-1,$B228/$B$224,$B228-SUM(B228:$C228))),0))</f>
        <v>0</v>
      </c>
      <c r="D228" s="4">
        <f>IF($B$224=0,0,IF(D$2&gt;=$A228,IF(D$2=$A228,($B228/$B$224)*$B$221,IF(D$2&lt;=$A228+$B$224-1,$B228/$B$224,$B228-SUM(C228:$C228))),0))</f>
        <v>0</v>
      </c>
      <c r="E228" s="4">
        <f>IF($B$224=0,0,IF(E$2&gt;=$A228,IF(E$2=$A228,($B228/$B$224)*$B$221,IF(E$2&lt;=$A228+$B$224-1,$B228/$B$224,$B228-SUM($C228:D228))),0))</f>
        <v>0</v>
      </c>
      <c r="F228" s="4">
        <f>IF($B$224=0,0,IF(F$2&gt;=$A228,IF(F$2=$A228,($B228/$B$224)*$B$221,IF(F$2&lt;=$A228+$B$224-1,$B228/$B$224,$B228-SUM($C228:E228))),0))</f>
        <v>80846.490684325589</v>
      </c>
      <c r="G228" s="4">
        <f>IF($B$224=0,0,IF(G$2&gt;=$A228,IF(G$2=$A228,($B228/$B$224)*$B$221,IF(G$2&lt;=$A228+$B$224-1,$B228/$B$224,$B228-SUM($C228:F228))),0))</f>
        <v>161692.98136865118</v>
      </c>
      <c r="H228" s="4">
        <f>IF($B$224=0,0,IF(H$2&gt;=$A228,IF(H$2=$A228,($B228/$B$224)*$B$221,IF(H$2&lt;=$A228+$B$224-1,$B228/$B$224,$B228-SUM($C228:G228))),0))</f>
        <v>161692.98136865118</v>
      </c>
      <c r="I228" s="4">
        <f>IF($B$224=0,0,IF(I$2&gt;=$A228,IF(I$2=$A228,($B228/$B$224)*$B$221,IF(I$2&lt;=$A228+$B$224-1,$B228/$B$224,$B228-SUM($C228:H228))),0))</f>
        <v>161692.98136865118</v>
      </c>
      <c r="J228" s="4">
        <f>IF($B$224=0,0,IF(J$2&gt;=$A228,IF(J$2=$A228,($B228/$B$224)*$B$221,IF(J$2&lt;=$A228+$B$224-1,$B228/$B$224,$B228-SUM($C228:I228))),0))</f>
        <v>161692.98136865118</v>
      </c>
      <c r="K228" s="4">
        <f>IF($B$224=0,0,IF(K$2&gt;=$A228,IF(K$2=$A228,($B228/$B$224)*$B$221,IF(K$2&lt;=$A228+$B$224-1,$B228/$B$224,$B228-SUM($C228:J228))),0))</f>
        <v>161692.98136865118</v>
      </c>
      <c r="L228" s="4">
        <f>IF($B$224=0,0,IF(L$2&gt;=$A228,IF(L$2=$A228,($B228/$B$224)*$B$221,IF(L$2&lt;=$A228+$B$224-1,$B228/$B$224,$B228-SUM($C228:K228))),0))</f>
        <v>161692.98136865118</v>
      </c>
      <c r="M228" s="4">
        <f>IF($B$224=0,0,IF(M$2&gt;=$A228,IF(M$2=$A228,($B228/$B$224)*$B$221,IF(M$2&lt;=$A228+$B$224-1,$B228/$B$224,$B228-SUM($C228:L228))),0))</f>
        <v>161692.98136865118</v>
      </c>
      <c r="N228" s="4">
        <f>IF($B$224=0,0,IF(N$2&gt;=$A228,IF(N$2=$A228,($B228/$B$224)*$B$221,IF(N$2&lt;=$A228+$B$224-1,$B228/$B$224,$B228-SUM($C228:M228))),0))</f>
        <v>161692.98136865118</v>
      </c>
      <c r="O228" s="4">
        <f>IF($B$224=0,0,IF(O$2&gt;=$A228,IF(O$2=$A228,($B228/$B$224)*$B$221,IF(O$2&lt;=$A228+$B$224-1,$B228/$B$224,$B228-SUM($C228:N228))),0))</f>
        <v>161692.98136865118</v>
      </c>
      <c r="P228" s="4">
        <f>IF($B$224=0,0,IF(P$2&gt;=$A228,IF(P$2=$A228,($B228/$B$224)*$B$221,IF(P$2&lt;=$A228+$B$224-1,$B228/$B$224,$B228-SUM($C228:O228))),0))</f>
        <v>161692.98136865118</v>
      </c>
      <c r="Q228" s="4">
        <f>IF($B$224=0,0,IF(Q$2&gt;=$A228,IF(Q$2=$A228,($B228/$B$224)*$B$221,IF(Q$2&lt;=$A228+$B$224-1,$B228/$B$224,$B228-SUM($C228:P228))),0))</f>
        <v>161692.98136865118</v>
      </c>
      <c r="R228" s="4">
        <f>IF($B$224=0,0,IF(R$2&gt;=$A228,IF(R$2=$A228,($B228/$B$224)*$B$221,IF(R$2&lt;=$A228+$B$224-1,$B228/$B$224,$B228-SUM($C228:Q228))),0))</f>
        <v>161692.98136865118</v>
      </c>
      <c r="S228" s="4">
        <f>IF($B$224=0,0,IF(S$2&gt;=$A228,IF(S$2=$A228,($B228/$B$224)*$B$221,IF(S$2&lt;=$A228+$B$224-1,$B228/$B$224,$B228-SUM($C228:R228))),0))</f>
        <v>161692.98136865118</v>
      </c>
      <c r="T228" s="4">
        <f>IF($B$224=0,0,IF(T$2&gt;=$A228,IF(T$2=$A228,($B228/$B$224)*$B$221,IF(T$2&lt;=$A228+$B$224-1,$B228/$B$224,$B228-SUM($C228:S228))),0))</f>
        <v>161692.98136865118</v>
      </c>
      <c r="U228" s="4">
        <f>IF($B$224=0,0,IF(U$2&gt;=$A228,IF(U$2=$A228,($B228/$B$224)*$B$221,IF(U$2&lt;=$A228+$B$224-1,$B228/$B$224,$B228-SUM($C228:T228))),0))</f>
        <v>161692.98136865118</v>
      </c>
      <c r="V228" s="4">
        <f>IF($B$224=0,0,IF(V$2&gt;=$A228,IF(V$2=$A228,($B228/$B$224)*$B$221,IF(V$2&lt;=$A228+$B$224-1,$B228/$B$224,$B228-SUM($C228:U228))),0))</f>
        <v>161692.98136865118</v>
      </c>
      <c r="W228" s="4">
        <f>IF($B$224=0,0,IF(W$2&gt;=$A228,IF(W$2=$A228,($B228/$B$224)*$B$221,IF(W$2&lt;=$A228+$B$224-1,$B228/$B$224,$B228-SUM($C228:V228))),0))</f>
        <v>161692.98136865118</v>
      </c>
      <c r="X228" s="4">
        <f>IF($B$224=0,0,IF(X$2&gt;=$A228,IF(X$2=$A228,($B228/$B$224)*$B$221,IF(X$2&lt;=$A228+$B$224-1,$B228/$B$224,$B228-SUM($C228:W228))),0))</f>
        <v>161692.98136865118</v>
      </c>
      <c r="Y228" s="4">
        <f>IF($B$224=0,0,IF(Y$2&gt;=$A228,IF(Y$2=$A228,($B228/$B$224)*$B$221,IF(Y$2&lt;=$A228+$B$224-1,$B228/$B$224,$B228-SUM($C228:X228))),0))</f>
        <v>161692.98136865118</v>
      </c>
      <c r="Z228" s="4">
        <f>IF($B$224=0,0,IF(Z$2&gt;=$A228,IF(Z$2=$A228,($B228/$B$224)*$B$221,IF(Z$2&lt;=$A228+$B$224-1,$B228/$B$224,$B228-SUM($C228:Y228))),0))</f>
        <v>161692.98136865118</v>
      </c>
      <c r="AA228" s="4">
        <f>IF($B$224=0,0,IF(AA$2&gt;=$A228,IF(AA$2=$A228,($B228/$B$224)*$B$221,IF(AA$2&lt;=$A228+$B$224-1,$B228/$B$224,$B228-SUM($C228:Z228))),0))</f>
        <v>161692.98136865118</v>
      </c>
      <c r="AB228" s="4">
        <f>IF($B$224=0,0,IF(AB$2&gt;=$A228,IF(AB$2=$A228,($B228/$B$224)*$B$221,IF(AB$2&lt;=$A228+$B$224-1,$B228/$B$224,$B228-SUM($C228:AA228))),0))</f>
        <v>161692.98136865118</v>
      </c>
      <c r="AC228" s="4">
        <f>IF($B$224=0,0,IF(AC$2&gt;=$A228,IF(AC$2=$A228,($B228/$B$224)*$B$221,IF(AC$2&lt;=$A228+$B$224-1,$B228/$B$224,$B228-SUM($C228:AB228))),0))</f>
        <v>161692.98136865118</v>
      </c>
      <c r="AD228" s="4">
        <f>IF($B$224=0,0,IF(AD$2&gt;=$A228,IF(AD$2=$A228,($B228/$B$224)*$B$221,IF(AD$2&lt;=$A228+$B$224-1,$B228/$B$224,$B228-SUM($C228:AC228))),0))</f>
        <v>161692.98136865118</v>
      </c>
      <c r="AE228" s="4">
        <f>IF($B$224=0,0,IF(AE$2&gt;=$A228,IF(AE$2=$A228,($B228/$B$224)*$B$221,IF(AE$2&lt;=$A228+$B$224-1,$B228/$B$224,$B228-SUM($C228:AD228))),0))</f>
        <v>161692.98136865118</v>
      </c>
      <c r="AF228" s="4">
        <f>IF($B$224=0,0,IF(AF$2&gt;=$A228,IF(AF$2=$A228,($B228/$B$224)*$B$221,IF(AF$2&lt;=$A228+$B$224-1,$B228/$B$224,$B228-SUM($C228:AE228))),0))</f>
        <v>161692.98136865118</v>
      </c>
      <c r="AG228" s="4">
        <f t="shared" si="172"/>
        <v>4284864.0062692557</v>
      </c>
    </row>
    <row r="229" spans="1:33">
      <c r="A229" s="6">
        <f t="shared" si="173"/>
        <v>2026</v>
      </c>
      <c r="B229" s="4">
        <f t="shared" si="171"/>
        <v>0</v>
      </c>
      <c r="C229" s="4">
        <f>IF($B$224=0,0,IF(C$2&gt;=$A229,IF(C$2=$A229,($B229/$B$224)*$B$221,IF(C$2&lt;=$A229+$B$224-1,$B229/$B$224,$B229-SUM(B229:$C229))),0))</f>
        <v>0</v>
      </c>
      <c r="D229" s="4">
        <f>IF($B$224=0,0,IF(D$2&gt;=$A229,IF(D$2=$A229,($B229/$B$224)*$B$221,IF(D$2&lt;=$A229+$B$224-1,$B229/$B$224,$B229-SUM(C229:$C229))),0))</f>
        <v>0</v>
      </c>
      <c r="E229" s="4">
        <f>IF($B$224=0,0,IF(E$2&gt;=$A229,IF(E$2=$A229,($B229/$B$224)*$B$221,IF(E$2&lt;=$A229+$B$224-1,$B229/$B$224,$B229-SUM($C229:D229))),0))</f>
        <v>0</v>
      </c>
      <c r="F229" s="4">
        <f>IF($B$224=0,0,IF(F$2&gt;=$A229,IF(F$2=$A229,($B229/$B$224)*$B$221,IF(F$2&lt;=$A229+$B$224-1,$B229/$B$224,$B229-SUM($C229:E229))),0))</f>
        <v>0</v>
      </c>
      <c r="G229" s="4">
        <f>IF($B$224=0,0,IF(G$2&gt;=$A229,IF(G$2=$A229,($B229/$B$224)*$B$221,IF(G$2&lt;=$A229+$B$224-1,$B229/$B$224,$B229-SUM($C229:F229))),0))</f>
        <v>0</v>
      </c>
      <c r="H229" s="4">
        <f>IF($B$224=0,0,IF(H$2&gt;=$A229,IF(H$2=$A229,($B229/$B$224)*$B$221,IF(H$2&lt;=$A229+$B$224-1,$B229/$B$224,$B229-SUM($C229:G229))),0))</f>
        <v>0</v>
      </c>
      <c r="I229" s="4">
        <f>IF($B$224=0,0,IF(I$2&gt;=$A229,IF(I$2=$A229,($B229/$B$224)*$B$221,IF(I$2&lt;=$A229+$B$224-1,$B229/$B$224,$B229-SUM($C229:H229))),0))</f>
        <v>0</v>
      </c>
      <c r="J229" s="4">
        <f>IF($B$224=0,0,IF(J$2&gt;=$A229,IF(J$2=$A229,($B229/$B$224)*$B$221,IF(J$2&lt;=$A229+$B$224-1,$B229/$B$224,$B229-SUM($C229:I229))),0))</f>
        <v>0</v>
      </c>
      <c r="K229" s="4">
        <f>IF($B$224=0,0,IF(K$2&gt;=$A229,IF(K$2=$A229,($B229/$B$224)*$B$221,IF(K$2&lt;=$A229+$B$224-1,$B229/$B$224,$B229-SUM($C229:J229))),0))</f>
        <v>0</v>
      </c>
      <c r="L229" s="4">
        <f>IF($B$224=0,0,IF(L$2&gt;=$A229,IF(L$2=$A229,($B229/$B$224)*$B$221,IF(L$2&lt;=$A229+$B$224-1,$B229/$B$224,$B229-SUM($C229:K229))),0))</f>
        <v>0</v>
      </c>
      <c r="M229" s="4">
        <f>IF($B$224=0,0,IF(M$2&gt;=$A229,IF(M$2=$A229,($B229/$B$224)*$B$221,IF(M$2&lt;=$A229+$B$224-1,$B229/$B$224,$B229-SUM($C229:L229))),0))</f>
        <v>0</v>
      </c>
      <c r="N229" s="4">
        <f>IF($B$224=0,0,IF(N$2&gt;=$A229,IF(N$2=$A229,($B229/$B$224)*$B$221,IF(N$2&lt;=$A229+$B$224-1,$B229/$B$224,$B229-SUM($C229:M229))),0))</f>
        <v>0</v>
      </c>
      <c r="O229" s="4">
        <f>IF($B$224=0,0,IF(O$2&gt;=$A229,IF(O$2=$A229,($B229/$B$224)*$B$221,IF(O$2&lt;=$A229+$B$224-1,$B229/$B$224,$B229-SUM($C229:N229))),0))</f>
        <v>0</v>
      </c>
      <c r="P229" s="4">
        <f>IF($B$224=0,0,IF(P$2&gt;=$A229,IF(P$2=$A229,($B229/$B$224)*$B$221,IF(P$2&lt;=$A229+$B$224-1,$B229/$B$224,$B229-SUM($C229:O229))),0))</f>
        <v>0</v>
      </c>
      <c r="Q229" s="4">
        <f>IF($B$224=0,0,IF(Q$2&gt;=$A229,IF(Q$2=$A229,($B229/$B$224)*$B$221,IF(Q$2&lt;=$A229+$B$224-1,$B229/$B$224,$B229-SUM($C229:P229))),0))</f>
        <v>0</v>
      </c>
      <c r="R229" s="4">
        <f>IF($B$224=0,0,IF(R$2&gt;=$A229,IF(R$2=$A229,($B229/$B$224)*$B$221,IF(R$2&lt;=$A229+$B$224-1,$B229/$B$224,$B229-SUM($C229:Q229))),0))</f>
        <v>0</v>
      </c>
      <c r="S229" s="4">
        <f>IF($B$224=0,0,IF(S$2&gt;=$A229,IF(S$2=$A229,($B229/$B$224)*$B$221,IF(S$2&lt;=$A229+$B$224-1,$B229/$B$224,$B229-SUM($C229:R229))),0))</f>
        <v>0</v>
      </c>
      <c r="T229" s="4">
        <f>IF($B$224=0,0,IF(T$2&gt;=$A229,IF(T$2=$A229,($B229/$B$224)*$B$221,IF(T$2&lt;=$A229+$B$224-1,$B229/$B$224,$B229-SUM($C229:S229))),0))</f>
        <v>0</v>
      </c>
      <c r="U229" s="4">
        <f>IF($B$224=0,0,IF(U$2&gt;=$A229,IF(U$2=$A229,($B229/$B$224)*$B$221,IF(U$2&lt;=$A229+$B$224-1,$B229/$B$224,$B229-SUM($C229:T229))),0))</f>
        <v>0</v>
      </c>
      <c r="V229" s="4">
        <f>IF($B$224=0,0,IF(V$2&gt;=$A229,IF(V$2=$A229,($B229/$B$224)*$B$221,IF(V$2&lt;=$A229+$B$224-1,$B229/$B$224,$B229-SUM($C229:U229))),0))</f>
        <v>0</v>
      </c>
      <c r="W229" s="4">
        <f>IF($B$224=0,0,IF(W$2&gt;=$A229,IF(W$2=$A229,($B229/$B$224)*$B$221,IF(W$2&lt;=$A229+$B$224-1,$B229/$B$224,$B229-SUM($C229:V229))),0))</f>
        <v>0</v>
      </c>
      <c r="X229" s="4">
        <f>IF($B$224=0,0,IF(X$2&gt;=$A229,IF(X$2=$A229,($B229/$B$224)*$B$221,IF(X$2&lt;=$A229+$B$224-1,$B229/$B$224,$B229-SUM($C229:W229))),0))</f>
        <v>0</v>
      </c>
      <c r="Y229" s="4">
        <f>IF($B$224=0,0,IF(Y$2&gt;=$A229,IF(Y$2=$A229,($B229/$B$224)*$B$221,IF(Y$2&lt;=$A229+$B$224-1,$B229/$B$224,$B229-SUM($C229:X229))),0))</f>
        <v>0</v>
      </c>
      <c r="Z229" s="4">
        <f>IF($B$224=0,0,IF(Z$2&gt;=$A229,IF(Z$2=$A229,($B229/$B$224)*$B$221,IF(Z$2&lt;=$A229+$B$224-1,$B229/$B$224,$B229-SUM($C229:Y229))),0))</f>
        <v>0</v>
      </c>
      <c r="AA229" s="4">
        <f>IF($B$224=0,0,IF(AA$2&gt;=$A229,IF(AA$2=$A229,($B229/$B$224)*$B$221,IF(AA$2&lt;=$A229+$B$224-1,$B229/$B$224,$B229-SUM($C229:Z229))),0))</f>
        <v>0</v>
      </c>
      <c r="AB229" s="4">
        <f>IF($B$224=0,0,IF(AB$2&gt;=$A229,IF(AB$2=$A229,($B229/$B$224)*$B$221,IF(AB$2&lt;=$A229+$B$224-1,$B229/$B$224,$B229-SUM($C229:AA229))),0))</f>
        <v>0</v>
      </c>
      <c r="AC229" s="4">
        <f>IF($B$224=0,0,IF(AC$2&gt;=$A229,IF(AC$2=$A229,($B229/$B$224)*$B$221,IF(AC$2&lt;=$A229+$B$224-1,$B229/$B$224,$B229-SUM($C229:AB229))),0))</f>
        <v>0</v>
      </c>
      <c r="AD229" s="4">
        <f>IF($B$224=0,0,IF(AD$2&gt;=$A229,IF(AD$2=$A229,($B229/$B$224)*$B$221,IF(AD$2&lt;=$A229+$B$224-1,$B229/$B$224,$B229-SUM($C229:AC229))),0))</f>
        <v>0</v>
      </c>
      <c r="AE229" s="4">
        <f>IF($B$224=0,0,IF(AE$2&gt;=$A229,IF(AE$2=$A229,($B229/$B$224)*$B$221,IF(AE$2&lt;=$A229+$B$224-1,$B229/$B$224,$B229-SUM($C229:AD229))),0))</f>
        <v>0</v>
      </c>
      <c r="AF229" s="4">
        <f>IF($B$224=0,0,IF(AF$2&gt;=$A229,IF(AF$2=$A229,($B229/$B$224)*$B$221,IF(AF$2&lt;=$A229+$B$224-1,$B229/$B$224,$B229-SUM($C229:AE229))),0))</f>
        <v>0</v>
      </c>
      <c r="AG229" s="4">
        <f t="shared" si="172"/>
        <v>0</v>
      </c>
    </row>
    <row r="230" spans="1:33">
      <c r="A230" s="6">
        <f t="shared" si="173"/>
        <v>2027</v>
      </c>
      <c r="B230" s="4">
        <f t="shared" si="171"/>
        <v>0</v>
      </c>
      <c r="C230" s="4">
        <f>IF($B$224=0,0,IF(C$2&gt;=$A230,IF(C$2=$A230,($B230/$B$224)*$B$221,IF(C$2&lt;=$A230+$B$224-1,$B230/$B$224,$B230-SUM(B230:$C230))),0))</f>
        <v>0</v>
      </c>
      <c r="D230" s="4">
        <f>IF($B$224=0,0,IF(D$2&gt;=$A230,IF(D$2=$A230,($B230/$B$224)*$B$221,IF(D$2&lt;=$A230+$B$224-1,$B230/$B$224,$B230-SUM(C230:$C230))),0))</f>
        <v>0</v>
      </c>
      <c r="E230" s="4">
        <f>IF($B$224=0,0,IF(E$2&gt;=$A230,IF(E$2=$A230,($B230/$B$224)*$B$221,IF(E$2&lt;=$A230+$B$224-1,$B230/$B$224,$B230-SUM($C230:D230))),0))</f>
        <v>0</v>
      </c>
      <c r="F230" s="4">
        <f>IF($B$224=0,0,IF(F$2&gt;=$A230,IF(F$2=$A230,($B230/$B$224)*$B$221,IF(F$2&lt;=$A230+$B$224-1,$B230/$B$224,$B230-SUM($C230:E230))),0))</f>
        <v>0</v>
      </c>
      <c r="G230" s="4">
        <f>IF($B$224=0,0,IF(G$2&gt;=$A230,IF(G$2=$A230,($B230/$B$224)*$B$221,IF(G$2&lt;=$A230+$B$224-1,$B230/$B$224,$B230-SUM($C230:F230))),0))</f>
        <v>0</v>
      </c>
      <c r="H230" s="4">
        <f>IF($B$224=0,0,IF(H$2&gt;=$A230,IF(H$2=$A230,($B230/$B$224)*$B$221,IF(H$2&lt;=$A230+$B$224-1,$B230/$B$224,$B230-SUM($C230:G230))),0))</f>
        <v>0</v>
      </c>
      <c r="I230" s="4">
        <f>IF($B$224=0,0,IF(I$2&gt;=$A230,IF(I$2=$A230,($B230/$B$224)*$B$221,IF(I$2&lt;=$A230+$B$224-1,$B230/$B$224,$B230-SUM($C230:H230))),0))</f>
        <v>0</v>
      </c>
      <c r="J230" s="4">
        <f>IF($B$224=0,0,IF(J$2&gt;=$A230,IF(J$2=$A230,($B230/$B$224)*$B$221,IF(J$2&lt;=$A230+$B$224-1,$B230/$B$224,$B230-SUM($C230:I230))),0))</f>
        <v>0</v>
      </c>
      <c r="K230" s="4">
        <f>IF($B$224=0,0,IF(K$2&gt;=$A230,IF(K$2=$A230,($B230/$B$224)*$B$221,IF(K$2&lt;=$A230+$B$224-1,$B230/$B$224,$B230-SUM($C230:J230))),0))</f>
        <v>0</v>
      </c>
      <c r="L230" s="4">
        <f>IF($B$224=0,0,IF(L$2&gt;=$A230,IF(L$2=$A230,($B230/$B$224)*$B$221,IF(L$2&lt;=$A230+$B$224-1,$B230/$B$224,$B230-SUM($C230:K230))),0))</f>
        <v>0</v>
      </c>
      <c r="M230" s="4">
        <f>IF($B$224=0,0,IF(M$2&gt;=$A230,IF(M$2=$A230,($B230/$B$224)*$B$221,IF(M$2&lt;=$A230+$B$224-1,$B230/$B$224,$B230-SUM($C230:L230))),0))</f>
        <v>0</v>
      </c>
      <c r="N230" s="4">
        <f>IF($B$224=0,0,IF(N$2&gt;=$A230,IF(N$2=$A230,($B230/$B$224)*$B$221,IF(N$2&lt;=$A230+$B$224-1,$B230/$B$224,$B230-SUM($C230:M230))),0))</f>
        <v>0</v>
      </c>
      <c r="O230" s="4">
        <f>IF($B$224=0,0,IF(O$2&gt;=$A230,IF(O$2=$A230,($B230/$B$224)*$B$221,IF(O$2&lt;=$A230+$B$224-1,$B230/$B$224,$B230-SUM($C230:N230))),0))</f>
        <v>0</v>
      </c>
      <c r="P230" s="4">
        <f>IF($B$224=0,0,IF(P$2&gt;=$A230,IF(P$2=$A230,($B230/$B$224)*$B$221,IF(P$2&lt;=$A230+$B$224-1,$B230/$B$224,$B230-SUM($C230:O230))),0))</f>
        <v>0</v>
      </c>
      <c r="Q230" s="4">
        <f>IF($B$224=0,0,IF(Q$2&gt;=$A230,IF(Q$2=$A230,($B230/$B$224)*$B$221,IF(Q$2&lt;=$A230+$B$224-1,$B230/$B$224,$B230-SUM($C230:P230))),0))</f>
        <v>0</v>
      </c>
      <c r="R230" s="4">
        <f>IF($B$224=0,0,IF(R$2&gt;=$A230,IF(R$2=$A230,($B230/$B$224)*$B$221,IF(R$2&lt;=$A230+$B$224-1,$B230/$B$224,$B230-SUM($C230:Q230))),0))</f>
        <v>0</v>
      </c>
      <c r="S230" s="4">
        <f>IF($B$224=0,0,IF(S$2&gt;=$A230,IF(S$2=$A230,($B230/$B$224)*$B$221,IF(S$2&lt;=$A230+$B$224-1,$B230/$B$224,$B230-SUM($C230:R230))),0))</f>
        <v>0</v>
      </c>
      <c r="T230" s="4">
        <f>IF($B$224=0,0,IF(T$2&gt;=$A230,IF(T$2=$A230,($B230/$B$224)*$B$221,IF(T$2&lt;=$A230+$B$224-1,$B230/$B$224,$B230-SUM($C230:S230))),0))</f>
        <v>0</v>
      </c>
      <c r="U230" s="4">
        <f>IF($B$224=0,0,IF(U$2&gt;=$A230,IF(U$2=$A230,($B230/$B$224)*$B$221,IF(U$2&lt;=$A230+$B$224-1,$B230/$B$224,$B230-SUM($C230:T230))),0))</f>
        <v>0</v>
      </c>
      <c r="V230" s="4">
        <f>IF($B$224=0,0,IF(V$2&gt;=$A230,IF(V$2=$A230,($B230/$B$224)*$B$221,IF(V$2&lt;=$A230+$B$224-1,$B230/$B$224,$B230-SUM($C230:U230))),0))</f>
        <v>0</v>
      </c>
      <c r="W230" s="4">
        <f>IF($B$224=0,0,IF(W$2&gt;=$A230,IF(W$2=$A230,($B230/$B$224)*$B$221,IF(W$2&lt;=$A230+$B$224-1,$B230/$B$224,$B230-SUM($C230:V230))),0))</f>
        <v>0</v>
      </c>
      <c r="X230" s="4">
        <f>IF($B$224=0,0,IF(X$2&gt;=$A230,IF(X$2=$A230,($B230/$B$224)*$B$221,IF(X$2&lt;=$A230+$B$224-1,$B230/$B$224,$B230-SUM($C230:W230))),0))</f>
        <v>0</v>
      </c>
      <c r="Y230" s="4">
        <f>IF($B$224=0,0,IF(Y$2&gt;=$A230,IF(Y$2=$A230,($B230/$B$224)*$B$221,IF(Y$2&lt;=$A230+$B$224-1,$B230/$B$224,$B230-SUM($C230:X230))),0))</f>
        <v>0</v>
      </c>
      <c r="Z230" s="4">
        <f>IF($B$224=0,0,IF(Z$2&gt;=$A230,IF(Z$2=$A230,($B230/$B$224)*$B$221,IF(Z$2&lt;=$A230+$B$224-1,$B230/$B$224,$B230-SUM($C230:Y230))),0))</f>
        <v>0</v>
      </c>
      <c r="AA230" s="4">
        <f>IF($B$224=0,0,IF(AA$2&gt;=$A230,IF(AA$2=$A230,($B230/$B$224)*$B$221,IF(AA$2&lt;=$A230+$B$224-1,$B230/$B$224,$B230-SUM($C230:Z230))),0))</f>
        <v>0</v>
      </c>
      <c r="AB230" s="4">
        <f>IF($B$224=0,0,IF(AB$2&gt;=$A230,IF(AB$2=$A230,($B230/$B$224)*$B$221,IF(AB$2&lt;=$A230+$B$224-1,$B230/$B$224,$B230-SUM($C230:AA230))),0))</f>
        <v>0</v>
      </c>
      <c r="AC230" s="4">
        <f>IF($B$224=0,0,IF(AC$2&gt;=$A230,IF(AC$2=$A230,($B230/$B$224)*$B$221,IF(AC$2&lt;=$A230+$B$224-1,$B230/$B$224,$B230-SUM($C230:AB230))),0))</f>
        <v>0</v>
      </c>
      <c r="AD230" s="4">
        <f>IF($B$224=0,0,IF(AD$2&gt;=$A230,IF(AD$2=$A230,($B230/$B$224)*$B$221,IF(AD$2&lt;=$A230+$B$224-1,$B230/$B$224,$B230-SUM($C230:AC230))),0))</f>
        <v>0</v>
      </c>
      <c r="AE230" s="4">
        <f>IF($B$224=0,0,IF(AE$2&gt;=$A230,IF(AE$2=$A230,($B230/$B$224)*$B$221,IF(AE$2&lt;=$A230+$B$224-1,$B230/$B$224,$B230-SUM($C230:AD230))),0))</f>
        <v>0</v>
      </c>
      <c r="AF230" s="4">
        <f>IF($B$224=0,0,IF(AF$2&gt;=$A230,IF(AF$2=$A230,($B230/$B$224)*$B$221,IF(AF$2&lt;=$A230+$B$224-1,$B230/$B$224,$B230-SUM($C230:AE230))),0))</f>
        <v>0</v>
      </c>
      <c r="AG230" s="4">
        <f t="shared" si="172"/>
        <v>0</v>
      </c>
    </row>
    <row r="231" spans="1:33">
      <c r="A231" s="6">
        <f t="shared" si="173"/>
        <v>2028</v>
      </c>
      <c r="B231" s="4">
        <f t="shared" si="171"/>
        <v>0</v>
      </c>
      <c r="C231" s="4">
        <f>IF($B$224=0,0,IF(C$2&gt;=$A231,IF(C$2=$A231,($B231/$B$224)*$B$221,IF(C$2&lt;=$A231+$B$224-1,$B231/$B$224,$B231-SUM(B231:$C231))),0))</f>
        <v>0</v>
      </c>
      <c r="D231" s="4">
        <f>IF($B$224=0,0,IF(D$2&gt;=$A231,IF(D$2=$A231,($B231/$B$224)*$B$221,IF(D$2&lt;=$A231+$B$224-1,$B231/$B$224,$B231-SUM(C231:$C231))),0))</f>
        <v>0</v>
      </c>
      <c r="E231" s="4">
        <f>IF($B$224=0,0,IF(E$2&gt;=$A231,IF(E$2=$A231,($B231/$B$224)*$B$221,IF(E$2&lt;=$A231+$B$224-1,$B231/$B$224,$B231-SUM($C231:D231))),0))</f>
        <v>0</v>
      </c>
      <c r="F231" s="4">
        <f>IF($B$224=0,0,IF(F$2&gt;=$A231,IF(F$2=$A231,($B231/$B$224)*$B$221,IF(F$2&lt;=$A231+$B$224-1,$B231/$B$224,$B231-SUM($C231:E231))),0))</f>
        <v>0</v>
      </c>
      <c r="G231" s="4">
        <f>IF($B$224=0,0,IF(G$2&gt;=$A231,IF(G$2=$A231,($B231/$B$224)*$B$221,IF(G$2&lt;=$A231+$B$224-1,$B231/$B$224,$B231-SUM($C231:F231))),0))</f>
        <v>0</v>
      </c>
      <c r="H231" s="4">
        <f>IF($B$224=0,0,IF(H$2&gt;=$A231,IF(H$2=$A231,($B231/$B$224)*$B$221,IF(H$2&lt;=$A231+$B$224-1,$B231/$B$224,$B231-SUM($C231:G231))),0))</f>
        <v>0</v>
      </c>
      <c r="I231" s="4">
        <f>IF($B$224=0,0,IF(I$2&gt;=$A231,IF(I$2=$A231,($B231/$B$224)*$B$221,IF(I$2&lt;=$A231+$B$224-1,$B231/$B$224,$B231-SUM($C231:H231))),0))</f>
        <v>0</v>
      </c>
      <c r="J231" s="4">
        <f>IF($B$224=0,0,IF(J$2&gt;=$A231,IF(J$2=$A231,($B231/$B$224)*$B$221,IF(J$2&lt;=$A231+$B$224-1,$B231/$B$224,$B231-SUM($C231:I231))),0))</f>
        <v>0</v>
      </c>
      <c r="K231" s="4">
        <f>IF($B$224=0,0,IF(K$2&gt;=$A231,IF(K$2=$A231,($B231/$B$224)*$B$221,IF(K$2&lt;=$A231+$B$224-1,$B231/$B$224,$B231-SUM($C231:J231))),0))</f>
        <v>0</v>
      </c>
      <c r="L231" s="4">
        <f>IF($B$224=0,0,IF(L$2&gt;=$A231,IF(L$2=$A231,($B231/$B$224)*$B$221,IF(L$2&lt;=$A231+$B$224-1,$B231/$B$224,$B231-SUM($C231:K231))),0))</f>
        <v>0</v>
      </c>
      <c r="M231" s="4">
        <f>IF($B$224=0,0,IF(M$2&gt;=$A231,IF(M$2=$A231,($B231/$B$224)*$B$221,IF(M$2&lt;=$A231+$B$224-1,$B231/$B$224,$B231-SUM($C231:L231))),0))</f>
        <v>0</v>
      </c>
      <c r="N231" s="4">
        <f>IF($B$224=0,0,IF(N$2&gt;=$A231,IF(N$2=$A231,($B231/$B$224)*$B$221,IF(N$2&lt;=$A231+$B$224-1,$B231/$B$224,$B231-SUM($C231:M231))),0))</f>
        <v>0</v>
      </c>
      <c r="O231" s="4">
        <f>IF($B$224=0,0,IF(O$2&gt;=$A231,IF(O$2=$A231,($B231/$B$224)*$B$221,IF(O$2&lt;=$A231+$B$224-1,$B231/$B$224,$B231-SUM($C231:N231))),0))</f>
        <v>0</v>
      </c>
      <c r="P231" s="4">
        <f>IF($B$224=0,0,IF(P$2&gt;=$A231,IF(P$2=$A231,($B231/$B$224)*$B$221,IF(P$2&lt;=$A231+$B$224-1,$B231/$B$224,$B231-SUM($C231:O231))),0))</f>
        <v>0</v>
      </c>
      <c r="Q231" s="4">
        <f>IF($B$224=0,0,IF(Q$2&gt;=$A231,IF(Q$2=$A231,($B231/$B$224)*$B$221,IF(Q$2&lt;=$A231+$B$224-1,$B231/$B$224,$B231-SUM($C231:P231))),0))</f>
        <v>0</v>
      </c>
      <c r="R231" s="4">
        <f>IF($B$224=0,0,IF(R$2&gt;=$A231,IF(R$2=$A231,($B231/$B$224)*$B$221,IF(R$2&lt;=$A231+$B$224-1,$B231/$B$224,$B231-SUM($C231:Q231))),0))</f>
        <v>0</v>
      </c>
      <c r="S231" s="4">
        <f>IF($B$224=0,0,IF(S$2&gt;=$A231,IF(S$2=$A231,($B231/$B$224)*$B$221,IF(S$2&lt;=$A231+$B$224-1,$B231/$B$224,$B231-SUM($C231:R231))),0))</f>
        <v>0</v>
      </c>
      <c r="T231" s="4">
        <f>IF($B$224=0,0,IF(T$2&gt;=$A231,IF(T$2=$A231,($B231/$B$224)*$B$221,IF(T$2&lt;=$A231+$B$224-1,$B231/$B$224,$B231-SUM($C231:S231))),0))</f>
        <v>0</v>
      </c>
      <c r="U231" s="4">
        <f>IF($B$224=0,0,IF(U$2&gt;=$A231,IF(U$2=$A231,($B231/$B$224)*$B$221,IF(U$2&lt;=$A231+$B$224-1,$B231/$B$224,$B231-SUM($C231:T231))),0))</f>
        <v>0</v>
      </c>
      <c r="V231" s="4">
        <f>IF($B$224=0,0,IF(V$2&gt;=$A231,IF(V$2=$A231,($B231/$B$224)*$B$221,IF(V$2&lt;=$A231+$B$224-1,$B231/$B$224,$B231-SUM($C231:U231))),0))</f>
        <v>0</v>
      </c>
      <c r="W231" s="4">
        <f>IF($B$224=0,0,IF(W$2&gt;=$A231,IF(W$2=$A231,($B231/$B$224)*$B$221,IF(W$2&lt;=$A231+$B$224-1,$B231/$B$224,$B231-SUM($C231:V231))),0))</f>
        <v>0</v>
      </c>
      <c r="X231" s="4">
        <f>IF($B$224=0,0,IF(X$2&gt;=$A231,IF(X$2=$A231,($B231/$B$224)*$B$221,IF(X$2&lt;=$A231+$B$224-1,$B231/$B$224,$B231-SUM($C231:W231))),0))</f>
        <v>0</v>
      </c>
      <c r="Y231" s="4">
        <f>IF($B$224=0,0,IF(Y$2&gt;=$A231,IF(Y$2=$A231,($B231/$B$224)*$B$221,IF(Y$2&lt;=$A231+$B$224-1,$B231/$B$224,$B231-SUM($C231:X231))),0))</f>
        <v>0</v>
      </c>
      <c r="Z231" s="4">
        <f>IF($B$224=0,0,IF(Z$2&gt;=$A231,IF(Z$2=$A231,($B231/$B$224)*$B$221,IF(Z$2&lt;=$A231+$B$224-1,$B231/$B$224,$B231-SUM($C231:Y231))),0))</f>
        <v>0</v>
      </c>
      <c r="AA231" s="4">
        <f>IF($B$224=0,0,IF(AA$2&gt;=$A231,IF(AA$2=$A231,($B231/$B$224)*$B$221,IF(AA$2&lt;=$A231+$B$224-1,$B231/$B$224,$B231-SUM($C231:Z231))),0))</f>
        <v>0</v>
      </c>
      <c r="AB231" s="4">
        <f>IF($B$224=0,0,IF(AB$2&gt;=$A231,IF(AB$2=$A231,($B231/$B$224)*$B$221,IF(AB$2&lt;=$A231+$B$224-1,$B231/$B$224,$B231-SUM($C231:AA231))),0))</f>
        <v>0</v>
      </c>
      <c r="AC231" s="4">
        <f>IF($B$224=0,0,IF(AC$2&gt;=$A231,IF(AC$2=$A231,($B231/$B$224)*$B$221,IF(AC$2&lt;=$A231+$B$224-1,$B231/$B$224,$B231-SUM($C231:AB231))),0))</f>
        <v>0</v>
      </c>
      <c r="AD231" s="4">
        <f>IF($B$224=0,0,IF(AD$2&gt;=$A231,IF(AD$2=$A231,($B231/$B$224)*$B$221,IF(AD$2&lt;=$A231+$B$224-1,$B231/$B$224,$B231-SUM($C231:AC231))),0))</f>
        <v>0</v>
      </c>
      <c r="AE231" s="4">
        <f>IF($B$224=0,0,IF(AE$2&gt;=$A231,IF(AE$2=$A231,($B231/$B$224)*$B$221,IF(AE$2&lt;=$A231+$B$224-1,$B231/$B$224,$B231-SUM($C231:AD231))),0))</f>
        <v>0</v>
      </c>
      <c r="AF231" s="4">
        <f>IF($B$224=0,0,IF(AF$2&gt;=$A231,IF(AF$2=$A231,($B231/$B$224)*$B$221,IF(AF$2&lt;=$A231+$B$224-1,$B231/$B$224,$B231-SUM($C231:AE231))),0))</f>
        <v>0</v>
      </c>
      <c r="AG231" s="4">
        <f t="shared" si="172"/>
        <v>0</v>
      </c>
    </row>
    <row r="232" spans="1:33">
      <c r="A232" s="6">
        <f t="shared" si="173"/>
        <v>2029</v>
      </c>
      <c r="B232" s="4">
        <f t="shared" si="171"/>
        <v>0</v>
      </c>
      <c r="C232" s="4">
        <f>IF($B$224=0,0,IF(C$2&gt;=$A232,IF(C$2=$A232,($B232/$B$224)*$B$221,IF(C$2&lt;=$A232+$B$224-1,$B232/$B$224,$B232-SUM(B232:$C232))),0))</f>
        <v>0</v>
      </c>
      <c r="D232" s="4">
        <f>IF($B$224=0,0,IF(D$2&gt;=$A232,IF(D$2=$A232,($B232/$B$224)*$B$221,IF(D$2&lt;=$A232+$B$224-1,$B232/$B$224,$B232-SUM(C232:$C232))),0))</f>
        <v>0</v>
      </c>
      <c r="E232" s="4">
        <f>IF($B$224=0,0,IF(E$2&gt;=$A232,IF(E$2=$A232,($B232/$B$224)*$B$221,IF(E$2&lt;=$A232+$B$224-1,$B232/$B$224,$B232-SUM($C232:D232))),0))</f>
        <v>0</v>
      </c>
      <c r="F232" s="4">
        <f>IF($B$224=0,0,IF(F$2&gt;=$A232,IF(F$2=$A232,($B232/$B$224)*$B$221,IF(F$2&lt;=$A232+$B$224-1,$B232/$B$224,$B232-SUM($C232:E232))),0))</f>
        <v>0</v>
      </c>
      <c r="G232" s="4">
        <f>IF($B$224=0,0,IF(G$2&gt;=$A232,IF(G$2=$A232,($B232/$B$224)*$B$221,IF(G$2&lt;=$A232+$B$224-1,$B232/$B$224,$B232-SUM($C232:F232))),0))</f>
        <v>0</v>
      </c>
      <c r="H232" s="4">
        <f>IF($B$224=0,0,IF(H$2&gt;=$A232,IF(H$2=$A232,($B232/$B$224)*$B$221,IF(H$2&lt;=$A232+$B$224-1,$B232/$B$224,$B232-SUM($C232:G232))),0))</f>
        <v>0</v>
      </c>
      <c r="I232" s="4">
        <f>IF($B$224=0,0,IF(I$2&gt;=$A232,IF(I$2=$A232,($B232/$B$224)*$B$221,IF(I$2&lt;=$A232+$B$224-1,$B232/$B$224,$B232-SUM($C232:H232))),0))</f>
        <v>0</v>
      </c>
      <c r="J232" s="4">
        <f>IF($B$224=0,0,IF(J$2&gt;=$A232,IF(J$2=$A232,($B232/$B$224)*$B$221,IF(J$2&lt;=$A232+$B$224-1,$B232/$B$224,$B232-SUM($C232:I232))),0))</f>
        <v>0</v>
      </c>
      <c r="K232" s="4">
        <f>IF($B$224=0,0,IF(K$2&gt;=$A232,IF(K$2=$A232,($B232/$B$224)*$B$221,IF(K$2&lt;=$A232+$B$224-1,$B232/$B$224,$B232-SUM($C232:J232))),0))</f>
        <v>0</v>
      </c>
      <c r="L232" s="4">
        <f>IF($B$224=0,0,IF(L$2&gt;=$A232,IF(L$2=$A232,($B232/$B$224)*$B$221,IF(L$2&lt;=$A232+$B$224-1,$B232/$B$224,$B232-SUM($C232:K232))),0))</f>
        <v>0</v>
      </c>
      <c r="M232" s="4">
        <f>IF($B$224=0,0,IF(M$2&gt;=$A232,IF(M$2=$A232,($B232/$B$224)*$B$221,IF(M$2&lt;=$A232+$B$224-1,$B232/$B$224,$B232-SUM($C232:L232))),0))</f>
        <v>0</v>
      </c>
      <c r="N232" s="4">
        <f>IF($B$224=0,0,IF(N$2&gt;=$A232,IF(N$2=$A232,($B232/$B$224)*$B$221,IF(N$2&lt;=$A232+$B$224-1,$B232/$B$224,$B232-SUM($C232:M232))),0))</f>
        <v>0</v>
      </c>
      <c r="O232" s="4">
        <f>IF($B$224=0,0,IF(O$2&gt;=$A232,IF(O$2=$A232,($B232/$B$224)*$B$221,IF(O$2&lt;=$A232+$B$224-1,$B232/$B$224,$B232-SUM($C232:N232))),0))</f>
        <v>0</v>
      </c>
      <c r="P232" s="4">
        <f>IF($B$224=0,0,IF(P$2&gt;=$A232,IF(P$2=$A232,($B232/$B$224)*$B$221,IF(P$2&lt;=$A232+$B$224-1,$B232/$B$224,$B232-SUM($C232:O232))),0))</f>
        <v>0</v>
      </c>
      <c r="Q232" s="4">
        <f>IF($B$224=0,0,IF(Q$2&gt;=$A232,IF(Q$2=$A232,($B232/$B$224)*$B$221,IF(Q$2&lt;=$A232+$B$224-1,$B232/$B$224,$B232-SUM($C232:P232))),0))</f>
        <v>0</v>
      </c>
      <c r="R232" s="4">
        <f>IF($B$224=0,0,IF(R$2&gt;=$A232,IF(R$2=$A232,($B232/$B$224)*$B$221,IF(R$2&lt;=$A232+$B$224-1,$B232/$B$224,$B232-SUM($C232:Q232))),0))</f>
        <v>0</v>
      </c>
      <c r="S232" s="4">
        <f>IF($B$224=0,0,IF(S$2&gt;=$A232,IF(S$2=$A232,($B232/$B$224)*$B$221,IF(S$2&lt;=$A232+$B$224-1,$B232/$B$224,$B232-SUM($C232:R232))),0))</f>
        <v>0</v>
      </c>
      <c r="T232" s="4">
        <f>IF($B$224=0,0,IF(T$2&gt;=$A232,IF(T$2=$A232,($B232/$B$224)*$B$221,IF(T$2&lt;=$A232+$B$224-1,$B232/$B$224,$B232-SUM($C232:S232))),0))</f>
        <v>0</v>
      </c>
      <c r="U232" s="4">
        <f>IF($B$224=0,0,IF(U$2&gt;=$A232,IF(U$2=$A232,($B232/$B$224)*$B$221,IF(U$2&lt;=$A232+$B$224-1,$B232/$B$224,$B232-SUM($C232:T232))),0))</f>
        <v>0</v>
      </c>
      <c r="V232" s="4">
        <f>IF($B$224=0,0,IF(V$2&gt;=$A232,IF(V$2=$A232,($B232/$B$224)*$B$221,IF(V$2&lt;=$A232+$B$224-1,$B232/$B$224,$B232-SUM($C232:U232))),0))</f>
        <v>0</v>
      </c>
      <c r="W232" s="4">
        <f>IF($B$224=0,0,IF(W$2&gt;=$A232,IF(W$2=$A232,($B232/$B$224)*$B$221,IF(W$2&lt;=$A232+$B$224-1,$B232/$B$224,$B232-SUM($C232:V232))),0))</f>
        <v>0</v>
      </c>
      <c r="X232" s="4">
        <f>IF($B$224=0,0,IF(X$2&gt;=$A232,IF(X$2=$A232,($B232/$B$224)*$B$221,IF(X$2&lt;=$A232+$B$224-1,$B232/$B$224,$B232-SUM($C232:W232))),0))</f>
        <v>0</v>
      </c>
      <c r="Y232" s="4">
        <f>IF($B$224=0,0,IF(Y$2&gt;=$A232,IF(Y$2=$A232,($B232/$B$224)*$B$221,IF(Y$2&lt;=$A232+$B$224-1,$B232/$B$224,$B232-SUM($C232:X232))),0))</f>
        <v>0</v>
      </c>
      <c r="Z232" s="4">
        <f>IF($B$224=0,0,IF(Z$2&gt;=$A232,IF(Z$2=$A232,($B232/$B$224)*$B$221,IF(Z$2&lt;=$A232+$B$224-1,$B232/$B$224,$B232-SUM($C232:Y232))),0))</f>
        <v>0</v>
      </c>
      <c r="AA232" s="4">
        <f>IF($B$224=0,0,IF(AA$2&gt;=$A232,IF(AA$2=$A232,($B232/$B$224)*$B$221,IF(AA$2&lt;=$A232+$B$224-1,$B232/$B$224,$B232-SUM($C232:Z232))),0))</f>
        <v>0</v>
      </c>
      <c r="AB232" s="4">
        <f>IF($B$224=0,0,IF(AB$2&gt;=$A232,IF(AB$2=$A232,($B232/$B$224)*$B$221,IF(AB$2&lt;=$A232+$B$224-1,$B232/$B$224,$B232-SUM($C232:AA232))),0))</f>
        <v>0</v>
      </c>
      <c r="AC232" s="4">
        <f>IF($B$224=0,0,IF(AC$2&gt;=$A232,IF(AC$2=$A232,($B232/$B$224)*$B$221,IF(AC$2&lt;=$A232+$B$224-1,$B232/$B$224,$B232-SUM($C232:AB232))),0))</f>
        <v>0</v>
      </c>
      <c r="AD232" s="4">
        <f>IF($B$224=0,0,IF(AD$2&gt;=$A232,IF(AD$2=$A232,($B232/$B$224)*$B$221,IF(AD$2&lt;=$A232+$B$224-1,$B232/$B$224,$B232-SUM($C232:AC232))),0))</f>
        <v>0</v>
      </c>
      <c r="AE232" s="4">
        <f>IF($B$224=0,0,IF(AE$2&gt;=$A232,IF(AE$2=$A232,($B232/$B$224)*$B$221,IF(AE$2&lt;=$A232+$B$224-1,$B232/$B$224,$B232-SUM($C232:AD232))),0))</f>
        <v>0</v>
      </c>
      <c r="AF232" s="4">
        <f>IF($B$224=0,0,IF(AF$2&gt;=$A232,IF(AF$2=$A232,($B232/$B$224)*$B$221,IF(AF$2&lt;=$A232+$B$224-1,$B232/$B$224,$B232-SUM($C232:AE232))),0))</f>
        <v>0</v>
      </c>
      <c r="AG232" s="4">
        <f t="shared" si="172"/>
        <v>0</v>
      </c>
    </row>
    <row r="233" spans="1:33">
      <c r="A233" s="6">
        <f t="shared" si="173"/>
        <v>2030</v>
      </c>
      <c r="B233" s="4">
        <f t="shared" si="171"/>
        <v>0</v>
      </c>
      <c r="C233" s="4">
        <f>IF($B$224=0,0,IF(C$2&gt;=$A233,IF(C$2=$A233,($B233/$B$224)*$B$221,IF(C$2&lt;=$A233+$B$224-1,$B233/$B$224,$B233-SUM(B233:$C233))),0))</f>
        <v>0</v>
      </c>
      <c r="D233" s="4">
        <f>IF($B$224=0,0,IF(D$2&gt;=$A233,IF(D$2=$A233,($B233/$B$224)*$B$221,IF(D$2&lt;=$A233+$B$224-1,$B233/$B$224,$B233-SUM(C233:$C233))),0))</f>
        <v>0</v>
      </c>
      <c r="E233" s="4">
        <f>IF($B$224=0,0,IF(E$2&gt;=$A233,IF(E$2=$A233,($B233/$B$224)*$B$221,IF(E$2&lt;=$A233+$B$224-1,$B233/$B$224,$B233-SUM($C233:D233))),0))</f>
        <v>0</v>
      </c>
      <c r="F233" s="4">
        <f>IF($B$224=0,0,IF(F$2&gt;=$A233,IF(F$2=$A233,($B233/$B$224)*$B$221,IF(F$2&lt;=$A233+$B$224-1,$B233/$B$224,$B233-SUM($C233:E233))),0))</f>
        <v>0</v>
      </c>
      <c r="G233" s="4">
        <f>IF($B$224=0,0,IF(G$2&gt;=$A233,IF(G$2=$A233,($B233/$B$224)*$B$221,IF(G$2&lt;=$A233+$B$224-1,$B233/$B$224,$B233-SUM($C233:F233))),0))</f>
        <v>0</v>
      </c>
      <c r="H233" s="4">
        <f>IF($B$224=0,0,IF(H$2&gt;=$A233,IF(H$2=$A233,($B233/$B$224)*$B$221,IF(H$2&lt;=$A233+$B$224-1,$B233/$B$224,$B233-SUM($C233:G233))),0))</f>
        <v>0</v>
      </c>
      <c r="I233" s="4">
        <f>IF($B$224=0,0,IF(I$2&gt;=$A233,IF(I$2=$A233,($B233/$B$224)*$B$221,IF(I$2&lt;=$A233+$B$224-1,$B233/$B$224,$B233-SUM($C233:H233))),0))</f>
        <v>0</v>
      </c>
      <c r="J233" s="4">
        <f>IF($B$224=0,0,IF(J$2&gt;=$A233,IF(J$2=$A233,($B233/$B$224)*$B$221,IF(J$2&lt;=$A233+$B$224-1,$B233/$B$224,$B233-SUM($C233:I233))),0))</f>
        <v>0</v>
      </c>
      <c r="K233" s="4">
        <f>IF($B$224=0,0,IF(K$2&gt;=$A233,IF(K$2=$A233,($B233/$B$224)*$B$221,IF(K$2&lt;=$A233+$B$224-1,$B233/$B$224,$B233-SUM($C233:J233))),0))</f>
        <v>0</v>
      </c>
      <c r="L233" s="4">
        <f>IF($B$224=0,0,IF(L$2&gt;=$A233,IF(L$2=$A233,($B233/$B$224)*$B$221,IF(L$2&lt;=$A233+$B$224-1,$B233/$B$224,$B233-SUM($C233:K233))),0))</f>
        <v>0</v>
      </c>
      <c r="M233" s="4">
        <f>IF($B$224=0,0,IF(M$2&gt;=$A233,IF(M$2=$A233,($B233/$B$224)*$B$221,IF(M$2&lt;=$A233+$B$224-1,$B233/$B$224,$B233-SUM($C233:L233))),0))</f>
        <v>0</v>
      </c>
      <c r="N233" s="4">
        <f>IF($B$224=0,0,IF(N$2&gt;=$A233,IF(N$2=$A233,($B233/$B$224)*$B$221,IF(N$2&lt;=$A233+$B$224-1,$B233/$B$224,$B233-SUM($C233:M233))),0))</f>
        <v>0</v>
      </c>
      <c r="O233" s="4">
        <f>IF($B$224=0,0,IF(O$2&gt;=$A233,IF(O$2=$A233,($B233/$B$224)*$B$221,IF(O$2&lt;=$A233+$B$224-1,$B233/$B$224,$B233-SUM($C233:N233))),0))</f>
        <v>0</v>
      </c>
      <c r="P233" s="4">
        <f>IF($B$224=0,0,IF(P$2&gt;=$A233,IF(P$2=$A233,($B233/$B$224)*$B$221,IF(P$2&lt;=$A233+$B$224-1,$B233/$B$224,$B233-SUM($C233:O233))),0))</f>
        <v>0</v>
      </c>
      <c r="Q233" s="4">
        <f>IF($B$224=0,0,IF(Q$2&gt;=$A233,IF(Q$2=$A233,($B233/$B$224)*$B$221,IF(Q$2&lt;=$A233+$B$224-1,$B233/$B$224,$B233-SUM($C233:P233))),0))</f>
        <v>0</v>
      </c>
      <c r="R233" s="4">
        <f>IF($B$224=0,0,IF(R$2&gt;=$A233,IF(R$2=$A233,($B233/$B$224)*$B$221,IF(R$2&lt;=$A233+$B$224-1,$B233/$B$224,$B233-SUM($C233:Q233))),0))</f>
        <v>0</v>
      </c>
      <c r="S233" s="4">
        <f>IF($B$224=0,0,IF(S$2&gt;=$A233,IF(S$2=$A233,($B233/$B$224)*$B$221,IF(S$2&lt;=$A233+$B$224-1,$B233/$B$224,$B233-SUM($C233:R233))),0))</f>
        <v>0</v>
      </c>
      <c r="T233" s="4">
        <f>IF($B$224=0,0,IF(T$2&gt;=$A233,IF(T$2=$A233,($B233/$B$224)*$B$221,IF(T$2&lt;=$A233+$B$224-1,$B233/$B$224,$B233-SUM($C233:S233))),0))</f>
        <v>0</v>
      </c>
      <c r="U233" s="4">
        <f>IF($B$224=0,0,IF(U$2&gt;=$A233,IF(U$2=$A233,($B233/$B$224)*$B$221,IF(U$2&lt;=$A233+$B$224-1,$B233/$B$224,$B233-SUM($C233:T233))),0))</f>
        <v>0</v>
      </c>
      <c r="V233" s="4">
        <f>IF($B$224=0,0,IF(V$2&gt;=$A233,IF(V$2=$A233,($B233/$B$224)*$B$221,IF(V$2&lt;=$A233+$B$224-1,$B233/$B$224,$B233-SUM($C233:U233))),0))</f>
        <v>0</v>
      </c>
      <c r="W233" s="4">
        <f>IF($B$224=0,0,IF(W$2&gt;=$A233,IF(W$2=$A233,($B233/$B$224)*$B$221,IF(W$2&lt;=$A233+$B$224-1,$B233/$B$224,$B233-SUM($C233:V233))),0))</f>
        <v>0</v>
      </c>
      <c r="X233" s="4">
        <f>IF($B$224=0,0,IF(X$2&gt;=$A233,IF(X$2=$A233,($B233/$B$224)*$B$221,IF(X$2&lt;=$A233+$B$224-1,$B233/$B$224,$B233-SUM($C233:W233))),0))</f>
        <v>0</v>
      </c>
      <c r="Y233" s="4">
        <f>IF($B$224=0,0,IF(Y$2&gt;=$A233,IF(Y$2=$A233,($B233/$B$224)*$B$221,IF(Y$2&lt;=$A233+$B$224-1,$B233/$B$224,$B233-SUM($C233:X233))),0))</f>
        <v>0</v>
      </c>
      <c r="Z233" s="4">
        <f>IF($B$224=0,0,IF(Z$2&gt;=$A233,IF(Z$2=$A233,($B233/$B$224)*$B$221,IF(Z$2&lt;=$A233+$B$224-1,$B233/$B$224,$B233-SUM($C233:Y233))),0))</f>
        <v>0</v>
      </c>
      <c r="AA233" s="4">
        <f>IF($B$224=0,0,IF(AA$2&gt;=$A233,IF(AA$2=$A233,($B233/$B$224)*$B$221,IF(AA$2&lt;=$A233+$B$224-1,$B233/$B$224,$B233-SUM($C233:Z233))),0))</f>
        <v>0</v>
      </c>
      <c r="AB233" s="4">
        <f>IF($B$224=0,0,IF(AB$2&gt;=$A233,IF(AB$2=$A233,($B233/$B$224)*$B$221,IF(AB$2&lt;=$A233+$B$224-1,$B233/$B$224,$B233-SUM($C233:AA233))),0))</f>
        <v>0</v>
      </c>
      <c r="AC233" s="4">
        <f>IF($B$224=0,0,IF(AC$2&gt;=$A233,IF(AC$2=$A233,($B233/$B$224)*$B$221,IF(AC$2&lt;=$A233+$B$224-1,$B233/$B$224,$B233-SUM($C233:AB233))),0))</f>
        <v>0</v>
      </c>
      <c r="AD233" s="4">
        <f>IF($B$224=0,0,IF(AD$2&gt;=$A233,IF(AD$2=$A233,($B233/$B$224)*$B$221,IF(AD$2&lt;=$A233+$B$224-1,$B233/$B$224,$B233-SUM($C233:AC233))),0))</f>
        <v>0</v>
      </c>
      <c r="AE233" s="4">
        <f>IF($B$224=0,0,IF(AE$2&gt;=$A233,IF(AE$2=$A233,($B233/$B$224)*$B$221,IF(AE$2&lt;=$A233+$B$224-1,$B233/$B$224,$B233-SUM($C233:AD233))),0))</f>
        <v>0</v>
      </c>
      <c r="AF233" s="4">
        <f>IF($B$224=0,0,IF(AF$2&gt;=$A233,IF(AF$2=$A233,($B233/$B$224)*$B$221,IF(AF$2&lt;=$A233+$B$224-1,$B233/$B$224,$B233-SUM($C233:AE233))),0))</f>
        <v>0</v>
      </c>
      <c r="AG233" s="4">
        <f t="shared" si="172"/>
        <v>0</v>
      </c>
    </row>
    <row r="234" spans="1:33">
      <c r="A234" s="6">
        <f t="shared" si="173"/>
        <v>2031</v>
      </c>
      <c r="B234" s="4">
        <f t="shared" si="171"/>
        <v>0</v>
      </c>
      <c r="C234" s="4">
        <f>IF($B$224=0,0,IF(C$2&gt;=$A234,IF(C$2=$A234,($B234/$B$224)*$B$221,IF(C$2&lt;=$A234+$B$224-1,$B234/$B$224,$B234-SUM(B234:$C234))),0))</f>
        <v>0</v>
      </c>
      <c r="D234" s="4">
        <f>IF($B$224=0,0,IF(D$2&gt;=$A234,IF(D$2=$A234,($B234/$B$224)*$B$221,IF(D$2&lt;=$A234+$B$224-1,$B234/$B$224,$B234-SUM(C234:$C234))),0))</f>
        <v>0</v>
      </c>
      <c r="E234" s="4">
        <f>IF($B$224=0,0,IF(E$2&gt;=$A234,IF(E$2=$A234,($B234/$B$224)*$B$221,IF(E$2&lt;=$A234+$B$224-1,$B234/$B$224,$B234-SUM($C234:D234))),0))</f>
        <v>0</v>
      </c>
      <c r="F234" s="4">
        <f>IF($B$224=0,0,IF(F$2&gt;=$A234,IF(F$2=$A234,($B234/$B$224)*$B$221,IF(F$2&lt;=$A234+$B$224-1,$B234/$B$224,$B234-SUM($C234:E234))),0))</f>
        <v>0</v>
      </c>
      <c r="G234" s="4">
        <f>IF($B$224=0,0,IF(G$2&gt;=$A234,IF(G$2=$A234,($B234/$B$224)*$B$221,IF(G$2&lt;=$A234+$B$224-1,$B234/$B$224,$B234-SUM($C234:F234))),0))</f>
        <v>0</v>
      </c>
      <c r="H234" s="4">
        <f>IF($B$224=0,0,IF(H$2&gt;=$A234,IF(H$2=$A234,($B234/$B$224)*$B$221,IF(H$2&lt;=$A234+$B$224-1,$B234/$B$224,$B234-SUM($C234:G234))),0))</f>
        <v>0</v>
      </c>
      <c r="I234" s="4">
        <f>IF($B$224=0,0,IF(I$2&gt;=$A234,IF(I$2=$A234,($B234/$B$224)*$B$221,IF(I$2&lt;=$A234+$B$224-1,$B234/$B$224,$B234-SUM($C234:H234))),0))</f>
        <v>0</v>
      </c>
      <c r="J234" s="4">
        <f>IF($B$224=0,0,IF(J$2&gt;=$A234,IF(J$2=$A234,($B234/$B$224)*$B$221,IF(J$2&lt;=$A234+$B$224-1,$B234/$B$224,$B234-SUM($C234:I234))),0))</f>
        <v>0</v>
      </c>
      <c r="K234" s="4">
        <f>IF($B$224=0,0,IF(K$2&gt;=$A234,IF(K$2=$A234,($B234/$B$224)*$B$221,IF(K$2&lt;=$A234+$B$224-1,$B234/$B$224,$B234-SUM($C234:J234))),0))</f>
        <v>0</v>
      </c>
      <c r="L234" s="4">
        <f>IF($B$224=0,0,IF(L$2&gt;=$A234,IF(L$2=$A234,($B234/$B$224)*$B$221,IF(L$2&lt;=$A234+$B$224-1,$B234/$B$224,$B234-SUM($C234:K234))),0))</f>
        <v>0</v>
      </c>
      <c r="M234" s="4">
        <f>IF($B$224=0,0,IF(M$2&gt;=$A234,IF(M$2=$A234,($B234/$B$224)*$B$221,IF(M$2&lt;=$A234+$B$224-1,$B234/$B$224,$B234-SUM($C234:L234))),0))</f>
        <v>0</v>
      </c>
      <c r="N234" s="4">
        <f>IF($B$224=0,0,IF(N$2&gt;=$A234,IF(N$2=$A234,($B234/$B$224)*$B$221,IF(N$2&lt;=$A234+$B$224-1,$B234/$B$224,$B234-SUM($C234:M234))),0))</f>
        <v>0</v>
      </c>
      <c r="O234" s="4">
        <f>IF($B$224=0,0,IF(O$2&gt;=$A234,IF(O$2=$A234,($B234/$B$224)*$B$221,IF(O$2&lt;=$A234+$B$224-1,$B234/$B$224,$B234-SUM($C234:N234))),0))</f>
        <v>0</v>
      </c>
      <c r="P234" s="4">
        <f>IF($B$224=0,0,IF(P$2&gt;=$A234,IF(P$2=$A234,($B234/$B$224)*$B$221,IF(P$2&lt;=$A234+$B$224-1,$B234/$B$224,$B234-SUM($C234:O234))),0))</f>
        <v>0</v>
      </c>
      <c r="Q234" s="4">
        <f>IF($B$224=0,0,IF(Q$2&gt;=$A234,IF(Q$2=$A234,($B234/$B$224)*$B$221,IF(Q$2&lt;=$A234+$B$224-1,$B234/$B$224,$B234-SUM($C234:P234))),0))</f>
        <v>0</v>
      </c>
      <c r="R234" s="4">
        <f>IF($B$224=0,0,IF(R$2&gt;=$A234,IF(R$2=$A234,($B234/$B$224)*$B$221,IF(R$2&lt;=$A234+$B$224-1,$B234/$B$224,$B234-SUM($C234:Q234))),0))</f>
        <v>0</v>
      </c>
      <c r="S234" s="4">
        <f>IF($B$224=0,0,IF(S$2&gt;=$A234,IF(S$2=$A234,($B234/$B$224)*$B$221,IF(S$2&lt;=$A234+$B$224-1,$B234/$B$224,$B234-SUM($C234:R234))),0))</f>
        <v>0</v>
      </c>
      <c r="T234" s="4">
        <f>IF($B$224=0,0,IF(T$2&gt;=$A234,IF(T$2=$A234,($B234/$B$224)*$B$221,IF(T$2&lt;=$A234+$B$224-1,$B234/$B$224,$B234-SUM($C234:S234))),0))</f>
        <v>0</v>
      </c>
      <c r="U234" s="4">
        <f>IF($B$224=0,0,IF(U$2&gt;=$A234,IF(U$2=$A234,($B234/$B$224)*$B$221,IF(U$2&lt;=$A234+$B$224-1,$B234/$B$224,$B234-SUM($C234:T234))),0))</f>
        <v>0</v>
      </c>
      <c r="V234" s="4">
        <f>IF($B$224=0,0,IF(V$2&gt;=$A234,IF(V$2=$A234,($B234/$B$224)*$B$221,IF(V$2&lt;=$A234+$B$224-1,$B234/$B$224,$B234-SUM($C234:U234))),0))</f>
        <v>0</v>
      </c>
      <c r="W234" s="4">
        <f>IF($B$224=0,0,IF(W$2&gt;=$A234,IF(W$2=$A234,($B234/$B$224)*$B$221,IF(W$2&lt;=$A234+$B$224-1,$B234/$B$224,$B234-SUM($C234:V234))),0))</f>
        <v>0</v>
      </c>
      <c r="X234" s="4">
        <f>IF($B$224=0,0,IF(X$2&gt;=$A234,IF(X$2=$A234,($B234/$B$224)*$B$221,IF(X$2&lt;=$A234+$B$224-1,$B234/$B$224,$B234-SUM($C234:W234))),0))</f>
        <v>0</v>
      </c>
      <c r="Y234" s="4">
        <f>IF($B$224=0,0,IF(Y$2&gt;=$A234,IF(Y$2=$A234,($B234/$B$224)*$B$221,IF(Y$2&lt;=$A234+$B$224-1,$B234/$B$224,$B234-SUM($C234:X234))),0))</f>
        <v>0</v>
      </c>
      <c r="Z234" s="4">
        <f>IF($B$224=0,0,IF(Z$2&gt;=$A234,IF(Z$2=$A234,($B234/$B$224)*$B$221,IF(Z$2&lt;=$A234+$B$224-1,$B234/$B$224,$B234-SUM($C234:Y234))),0))</f>
        <v>0</v>
      </c>
      <c r="AA234" s="4">
        <f>IF($B$224=0,0,IF(AA$2&gt;=$A234,IF(AA$2=$A234,($B234/$B$224)*$B$221,IF(AA$2&lt;=$A234+$B$224-1,$B234/$B$224,$B234-SUM($C234:Z234))),0))</f>
        <v>0</v>
      </c>
      <c r="AB234" s="4">
        <f>IF($B$224=0,0,IF(AB$2&gt;=$A234,IF(AB$2=$A234,($B234/$B$224)*$B$221,IF(AB$2&lt;=$A234+$B$224-1,$B234/$B$224,$B234-SUM($C234:AA234))),0))</f>
        <v>0</v>
      </c>
      <c r="AC234" s="4">
        <f>IF($B$224=0,0,IF(AC$2&gt;=$A234,IF(AC$2=$A234,($B234/$B$224)*$B$221,IF(AC$2&lt;=$A234+$B$224-1,$B234/$B$224,$B234-SUM($C234:AB234))),0))</f>
        <v>0</v>
      </c>
      <c r="AD234" s="4">
        <f>IF($B$224=0,0,IF(AD$2&gt;=$A234,IF(AD$2=$A234,($B234/$B$224)*$B$221,IF(AD$2&lt;=$A234+$B$224-1,$B234/$B$224,$B234-SUM($C234:AC234))),0))</f>
        <v>0</v>
      </c>
      <c r="AE234" s="4">
        <f>IF($B$224=0,0,IF(AE$2&gt;=$A234,IF(AE$2=$A234,($B234/$B$224)*$B$221,IF(AE$2&lt;=$A234+$B$224-1,$B234/$B$224,$B234-SUM($C234:AD234))),0))</f>
        <v>0</v>
      </c>
      <c r="AF234" s="4">
        <f>IF($B$224=0,0,IF(AF$2&gt;=$A234,IF(AF$2=$A234,($B234/$B$224)*$B$221,IF(AF$2&lt;=$A234+$B$224-1,$B234/$B$224,$B234-SUM($C234:AE234))),0))</f>
        <v>0</v>
      </c>
      <c r="AG234" s="4">
        <f t="shared" si="172"/>
        <v>0</v>
      </c>
    </row>
    <row r="235" spans="1:33">
      <c r="A235" s="6">
        <f t="shared" si="173"/>
        <v>2032</v>
      </c>
      <c r="B235" s="4">
        <f t="shared" si="171"/>
        <v>0</v>
      </c>
      <c r="C235" s="4">
        <f>IF($B$224=0,0,IF(C$2&gt;=$A235,IF(C$2=$A235,($B235/$B$224)*$B$221,IF(C$2&lt;=$A235+$B$224-1,$B235/$B$224,$B235-SUM(B235:$C235))),0))</f>
        <v>0</v>
      </c>
      <c r="D235" s="4">
        <f>IF($B$224=0,0,IF(D$2&gt;=$A235,IF(D$2=$A235,($B235/$B$224)*$B$221,IF(D$2&lt;=$A235+$B$224-1,$B235/$B$224,$B235-SUM(C235:$C235))),0))</f>
        <v>0</v>
      </c>
      <c r="E235" s="4">
        <f>IF($B$224=0,0,IF(E$2&gt;=$A235,IF(E$2=$A235,($B235/$B$224)*$B$221,IF(E$2&lt;=$A235+$B$224-1,$B235/$B$224,$B235-SUM($C235:D235))),0))</f>
        <v>0</v>
      </c>
      <c r="F235" s="4">
        <f>IF($B$224=0,0,IF(F$2&gt;=$A235,IF(F$2=$A235,($B235/$B$224)*$B$221,IF(F$2&lt;=$A235+$B$224-1,$B235/$B$224,$B235-SUM($C235:E235))),0))</f>
        <v>0</v>
      </c>
      <c r="G235" s="4">
        <f>IF($B$224=0,0,IF(G$2&gt;=$A235,IF(G$2=$A235,($B235/$B$224)*$B$221,IF(G$2&lt;=$A235+$B$224-1,$B235/$B$224,$B235-SUM($C235:F235))),0))</f>
        <v>0</v>
      </c>
      <c r="H235" s="4">
        <f>IF($B$224=0,0,IF(H$2&gt;=$A235,IF(H$2=$A235,($B235/$B$224)*$B$221,IF(H$2&lt;=$A235+$B$224-1,$B235/$B$224,$B235-SUM($C235:G235))),0))</f>
        <v>0</v>
      </c>
      <c r="I235" s="4">
        <f>IF($B$224=0,0,IF(I$2&gt;=$A235,IF(I$2=$A235,($B235/$B$224)*$B$221,IF(I$2&lt;=$A235+$B$224-1,$B235/$B$224,$B235-SUM($C235:H235))),0))</f>
        <v>0</v>
      </c>
      <c r="J235" s="4">
        <f>IF($B$224=0,0,IF(J$2&gt;=$A235,IF(J$2=$A235,($B235/$B$224)*$B$221,IF(J$2&lt;=$A235+$B$224-1,$B235/$B$224,$B235-SUM($C235:I235))),0))</f>
        <v>0</v>
      </c>
      <c r="K235" s="4">
        <f>IF($B$224=0,0,IF(K$2&gt;=$A235,IF(K$2=$A235,($B235/$B$224)*$B$221,IF(K$2&lt;=$A235+$B$224-1,$B235/$B$224,$B235-SUM($C235:J235))),0))</f>
        <v>0</v>
      </c>
      <c r="L235" s="4">
        <f>IF($B$224=0,0,IF(L$2&gt;=$A235,IF(L$2=$A235,($B235/$B$224)*$B$221,IF(L$2&lt;=$A235+$B$224-1,$B235/$B$224,$B235-SUM($C235:K235))),0))</f>
        <v>0</v>
      </c>
      <c r="M235" s="4">
        <f>IF($B$224=0,0,IF(M$2&gt;=$A235,IF(M$2=$A235,($B235/$B$224)*$B$221,IF(M$2&lt;=$A235+$B$224-1,$B235/$B$224,$B235-SUM($C235:L235))),0))</f>
        <v>0</v>
      </c>
      <c r="N235" s="4">
        <f>IF($B$224=0,0,IF(N$2&gt;=$A235,IF(N$2=$A235,($B235/$B$224)*$B$221,IF(N$2&lt;=$A235+$B$224-1,$B235/$B$224,$B235-SUM($C235:M235))),0))</f>
        <v>0</v>
      </c>
      <c r="O235" s="4">
        <f>IF($B$224=0,0,IF(O$2&gt;=$A235,IF(O$2=$A235,($B235/$B$224)*$B$221,IF(O$2&lt;=$A235+$B$224-1,$B235/$B$224,$B235-SUM($C235:N235))),0))</f>
        <v>0</v>
      </c>
      <c r="P235" s="4">
        <f>IF($B$224=0,0,IF(P$2&gt;=$A235,IF(P$2=$A235,($B235/$B$224)*$B$221,IF(P$2&lt;=$A235+$B$224-1,$B235/$B$224,$B235-SUM($C235:O235))),0))</f>
        <v>0</v>
      </c>
      <c r="Q235" s="4">
        <f>IF($B$224=0,0,IF(Q$2&gt;=$A235,IF(Q$2=$A235,($B235/$B$224)*$B$221,IF(Q$2&lt;=$A235+$B$224-1,$B235/$B$224,$B235-SUM($C235:P235))),0))</f>
        <v>0</v>
      </c>
      <c r="R235" s="4">
        <f>IF($B$224=0,0,IF(R$2&gt;=$A235,IF(R$2=$A235,($B235/$B$224)*$B$221,IF(R$2&lt;=$A235+$B$224-1,$B235/$B$224,$B235-SUM($C235:Q235))),0))</f>
        <v>0</v>
      </c>
      <c r="S235" s="4">
        <f>IF($B$224=0,0,IF(S$2&gt;=$A235,IF(S$2=$A235,($B235/$B$224)*$B$221,IF(S$2&lt;=$A235+$B$224-1,$B235/$B$224,$B235-SUM($C235:R235))),0))</f>
        <v>0</v>
      </c>
      <c r="T235" s="4">
        <f>IF($B$224=0,0,IF(T$2&gt;=$A235,IF(T$2=$A235,($B235/$B$224)*$B$221,IF(T$2&lt;=$A235+$B$224-1,$B235/$B$224,$B235-SUM($C235:S235))),0))</f>
        <v>0</v>
      </c>
      <c r="U235" s="4">
        <f>IF($B$224=0,0,IF(U$2&gt;=$A235,IF(U$2=$A235,($B235/$B$224)*$B$221,IF(U$2&lt;=$A235+$B$224-1,$B235/$B$224,$B235-SUM($C235:T235))),0))</f>
        <v>0</v>
      </c>
      <c r="V235" s="4">
        <f>IF($B$224=0,0,IF(V$2&gt;=$A235,IF(V$2=$A235,($B235/$B$224)*$B$221,IF(V$2&lt;=$A235+$B$224-1,$B235/$B$224,$B235-SUM($C235:U235))),0))</f>
        <v>0</v>
      </c>
      <c r="W235" s="4">
        <f>IF($B$224=0,0,IF(W$2&gt;=$A235,IF(W$2=$A235,($B235/$B$224)*$B$221,IF(W$2&lt;=$A235+$B$224-1,$B235/$B$224,$B235-SUM($C235:V235))),0))</f>
        <v>0</v>
      </c>
      <c r="X235" s="4">
        <f>IF($B$224=0,0,IF(X$2&gt;=$A235,IF(X$2=$A235,($B235/$B$224)*$B$221,IF(X$2&lt;=$A235+$B$224-1,$B235/$B$224,$B235-SUM($C235:W235))),0))</f>
        <v>0</v>
      </c>
      <c r="Y235" s="4">
        <f>IF($B$224=0,0,IF(Y$2&gt;=$A235,IF(Y$2=$A235,($B235/$B$224)*$B$221,IF(Y$2&lt;=$A235+$B$224-1,$B235/$B$224,$B235-SUM($C235:X235))),0))</f>
        <v>0</v>
      </c>
      <c r="Z235" s="4">
        <f>IF($B$224=0,0,IF(Z$2&gt;=$A235,IF(Z$2=$A235,($B235/$B$224)*$B$221,IF(Z$2&lt;=$A235+$B$224-1,$B235/$B$224,$B235-SUM($C235:Y235))),0))</f>
        <v>0</v>
      </c>
      <c r="AA235" s="4">
        <f>IF($B$224=0,0,IF(AA$2&gt;=$A235,IF(AA$2=$A235,($B235/$B$224)*$B$221,IF(AA$2&lt;=$A235+$B$224-1,$B235/$B$224,$B235-SUM($C235:Z235))),0))</f>
        <v>0</v>
      </c>
      <c r="AB235" s="4">
        <f>IF($B$224=0,0,IF(AB$2&gt;=$A235,IF(AB$2=$A235,($B235/$B$224)*$B$221,IF(AB$2&lt;=$A235+$B$224-1,$B235/$B$224,$B235-SUM($C235:AA235))),0))</f>
        <v>0</v>
      </c>
      <c r="AC235" s="4">
        <f>IF($B$224=0,0,IF(AC$2&gt;=$A235,IF(AC$2=$A235,($B235/$B$224)*$B$221,IF(AC$2&lt;=$A235+$B$224-1,$B235/$B$224,$B235-SUM($C235:AB235))),0))</f>
        <v>0</v>
      </c>
      <c r="AD235" s="4">
        <f>IF($B$224=0,0,IF(AD$2&gt;=$A235,IF(AD$2=$A235,($B235/$B$224)*$B$221,IF(AD$2&lt;=$A235+$B$224-1,$B235/$B$224,$B235-SUM($C235:AC235))),0))</f>
        <v>0</v>
      </c>
      <c r="AE235" s="4">
        <f>IF($B$224=0,0,IF(AE$2&gt;=$A235,IF(AE$2=$A235,($B235/$B$224)*$B$221,IF(AE$2&lt;=$A235+$B$224-1,$B235/$B$224,$B235-SUM($C235:AD235))),0))</f>
        <v>0</v>
      </c>
      <c r="AF235" s="4">
        <f>IF($B$224=0,0,IF(AF$2&gt;=$A235,IF(AF$2=$A235,($B235/$B$224)*$B$221,IF(AF$2&lt;=$A235+$B$224-1,$B235/$B$224,$B235-SUM($C235:AE235))),0))</f>
        <v>0</v>
      </c>
      <c r="AG235" s="4">
        <f t="shared" si="172"/>
        <v>0</v>
      </c>
    </row>
    <row r="236" spans="1:33">
      <c r="A236" s="6">
        <f t="shared" si="173"/>
        <v>2033</v>
      </c>
      <c r="B236" s="4">
        <f t="shared" si="171"/>
        <v>0</v>
      </c>
      <c r="C236" s="4">
        <f>IF($B$224=0,0,IF(C$2&gt;=$A236,IF(C$2=$A236,($B236/$B$224)*$B$221,IF(C$2&lt;=$A236+$B$224-1,$B236/$B$224,$B236-SUM(B236:$C236))),0))</f>
        <v>0</v>
      </c>
      <c r="D236" s="4">
        <f>IF($B$224=0,0,IF(D$2&gt;=$A236,IF(D$2=$A236,($B236/$B$224)*$B$221,IF(D$2&lt;=$A236+$B$224-1,$B236/$B$224,$B236-SUM(C236:$C236))),0))</f>
        <v>0</v>
      </c>
      <c r="E236" s="4">
        <f>IF($B$224=0,0,IF(E$2&gt;=$A236,IF(E$2=$A236,($B236/$B$224)*$B$221,IF(E$2&lt;=$A236+$B$224-1,$B236/$B$224,$B236-SUM($C236:D236))),0))</f>
        <v>0</v>
      </c>
      <c r="F236" s="4">
        <f>IF($B$224=0,0,IF(F$2&gt;=$A236,IF(F$2=$A236,($B236/$B$224)*$B$221,IF(F$2&lt;=$A236+$B$224-1,$B236/$B$224,$B236-SUM($C236:E236))),0))</f>
        <v>0</v>
      </c>
      <c r="G236" s="4">
        <f>IF($B$224=0,0,IF(G$2&gt;=$A236,IF(G$2=$A236,($B236/$B$224)*$B$221,IF(G$2&lt;=$A236+$B$224-1,$B236/$B$224,$B236-SUM($C236:F236))),0))</f>
        <v>0</v>
      </c>
      <c r="H236" s="4">
        <f>IF($B$224=0,0,IF(H$2&gt;=$A236,IF(H$2=$A236,($B236/$B$224)*$B$221,IF(H$2&lt;=$A236+$B$224-1,$B236/$B$224,$B236-SUM($C236:G236))),0))</f>
        <v>0</v>
      </c>
      <c r="I236" s="4">
        <f>IF($B$224=0,0,IF(I$2&gt;=$A236,IF(I$2=$A236,($B236/$B$224)*$B$221,IF(I$2&lt;=$A236+$B$224-1,$B236/$B$224,$B236-SUM($C236:H236))),0))</f>
        <v>0</v>
      </c>
      <c r="J236" s="4">
        <f>IF($B$224=0,0,IF(J$2&gt;=$A236,IF(J$2=$A236,($B236/$B$224)*$B$221,IF(J$2&lt;=$A236+$B$224-1,$B236/$B$224,$B236-SUM($C236:I236))),0))</f>
        <v>0</v>
      </c>
      <c r="K236" s="4">
        <f>IF($B$224=0,0,IF(K$2&gt;=$A236,IF(K$2=$A236,($B236/$B$224)*$B$221,IF(K$2&lt;=$A236+$B$224-1,$B236/$B$224,$B236-SUM($C236:J236))),0))</f>
        <v>0</v>
      </c>
      <c r="L236" s="4">
        <f>IF($B$224=0,0,IF(L$2&gt;=$A236,IF(L$2=$A236,($B236/$B$224)*$B$221,IF(L$2&lt;=$A236+$B$224-1,$B236/$B$224,$B236-SUM($C236:K236))),0))</f>
        <v>0</v>
      </c>
      <c r="M236" s="4">
        <f>IF($B$224=0,0,IF(M$2&gt;=$A236,IF(M$2=$A236,($B236/$B$224)*$B$221,IF(M$2&lt;=$A236+$B$224-1,$B236/$B$224,$B236-SUM($C236:L236))),0))</f>
        <v>0</v>
      </c>
      <c r="N236" s="4">
        <f>IF($B$224=0,0,IF(N$2&gt;=$A236,IF(N$2=$A236,($B236/$B$224)*$B$221,IF(N$2&lt;=$A236+$B$224-1,$B236/$B$224,$B236-SUM($C236:M236))),0))</f>
        <v>0</v>
      </c>
      <c r="O236" s="4">
        <f>IF($B$224=0,0,IF(O$2&gt;=$A236,IF(O$2=$A236,($B236/$B$224)*$B$221,IF(O$2&lt;=$A236+$B$224-1,$B236/$B$224,$B236-SUM($C236:N236))),0))</f>
        <v>0</v>
      </c>
      <c r="P236" s="4">
        <f>IF($B$224=0,0,IF(P$2&gt;=$A236,IF(P$2=$A236,($B236/$B$224)*$B$221,IF(P$2&lt;=$A236+$B$224-1,$B236/$B$224,$B236-SUM($C236:O236))),0))</f>
        <v>0</v>
      </c>
      <c r="Q236" s="4">
        <f>IF($B$224=0,0,IF(Q$2&gt;=$A236,IF(Q$2=$A236,($B236/$B$224)*$B$221,IF(Q$2&lt;=$A236+$B$224-1,$B236/$B$224,$B236-SUM($C236:P236))),0))</f>
        <v>0</v>
      </c>
      <c r="R236" s="4">
        <f>IF($B$224=0,0,IF(R$2&gt;=$A236,IF(R$2=$A236,($B236/$B$224)*$B$221,IF(R$2&lt;=$A236+$B$224-1,$B236/$B$224,$B236-SUM($C236:Q236))),0))</f>
        <v>0</v>
      </c>
      <c r="S236" s="4">
        <f>IF($B$224=0,0,IF(S$2&gt;=$A236,IF(S$2=$A236,($B236/$B$224)*$B$221,IF(S$2&lt;=$A236+$B$224-1,$B236/$B$224,$B236-SUM($C236:R236))),0))</f>
        <v>0</v>
      </c>
      <c r="T236" s="4">
        <f>IF($B$224=0,0,IF(T$2&gt;=$A236,IF(T$2=$A236,($B236/$B$224)*$B$221,IF(T$2&lt;=$A236+$B$224-1,$B236/$B$224,$B236-SUM($C236:S236))),0))</f>
        <v>0</v>
      </c>
      <c r="U236" s="4">
        <f>IF($B$224=0,0,IF(U$2&gt;=$A236,IF(U$2=$A236,($B236/$B$224)*$B$221,IF(U$2&lt;=$A236+$B$224-1,$B236/$B$224,$B236-SUM($C236:T236))),0))</f>
        <v>0</v>
      </c>
      <c r="V236" s="4">
        <f>IF($B$224=0,0,IF(V$2&gt;=$A236,IF(V$2=$A236,($B236/$B$224)*$B$221,IF(V$2&lt;=$A236+$B$224-1,$B236/$B$224,$B236-SUM($C236:U236))),0))</f>
        <v>0</v>
      </c>
      <c r="W236" s="4">
        <f>IF($B$224=0,0,IF(W$2&gt;=$A236,IF(W$2=$A236,($B236/$B$224)*$B$221,IF(W$2&lt;=$A236+$B$224-1,$B236/$B$224,$B236-SUM($C236:V236))),0))</f>
        <v>0</v>
      </c>
      <c r="X236" s="4">
        <f>IF($B$224=0,0,IF(X$2&gt;=$A236,IF(X$2=$A236,($B236/$B$224)*$B$221,IF(X$2&lt;=$A236+$B$224-1,$B236/$B$224,$B236-SUM($C236:W236))),0))</f>
        <v>0</v>
      </c>
      <c r="Y236" s="4">
        <f>IF($B$224=0,0,IF(Y$2&gt;=$A236,IF(Y$2=$A236,($B236/$B$224)*$B$221,IF(Y$2&lt;=$A236+$B$224-1,$B236/$B$224,$B236-SUM($C236:X236))),0))</f>
        <v>0</v>
      </c>
      <c r="Z236" s="4">
        <f>IF($B$224=0,0,IF(Z$2&gt;=$A236,IF(Z$2=$A236,($B236/$B$224)*$B$221,IF(Z$2&lt;=$A236+$B$224-1,$B236/$B$224,$B236-SUM($C236:Y236))),0))</f>
        <v>0</v>
      </c>
      <c r="AA236" s="4">
        <f>IF($B$224=0,0,IF(AA$2&gt;=$A236,IF(AA$2=$A236,($B236/$B$224)*$B$221,IF(AA$2&lt;=$A236+$B$224-1,$B236/$B$224,$B236-SUM($C236:Z236))),0))</f>
        <v>0</v>
      </c>
      <c r="AB236" s="4">
        <f>IF($B$224=0,0,IF(AB$2&gt;=$A236,IF(AB$2=$A236,($B236/$B$224)*$B$221,IF(AB$2&lt;=$A236+$B$224-1,$B236/$B$224,$B236-SUM($C236:AA236))),0))</f>
        <v>0</v>
      </c>
      <c r="AC236" s="4">
        <f>IF($B$224=0,0,IF(AC$2&gt;=$A236,IF(AC$2=$A236,($B236/$B$224)*$B$221,IF(AC$2&lt;=$A236+$B$224-1,$B236/$B$224,$B236-SUM($C236:AB236))),0))</f>
        <v>0</v>
      </c>
      <c r="AD236" s="4">
        <f>IF($B$224=0,0,IF(AD$2&gt;=$A236,IF(AD$2=$A236,($B236/$B$224)*$B$221,IF(AD$2&lt;=$A236+$B$224-1,$B236/$B$224,$B236-SUM($C236:AC236))),0))</f>
        <v>0</v>
      </c>
      <c r="AE236" s="4">
        <f>IF($B$224=0,0,IF(AE$2&gt;=$A236,IF(AE$2=$A236,($B236/$B$224)*$B$221,IF(AE$2&lt;=$A236+$B$224-1,$B236/$B$224,$B236-SUM($C236:AD236))),0))</f>
        <v>0</v>
      </c>
      <c r="AF236" s="4">
        <f>IF($B$224=0,0,IF(AF$2&gt;=$A236,IF(AF$2=$A236,($B236/$B$224)*$B$221,IF(AF$2&lt;=$A236+$B$224-1,$B236/$B$224,$B236-SUM($C236:AE236))),0))</f>
        <v>0</v>
      </c>
      <c r="AG236" s="4">
        <f t="shared" si="172"/>
        <v>0</v>
      </c>
    </row>
    <row r="237" spans="1:33">
      <c r="A237" s="6">
        <f t="shared" si="173"/>
        <v>2034</v>
      </c>
      <c r="B237" s="4">
        <f t="shared" si="171"/>
        <v>0</v>
      </c>
      <c r="C237" s="4">
        <f>IF($B$224=0,0,IF(C$2&gt;=$A237,IF(C$2=$A237,($B237/$B$224)*$B$221,IF(C$2&lt;=$A237+$B$224-1,$B237/$B$224,$B237-SUM(B237:$C237))),0))</f>
        <v>0</v>
      </c>
      <c r="D237" s="4">
        <f>IF($B$224=0,0,IF(D$2&gt;=$A237,IF(D$2=$A237,($B237/$B$224)*$B$221,IF(D$2&lt;=$A237+$B$224-1,$B237/$B$224,$B237-SUM(C237:$C237))),0))</f>
        <v>0</v>
      </c>
      <c r="E237" s="4">
        <f>IF($B$224=0,0,IF(E$2&gt;=$A237,IF(E$2=$A237,($B237/$B$224)*$B$221,IF(E$2&lt;=$A237+$B$224-1,$B237/$B$224,$B237-SUM($C237:D237))),0))</f>
        <v>0</v>
      </c>
      <c r="F237" s="4">
        <f>IF($B$224=0,0,IF(F$2&gt;=$A237,IF(F$2=$A237,($B237/$B$224)*$B$221,IF(F$2&lt;=$A237+$B$224-1,$B237/$B$224,$B237-SUM($C237:E237))),0))</f>
        <v>0</v>
      </c>
      <c r="G237" s="4">
        <f>IF($B$224=0,0,IF(G$2&gt;=$A237,IF(G$2=$A237,($B237/$B$224)*$B$221,IF(G$2&lt;=$A237+$B$224-1,$B237/$B$224,$B237-SUM($C237:F237))),0))</f>
        <v>0</v>
      </c>
      <c r="H237" s="4">
        <f>IF($B$224=0,0,IF(H$2&gt;=$A237,IF(H$2=$A237,($B237/$B$224)*$B$221,IF(H$2&lt;=$A237+$B$224-1,$B237/$B$224,$B237-SUM($C237:G237))),0))</f>
        <v>0</v>
      </c>
      <c r="I237" s="4">
        <f>IF($B$224=0,0,IF(I$2&gt;=$A237,IF(I$2=$A237,($B237/$B$224)*$B$221,IF(I$2&lt;=$A237+$B$224-1,$B237/$B$224,$B237-SUM($C237:H237))),0))</f>
        <v>0</v>
      </c>
      <c r="J237" s="4">
        <f>IF($B$224=0,0,IF(J$2&gt;=$A237,IF(J$2=$A237,($B237/$B$224)*$B$221,IF(J$2&lt;=$A237+$B$224-1,$B237/$B$224,$B237-SUM($C237:I237))),0))</f>
        <v>0</v>
      </c>
      <c r="K237" s="4">
        <f>IF($B$224=0,0,IF(K$2&gt;=$A237,IF(K$2=$A237,($B237/$B$224)*$B$221,IF(K$2&lt;=$A237+$B$224-1,$B237/$B$224,$B237-SUM($C237:J237))),0))</f>
        <v>0</v>
      </c>
      <c r="L237" s="4">
        <f>IF($B$224=0,0,IF(L$2&gt;=$A237,IF(L$2=$A237,($B237/$B$224)*$B$221,IF(L$2&lt;=$A237+$B$224-1,$B237/$B$224,$B237-SUM($C237:K237))),0))</f>
        <v>0</v>
      </c>
      <c r="M237" s="4">
        <f>IF($B$224=0,0,IF(M$2&gt;=$A237,IF(M$2=$A237,($B237/$B$224)*$B$221,IF(M$2&lt;=$A237+$B$224-1,$B237/$B$224,$B237-SUM($C237:L237))),0))</f>
        <v>0</v>
      </c>
      <c r="N237" s="4">
        <f>IF($B$224=0,0,IF(N$2&gt;=$A237,IF(N$2=$A237,($B237/$B$224)*$B$221,IF(N$2&lt;=$A237+$B$224-1,$B237/$B$224,$B237-SUM($C237:M237))),0))</f>
        <v>0</v>
      </c>
      <c r="O237" s="4">
        <f>IF($B$224=0,0,IF(O$2&gt;=$A237,IF(O$2=$A237,($B237/$B$224)*$B$221,IF(O$2&lt;=$A237+$B$224-1,$B237/$B$224,$B237-SUM($C237:N237))),0))</f>
        <v>0</v>
      </c>
      <c r="P237" s="4">
        <f>IF($B$224=0,0,IF(P$2&gt;=$A237,IF(P$2=$A237,($B237/$B$224)*$B$221,IF(P$2&lt;=$A237+$B$224-1,$B237/$B$224,$B237-SUM($C237:O237))),0))</f>
        <v>0</v>
      </c>
      <c r="Q237" s="4">
        <f>IF($B$224=0,0,IF(Q$2&gt;=$A237,IF(Q$2=$A237,($B237/$B$224)*$B$221,IF(Q$2&lt;=$A237+$B$224-1,$B237/$B$224,$B237-SUM($C237:P237))),0))</f>
        <v>0</v>
      </c>
      <c r="R237" s="4">
        <f>IF($B$224=0,0,IF(R$2&gt;=$A237,IF(R$2=$A237,($B237/$B$224)*$B$221,IF(R$2&lt;=$A237+$B$224-1,$B237/$B$224,$B237-SUM($C237:Q237))),0))</f>
        <v>0</v>
      </c>
      <c r="S237" s="4">
        <f>IF($B$224=0,0,IF(S$2&gt;=$A237,IF(S$2=$A237,($B237/$B$224)*$B$221,IF(S$2&lt;=$A237+$B$224-1,$B237/$B$224,$B237-SUM($C237:R237))),0))</f>
        <v>0</v>
      </c>
      <c r="T237" s="4">
        <f>IF($B$224=0,0,IF(T$2&gt;=$A237,IF(T$2=$A237,($B237/$B$224)*$B$221,IF(T$2&lt;=$A237+$B$224-1,$B237/$B$224,$B237-SUM($C237:S237))),0))</f>
        <v>0</v>
      </c>
      <c r="U237" s="4">
        <f>IF($B$224=0,0,IF(U$2&gt;=$A237,IF(U$2=$A237,($B237/$B$224)*$B$221,IF(U$2&lt;=$A237+$B$224-1,$B237/$B$224,$B237-SUM($C237:T237))),0))</f>
        <v>0</v>
      </c>
      <c r="V237" s="4">
        <f>IF($B$224=0,0,IF(V$2&gt;=$A237,IF(V$2=$A237,($B237/$B$224)*$B$221,IF(V$2&lt;=$A237+$B$224-1,$B237/$B$224,$B237-SUM($C237:U237))),0))</f>
        <v>0</v>
      </c>
      <c r="W237" s="4">
        <f>IF($B$224=0,0,IF(W$2&gt;=$A237,IF(W$2=$A237,($B237/$B$224)*$B$221,IF(W$2&lt;=$A237+$B$224-1,$B237/$B$224,$B237-SUM($C237:V237))),0))</f>
        <v>0</v>
      </c>
      <c r="X237" s="4">
        <f>IF($B$224=0,0,IF(X$2&gt;=$A237,IF(X$2=$A237,($B237/$B$224)*$B$221,IF(X$2&lt;=$A237+$B$224-1,$B237/$B$224,$B237-SUM($C237:W237))),0))</f>
        <v>0</v>
      </c>
      <c r="Y237" s="4">
        <f>IF($B$224=0,0,IF(Y$2&gt;=$A237,IF(Y$2=$A237,($B237/$B$224)*$B$221,IF(Y$2&lt;=$A237+$B$224-1,$B237/$B$224,$B237-SUM($C237:X237))),0))</f>
        <v>0</v>
      </c>
      <c r="Z237" s="4">
        <f>IF($B$224=0,0,IF(Z$2&gt;=$A237,IF(Z$2=$A237,($B237/$B$224)*$B$221,IF(Z$2&lt;=$A237+$B$224-1,$B237/$B$224,$B237-SUM($C237:Y237))),0))</f>
        <v>0</v>
      </c>
      <c r="AA237" s="4">
        <f>IF($B$224=0,0,IF(AA$2&gt;=$A237,IF(AA$2=$A237,($B237/$B$224)*$B$221,IF(AA$2&lt;=$A237+$B$224-1,$B237/$B$224,$B237-SUM($C237:Z237))),0))</f>
        <v>0</v>
      </c>
      <c r="AB237" s="4">
        <f>IF($B$224=0,0,IF(AB$2&gt;=$A237,IF(AB$2=$A237,($B237/$B$224)*$B$221,IF(AB$2&lt;=$A237+$B$224-1,$B237/$B$224,$B237-SUM($C237:AA237))),0))</f>
        <v>0</v>
      </c>
      <c r="AC237" s="4">
        <f>IF($B$224=0,0,IF(AC$2&gt;=$A237,IF(AC$2=$A237,($B237/$B$224)*$B$221,IF(AC$2&lt;=$A237+$B$224-1,$B237/$B$224,$B237-SUM($C237:AB237))),0))</f>
        <v>0</v>
      </c>
      <c r="AD237" s="4">
        <f>IF($B$224=0,0,IF(AD$2&gt;=$A237,IF(AD$2=$A237,($B237/$B$224)*$B$221,IF(AD$2&lt;=$A237+$B$224-1,$B237/$B$224,$B237-SUM($C237:AC237))),0))</f>
        <v>0</v>
      </c>
      <c r="AE237" s="4">
        <f>IF($B$224=0,0,IF(AE$2&gt;=$A237,IF(AE$2=$A237,($B237/$B$224)*$B$221,IF(AE$2&lt;=$A237+$B$224-1,$B237/$B$224,$B237-SUM($C237:AD237))),0))</f>
        <v>0</v>
      </c>
      <c r="AF237" s="4">
        <f>IF($B$224=0,0,IF(AF$2&gt;=$A237,IF(AF$2=$A237,($B237/$B$224)*$B$221,IF(AF$2&lt;=$A237+$B$224-1,$B237/$B$224,$B237-SUM($C237:AE237))),0))</f>
        <v>0</v>
      </c>
      <c r="AG237" s="4">
        <f t="shared" si="172"/>
        <v>0</v>
      </c>
    </row>
    <row r="238" spans="1:33">
      <c r="A238" s="6">
        <f t="shared" si="173"/>
        <v>2035</v>
      </c>
      <c r="B238" s="4">
        <f t="shared" si="171"/>
        <v>0</v>
      </c>
      <c r="C238" s="4">
        <f>IF($B$224=0,0,IF(C$2&gt;=$A238,IF(C$2=$A238,($B238/$B$224)*$B$221,IF(C$2&lt;=$A238+$B$224-1,$B238/$B$224,$B238-SUM(B238:$C238))),0))</f>
        <v>0</v>
      </c>
      <c r="D238" s="4">
        <f>IF($B$224=0,0,IF(D$2&gt;=$A238,IF(D$2=$A238,($B238/$B$224)*$B$221,IF(D$2&lt;=$A238+$B$224-1,$B238/$B$224,$B238-SUM(C238:$C238))),0))</f>
        <v>0</v>
      </c>
      <c r="E238" s="4">
        <f>IF($B$224=0,0,IF(E$2&gt;=$A238,IF(E$2=$A238,($B238/$B$224)*$B$221,IF(E$2&lt;=$A238+$B$224-1,$B238/$B$224,$B238-SUM($C238:D238))),0))</f>
        <v>0</v>
      </c>
      <c r="F238" s="4">
        <f>IF($B$224=0,0,IF(F$2&gt;=$A238,IF(F$2=$A238,($B238/$B$224)*$B$221,IF(F$2&lt;=$A238+$B$224-1,$B238/$B$224,$B238-SUM($C238:E238))),0))</f>
        <v>0</v>
      </c>
      <c r="G238" s="4">
        <f>IF($B$224=0,0,IF(G$2&gt;=$A238,IF(G$2=$A238,($B238/$B$224)*$B$221,IF(G$2&lt;=$A238+$B$224-1,$B238/$B$224,$B238-SUM($C238:F238))),0))</f>
        <v>0</v>
      </c>
      <c r="H238" s="4">
        <f>IF($B$224=0,0,IF(H$2&gt;=$A238,IF(H$2=$A238,($B238/$B$224)*$B$221,IF(H$2&lt;=$A238+$B$224-1,$B238/$B$224,$B238-SUM($C238:G238))),0))</f>
        <v>0</v>
      </c>
      <c r="I238" s="4">
        <f>IF($B$224=0,0,IF(I$2&gt;=$A238,IF(I$2=$A238,($B238/$B$224)*$B$221,IF(I$2&lt;=$A238+$B$224-1,$B238/$B$224,$B238-SUM($C238:H238))),0))</f>
        <v>0</v>
      </c>
      <c r="J238" s="4">
        <f>IF($B$224=0,0,IF(J$2&gt;=$A238,IF(J$2=$A238,($B238/$B$224)*$B$221,IF(J$2&lt;=$A238+$B$224-1,$B238/$B$224,$B238-SUM($C238:I238))),0))</f>
        <v>0</v>
      </c>
      <c r="K238" s="4">
        <f>IF($B$224=0,0,IF(K$2&gt;=$A238,IF(K$2=$A238,($B238/$B$224)*$B$221,IF(K$2&lt;=$A238+$B$224-1,$B238/$B$224,$B238-SUM($C238:J238))),0))</f>
        <v>0</v>
      </c>
      <c r="L238" s="4">
        <f>IF($B$224=0,0,IF(L$2&gt;=$A238,IF(L$2=$A238,($B238/$B$224)*$B$221,IF(L$2&lt;=$A238+$B$224-1,$B238/$B$224,$B238-SUM($C238:K238))),0))</f>
        <v>0</v>
      </c>
      <c r="M238" s="4">
        <f>IF($B$224=0,0,IF(M$2&gt;=$A238,IF(M$2=$A238,($B238/$B$224)*$B$221,IF(M$2&lt;=$A238+$B$224-1,$B238/$B$224,$B238-SUM($C238:L238))),0))</f>
        <v>0</v>
      </c>
      <c r="N238" s="4">
        <f>IF($B$224=0,0,IF(N$2&gt;=$A238,IF(N$2=$A238,($B238/$B$224)*$B$221,IF(N$2&lt;=$A238+$B$224-1,$B238/$B$224,$B238-SUM($C238:M238))),0))</f>
        <v>0</v>
      </c>
      <c r="O238" s="4">
        <f>IF($B$224=0,0,IF(O$2&gt;=$A238,IF(O$2=$A238,($B238/$B$224)*$B$221,IF(O$2&lt;=$A238+$B$224-1,$B238/$B$224,$B238-SUM($C238:N238))),0))</f>
        <v>0</v>
      </c>
      <c r="P238" s="4">
        <f>IF($B$224=0,0,IF(P$2&gt;=$A238,IF(P$2=$A238,($B238/$B$224)*$B$221,IF(P$2&lt;=$A238+$B$224-1,$B238/$B$224,$B238-SUM($C238:O238))),0))</f>
        <v>0</v>
      </c>
      <c r="Q238" s="4">
        <f>IF($B$224=0,0,IF(Q$2&gt;=$A238,IF(Q$2=$A238,($B238/$B$224)*$B$221,IF(Q$2&lt;=$A238+$B$224-1,$B238/$B$224,$B238-SUM($C238:P238))),0))</f>
        <v>0</v>
      </c>
      <c r="R238" s="4">
        <f>IF($B$224=0,0,IF(R$2&gt;=$A238,IF(R$2=$A238,($B238/$B$224)*$B$221,IF(R$2&lt;=$A238+$B$224-1,$B238/$B$224,$B238-SUM($C238:Q238))),0))</f>
        <v>0</v>
      </c>
      <c r="S238" s="4">
        <f>IF($B$224=0,0,IF(S$2&gt;=$A238,IF(S$2=$A238,($B238/$B$224)*$B$221,IF(S$2&lt;=$A238+$B$224-1,$B238/$B$224,$B238-SUM($C238:R238))),0))</f>
        <v>0</v>
      </c>
      <c r="T238" s="4">
        <f>IF($B$224=0,0,IF(T$2&gt;=$A238,IF(T$2=$A238,($B238/$B$224)*$B$221,IF(T$2&lt;=$A238+$B$224-1,$B238/$B$224,$B238-SUM($C238:S238))),0))</f>
        <v>0</v>
      </c>
      <c r="U238" s="4">
        <f>IF($B$224=0,0,IF(U$2&gt;=$A238,IF(U$2=$A238,($B238/$B$224)*$B$221,IF(U$2&lt;=$A238+$B$224-1,$B238/$B$224,$B238-SUM($C238:T238))),0))</f>
        <v>0</v>
      </c>
      <c r="V238" s="4">
        <f>IF($B$224=0,0,IF(V$2&gt;=$A238,IF(V$2=$A238,($B238/$B$224)*$B$221,IF(V$2&lt;=$A238+$B$224-1,$B238/$B$224,$B238-SUM($C238:U238))),0))</f>
        <v>0</v>
      </c>
      <c r="W238" s="4">
        <f>IF($B$224=0,0,IF(W$2&gt;=$A238,IF(W$2=$A238,($B238/$B$224)*$B$221,IF(W$2&lt;=$A238+$B$224-1,$B238/$B$224,$B238-SUM($C238:V238))),0))</f>
        <v>0</v>
      </c>
      <c r="X238" s="4">
        <f>IF($B$224=0,0,IF(X$2&gt;=$A238,IF(X$2=$A238,($B238/$B$224)*$B$221,IF(X$2&lt;=$A238+$B$224-1,$B238/$B$224,$B238-SUM($C238:W238))),0))</f>
        <v>0</v>
      </c>
      <c r="Y238" s="4">
        <f>IF($B$224=0,0,IF(Y$2&gt;=$A238,IF(Y$2=$A238,($B238/$B$224)*$B$221,IF(Y$2&lt;=$A238+$B$224-1,$B238/$B$224,$B238-SUM($C238:X238))),0))</f>
        <v>0</v>
      </c>
      <c r="Z238" s="4">
        <f>IF($B$224=0,0,IF(Z$2&gt;=$A238,IF(Z$2=$A238,($B238/$B$224)*$B$221,IF(Z$2&lt;=$A238+$B$224-1,$B238/$B$224,$B238-SUM($C238:Y238))),0))</f>
        <v>0</v>
      </c>
      <c r="AA238" s="4">
        <f>IF($B$224=0,0,IF(AA$2&gt;=$A238,IF(AA$2=$A238,($B238/$B$224)*$B$221,IF(AA$2&lt;=$A238+$B$224-1,$B238/$B$224,$B238-SUM($C238:Z238))),0))</f>
        <v>0</v>
      </c>
      <c r="AB238" s="4">
        <f>IF($B$224=0,0,IF(AB$2&gt;=$A238,IF(AB$2=$A238,($B238/$B$224)*$B$221,IF(AB$2&lt;=$A238+$B$224-1,$B238/$B$224,$B238-SUM($C238:AA238))),0))</f>
        <v>0</v>
      </c>
      <c r="AC238" s="4">
        <f>IF($B$224=0,0,IF(AC$2&gt;=$A238,IF(AC$2=$A238,($B238/$B$224)*$B$221,IF(AC$2&lt;=$A238+$B$224-1,$B238/$B$224,$B238-SUM($C238:AB238))),0))</f>
        <v>0</v>
      </c>
      <c r="AD238" s="4">
        <f>IF($B$224=0,0,IF(AD$2&gt;=$A238,IF(AD$2=$A238,($B238/$B$224)*$B$221,IF(AD$2&lt;=$A238+$B$224-1,$B238/$B$224,$B238-SUM($C238:AC238))),0))</f>
        <v>0</v>
      </c>
      <c r="AE238" s="4">
        <f>IF($B$224=0,0,IF(AE$2&gt;=$A238,IF(AE$2=$A238,($B238/$B$224)*$B$221,IF(AE$2&lt;=$A238+$B$224-1,$B238/$B$224,$B238-SUM($C238:AD238))),0))</f>
        <v>0</v>
      </c>
      <c r="AF238" s="4">
        <f>IF($B$224=0,0,IF(AF$2&gt;=$A238,IF(AF$2=$A238,($B238/$B$224)*$B$221,IF(AF$2&lt;=$A238+$B$224-1,$B238/$B$224,$B238-SUM($C238:AE238))),0))</f>
        <v>0</v>
      </c>
      <c r="AG238" s="4">
        <f t="shared" si="172"/>
        <v>0</v>
      </c>
    </row>
    <row r="239" spans="1:33">
      <c r="A239" s="6">
        <f t="shared" si="173"/>
        <v>2036</v>
      </c>
      <c r="B239" s="4">
        <f t="shared" si="171"/>
        <v>0</v>
      </c>
      <c r="C239" s="4">
        <f>IF($B$224=0,0,IF(C$2&gt;=$A239,IF(C$2=$A239,($B239/$B$224)*$B$221,IF(C$2&lt;=$A239+$B$224-1,$B239/$B$224,$B239-SUM(B239:$C239))),0))</f>
        <v>0</v>
      </c>
      <c r="D239" s="4">
        <f>IF($B$224=0,0,IF(D$2&gt;=$A239,IF(D$2=$A239,($B239/$B$224)*$B$221,IF(D$2&lt;=$A239+$B$224-1,$B239/$B$224,$B239-SUM(C239:$C239))),0))</f>
        <v>0</v>
      </c>
      <c r="E239" s="4">
        <f>IF($B$224=0,0,IF(E$2&gt;=$A239,IF(E$2=$A239,($B239/$B$224)*$B$221,IF(E$2&lt;=$A239+$B$224-1,$B239/$B$224,$B239-SUM($C239:D239))),0))</f>
        <v>0</v>
      </c>
      <c r="F239" s="4">
        <f>IF($B$224=0,0,IF(F$2&gt;=$A239,IF(F$2=$A239,($B239/$B$224)*$B$221,IF(F$2&lt;=$A239+$B$224-1,$B239/$B$224,$B239-SUM($C239:E239))),0))</f>
        <v>0</v>
      </c>
      <c r="G239" s="4">
        <f>IF($B$224=0,0,IF(G$2&gt;=$A239,IF(G$2=$A239,($B239/$B$224)*$B$221,IF(G$2&lt;=$A239+$B$224-1,$B239/$B$224,$B239-SUM($C239:F239))),0))</f>
        <v>0</v>
      </c>
      <c r="H239" s="4">
        <f>IF($B$224=0,0,IF(H$2&gt;=$A239,IF(H$2=$A239,($B239/$B$224)*$B$221,IF(H$2&lt;=$A239+$B$224-1,$B239/$B$224,$B239-SUM($C239:G239))),0))</f>
        <v>0</v>
      </c>
      <c r="I239" s="4">
        <f>IF($B$224=0,0,IF(I$2&gt;=$A239,IF(I$2=$A239,($B239/$B$224)*$B$221,IF(I$2&lt;=$A239+$B$224-1,$B239/$B$224,$B239-SUM($C239:H239))),0))</f>
        <v>0</v>
      </c>
      <c r="J239" s="4">
        <f>IF($B$224=0,0,IF(J$2&gt;=$A239,IF(J$2=$A239,($B239/$B$224)*$B$221,IF(J$2&lt;=$A239+$B$224-1,$B239/$B$224,$B239-SUM($C239:I239))),0))</f>
        <v>0</v>
      </c>
      <c r="K239" s="4">
        <f>IF($B$224=0,0,IF(K$2&gt;=$A239,IF(K$2=$A239,($B239/$B$224)*$B$221,IF(K$2&lt;=$A239+$B$224-1,$B239/$B$224,$B239-SUM($C239:J239))),0))</f>
        <v>0</v>
      </c>
      <c r="L239" s="4">
        <f>IF($B$224=0,0,IF(L$2&gt;=$A239,IF(L$2=$A239,($B239/$B$224)*$B$221,IF(L$2&lt;=$A239+$B$224-1,$B239/$B$224,$B239-SUM($C239:K239))),0))</f>
        <v>0</v>
      </c>
      <c r="M239" s="4">
        <f>IF($B$224=0,0,IF(M$2&gt;=$A239,IF(M$2=$A239,($B239/$B$224)*$B$221,IF(M$2&lt;=$A239+$B$224-1,$B239/$B$224,$B239-SUM($C239:L239))),0))</f>
        <v>0</v>
      </c>
      <c r="N239" s="4">
        <f>IF($B$224=0,0,IF(N$2&gt;=$A239,IF(N$2=$A239,($B239/$B$224)*$B$221,IF(N$2&lt;=$A239+$B$224-1,$B239/$B$224,$B239-SUM($C239:M239))),0))</f>
        <v>0</v>
      </c>
      <c r="O239" s="4">
        <f>IF($B$224=0,0,IF(O$2&gt;=$A239,IF(O$2=$A239,($B239/$B$224)*$B$221,IF(O$2&lt;=$A239+$B$224-1,$B239/$B$224,$B239-SUM($C239:N239))),0))</f>
        <v>0</v>
      </c>
      <c r="P239" s="4">
        <f>IF($B$224=0,0,IF(P$2&gt;=$A239,IF(P$2=$A239,($B239/$B$224)*$B$221,IF(P$2&lt;=$A239+$B$224-1,$B239/$B$224,$B239-SUM($C239:O239))),0))</f>
        <v>0</v>
      </c>
      <c r="Q239" s="4">
        <f>IF($B$224=0,0,IF(Q$2&gt;=$A239,IF(Q$2=$A239,($B239/$B$224)*$B$221,IF(Q$2&lt;=$A239+$B$224-1,$B239/$B$224,$B239-SUM($C239:P239))),0))</f>
        <v>0</v>
      </c>
      <c r="R239" s="4">
        <f>IF($B$224=0,0,IF(R$2&gt;=$A239,IF(R$2=$A239,($B239/$B$224)*$B$221,IF(R$2&lt;=$A239+$B$224-1,$B239/$B$224,$B239-SUM($C239:Q239))),0))</f>
        <v>0</v>
      </c>
      <c r="S239" s="4">
        <f>IF($B$224=0,0,IF(S$2&gt;=$A239,IF(S$2=$A239,($B239/$B$224)*$B$221,IF(S$2&lt;=$A239+$B$224-1,$B239/$B$224,$B239-SUM($C239:R239))),0))</f>
        <v>0</v>
      </c>
      <c r="T239" s="4">
        <f>IF($B$224=0,0,IF(T$2&gt;=$A239,IF(T$2=$A239,($B239/$B$224)*$B$221,IF(T$2&lt;=$A239+$B$224-1,$B239/$B$224,$B239-SUM($C239:S239))),0))</f>
        <v>0</v>
      </c>
      <c r="U239" s="4">
        <f>IF($B$224=0,0,IF(U$2&gt;=$A239,IF(U$2=$A239,($B239/$B$224)*$B$221,IF(U$2&lt;=$A239+$B$224-1,$B239/$B$224,$B239-SUM($C239:T239))),0))</f>
        <v>0</v>
      </c>
      <c r="V239" s="4">
        <f>IF($B$224=0,0,IF(V$2&gt;=$A239,IF(V$2=$A239,($B239/$B$224)*$B$221,IF(V$2&lt;=$A239+$B$224-1,$B239/$B$224,$B239-SUM($C239:U239))),0))</f>
        <v>0</v>
      </c>
      <c r="W239" s="4">
        <f>IF($B$224=0,0,IF(W$2&gt;=$A239,IF(W$2=$A239,($B239/$B$224)*$B$221,IF(W$2&lt;=$A239+$B$224-1,$B239/$B$224,$B239-SUM($C239:V239))),0))</f>
        <v>0</v>
      </c>
      <c r="X239" s="4">
        <f>IF($B$224=0,0,IF(X$2&gt;=$A239,IF(X$2=$A239,($B239/$B$224)*$B$221,IF(X$2&lt;=$A239+$B$224-1,$B239/$B$224,$B239-SUM($C239:W239))),0))</f>
        <v>0</v>
      </c>
      <c r="Y239" s="4">
        <f>IF($B$224=0,0,IF(Y$2&gt;=$A239,IF(Y$2=$A239,($B239/$B$224)*$B$221,IF(Y$2&lt;=$A239+$B$224-1,$B239/$B$224,$B239-SUM($C239:X239))),0))</f>
        <v>0</v>
      </c>
      <c r="Z239" s="4">
        <f>IF($B$224=0,0,IF(Z$2&gt;=$A239,IF(Z$2=$A239,($B239/$B$224)*$B$221,IF(Z$2&lt;=$A239+$B$224-1,$B239/$B$224,$B239-SUM($C239:Y239))),0))</f>
        <v>0</v>
      </c>
      <c r="AA239" s="4">
        <f>IF($B$224=0,0,IF(AA$2&gt;=$A239,IF(AA$2=$A239,($B239/$B$224)*$B$221,IF(AA$2&lt;=$A239+$B$224-1,$B239/$B$224,$B239-SUM($C239:Z239))),0))</f>
        <v>0</v>
      </c>
      <c r="AB239" s="4">
        <f>IF($B$224=0,0,IF(AB$2&gt;=$A239,IF(AB$2=$A239,($B239/$B$224)*$B$221,IF(AB$2&lt;=$A239+$B$224-1,$B239/$B$224,$B239-SUM($C239:AA239))),0))</f>
        <v>0</v>
      </c>
      <c r="AC239" s="4">
        <f>IF($B$224=0,0,IF(AC$2&gt;=$A239,IF(AC$2=$A239,($B239/$B$224)*$B$221,IF(AC$2&lt;=$A239+$B$224-1,$B239/$B$224,$B239-SUM($C239:AB239))),0))</f>
        <v>0</v>
      </c>
      <c r="AD239" s="4">
        <f>IF($B$224=0,0,IF(AD$2&gt;=$A239,IF(AD$2=$A239,($B239/$B$224)*$B$221,IF(AD$2&lt;=$A239+$B$224-1,$B239/$B$224,$B239-SUM($C239:AC239))),0))</f>
        <v>0</v>
      </c>
      <c r="AE239" s="4">
        <f>IF($B$224=0,0,IF(AE$2&gt;=$A239,IF(AE$2=$A239,($B239/$B$224)*$B$221,IF(AE$2&lt;=$A239+$B$224-1,$B239/$B$224,$B239-SUM($C239:AD239))),0))</f>
        <v>0</v>
      </c>
      <c r="AF239" s="4">
        <f>IF($B$224=0,0,IF(AF$2&gt;=$A239,IF(AF$2=$A239,($B239/$B$224)*$B$221,IF(AF$2&lt;=$A239+$B$224-1,$B239/$B$224,$B239-SUM($C239:AE239))),0))</f>
        <v>0</v>
      </c>
      <c r="AG239" s="4">
        <f t="shared" si="172"/>
        <v>0</v>
      </c>
    </row>
    <row r="240" spans="1:33">
      <c r="A240" s="6">
        <f t="shared" si="173"/>
        <v>2037</v>
      </c>
      <c r="B240" s="4">
        <f t="shared" si="171"/>
        <v>0</v>
      </c>
      <c r="C240" s="4">
        <f>IF($B$224=0,0,IF(C$2&gt;=$A240,IF(C$2=$A240,($B240/$B$224)*$B$221,IF(C$2&lt;=$A240+$B$224-1,$B240/$B$224,$B240-SUM(B240:$C240))),0))</f>
        <v>0</v>
      </c>
      <c r="D240" s="4">
        <f>IF($B$224=0,0,IF(D$2&gt;=$A240,IF(D$2=$A240,($B240/$B$224)*$B$221,IF(D$2&lt;=$A240+$B$224-1,$B240/$B$224,$B240-SUM(C240:$C240))),0))</f>
        <v>0</v>
      </c>
      <c r="E240" s="4">
        <f>IF($B$224=0,0,IF(E$2&gt;=$A240,IF(E$2=$A240,($B240/$B$224)*$B$221,IF(E$2&lt;=$A240+$B$224-1,$B240/$B$224,$B240-SUM($C240:D240))),0))</f>
        <v>0</v>
      </c>
      <c r="F240" s="4">
        <f>IF($B$224=0,0,IF(F$2&gt;=$A240,IF(F$2=$A240,($B240/$B$224)*$B$221,IF(F$2&lt;=$A240+$B$224-1,$B240/$B$224,$B240-SUM($C240:E240))),0))</f>
        <v>0</v>
      </c>
      <c r="G240" s="4">
        <f>IF($B$224=0,0,IF(G$2&gt;=$A240,IF(G$2=$A240,($B240/$B$224)*$B$221,IF(G$2&lt;=$A240+$B$224-1,$B240/$B$224,$B240-SUM($C240:F240))),0))</f>
        <v>0</v>
      </c>
      <c r="H240" s="4">
        <f>IF($B$224=0,0,IF(H$2&gt;=$A240,IF(H$2=$A240,($B240/$B$224)*$B$221,IF(H$2&lt;=$A240+$B$224-1,$B240/$B$224,$B240-SUM($C240:G240))),0))</f>
        <v>0</v>
      </c>
      <c r="I240" s="4">
        <f>IF($B$224=0,0,IF(I$2&gt;=$A240,IF(I$2=$A240,($B240/$B$224)*$B$221,IF(I$2&lt;=$A240+$B$224-1,$B240/$B$224,$B240-SUM($C240:H240))),0))</f>
        <v>0</v>
      </c>
      <c r="J240" s="4">
        <f>IF($B$224=0,0,IF(J$2&gt;=$A240,IF(J$2=$A240,($B240/$B$224)*$B$221,IF(J$2&lt;=$A240+$B$224-1,$B240/$B$224,$B240-SUM($C240:I240))),0))</f>
        <v>0</v>
      </c>
      <c r="K240" s="4">
        <f>IF($B$224=0,0,IF(K$2&gt;=$A240,IF(K$2=$A240,($B240/$B$224)*$B$221,IF(K$2&lt;=$A240+$B$224-1,$B240/$B$224,$B240-SUM($C240:J240))),0))</f>
        <v>0</v>
      </c>
      <c r="L240" s="4">
        <f>IF($B$224=0,0,IF(L$2&gt;=$A240,IF(L$2=$A240,($B240/$B$224)*$B$221,IF(L$2&lt;=$A240+$B$224-1,$B240/$B$224,$B240-SUM($C240:K240))),0))</f>
        <v>0</v>
      </c>
      <c r="M240" s="4">
        <f>IF($B$224=0,0,IF(M$2&gt;=$A240,IF(M$2=$A240,($B240/$B$224)*$B$221,IF(M$2&lt;=$A240+$B$224-1,$B240/$B$224,$B240-SUM($C240:L240))),0))</f>
        <v>0</v>
      </c>
      <c r="N240" s="4">
        <f>IF($B$224=0,0,IF(N$2&gt;=$A240,IF(N$2=$A240,($B240/$B$224)*$B$221,IF(N$2&lt;=$A240+$B$224-1,$B240/$B$224,$B240-SUM($C240:M240))),0))</f>
        <v>0</v>
      </c>
      <c r="O240" s="4">
        <f>IF($B$224=0,0,IF(O$2&gt;=$A240,IF(O$2=$A240,($B240/$B$224)*$B$221,IF(O$2&lt;=$A240+$B$224-1,$B240/$B$224,$B240-SUM($C240:N240))),0))</f>
        <v>0</v>
      </c>
      <c r="P240" s="4">
        <f>IF($B$224=0,0,IF(P$2&gt;=$A240,IF(P$2=$A240,($B240/$B$224)*$B$221,IF(P$2&lt;=$A240+$B$224-1,$B240/$B$224,$B240-SUM($C240:O240))),0))</f>
        <v>0</v>
      </c>
      <c r="Q240" s="4">
        <f>IF($B$224=0,0,IF(Q$2&gt;=$A240,IF(Q$2=$A240,($B240/$B$224)*$B$221,IF(Q$2&lt;=$A240+$B$224-1,$B240/$B$224,$B240-SUM($C240:P240))),0))</f>
        <v>0</v>
      </c>
      <c r="R240" s="4">
        <f>IF($B$224=0,0,IF(R$2&gt;=$A240,IF(R$2=$A240,($B240/$B$224)*$B$221,IF(R$2&lt;=$A240+$B$224-1,$B240/$B$224,$B240-SUM($C240:Q240))),0))</f>
        <v>0</v>
      </c>
      <c r="S240" s="4">
        <f>IF($B$224=0,0,IF(S$2&gt;=$A240,IF(S$2=$A240,($B240/$B$224)*$B$221,IF(S$2&lt;=$A240+$B$224-1,$B240/$B$224,$B240-SUM($C240:R240))),0))</f>
        <v>0</v>
      </c>
      <c r="T240" s="4">
        <f>IF($B$224=0,0,IF(T$2&gt;=$A240,IF(T$2=$A240,($B240/$B$224)*$B$221,IF(T$2&lt;=$A240+$B$224-1,$B240/$B$224,$B240-SUM($C240:S240))),0))</f>
        <v>0</v>
      </c>
      <c r="U240" s="4">
        <f>IF($B$224=0,0,IF(U$2&gt;=$A240,IF(U$2=$A240,($B240/$B$224)*$B$221,IF(U$2&lt;=$A240+$B$224-1,$B240/$B$224,$B240-SUM($C240:T240))),0))</f>
        <v>0</v>
      </c>
      <c r="V240" s="4">
        <f>IF($B$224=0,0,IF(V$2&gt;=$A240,IF(V$2=$A240,($B240/$B$224)*$B$221,IF(V$2&lt;=$A240+$B$224-1,$B240/$B$224,$B240-SUM($C240:U240))),0))</f>
        <v>0</v>
      </c>
      <c r="W240" s="4">
        <f>IF($B$224=0,0,IF(W$2&gt;=$A240,IF(W$2=$A240,($B240/$B$224)*$B$221,IF(W$2&lt;=$A240+$B$224-1,$B240/$B$224,$B240-SUM($C240:V240))),0))</f>
        <v>0</v>
      </c>
      <c r="X240" s="4">
        <f>IF($B$224=0,0,IF(X$2&gt;=$A240,IF(X$2=$A240,($B240/$B$224)*$B$221,IF(X$2&lt;=$A240+$B$224-1,$B240/$B$224,$B240-SUM($C240:W240))),0))</f>
        <v>0</v>
      </c>
      <c r="Y240" s="4">
        <f>IF($B$224=0,0,IF(Y$2&gt;=$A240,IF(Y$2=$A240,($B240/$B$224)*$B$221,IF(Y$2&lt;=$A240+$B$224-1,$B240/$B$224,$B240-SUM($C240:X240))),0))</f>
        <v>0</v>
      </c>
      <c r="Z240" s="4">
        <f>IF($B$224=0,0,IF(Z$2&gt;=$A240,IF(Z$2=$A240,($B240/$B$224)*$B$221,IF(Z$2&lt;=$A240+$B$224-1,$B240/$B$224,$B240-SUM($C240:Y240))),0))</f>
        <v>0</v>
      </c>
      <c r="AA240" s="4">
        <f>IF($B$224=0,0,IF(AA$2&gt;=$A240,IF(AA$2=$A240,($B240/$B$224)*$B$221,IF(AA$2&lt;=$A240+$B$224-1,$B240/$B$224,$B240-SUM($C240:Z240))),0))</f>
        <v>0</v>
      </c>
      <c r="AB240" s="4">
        <f>IF($B$224=0,0,IF(AB$2&gt;=$A240,IF(AB$2=$A240,($B240/$B$224)*$B$221,IF(AB$2&lt;=$A240+$B$224-1,$B240/$B$224,$B240-SUM($C240:AA240))),0))</f>
        <v>0</v>
      </c>
      <c r="AC240" s="4">
        <f>IF($B$224=0,0,IF(AC$2&gt;=$A240,IF(AC$2=$A240,($B240/$B$224)*$B$221,IF(AC$2&lt;=$A240+$B$224-1,$B240/$B$224,$B240-SUM($C240:AB240))),0))</f>
        <v>0</v>
      </c>
      <c r="AD240" s="4">
        <f>IF($B$224=0,0,IF(AD$2&gt;=$A240,IF(AD$2=$A240,($B240/$B$224)*$B$221,IF(AD$2&lt;=$A240+$B$224-1,$B240/$B$224,$B240-SUM($C240:AC240))),0))</f>
        <v>0</v>
      </c>
      <c r="AE240" s="4">
        <f>IF($B$224=0,0,IF(AE$2&gt;=$A240,IF(AE$2=$A240,($B240/$B$224)*$B$221,IF(AE$2&lt;=$A240+$B$224-1,$B240/$B$224,$B240-SUM($C240:AD240))),0))</f>
        <v>0</v>
      </c>
      <c r="AF240" s="4">
        <f>IF($B$224=0,0,IF(AF$2&gt;=$A240,IF(AF$2=$A240,($B240/$B$224)*$B$221,IF(AF$2&lt;=$A240+$B$224-1,$B240/$B$224,$B240-SUM($C240:AE240))),0))</f>
        <v>0</v>
      </c>
      <c r="AG240" s="4">
        <f t="shared" si="172"/>
        <v>0</v>
      </c>
    </row>
    <row r="241" spans="1:33">
      <c r="A241" s="6">
        <f t="shared" si="173"/>
        <v>2038</v>
      </c>
      <c r="B241" s="4">
        <f t="shared" si="171"/>
        <v>0</v>
      </c>
      <c r="C241" s="4">
        <f>IF($B$224=0,0,IF(C$2&gt;=$A241,IF(C$2=$A241,($B241/$B$224)*$B$221,IF(C$2&lt;=$A241+$B$224-1,$B241/$B$224,$B241-SUM(B241:$C241))),0))</f>
        <v>0</v>
      </c>
      <c r="D241" s="4">
        <f>IF($B$224=0,0,IF(D$2&gt;=$A241,IF(D$2=$A241,($B241/$B$224)*$B$221,IF(D$2&lt;=$A241+$B$224-1,$B241/$B$224,$B241-SUM(C241:$C241))),0))</f>
        <v>0</v>
      </c>
      <c r="E241" s="4">
        <f>IF($B$224=0,0,IF(E$2&gt;=$A241,IF(E$2=$A241,($B241/$B$224)*$B$221,IF(E$2&lt;=$A241+$B$224-1,$B241/$B$224,$B241-SUM($C241:D241))),0))</f>
        <v>0</v>
      </c>
      <c r="F241" s="4">
        <f>IF($B$224=0,0,IF(F$2&gt;=$A241,IF(F$2=$A241,($B241/$B$224)*$B$221,IF(F$2&lt;=$A241+$B$224-1,$B241/$B$224,$B241-SUM($C241:E241))),0))</f>
        <v>0</v>
      </c>
      <c r="G241" s="4">
        <f>IF($B$224=0,0,IF(G$2&gt;=$A241,IF(G$2=$A241,($B241/$B$224)*$B$221,IF(G$2&lt;=$A241+$B$224-1,$B241/$B$224,$B241-SUM($C241:F241))),0))</f>
        <v>0</v>
      </c>
      <c r="H241" s="4">
        <f>IF($B$224=0,0,IF(H$2&gt;=$A241,IF(H$2=$A241,($B241/$B$224)*$B$221,IF(H$2&lt;=$A241+$B$224-1,$B241/$B$224,$B241-SUM($C241:G241))),0))</f>
        <v>0</v>
      </c>
      <c r="I241" s="4">
        <f>IF($B$224=0,0,IF(I$2&gt;=$A241,IF(I$2=$A241,($B241/$B$224)*$B$221,IF(I$2&lt;=$A241+$B$224-1,$B241/$B$224,$B241-SUM($C241:H241))),0))</f>
        <v>0</v>
      </c>
      <c r="J241" s="4">
        <f>IF($B$224=0,0,IF(J$2&gt;=$A241,IF(J$2=$A241,($B241/$B$224)*$B$221,IF(J$2&lt;=$A241+$B$224-1,$B241/$B$224,$B241-SUM($C241:I241))),0))</f>
        <v>0</v>
      </c>
      <c r="K241" s="4">
        <f>IF($B$224=0,0,IF(K$2&gt;=$A241,IF(K$2=$A241,($B241/$B$224)*$B$221,IF(K$2&lt;=$A241+$B$224-1,$B241/$B$224,$B241-SUM($C241:J241))),0))</f>
        <v>0</v>
      </c>
      <c r="L241" s="4">
        <f>IF($B$224=0,0,IF(L$2&gt;=$A241,IF(L$2=$A241,($B241/$B$224)*$B$221,IF(L$2&lt;=$A241+$B$224-1,$B241/$B$224,$B241-SUM($C241:K241))),0))</f>
        <v>0</v>
      </c>
      <c r="M241" s="4">
        <f>IF($B$224=0,0,IF(M$2&gt;=$A241,IF(M$2=$A241,($B241/$B$224)*$B$221,IF(M$2&lt;=$A241+$B$224-1,$B241/$B$224,$B241-SUM($C241:L241))),0))</f>
        <v>0</v>
      </c>
      <c r="N241" s="4">
        <f>IF($B$224=0,0,IF(N$2&gt;=$A241,IF(N$2=$A241,($B241/$B$224)*$B$221,IF(N$2&lt;=$A241+$B$224-1,$B241/$B$224,$B241-SUM($C241:M241))),0))</f>
        <v>0</v>
      </c>
      <c r="O241" s="4">
        <f>IF($B$224=0,0,IF(O$2&gt;=$A241,IF(O$2=$A241,($B241/$B$224)*$B$221,IF(O$2&lt;=$A241+$B$224-1,$B241/$B$224,$B241-SUM($C241:N241))),0))</f>
        <v>0</v>
      </c>
      <c r="P241" s="4">
        <f>IF($B$224=0,0,IF(P$2&gt;=$A241,IF(P$2=$A241,($B241/$B$224)*$B$221,IF(P$2&lt;=$A241+$B$224-1,$B241/$B$224,$B241-SUM($C241:O241))),0))</f>
        <v>0</v>
      </c>
      <c r="Q241" s="4">
        <f>IF($B$224=0,0,IF(Q$2&gt;=$A241,IF(Q$2=$A241,($B241/$B$224)*$B$221,IF(Q$2&lt;=$A241+$B$224-1,$B241/$B$224,$B241-SUM($C241:P241))),0))</f>
        <v>0</v>
      </c>
      <c r="R241" s="4">
        <f>IF($B$224=0,0,IF(R$2&gt;=$A241,IF(R$2=$A241,($B241/$B$224)*$B$221,IF(R$2&lt;=$A241+$B$224-1,$B241/$B$224,$B241-SUM($C241:Q241))),0))</f>
        <v>0</v>
      </c>
      <c r="S241" s="4">
        <f>IF($B$224=0,0,IF(S$2&gt;=$A241,IF(S$2=$A241,($B241/$B$224)*$B$221,IF(S$2&lt;=$A241+$B$224-1,$B241/$B$224,$B241-SUM($C241:R241))),0))</f>
        <v>0</v>
      </c>
      <c r="T241" s="4">
        <f>IF($B$224=0,0,IF(T$2&gt;=$A241,IF(T$2=$A241,($B241/$B$224)*$B$221,IF(T$2&lt;=$A241+$B$224-1,$B241/$B$224,$B241-SUM($C241:S241))),0))</f>
        <v>0</v>
      </c>
      <c r="U241" s="4">
        <f>IF($B$224=0,0,IF(U$2&gt;=$A241,IF(U$2=$A241,($B241/$B$224)*$B$221,IF(U$2&lt;=$A241+$B$224-1,$B241/$B$224,$B241-SUM($C241:T241))),0))</f>
        <v>0</v>
      </c>
      <c r="V241" s="4">
        <f>IF($B$224=0,0,IF(V$2&gt;=$A241,IF(V$2=$A241,($B241/$B$224)*$B$221,IF(V$2&lt;=$A241+$B$224-1,$B241/$B$224,$B241-SUM($C241:U241))),0))</f>
        <v>0</v>
      </c>
      <c r="W241" s="4">
        <f>IF($B$224=0,0,IF(W$2&gt;=$A241,IF(W$2=$A241,($B241/$B$224)*$B$221,IF(W$2&lt;=$A241+$B$224-1,$B241/$B$224,$B241-SUM($C241:V241))),0))</f>
        <v>0</v>
      </c>
      <c r="X241" s="4">
        <f>IF($B$224=0,0,IF(X$2&gt;=$A241,IF(X$2=$A241,($B241/$B$224)*$B$221,IF(X$2&lt;=$A241+$B$224-1,$B241/$B$224,$B241-SUM($C241:W241))),0))</f>
        <v>0</v>
      </c>
      <c r="Y241" s="4">
        <f>IF($B$224=0,0,IF(Y$2&gt;=$A241,IF(Y$2=$A241,($B241/$B$224)*$B$221,IF(Y$2&lt;=$A241+$B$224-1,$B241/$B$224,$B241-SUM($C241:X241))),0))</f>
        <v>0</v>
      </c>
      <c r="Z241" s="4">
        <f>IF($B$224=0,0,IF(Z$2&gt;=$A241,IF(Z$2=$A241,($B241/$B$224)*$B$221,IF(Z$2&lt;=$A241+$B$224-1,$B241/$B$224,$B241-SUM($C241:Y241))),0))</f>
        <v>0</v>
      </c>
      <c r="AA241" s="4">
        <f>IF($B$224=0,0,IF(AA$2&gt;=$A241,IF(AA$2=$A241,($B241/$B$224)*$B$221,IF(AA$2&lt;=$A241+$B$224-1,$B241/$B$224,$B241-SUM($C241:Z241))),0))</f>
        <v>0</v>
      </c>
      <c r="AB241" s="4">
        <f>IF($B$224=0,0,IF(AB$2&gt;=$A241,IF(AB$2=$A241,($B241/$B$224)*$B$221,IF(AB$2&lt;=$A241+$B$224-1,$B241/$B$224,$B241-SUM($C241:AA241))),0))</f>
        <v>0</v>
      </c>
      <c r="AC241" s="4">
        <f>IF($B$224=0,0,IF(AC$2&gt;=$A241,IF(AC$2=$A241,($B241/$B$224)*$B$221,IF(AC$2&lt;=$A241+$B$224-1,$B241/$B$224,$B241-SUM($C241:AB241))),0))</f>
        <v>0</v>
      </c>
      <c r="AD241" s="4">
        <f>IF($B$224=0,0,IF(AD$2&gt;=$A241,IF(AD$2=$A241,($B241/$B$224)*$B$221,IF(AD$2&lt;=$A241+$B$224-1,$B241/$B$224,$B241-SUM($C241:AC241))),0))</f>
        <v>0</v>
      </c>
      <c r="AE241" s="4">
        <f>IF($B$224=0,0,IF(AE$2&gt;=$A241,IF(AE$2=$A241,($B241/$B$224)*$B$221,IF(AE$2&lt;=$A241+$B$224-1,$B241/$B$224,$B241-SUM($C241:AD241))),0))</f>
        <v>0</v>
      </c>
      <c r="AF241" s="4">
        <f>IF($B$224=0,0,IF(AF$2&gt;=$A241,IF(AF$2=$A241,($B241/$B$224)*$B$221,IF(AF$2&lt;=$A241+$B$224-1,$B241/$B$224,$B241-SUM($C241:AE241))),0))</f>
        <v>0</v>
      </c>
      <c r="AG241" s="4">
        <f t="shared" si="172"/>
        <v>0</v>
      </c>
    </row>
    <row r="242" spans="1:33">
      <c r="A242" s="6">
        <f t="shared" si="173"/>
        <v>2039</v>
      </c>
      <c r="B242" s="4">
        <f t="shared" si="171"/>
        <v>0</v>
      </c>
      <c r="C242" s="4">
        <f>IF($B$224=0,0,IF(C$2&gt;=$A242,IF(C$2=$A242,($B242/$B$224)*$B$221,IF(C$2&lt;=$A242+$B$224-1,$B242/$B$224,$B242-SUM(B242:$C242))),0))</f>
        <v>0</v>
      </c>
      <c r="D242" s="4">
        <f>IF($B$224=0,0,IF(D$2&gt;=$A242,IF(D$2=$A242,($B242/$B$224)*$B$221,IF(D$2&lt;=$A242+$B$224-1,$B242/$B$224,$B242-SUM(C242:$C242))),0))</f>
        <v>0</v>
      </c>
      <c r="E242" s="4">
        <f>IF($B$224=0,0,IF(E$2&gt;=$A242,IF(E$2=$A242,($B242/$B$224)*$B$221,IF(E$2&lt;=$A242+$B$224-1,$B242/$B$224,$B242-SUM($C242:D242))),0))</f>
        <v>0</v>
      </c>
      <c r="F242" s="4">
        <f>IF($B$224=0,0,IF(F$2&gt;=$A242,IF(F$2=$A242,($B242/$B$224)*$B$221,IF(F$2&lt;=$A242+$B$224-1,$B242/$B$224,$B242-SUM($C242:E242))),0))</f>
        <v>0</v>
      </c>
      <c r="G242" s="4">
        <f>IF($B$224=0,0,IF(G$2&gt;=$A242,IF(G$2=$A242,($B242/$B$224)*$B$221,IF(G$2&lt;=$A242+$B$224-1,$B242/$B$224,$B242-SUM($C242:F242))),0))</f>
        <v>0</v>
      </c>
      <c r="H242" s="4">
        <f>IF($B$224=0,0,IF(H$2&gt;=$A242,IF(H$2=$A242,($B242/$B$224)*$B$221,IF(H$2&lt;=$A242+$B$224-1,$B242/$B$224,$B242-SUM($C242:G242))),0))</f>
        <v>0</v>
      </c>
      <c r="I242" s="4">
        <f>IF($B$224=0,0,IF(I$2&gt;=$A242,IF(I$2=$A242,($B242/$B$224)*$B$221,IF(I$2&lt;=$A242+$B$224-1,$B242/$B$224,$B242-SUM($C242:H242))),0))</f>
        <v>0</v>
      </c>
      <c r="J242" s="4">
        <f>IF($B$224=0,0,IF(J$2&gt;=$A242,IF(J$2=$A242,($B242/$B$224)*$B$221,IF(J$2&lt;=$A242+$B$224-1,$B242/$B$224,$B242-SUM($C242:I242))),0))</f>
        <v>0</v>
      </c>
      <c r="K242" s="4">
        <f>IF($B$224=0,0,IF(K$2&gt;=$A242,IF(K$2=$A242,($B242/$B$224)*$B$221,IF(K$2&lt;=$A242+$B$224-1,$B242/$B$224,$B242-SUM($C242:J242))),0))</f>
        <v>0</v>
      </c>
      <c r="L242" s="4">
        <f>IF($B$224=0,0,IF(L$2&gt;=$A242,IF(L$2=$A242,($B242/$B$224)*$B$221,IF(L$2&lt;=$A242+$B$224-1,$B242/$B$224,$B242-SUM($C242:K242))),0))</f>
        <v>0</v>
      </c>
      <c r="M242" s="4">
        <f>IF($B$224=0,0,IF(M$2&gt;=$A242,IF(M$2=$A242,($B242/$B$224)*$B$221,IF(M$2&lt;=$A242+$B$224-1,$B242/$B$224,$B242-SUM($C242:L242))),0))</f>
        <v>0</v>
      </c>
      <c r="N242" s="4">
        <f>IF($B$224=0,0,IF(N$2&gt;=$A242,IF(N$2=$A242,($B242/$B$224)*$B$221,IF(N$2&lt;=$A242+$B$224-1,$B242/$B$224,$B242-SUM($C242:M242))),0))</f>
        <v>0</v>
      </c>
      <c r="O242" s="4">
        <f>IF($B$224=0,0,IF(O$2&gt;=$A242,IF(O$2=$A242,($B242/$B$224)*$B$221,IF(O$2&lt;=$A242+$B$224-1,$B242/$B$224,$B242-SUM($C242:N242))),0))</f>
        <v>0</v>
      </c>
      <c r="P242" s="4">
        <f>IF($B$224=0,0,IF(P$2&gt;=$A242,IF(P$2=$A242,($B242/$B$224)*$B$221,IF(P$2&lt;=$A242+$B$224-1,$B242/$B$224,$B242-SUM($C242:O242))),0))</f>
        <v>0</v>
      </c>
      <c r="Q242" s="4">
        <f>IF($B$224=0,0,IF(Q$2&gt;=$A242,IF(Q$2=$A242,($B242/$B$224)*$B$221,IF(Q$2&lt;=$A242+$B$224-1,$B242/$B$224,$B242-SUM($C242:P242))),0))</f>
        <v>0</v>
      </c>
      <c r="R242" s="4">
        <f>IF($B$224=0,0,IF(R$2&gt;=$A242,IF(R$2=$A242,($B242/$B$224)*$B$221,IF(R$2&lt;=$A242+$B$224-1,$B242/$B$224,$B242-SUM($C242:Q242))),0))</f>
        <v>0</v>
      </c>
      <c r="S242" s="4">
        <f>IF($B$224=0,0,IF(S$2&gt;=$A242,IF(S$2=$A242,($B242/$B$224)*$B$221,IF(S$2&lt;=$A242+$B$224-1,$B242/$B$224,$B242-SUM($C242:R242))),0))</f>
        <v>0</v>
      </c>
      <c r="T242" s="4">
        <f>IF($B$224=0,0,IF(T$2&gt;=$A242,IF(T$2=$A242,($B242/$B$224)*$B$221,IF(T$2&lt;=$A242+$B$224-1,$B242/$B$224,$B242-SUM($C242:S242))),0))</f>
        <v>0</v>
      </c>
      <c r="U242" s="4">
        <f>IF($B$224=0,0,IF(U$2&gt;=$A242,IF(U$2=$A242,($B242/$B$224)*$B$221,IF(U$2&lt;=$A242+$B$224-1,$B242/$B$224,$B242-SUM($C242:T242))),0))</f>
        <v>0</v>
      </c>
      <c r="V242" s="4">
        <f>IF($B$224=0,0,IF(V$2&gt;=$A242,IF(V$2=$A242,($B242/$B$224)*$B$221,IF(V$2&lt;=$A242+$B$224-1,$B242/$B$224,$B242-SUM($C242:U242))),0))</f>
        <v>0</v>
      </c>
      <c r="W242" s="4">
        <f>IF($B$224=0,0,IF(W$2&gt;=$A242,IF(W$2=$A242,($B242/$B$224)*$B$221,IF(W$2&lt;=$A242+$B$224-1,$B242/$B$224,$B242-SUM($C242:V242))),0))</f>
        <v>0</v>
      </c>
      <c r="X242" s="4">
        <f>IF($B$224=0,0,IF(X$2&gt;=$A242,IF(X$2=$A242,($B242/$B$224)*$B$221,IF(X$2&lt;=$A242+$B$224-1,$B242/$B$224,$B242-SUM($C242:W242))),0))</f>
        <v>0</v>
      </c>
      <c r="Y242" s="4">
        <f>IF($B$224=0,0,IF(Y$2&gt;=$A242,IF(Y$2=$A242,($B242/$B$224)*$B$221,IF(Y$2&lt;=$A242+$B$224-1,$B242/$B$224,$B242-SUM($C242:X242))),0))</f>
        <v>0</v>
      </c>
      <c r="Z242" s="4">
        <f>IF($B$224=0,0,IF(Z$2&gt;=$A242,IF(Z$2=$A242,($B242/$B$224)*$B$221,IF(Z$2&lt;=$A242+$B$224-1,$B242/$B$224,$B242-SUM($C242:Y242))),0))</f>
        <v>0</v>
      </c>
      <c r="AA242" s="4">
        <f>IF($B$224=0,0,IF(AA$2&gt;=$A242,IF(AA$2=$A242,($B242/$B$224)*$B$221,IF(AA$2&lt;=$A242+$B$224-1,$B242/$B$224,$B242-SUM($C242:Z242))),0))</f>
        <v>0</v>
      </c>
      <c r="AB242" s="4">
        <f>IF($B$224=0,0,IF(AB$2&gt;=$A242,IF(AB$2=$A242,($B242/$B$224)*$B$221,IF(AB$2&lt;=$A242+$B$224-1,$B242/$B$224,$B242-SUM($C242:AA242))),0))</f>
        <v>0</v>
      </c>
      <c r="AC242" s="4">
        <f>IF($B$224=0,0,IF(AC$2&gt;=$A242,IF(AC$2=$A242,($B242/$B$224)*$B$221,IF(AC$2&lt;=$A242+$B$224-1,$B242/$B$224,$B242-SUM($C242:AB242))),0))</f>
        <v>0</v>
      </c>
      <c r="AD242" s="4">
        <f>IF($B$224=0,0,IF(AD$2&gt;=$A242,IF(AD$2=$A242,($B242/$B$224)*$B$221,IF(AD$2&lt;=$A242+$B$224-1,$B242/$B$224,$B242-SUM($C242:AC242))),0))</f>
        <v>0</v>
      </c>
      <c r="AE242" s="4">
        <f>IF($B$224=0,0,IF(AE$2&gt;=$A242,IF(AE$2=$A242,($B242/$B$224)*$B$221,IF(AE$2&lt;=$A242+$B$224-1,$B242/$B$224,$B242-SUM($C242:AD242))),0))</f>
        <v>0</v>
      </c>
      <c r="AF242" s="4">
        <f>IF($B$224=0,0,IF(AF$2&gt;=$A242,IF(AF$2=$A242,($B242/$B$224)*$B$221,IF(AF$2&lt;=$A242+$B$224-1,$B242/$B$224,$B242-SUM($C242:AE242))),0))</f>
        <v>0</v>
      </c>
      <c r="AG242" s="4">
        <f t="shared" si="172"/>
        <v>0</v>
      </c>
    </row>
    <row r="243" spans="1:33">
      <c r="A243" s="6">
        <f t="shared" si="173"/>
        <v>2040</v>
      </c>
      <c r="B243" s="4">
        <f t="shared" si="171"/>
        <v>0</v>
      </c>
      <c r="C243" s="4">
        <f>IF($B$224=0,0,IF(C$2&gt;=$A243,IF(C$2=$A243,($B243/$B$224)*$B$221,IF(C$2&lt;=$A243+$B$224-1,$B243/$B$224,$B243-SUM(B243:$C243))),0))</f>
        <v>0</v>
      </c>
      <c r="D243" s="4">
        <f>IF($B$224=0,0,IF(D$2&gt;=$A243,IF(D$2=$A243,($B243/$B$224)*$B$221,IF(D$2&lt;=$A243+$B$224-1,$B243/$B$224,$B243-SUM(C243:$C243))),0))</f>
        <v>0</v>
      </c>
      <c r="E243" s="4">
        <f>IF($B$224=0,0,IF(E$2&gt;=$A243,IF(E$2=$A243,($B243/$B$224)*$B$221,IF(E$2&lt;=$A243+$B$224-1,$B243/$B$224,$B243-SUM($C243:D243))),0))</f>
        <v>0</v>
      </c>
      <c r="F243" s="4">
        <f>IF($B$224=0,0,IF(F$2&gt;=$A243,IF(F$2=$A243,($B243/$B$224)*$B$221,IF(F$2&lt;=$A243+$B$224-1,$B243/$B$224,$B243-SUM($C243:E243))),0))</f>
        <v>0</v>
      </c>
      <c r="G243" s="4">
        <f>IF($B$224=0,0,IF(G$2&gt;=$A243,IF(G$2=$A243,($B243/$B$224)*$B$221,IF(G$2&lt;=$A243+$B$224-1,$B243/$B$224,$B243-SUM($C243:F243))),0))</f>
        <v>0</v>
      </c>
      <c r="H243" s="4">
        <f>IF($B$224=0,0,IF(H$2&gt;=$A243,IF(H$2=$A243,($B243/$B$224)*$B$221,IF(H$2&lt;=$A243+$B$224-1,$B243/$B$224,$B243-SUM($C243:G243))),0))</f>
        <v>0</v>
      </c>
      <c r="I243" s="4">
        <f>IF($B$224=0,0,IF(I$2&gt;=$A243,IF(I$2=$A243,($B243/$B$224)*$B$221,IF(I$2&lt;=$A243+$B$224-1,$B243/$B$224,$B243-SUM($C243:H243))),0))</f>
        <v>0</v>
      </c>
      <c r="J243" s="4">
        <f>IF($B$224=0,0,IF(J$2&gt;=$A243,IF(J$2=$A243,($B243/$B$224)*$B$221,IF(J$2&lt;=$A243+$B$224-1,$B243/$B$224,$B243-SUM($C243:I243))),0))</f>
        <v>0</v>
      </c>
      <c r="K243" s="4">
        <f>IF($B$224=0,0,IF(K$2&gt;=$A243,IF(K$2=$A243,($B243/$B$224)*$B$221,IF(K$2&lt;=$A243+$B$224-1,$B243/$B$224,$B243-SUM($C243:J243))),0))</f>
        <v>0</v>
      </c>
      <c r="L243" s="4">
        <f>IF($B$224=0,0,IF(L$2&gt;=$A243,IF(L$2=$A243,($B243/$B$224)*$B$221,IF(L$2&lt;=$A243+$B$224-1,$B243/$B$224,$B243-SUM($C243:K243))),0))</f>
        <v>0</v>
      </c>
      <c r="M243" s="4">
        <f>IF($B$224=0,0,IF(M$2&gt;=$A243,IF(M$2=$A243,($B243/$B$224)*$B$221,IF(M$2&lt;=$A243+$B$224-1,$B243/$B$224,$B243-SUM($C243:L243))),0))</f>
        <v>0</v>
      </c>
      <c r="N243" s="4">
        <f>IF($B$224=0,0,IF(N$2&gt;=$A243,IF(N$2=$A243,($B243/$B$224)*$B$221,IF(N$2&lt;=$A243+$B$224-1,$B243/$B$224,$B243-SUM($C243:M243))),0))</f>
        <v>0</v>
      </c>
      <c r="O243" s="4">
        <f>IF($B$224=0,0,IF(O$2&gt;=$A243,IF(O$2=$A243,($B243/$B$224)*$B$221,IF(O$2&lt;=$A243+$B$224-1,$B243/$B$224,$B243-SUM($C243:N243))),0))</f>
        <v>0</v>
      </c>
      <c r="P243" s="4">
        <f>IF($B$224=0,0,IF(P$2&gt;=$A243,IF(P$2=$A243,($B243/$B$224)*$B$221,IF(P$2&lt;=$A243+$B$224-1,$B243/$B$224,$B243-SUM($C243:O243))),0))</f>
        <v>0</v>
      </c>
      <c r="Q243" s="4">
        <f>IF($B$224=0,0,IF(Q$2&gt;=$A243,IF(Q$2=$A243,($B243/$B$224)*$B$221,IF(Q$2&lt;=$A243+$B$224-1,$B243/$B$224,$B243-SUM($C243:P243))),0))</f>
        <v>0</v>
      </c>
      <c r="R243" s="4">
        <f>IF($B$224=0,0,IF(R$2&gt;=$A243,IF(R$2=$A243,($B243/$B$224)*$B$221,IF(R$2&lt;=$A243+$B$224-1,$B243/$B$224,$B243-SUM($C243:Q243))),0))</f>
        <v>0</v>
      </c>
      <c r="S243" s="4">
        <f>IF($B$224=0,0,IF(S$2&gt;=$A243,IF(S$2=$A243,($B243/$B$224)*$B$221,IF(S$2&lt;=$A243+$B$224-1,$B243/$B$224,$B243-SUM($C243:R243))),0))</f>
        <v>0</v>
      </c>
      <c r="T243" s="4">
        <f>IF($B$224=0,0,IF(T$2&gt;=$A243,IF(T$2=$A243,($B243/$B$224)*$B$221,IF(T$2&lt;=$A243+$B$224-1,$B243/$B$224,$B243-SUM($C243:S243))),0))</f>
        <v>0</v>
      </c>
      <c r="U243" s="4">
        <f>IF($B$224=0,0,IF(U$2&gt;=$A243,IF(U$2=$A243,($B243/$B$224)*$B$221,IF(U$2&lt;=$A243+$B$224-1,$B243/$B$224,$B243-SUM($C243:T243))),0))</f>
        <v>0</v>
      </c>
      <c r="V243" s="4">
        <f>IF($B$224=0,0,IF(V$2&gt;=$A243,IF(V$2=$A243,($B243/$B$224)*$B$221,IF(V$2&lt;=$A243+$B$224-1,$B243/$B$224,$B243-SUM($C243:U243))),0))</f>
        <v>0</v>
      </c>
      <c r="W243" s="4">
        <f>IF($B$224=0,0,IF(W$2&gt;=$A243,IF(W$2=$A243,($B243/$B$224)*$B$221,IF(W$2&lt;=$A243+$B$224-1,$B243/$B$224,$B243-SUM($C243:V243))),0))</f>
        <v>0</v>
      </c>
      <c r="X243" s="4">
        <f>IF($B$224=0,0,IF(X$2&gt;=$A243,IF(X$2=$A243,($B243/$B$224)*$B$221,IF(X$2&lt;=$A243+$B$224-1,$B243/$B$224,$B243-SUM($C243:W243))),0))</f>
        <v>0</v>
      </c>
      <c r="Y243" s="4">
        <f>IF($B$224=0,0,IF(Y$2&gt;=$A243,IF(Y$2=$A243,($B243/$B$224)*$B$221,IF(Y$2&lt;=$A243+$B$224-1,$B243/$B$224,$B243-SUM($C243:X243))),0))</f>
        <v>0</v>
      </c>
      <c r="Z243" s="4">
        <f>IF($B$224=0,0,IF(Z$2&gt;=$A243,IF(Z$2=$A243,($B243/$B$224)*$B$221,IF(Z$2&lt;=$A243+$B$224-1,$B243/$B$224,$B243-SUM($C243:Y243))),0))</f>
        <v>0</v>
      </c>
      <c r="AA243" s="4">
        <f>IF($B$224=0,0,IF(AA$2&gt;=$A243,IF(AA$2=$A243,($B243/$B$224)*$B$221,IF(AA$2&lt;=$A243+$B$224-1,$B243/$B$224,$B243-SUM($C243:Z243))),0))</f>
        <v>0</v>
      </c>
      <c r="AB243" s="4">
        <f>IF($B$224=0,0,IF(AB$2&gt;=$A243,IF(AB$2=$A243,($B243/$B$224)*$B$221,IF(AB$2&lt;=$A243+$B$224-1,$B243/$B$224,$B243-SUM($C243:AA243))),0))</f>
        <v>0</v>
      </c>
      <c r="AC243" s="4">
        <f>IF($B$224=0,0,IF(AC$2&gt;=$A243,IF(AC$2=$A243,($B243/$B$224)*$B$221,IF(AC$2&lt;=$A243+$B$224-1,$B243/$B$224,$B243-SUM($C243:AB243))),0))</f>
        <v>0</v>
      </c>
      <c r="AD243" s="4">
        <f>IF($B$224=0,0,IF(AD$2&gt;=$A243,IF(AD$2=$A243,($B243/$B$224)*$B$221,IF(AD$2&lt;=$A243+$B$224-1,$B243/$B$224,$B243-SUM($C243:AC243))),0))</f>
        <v>0</v>
      </c>
      <c r="AE243" s="4">
        <f>IF($B$224=0,0,IF(AE$2&gt;=$A243,IF(AE$2=$A243,($B243/$B$224)*$B$221,IF(AE$2&lt;=$A243+$B$224-1,$B243/$B$224,$B243-SUM($C243:AD243))),0))</f>
        <v>0</v>
      </c>
      <c r="AF243" s="4">
        <f>IF($B$224=0,0,IF(AF$2&gt;=$A243,IF(AF$2=$A243,($B243/$B$224)*$B$221,IF(AF$2&lt;=$A243+$B$224-1,$B243/$B$224,$B243-SUM($C243:AE243))),0))</f>
        <v>0</v>
      </c>
      <c r="AG243" s="4">
        <f t="shared" si="172"/>
        <v>0</v>
      </c>
    </row>
    <row r="244" spans="1:33">
      <c r="A244" s="6">
        <f t="shared" si="173"/>
        <v>2041</v>
      </c>
      <c r="B244" s="4">
        <f t="shared" si="171"/>
        <v>0</v>
      </c>
      <c r="C244" s="4">
        <f>IF($B$224=0,0,IF(C$2&gt;=$A244,IF(C$2=$A244,($B244/$B$224)*$B$221,IF(C$2&lt;=$A244+$B$224-1,$B244/$B$224,$B244-SUM(B244:$C244))),0))</f>
        <v>0</v>
      </c>
      <c r="D244" s="4">
        <f>IF($B$224=0,0,IF(D$2&gt;=$A244,IF(D$2=$A244,($B244/$B$224)*$B$221,IF(D$2&lt;=$A244+$B$224-1,$B244/$B$224,$B244-SUM(C244:$C244))),0))</f>
        <v>0</v>
      </c>
      <c r="E244" s="4">
        <f>IF($B$224=0,0,IF(E$2&gt;=$A244,IF(E$2=$A244,($B244/$B$224)*$B$221,IF(E$2&lt;=$A244+$B$224-1,$B244/$B$224,$B244-SUM($C244:D244))),0))</f>
        <v>0</v>
      </c>
      <c r="F244" s="4">
        <f>IF($B$224=0,0,IF(F$2&gt;=$A244,IF(F$2=$A244,($B244/$B$224)*$B$221,IF(F$2&lt;=$A244+$B$224-1,$B244/$B$224,$B244-SUM($C244:E244))),0))</f>
        <v>0</v>
      </c>
      <c r="G244" s="4">
        <f>IF($B$224=0,0,IF(G$2&gt;=$A244,IF(G$2=$A244,($B244/$B$224)*$B$221,IF(G$2&lt;=$A244+$B$224-1,$B244/$B$224,$B244-SUM($C244:F244))),0))</f>
        <v>0</v>
      </c>
      <c r="H244" s="4">
        <f>IF($B$224=0,0,IF(H$2&gt;=$A244,IF(H$2=$A244,($B244/$B$224)*$B$221,IF(H$2&lt;=$A244+$B$224-1,$B244/$B$224,$B244-SUM($C244:G244))),0))</f>
        <v>0</v>
      </c>
      <c r="I244" s="4">
        <f>IF($B$224=0,0,IF(I$2&gt;=$A244,IF(I$2=$A244,($B244/$B$224)*$B$221,IF(I$2&lt;=$A244+$B$224-1,$B244/$B$224,$B244-SUM($C244:H244))),0))</f>
        <v>0</v>
      </c>
      <c r="J244" s="4">
        <f>IF($B$224=0,0,IF(J$2&gt;=$A244,IF(J$2=$A244,($B244/$B$224)*$B$221,IF(J$2&lt;=$A244+$B$224-1,$B244/$B$224,$B244-SUM($C244:I244))),0))</f>
        <v>0</v>
      </c>
      <c r="K244" s="4">
        <f>IF($B$224=0,0,IF(K$2&gt;=$A244,IF(K$2=$A244,($B244/$B$224)*$B$221,IF(K$2&lt;=$A244+$B$224-1,$B244/$B$224,$B244-SUM($C244:J244))),0))</f>
        <v>0</v>
      </c>
      <c r="L244" s="4">
        <f>IF($B$224=0,0,IF(L$2&gt;=$A244,IF(L$2=$A244,($B244/$B$224)*$B$221,IF(L$2&lt;=$A244+$B$224-1,$B244/$B$224,$B244-SUM($C244:K244))),0))</f>
        <v>0</v>
      </c>
      <c r="M244" s="4">
        <f>IF($B$224=0,0,IF(M$2&gt;=$A244,IF(M$2=$A244,($B244/$B$224)*$B$221,IF(M$2&lt;=$A244+$B$224-1,$B244/$B$224,$B244-SUM($C244:L244))),0))</f>
        <v>0</v>
      </c>
      <c r="N244" s="4">
        <f>IF($B$224=0,0,IF(N$2&gt;=$A244,IF(N$2=$A244,($B244/$B$224)*$B$221,IF(N$2&lt;=$A244+$B$224-1,$B244/$B$224,$B244-SUM($C244:M244))),0))</f>
        <v>0</v>
      </c>
      <c r="O244" s="4">
        <f>IF($B$224=0,0,IF(O$2&gt;=$A244,IF(O$2=$A244,($B244/$B$224)*$B$221,IF(O$2&lt;=$A244+$B$224-1,$B244/$B$224,$B244-SUM($C244:N244))),0))</f>
        <v>0</v>
      </c>
      <c r="P244" s="4">
        <f>IF($B$224=0,0,IF(P$2&gt;=$A244,IF(P$2=$A244,($B244/$B$224)*$B$221,IF(P$2&lt;=$A244+$B$224-1,$B244/$B$224,$B244-SUM($C244:O244))),0))</f>
        <v>0</v>
      </c>
      <c r="Q244" s="4">
        <f>IF($B$224=0,0,IF(Q$2&gt;=$A244,IF(Q$2=$A244,($B244/$B$224)*$B$221,IF(Q$2&lt;=$A244+$B$224-1,$B244/$B$224,$B244-SUM($C244:P244))),0))</f>
        <v>0</v>
      </c>
      <c r="R244" s="4">
        <f>IF($B$224=0,0,IF(R$2&gt;=$A244,IF(R$2=$A244,($B244/$B$224)*$B$221,IF(R$2&lt;=$A244+$B$224-1,$B244/$B$224,$B244-SUM($C244:Q244))),0))</f>
        <v>0</v>
      </c>
      <c r="S244" s="4">
        <f>IF($B$224=0,0,IF(S$2&gt;=$A244,IF(S$2=$A244,($B244/$B$224)*$B$221,IF(S$2&lt;=$A244+$B$224-1,$B244/$B$224,$B244-SUM($C244:R244))),0))</f>
        <v>0</v>
      </c>
      <c r="T244" s="4">
        <f>IF($B$224=0,0,IF(T$2&gt;=$A244,IF(T$2=$A244,($B244/$B$224)*$B$221,IF(T$2&lt;=$A244+$B$224-1,$B244/$B$224,$B244-SUM($C244:S244))),0))</f>
        <v>0</v>
      </c>
      <c r="U244" s="4">
        <f>IF($B$224=0,0,IF(U$2&gt;=$A244,IF(U$2=$A244,($B244/$B$224)*$B$221,IF(U$2&lt;=$A244+$B$224-1,$B244/$B$224,$B244-SUM($C244:T244))),0))</f>
        <v>0</v>
      </c>
      <c r="V244" s="4">
        <f>IF($B$224=0,0,IF(V$2&gt;=$A244,IF(V$2=$A244,($B244/$B$224)*$B$221,IF(V$2&lt;=$A244+$B$224-1,$B244/$B$224,$B244-SUM($C244:U244))),0))</f>
        <v>0</v>
      </c>
      <c r="W244" s="4">
        <f>IF($B$224=0,0,IF(W$2&gt;=$A244,IF(W$2=$A244,($B244/$B$224)*$B$221,IF(W$2&lt;=$A244+$B$224-1,$B244/$B$224,$B244-SUM($C244:V244))),0))</f>
        <v>0</v>
      </c>
      <c r="X244" s="4">
        <f>IF($B$224=0,0,IF(X$2&gt;=$A244,IF(X$2=$A244,($B244/$B$224)*$B$221,IF(X$2&lt;=$A244+$B$224-1,$B244/$B$224,$B244-SUM($C244:W244))),0))</f>
        <v>0</v>
      </c>
      <c r="Y244" s="4">
        <f>IF($B$224=0,0,IF(Y$2&gt;=$A244,IF(Y$2=$A244,($B244/$B$224)*$B$221,IF(Y$2&lt;=$A244+$B$224-1,$B244/$B$224,$B244-SUM($C244:X244))),0))</f>
        <v>0</v>
      </c>
      <c r="Z244" s="4">
        <f>IF($B$224=0,0,IF(Z$2&gt;=$A244,IF(Z$2=$A244,($B244/$B$224)*$B$221,IF(Z$2&lt;=$A244+$B$224-1,$B244/$B$224,$B244-SUM($C244:Y244))),0))</f>
        <v>0</v>
      </c>
      <c r="AA244" s="4">
        <f>IF($B$224=0,0,IF(AA$2&gt;=$A244,IF(AA$2=$A244,($B244/$B$224)*$B$221,IF(AA$2&lt;=$A244+$B$224-1,$B244/$B$224,$B244-SUM($C244:Z244))),0))</f>
        <v>0</v>
      </c>
      <c r="AB244" s="4">
        <f>IF($B$224=0,0,IF(AB$2&gt;=$A244,IF(AB$2=$A244,($B244/$B$224)*$B$221,IF(AB$2&lt;=$A244+$B$224-1,$B244/$B$224,$B244-SUM($C244:AA244))),0))</f>
        <v>0</v>
      </c>
      <c r="AC244" s="4">
        <f>IF($B$224=0,0,IF(AC$2&gt;=$A244,IF(AC$2=$A244,($B244/$B$224)*$B$221,IF(AC$2&lt;=$A244+$B$224-1,$B244/$B$224,$B244-SUM($C244:AB244))),0))</f>
        <v>0</v>
      </c>
      <c r="AD244" s="4">
        <f>IF($B$224=0,0,IF(AD$2&gt;=$A244,IF(AD$2=$A244,($B244/$B$224)*$B$221,IF(AD$2&lt;=$A244+$B$224-1,$B244/$B$224,$B244-SUM($C244:AC244))),0))</f>
        <v>0</v>
      </c>
      <c r="AE244" s="4">
        <f>IF($B$224=0,0,IF(AE$2&gt;=$A244,IF(AE$2=$A244,($B244/$B$224)*$B$221,IF(AE$2&lt;=$A244+$B$224-1,$B244/$B$224,$B244-SUM($C244:AD244))),0))</f>
        <v>0</v>
      </c>
      <c r="AF244" s="4">
        <f>IF($B$224=0,0,IF(AF$2&gt;=$A244,IF(AF$2=$A244,($B244/$B$224)*$B$221,IF(AF$2&lt;=$A244+$B$224-1,$B244/$B$224,$B244-SUM($C244:AE244))),0))</f>
        <v>0</v>
      </c>
      <c r="AG244" s="4">
        <f t="shared" si="172"/>
        <v>0</v>
      </c>
    </row>
    <row r="245" spans="1:33">
      <c r="A245" s="6">
        <f t="shared" si="173"/>
        <v>2042</v>
      </c>
      <c r="B245" s="4">
        <f t="shared" si="171"/>
        <v>0</v>
      </c>
      <c r="C245" s="4">
        <f>IF($B$224=0,0,IF(C$2&gt;=$A245,IF(C$2=$A245,($B245/$B$224)*$B$221,IF(C$2&lt;=$A245+$B$224-1,$B245/$B$224,$B245-SUM(B245:$C245))),0))</f>
        <v>0</v>
      </c>
      <c r="D245" s="4">
        <f>IF($B$224=0,0,IF(D$2&gt;=$A245,IF(D$2=$A245,($B245/$B$224)*$B$221,IF(D$2&lt;=$A245+$B$224-1,$B245/$B$224,$B245-SUM(C245:$C245))),0))</f>
        <v>0</v>
      </c>
      <c r="E245" s="4">
        <f>IF($B$224=0,0,IF(E$2&gt;=$A245,IF(E$2=$A245,($B245/$B$224)*$B$221,IF(E$2&lt;=$A245+$B$224-1,$B245/$B$224,$B245-SUM($C245:D245))),0))</f>
        <v>0</v>
      </c>
      <c r="F245" s="4">
        <f>IF($B$224=0,0,IF(F$2&gt;=$A245,IF(F$2=$A245,($B245/$B$224)*$B$221,IF(F$2&lt;=$A245+$B$224-1,$B245/$B$224,$B245-SUM($C245:E245))),0))</f>
        <v>0</v>
      </c>
      <c r="G245" s="4">
        <f>IF($B$224=0,0,IF(G$2&gt;=$A245,IF(G$2=$A245,($B245/$B$224)*$B$221,IF(G$2&lt;=$A245+$B$224-1,$B245/$B$224,$B245-SUM($C245:F245))),0))</f>
        <v>0</v>
      </c>
      <c r="H245" s="4">
        <f>IF($B$224=0,0,IF(H$2&gt;=$A245,IF(H$2=$A245,($B245/$B$224)*$B$221,IF(H$2&lt;=$A245+$B$224-1,$B245/$B$224,$B245-SUM($C245:G245))),0))</f>
        <v>0</v>
      </c>
      <c r="I245" s="4">
        <f>IF($B$224=0,0,IF(I$2&gt;=$A245,IF(I$2=$A245,($B245/$B$224)*$B$221,IF(I$2&lt;=$A245+$B$224-1,$B245/$B$224,$B245-SUM($C245:H245))),0))</f>
        <v>0</v>
      </c>
      <c r="J245" s="4">
        <f>IF($B$224=0,0,IF(J$2&gt;=$A245,IF(J$2=$A245,($B245/$B$224)*$B$221,IF(J$2&lt;=$A245+$B$224-1,$B245/$B$224,$B245-SUM($C245:I245))),0))</f>
        <v>0</v>
      </c>
      <c r="K245" s="4">
        <f>IF($B$224=0,0,IF(K$2&gt;=$A245,IF(K$2=$A245,($B245/$B$224)*$B$221,IF(K$2&lt;=$A245+$B$224-1,$B245/$B$224,$B245-SUM($C245:J245))),0))</f>
        <v>0</v>
      </c>
      <c r="L245" s="4">
        <f>IF($B$224=0,0,IF(L$2&gt;=$A245,IF(L$2=$A245,($B245/$B$224)*$B$221,IF(L$2&lt;=$A245+$B$224-1,$B245/$B$224,$B245-SUM($C245:K245))),0))</f>
        <v>0</v>
      </c>
      <c r="M245" s="4">
        <f>IF($B$224=0,0,IF(M$2&gt;=$A245,IF(M$2=$A245,($B245/$B$224)*$B$221,IF(M$2&lt;=$A245+$B$224-1,$B245/$B$224,$B245-SUM($C245:L245))),0))</f>
        <v>0</v>
      </c>
      <c r="N245" s="4">
        <f>IF($B$224=0,0,IF(N$2&gt;=$A245,IF(N$2=$A245,($B245/$B$224)*$B$221,IF(N$2&lt;=$A245+$B$224-1,$B245/$B$224,$B245-SUM($C245:M245))),0))</f>
        <v>0</v>
      </c>
      <c r="O245" s="4">
        <f>IF($B$224=0,0,IF(O$2&gt;=$A245,IF(O$2=$A245,($B245/$B$224)*$B$221,IF(O$2&lt;=$A245+$B$224-1,$B245/$B$224,$B245-SUM($C245:N245))),0))</f>
        <v>0</v>
      </c>
      <c r="P245" s="4">
        <f>IF($B$224=0,0,IF(P$2&gt;=$A245,IF(P$2=$A245,($B245/$B$224)*$B$221,IF(P$2&lt;=$A245+$B$224-1,$B245/$B$224,$B245-SUM($C245:O245))),0))</f>
        <v>0</v>
      </c>
      <c r="Q245" s="4">
        <f>IF($B$224=0,0,IF(Q$2&gt;=$A245,IF(Q$2=$A245,($B245/$B$224)*$B$221,IF(Q$2&lt;=$A245+$B$224-1,$B245/$B$224,$B245-SUM($C245:P245))),0))</f>
        <v>0</v>
      </c>
      <c r="R245" s="4">
        <f>IF($B$224=0,0,IF(R$2&gt;=$A245,IF(R$2=$A245,($B245/$B$224)*$B$221,IF(R$2&lt;=$A245+$B$224-1,$B245/$B$224,$B245-SUM($C245:Q245))),0))</f>
        <v>0</v>
      </c>
      <c r="S245" s="4">
        <f>IF($B$224=0,0,IF(S$2&gt;=$A245,IF(S$2=$A245,($B245/$B$224)*$B$221,IF(S$2&lt;=$A245+$B$224-1,$B245/$B$224,$B245-SUM($C245:R245))),0))</f>
        <v>0</v>
      </c>
      <c r="T245" s="4">
        <f>IF($B$224=0,0,IF(T$2&gt;=$A245,IF(T$2=$A245,($B245/$B$224)*$B$221,IF(T$2&lt;=$A245+$B$224-1,$B245/$B$224,$B245-SUM($C245:S245))),0))</f>
        <v>0</v>
      </c>
      <c r="U245" s="4">
        <f>IF($B$224=0,0,IF(U$2&gt;=$A245,IF(U$2=$A245,($B245/$B$224)*$B$221,IF(U$2&lt;=$A245+$B$224-1,$B245/$B$224,$B245-SUM($C245:T245))),0))</f>
        <v>0</v>
      </c>
      <c r="V245" s="4">
        <f>IF($B$224=0,0,IF(V$2&gt;=$A245,IF(V$2=$A245,($B245/$B$224)*$B$221,IF(V$2&lt;=$A245+$B$224-1,$B245/$B$224,$B245-SUM($C245:U245))),0))</f>
        <v>0</v>
      </c>
      <c r="W245" s="4">
        <f>IF($B$224=0,0,IF(W$2&gt;=$A245,IF(W$2=$A245,($B245/$B$224)*$B$221,IF(W$2&lt;=$A245+$B$224-1,$B245/$B$224,$B245-SUM($C245:V245))),0))</f>
        <v>0</v>
      </c>
      <c r="X245" s="4">
        <f>IF($B$224=0,0,IF(X$2&gt;=$A245,IF(X$2=$A245,($B245/$B$224)*$B$221,IF(X$2&lt;=$A245+$B$224-1,$B245/$B$224,$B245-SUM($C245:W245))),0))</f>
        <v>0</v>
      </c>
      <c r="Y245" s="4">
        <f>IF($B$224=0,0,IF(Y$2&gt;=$A245,IF(Y$2=$A245,($B245/$B$224)*$B$221,IF(Y$2&lt;=$A245+$B$224-1,$B245/$B$224,$B245-SUM($C245:X245))),0))</f>
        <v>0</v>
      </c>
      <c r="Z245" s="4">
        <f>IF($B$224=0,0,IF(Z$2&gt;=$A245,IF(Z$2=$A245,($B245/$B$224)*$B$221,IF(Z$2&lt;=$A245+$B$224-1,$B245/$B$224,$B245-SUM($C245:Y245))),0))</f>
        <v>0</v>
      </c>
      <c r="AA245" s="4">
        <f>IF($B$224=0,0,IF(AA$2&gt;=$A245,IF(AA$2=$A245,($B245/$B$224)*$B$221,IF(AA$2&lt;=$A245+$B$224-1,$B245/$B$224,$B245-SUM($C245:Z245))),0))</f>
        <v>0</v>
      </c>
      <c r="AB245" s="4">
        <f>IF($B$224=0,0,IF(AB$2&gt;=$A245,IF(AB$2=$A245,($B245/$B$224)*$B$221,IF(AB$2&lt;=$A245+$B$224-1,$B245/$B$224,$B245-SUM($C245:AA245))),0))</f>
        <v>0</v>
      </c>
      <c r="AC245" s="4">
        <f>IF($B$224=0,0,IF(AC$2&gt;=$A245,IF(AC$2=$A245,($B245/$B$224)*$B$221,IF(AC$2&lt;=$A245+$B$224-1,$B245/$B$224,$B245-SUM($C245:AB245))),0))</f>
        <v>0</v>
      </c>
      <c r="AD245" s="4">
        <f>IF($B$224=0,0,IF(AD$2&gt;=$A245,IF(AD$2=$A245,($B245/$B$224)*$B$221,IF(AD$2&lt;=$A245+$B$224-1,$B245/$B$224,$B245-SUM($C245:AC245))),0))</f>
        <v>0</v>
      </c>
      <c r="AE245" s="4">
        <f>IF($B$224=0,0,IF(AE$2&gt;=$A245,IF(AE$2=$A245,($B245/$B$224)*$B$221,IF(AE$2&lt;=$A245+$B$224-1,$B245/$B$224,$B245-SUM($C245:AD245))),0))</f>
        <v>0</v>
      </c>
      <c r="AF245" s="4">
        <f>IF($B$224=0,0,IF(AF$2&gt;=$A245,IF(AF$2=$A245,($B245/$B$224)*$B$221,IF(AF$2&lt;=$A245+$B$224-1,$B245/$B$224,$B245-SUM($C245:AE245))),0))</f>
        <v>0</v>
      </c>
      <c r="AG245" s="4">
        <f t="shared" si="172"/>
        <v>0</v>
      </c>
    </row>
    <row r="246" spans="1:33">
      <c r="A246" s="6">
        <f t="shared" si="173"/>
        <v>2043</v>
      </c>
      <c r="B246" s="4">
        <f t="shared" si="171"/>
        <v>0</v>
      </c>
      <c r="C246" s="4">
        <f>IF($B$224=0,0,IF(C$2&gt;=$A246,IF(C$2=$A246,($B246/$B$224)*$B$221,IF(C$2&lt;=$A246+$B$224-1,$B246/$B$224,$B246-SUM(B246:$C246))),0))</f>
        <v>0</v>
      </c>
      <c r="D246" s="4">
        <f>IF($B$224=0,0,IF(D$2&gt;=$A246,IF(D$2=$A246,($B246/$B$224)*$B$221,IF(D$2&lt;=$A246+$B$224-1,$B246/$B$224,$B246-SUM(C246:$C246))),0))</f>
        <v>0</v>
      </c>
      <c r="E246" s="4">
        <f>IF($B$224=0,0,IF(E$2&gt;=$A246,IF(E$2=$A246,($B246/$B$224)*$B$221,IF(E$2&lt;=$A246+$B$224-1,$B246/$B$224,$B246-SUM($C246:D246))),0))</f>
        <v>0</v>
      </c>
      <c r="F246" s="4">
        <f>IF($B$224=0,0,IF(F$2&gt;=$A246,IF(F$2=$A246,($B246/$B$224)*$B$221,IF(F$2&lt;=$A246+$B$224-1,$B246/$B$224,$B246-SUM($C246:E246))),0))</f>
        <v>0</v>
      </c>
      <c r="G246" s="4">
        <f>IF($B$224=0,0,IF(G$2&gt;=$A246,IF(G$2=$A246,($B246/$B$224)*$B$221,IF(G$2&lt;=$A246+$B$224-1,$B246/$B$224,$B246-SUM($C246:F246))),0))</f>
        <v>0</v>
      </c>
      <c r="H246" s="4">
        <f>IF($B$224=0,0,IF(H$2&gt;=$A246,IF(H$2=$A246,($B246/$B$224)*$B$221,IF(H$2&lt;=$A246+$B$224-1,$B246/$B$224,$B246-SUM($C246:G246))),0))</f>
        <v>0</v>
      </c>
      <c r="I246" s="4">
        <f>IF($B$224=0,0,IF(I$2&gt;=$A246,IF(I$2=$A246,($B246/$B$224)*$B$221,IF(I$2&lt;=$A246+$B$224-1,$B246/$B$224,$B246-SUM($C246:H246))),0))</f>
        <v>0</v>
      </c>
      <c r="J246" s="4">
        <f>IF($B$224=0,0,IF(J$2&gt;=$A246,IF(J$2=$A246,($B246/$B$224)*$B$221,IF(J$2&lt;=$A246+$B$224-1,$B246/$B$224,$B246-SUM($C246:I246))),0))</f>
        <v>0</v>
      </c>
      <c r="K246" s="4">
        <f>IF($B$224=0,0,IF(K$2&gt;=$A246,IF(K$2=$A246,($B246/$B$224)*$B$221,IF(K$2&lt;=$A246+$B$224-1,$B246/$B$224,$B246-SUM($C246:J246))),0))</f>
        <v>0</v>
      </c>
      <c r="L246" s="4">
        <f>IF($B$224=0,0,IF(L$2&gt;=$A246,IF(L$2=$A246,($B246/$B$224)*$B$221,IF(L$2&lt;=$A246+$B$224-1,$B246/$B$224,$B246-SUM($C246:K246))),0))</f>
        <v>0</v>
      </c>
      <c r="M246" s="4">
        <f>IF($B$224=0,0,IF(M$2&gt;=$A246,IF(M$2=$A246,($B246/$B$224)*$B$221,IF(M$2&lt;=$A246+$B$224-1,$B246/$B$224,$B246-SUM($C246:L246))),0))</f>
        <v>0</v>
      </c>
      <c r="N246" s="4">
        <f>IF($B$224=0,0,IF(N$2&gt;=$A246,IF(N$2=$A246,($B246/$B$224)*$B$221,IF(N$2&lt;=$A246+$B$224-1,$B246/$B$224,$B246-SUM($C246:M246))),0))</f>
        <v>0</v>
      </c>
      <c r="O246" s="4">
        <f>IF($B$224=0,0,IF(O$2&gt;=$A246,IF(O$2=$A246,($B246/$B$224)*$B$221,IF(O$2&lt;=$A246+$B$224-1,$B246/$B$224,$B246-SUM($C246:N246))),0))</f>
        <v>0</v>
      </c>
      <c r="P246" s="4">
        <f>IF($B$224=0,0,IF(P$2&gt;=$A246,IF(P$2=$A246,($B246/$B$224)*$B$221,IF(P$2&lt;=$A246+$B$224-1,$B246/$B$224,$B246-SUM($C246:O246))),0))</f>
        <v>0</v>
      </c>
      <c r="Q246" s="4">
        <f>IF($B$224=0,0,IF(Q$2&gt;=$A246,IF(Q$2=$A246,($B246/$B$224)*$B$221,IF(Q$2&lt;=$A246+$B$224-1,$B246/$B$224,$B246-SUM($C246:P246))),0))</f>
        <v>0</v>
      </c>
      <c r="R246" s="4">
        <f>IF($B$224=0,0,IF(R$2&gt;=$A246,IF(R$2=$A246,($B246/$B$224)*$B$221,IF(R$2&lt;=$A246+$B$224-1,$B246/$B$224,$B246-SUM($C246:Q246))),0))</f>
        <v>0</v>
      </c>
      <c r="S246" s="4">
        <f>IF($B$224=0,0,IF(S$2&gt;=$A246,IF(S$2=$A246,($B246/$B$224)*$B$221,IF(S$2&lt;=$A246+$B$224-1,$B246/$B$224,$B246-SUM($C246:R246))),0))</f>
        <v>0</v>
      </c>
      <c r="T246" s="4">
        <f>IF($B$224=0,0,IF(T$2&gt;=$A246,IF(T$2=$A246,($B246/$B$224)*$B$221,IF(T$2&lt;=$A246+$B$224-1,$B246/$B$224,$B246-SUM($C246:S246))),0))</f>
        <v>0</v>
      </c>
      <c r="U246" s="4">
        <f>IF($B$224=0,0,IF(U$2&gt;=$A246,IF(U$2=$A246,($B246/$B$224)*$B$221,IF(U$2&lt;=$A246+$B$224-1,$B246/$B$224,$B246-SUM($C246:T246))),0))</f>
        <v>0</v>
      </c>
      <c r="V246" s="4">
        <f>IF($B$224=0,0,IF(V$2&gt;=$A246,IF(V$2=$A246,($B246/$B$224)*$B$221,IF(V$2&lt;=$A246+$B$224-1,$B246/$B$224,$B246-SUM($C246:U246))),0))</f>
        <v>0</v>
      </c>
      <c r="W246" s="4">
        <f>IF($B$224=0,0,IF(W$2&gt;=$A246,IF(W$2=$A246,($B246/$B$224)*$B$221,IF(W$2&lt;=$A246+$B$224-1,$B246/$B$224,$B246-SUM($C246:V246))),0))</f>
        <v>0</v>
      </c>
      <c r="X246" s="4">
        <f>IF($B$224=0,0,IF(X$2&gt;=$A246,IF(X$2=$A246,($B246/$B$224)*$B$221,IF(X$2&lt;=$A246+$B$224-1,$B246/$B$224,$B246-SUM($C246:W246))),0))</f>
        <v>0</v>
      </c>
      <c r="Y246" s="4">
        <f>IF($B$224=0,0,IF(Y$2&gt;=$A246,IF(Y$2=$A246,($B246/$B$224)*$B$221,IF(Y$2&lt;=$A246+$B$224-1,$B246/$B$224,$B246-SUM($C246:X246))),0))</f>
        <v>0</v>
      </c>
      <c r="Z246" s="4">
        <f>IF($B$224=0,0,IF(Z$2&gt;=$A246,IF(Z$2=$A246,($B246/$B$224)*$B$221,IF(Z$2&lt;=$A246+$B$224-1,$B246/$B$224,$B246-SUM($C246:Y246))),0))</f>
        <v>0</v>
      </c>
      <c r="AA246" s="4">
        <f>IF($B$224=0,0,IF(AA$2&gt;=$A246,IF(AA$2=$A246,($B246/$B$224)*$B$221,IF(AA$2&lt;=$A246+$B$224-1,$B246/$B$224,$B246-SUM($C246:Z246))),0))</f>
        <v>0</v>
      </c>
      <c r="AB246" s="4">
        <f>IF($B$224=0,0,IF(AB$2&gt;=$A246,IF(AB$2=$A246,($B246/$B$224)*$B$221,IF(AB$2&lt;=$A246+$B$224-1,$B246/$B$224,$B246-SUM($C246:AA246))),0))</f>
        <v>0</v>
      </c>
      <c r="AC246" s="4">
        <f>IF($B$224=0,0,IF(AC$2&gt;=$A246,IF(AC$2=$A246,($B246/$B$224)*$B$221,IF(AC$2&lt;=$A246+$B$224-1,$B246/$B$224,$B246-SUM($C246:AB246))),0))</f>
        <v>0</v>
      </c>
      <c r="AD246" s="4">
        <f>IF($B$224=0,0,IF(AD$2&gt;=$A246,IF(AD$2=$A246,($B246/$B$224)*$B$221,IF(AD$2&lt;=$A246+$B$224-1,$B246/$B$224,$B246-SUM($C246:AC246))),0))</f>
        <v>0</v>
      </c>
      <c r="AE246" s="4">
        <f>IF($B$224=0,0,IF(AE$2&gt;=$A246,IF(AE$2=$A246,($B246/$B$224)*$B$221,IF(AE$2&lt;=$A246+$B$224-1,$B246/$B$224,$B246-SUM($C246:AD246))),0))</f>
        <v>0</v>
      </c>
      <c r="AF246" s="4">
        <f>IF($B$224=0,0,IF(AF$2&gt;=$A246,IF(AF$2=$A246,($B246/$B$224)*$B$221,IF(AF$2&lt;=$A246+$B$224-1,$B246/$B$224,$B246-SUM($C246:AE246))),0))</f>
        <v>0</v>
      </c>
      <c r="AG246" s="4">
        <f t="shared" si="172"/>
        <v>0</v>
      </c>
    </row>
    <row r="247" spans="1:33">
      <c r="A247" s="6">
        <f t="shared" si="173"/>
        <v>2044</v>
      </c>
      <c r="B247" s="4">
        <f t="shared" si="171"/>
        <v>0</v>
      </c>
      <c r="C247" s="4">
        <f>IF($B$224=0,0,IF(C$2&gt;=$A247,IF(C$2=$A247,($B247/$B$224)*$B$221,IF(C$2&lt;=$A247+$B$224-1,$B247/$B$224,$B247-SUM(B247:$C247))),0))</f>
        <v>0</v>
      </c>
      <c r="D247" s="4">
        <f>IF($B$224=0,0,IF(D$2&gt;=$A247,IF(D$2=$A247,($B247/$B$224)*$B$221,IF(D$2&lt;=$A247+$B$224-1,$B247/$B$224,$B247-SUM(C247:$C247))),0))</f>
        <v>0</v>
      </c>
      <c r="E247" s="4">
        <f>IF($B$224=0,0,IF(E$2&gt;=$A247,IF(E$2=$A247,($B247/$B$224)*$B$221,IF(E$2&lt;=$A247+$B$224-1,$B247/$B$224,$B247-SUM($C247:D247))),0))</f>
        <v>0</v>
      </c>
      <c r="F247" s="4">
        <f>IF($B$224=0,0,IF(F$2&gt;=$A247,IF(F$2=$A247,($B247/$B$224)*$B$221,IF(F$2&lt;=$A247+$B$224-1,$B247/$B$224,$B247-SUM($C247:E247))),0))</f>
        <v>0</v>
      </c>
      <c r="G247" s="4">
        <f>IF($B$224=0,0,IF(G$2&gt;=$A247,IF(G$2=$A247,($B247/$B$224)*$B$221,IF(G$2&lt;=$A247+$B$224-1,$B247/$B$224,$B247-SUM($C247:F247))),0))</f>
        <v>0</v>
      </c>
      <c r="H247" s="4">
        <f>IF($B$224=0,0,IF(H$2&gt;=$A247,IF(H$2=$A247,($B247/$B$224)*$B$221,IF(H$2&lt;=$A247+$B$224-1,$B247/$B$224,$B247-SUM($C247:G247))),0))</f>
        <v>0</v>
      </c>
      <c r="I247" s="4">
        <f>IF($B$224=0,0,IF(I$2&gt;=$A247,IF(I$2=$A247,($B247/$B$224)*$B$221,IF(I$2&lt;=$A247+$B$224-1,$B247/$B$224,$B247-SUM($C247:H247))),0))</f>
        <v>0</v>
      </c>
      <c r="J247" s="4">
        <f>IF($B$224=0,0,IF(J$2&gt;=$A247,IF(J$2=$A247,($B247/$B$224)*$B$221,IF(J$2&lt;=$A247+$B$224-1,$B247/$B$224,$B247-SUM($C247:I247))),0))</f>
        <v>0</v>
      </c>
      <c r="K247" s="4">
        <f>IF($B$224=0,0,IF(K$2&gt;=$A247,IF(K$2=$A247,($B247/$B$224)*$B$221,IF(K$2&lt;=$A247+$B$224-1,$B247/$B$224,$B247-SUM($C247:J247))),0))</f>
        <v>0</v>
      </c>
      <c r="L247" s="4">
        <f>IF($B$224=0,0,IF(L$2&gt;=$A247,IF(L$2=$A247,($B247/$B$224)*$B$221,IF(L$2&lt;=$A247+$B$224-1,$B247/$B$224,$B247-SUM($C247:K247))),0))</f>
        <v>0</v>
      </c>
      <c r="M247" s="4">
        <f>IF($B$224=0,0,IF(M$2&gt;=$A247,IF(M$2=$A247,($B247/$B$224)*$B$221,IF(M$2&lt;=$A247+$B$224-1,$B247/$B$224,$B247-SUM($C247:L247))),0))</f>
        <v>0</v>
      </c>
      <c r="N247" s="4">
        <f>IF($B$224=0,0,IF(N$2&gt;=$A247,IF(N$2=$A247,($B247/$B$224)*$B$221,IF(N$2&lt;=$A247+$B$224-1,$B247/$B$224,$B247-SUM($C247:M247))),0))</f>
        <v>0</v>
      </c>
      <c r="O247" s="4">
        <f>IF($B$224=0,0,IF(O$2&gt;=$A247,IF(O$2=$A247,($B247/$B$224)*$B$221,IF(O$2&lt;=$A247+$B$224-1,$B247/$B$224,$B247-SUM($C247:N247))),0))</f>
        <v>0</v>
      </c>
      <c r="P247" s="4">
        <f>IF($B$224=0,0,IF(P$2&gt;=$A247,IF(P$2=$A247,($B247/$B$224)*$B$221,IF(P$2&lt;=$A247+$B$224-1,$B247/$B$224,$B247-SUM($C247:O247))),0))</f>
        <v>0</v>
      </c>
      <c r="Q247" s="4">
        <f>IF($B$224=0,0,IF(Q$2&gt;=$A247,IF(Q$2=$A247,($B247/$B$224)*$B$221,IF(Q$2&lt;=$A247+$B$224-1,$B247/$B$224,$B247-SUM($C247:P247))),0))</f>
        <v>0</v>
      </c>
      <c r="R247" s="4">
        <f>IF($B$224=0,0,IF(R$2&gt;=$A247,IF(R$2=$A247,($B247/$B$224)*$B$221,IF(R$2&lt;=$A247+$B$224-1,$B247/$B$224,$B247-SUM($C247:Q247))),0))</f>
        <v>0</v>
      </c>
      <c r="S247" s="4">
        <f>IF($B$224=0,0,IF(S$2&gt;=$A247,IF(S$2=$A247,($B247/$B$224)*$B$221,IF(S$2&lt;=$A247+$B$224-1,$B247/$B$224,$B247-SUM($C247:R247))),0))</f>
        <v>0</v>
      </c>
      <c r="T247" s="4">
        <f>IF($B$224=0,0,IF(T$2&gt;=$A247,IF(T$2=$A247,($B247/$B$224)*$B$221,IF(T$2&lt;=$A247+$B$224-1,$B247/$B$224,$B247-SUM($C247:S247))),0))</f>
        <v>0</v>
      </c>
      <c r="U247" s="4">
        <f>IF($B$224=0,0,IF(U$2&gt;=$A247,IF(U$2=$A247,($B247/$B$224)*$B$221,IF(U$2&lt;=$A247+$B$224-1,$B247/$B$224,$B247-SUM($C247:T247))),0))</f>
        <v>0</v>
      </c>
      <c r="V247" s="4">
        <f>IF($B$224=0,0,IF(V$2&gt;=$A247,IF(V$2=$A247,($B247/$B$224)*$B$221,IF(V$2&lt;=$A247+$B$224-1,$B247/$B$224,$B247-SUM($C247:U247))),0))</f>
        <v>0</v>
      </c>
      <c r="W247" s="4">
        <f>IF($B$224=0,0,IF(W$2&gt;=$A247,IF(W$2=$A247,($B247/$B$224)*$B$221,IF(W$2&lt;=$A247+$B$224-1,$B247/$B$224,$B247-SUM($C247:V247))),0))</f>
        <v>0</v>
      </c>
      <c r="X247" s="4">
        <f>IF($B$224=0,0,IF(X$2&gt;=$A247,IF(X$2=$A247,($B247/$B$224)*$B$221,IF(X$2&lt;=$A247+$B$224-1,$B247/$B$224,$B247-SUM($C247:W247))),0))</f>
        <v>0</v>
      </c>
      <c r="Y247" s="4">
        <f>IF($B$224=0,0,IF(Y$2&gt;=$A247,IF(Y$2=$A247,($B247/$B$224)*$B$221,IF(Y$2&lt;=$A247+$B$224-1,$B247/$B$224,$B247-SUM($C247:X247))),0))</f>
        <v>0</v>
      </c>
      <c r="Z247" s="4">
        <f>IF($B$224=0,0,IF(Z$2&gt;=$A247,IF(Z$2=$A247,($B247/$B$224)*$B$221,IF(Z$2&lt;=$A247+$B$224-1,$B247/$B$224,$B247-SUM($C247:Y247))),0))</f>
        <v>0</v>
      </c>
      <c r="AA247" s="4">
        <f>IF($B$224=0,0,IF(AA$2&gt;=$A247,IF(AA$2=$A247,($B247/$B$224)*$B$221,IF(AA$2&lt;=$A247+$B$224-1,$B247/$B$224,$B247-SUM($C247:Z247))),0))</f>
        <v>0</v>
      </c>
      <c r="AB247" s="4">
        <f>IF($B$224=0,0,IF(AB$2&gt;=$A247,IF(AB$2=$A247,($B247/$B$224)*$B$221,IF(AB$2&lt;=$A247+$B$224-1,$B247/$B$224,$B247-SUM($C247:AA247))),0))</f>
        <v>0</v>
      </c>
      <c r="AC247" s="4">
        <f>IF($B$224=0,0,IF(AC$2&gt;=$A247,IF(AC$2=$A247,($B247/$B$224)*$B$221,IF(AC$2&lt;=$A247+$B$224-1,$B247/$B$224,$B247-SUM($C247:AB247))),0))</f>
        <v>0</v>
      </c>
      <c r="AD247" s="4">
        <f>IF($B$224=0,0,IF(AD$2&gt;=$A247,IF(AD$2=$A247,($B247/$B$224)*$B$221,IF(AD$2&lt;=$A247+$B$224-1,$B247/$B$224,$B247-SUM($C247:AC247))),0))</f>
        <v>0</v>
      </c>
      <c r="AE247" s="4">
        <f>IF($B$224=0,0,IF(AE$2&gt;=$A247,IF(AE$2=$A247,($B247/$B$224)*$B$221,IF(AE$2&lt;=$A247+$B$224-1,$B247/$B$224,$B247-SUM($C247:AD247))),0))</f>
        <v>0</v>
      </c>
      <c r="AF247" s="4">
        <f>IF($B$224=0,0,IF(AF$2&gt;=$A247,IF(AF$2=$A247,($B247/$B$224)*$B$221,IF(AF$2&lt;=$A247+$B$224-1,$B247/$B$224,$B247-SUM($C247:AE247))),0))</f>
        <v>0</v>
      </c>
      <c r="AG247" s="4">
        <f t="shared" si="172"/>
        <v>0</v>
      </c>
    </row>
    <row r="248" spans="1:33">
      <c r="A248" s="6">
        <f t="shared" si="173"/>
        <v>2045</v>
      </c>
      <c r="B248" s="4">
        <f t="shared" si="171"/>
        <v>0</v>
      </c>
      <c r="C248" s="4">
        <f>IF($B$224=0,0,IF(C$2&gt;=$A248,IF(C$2=$A248,($B248/$B$224)*$B$221,IF(C$2&lt;=$A248+$B$224-1,$B248/$B$224,$B248-SUM(B248:$C248))),0))</f>
        <v>0</v>
      </c>
      <c r="D248" s="4">
        <f>IF($B$224=0,0,IF(D$2&gt;=$A248,IF(D$2=$A248,($B248/$B$224)*$B$221,IF(D$2&lt;=$A248+$B$224-1,$B248/$B$224,$B248-SUM(C248:$C248))),0))</f>
        <v>0</v>
      </c>
      <c r="E248" s="4">
        <f>IF($B$224=0,0,IF(E$2&gt;=$A248,IF(E$2=$A248,($B248/$B$224)*$B$221,IF(E$2&lt;=$A248+$B$224-1,$B248/$B$224,$B248-SUM($C248:D248))),0))</f>
        <v>0</v>
      </c>
      <c r="F248" s="4">
        <f>IF($B$224=0,0,IF(F$2&gt;=$A248,IF(F$2=$A248,($B248/$B$224)*$B$221,IF(F$2&lt;=$A248+$B$224-1,$B248/$B$224,$B248-SUM($C248:E248))),0))</f>
        <v>0</v>
      </c>
      <c r="G248" s="4">
        <f>IF($B$224=0,0,IF(G$2&gt;=$A248,IF(G$2=$A248,($B248/$B$224)*$B$221,IF(G$2&lt;=$A248+$B$224-1,$B248/$B$224,$B248-SUM($C248:F248))),0))</f>
        <v>0</v>
      </c>
      <c r="H248" s="4">
        <f>IF($B$224=0,0,IF(H$2&gt;=$A248,IF(H$2=$A248,($B248/$B$224)*$B$221,IF(H$2&lt;=$A248+$B$224-1,$B248/$B$224,$B248-SUM($C248:G248))),0))</f>
        <v>0</v>
      </c>
      <c r="I248" s="4">
        <f>IF($B$224=0,0,IF(I$2&gt;=$A248,IF(I$2=$A248,($B248/$B$224)*$B$221,IF(I$2&lt;=$A248+$B$224-1,$B248/$B$224,$B248-SUM($C248:H248))),0))</f>
        <v>0</v>
      </c>
      <c r="J248" s="4">
        <f>IF($B$224=0,0,IF(J$2&gt;=$A248,IF(J$2=$A248,($B248/$B$224)*$B$221,IF(J$2&lt;=$A248+$B$224-1,$B248/$B$224,$B248-SUM($C248:I248))),0))</f>
        <v>0</v>
      </c>
      <c r="K248" s="4">
        <f>IF($B$224=0,0,IF(K$2&gt;=$A248,IF(K$2=$A248,($B248/$B$224)*$B$221,IF(K$2&lt;=$A248+$B$224-1,$B248/$B$224,$B248-SUM($C248:J248))),0))</f>
        <v>0</v>
      </c>
      <c r="L248" s="4">
        <f>IF($B$224=0,0,IF(L$2&gt;=$A248,IF(L$2=$A248,($B248/$B$224)*$B$221,IF(L$2&lt;=$A248+$B$224-1,$B248/$B$224,$B248-SUM($C248:K248))),0))</f>
        <v>0</v>
      </c>
      <c r="M248" s="4">
        <f>IF($B$224=0,0,IF(M$2&gt;=$A248,IF(M$2=$A248,($B248/$B$224)*$B$221,IF(M$2&lt;=$A248+$B$224-1,$B248/$B$224,$B248-SUM($C248:L248))),0))</f>
        <v>0</v>
      </c>
      <c r="N248" s="4">
        <f>IF($B$224=0,0,IF(N$2&gt;=$A248,IF(N$2=$A248,($B248/$B$224)*$B$221,IF(N$2&lt;=$A248+$B$224-1,$B248/$B$224,$B248-SUM($C248:M248))),0))</f>
        <v>0</v>
      </c>
      <c r="O248" s="4">
        <f>IF($B$224=0,0,IF(O$2&gt;=$A248,IF(O$2=$A248,($B248/$B$224)*$B$221,IF(O$2&lt;=$A248+$B$224-1,$B248/$B$224,$B248-SUM($C248:N248))),0))</f>
        <v>0</v>
      </c>
      <c r="P248" s="4">
        <f>IF($B$224=0,0,IF(P$2&gt;=$A248,IF(P$2=$A248,($B248/$B$224)*$B$221,IF(P$2&lt;=$A248+$B$224-1,$B248/$B$224,$B248-SUM($C248:O248))),0))</f>
        <v>0</v>
      </c>
      <c r="Q248" s="4">
        <f>IF($B$224=0,0,IF(Q$2&gt;=$A248,IF(Q$2=$A248,($B248/$B$224)*$B$221,IF(Q$2&lt;=$A248+$B$224-1,$B248/$B$224,$B248-SUM($C248:P248))),0))</f>
        <v>0</v>
      </c>
      <c r="R248" s="4">
        <f>IF($B$224=0,0,IF(R$2&gt;=$A248,IF(R$2=$A248,($B248/$B$224)*$B$221,IF(R$2&lt;=$A248+$B$224-1,$B248/$B$224,$B248-SUM($C248:Q248))),0))</f>
        <v>0</v>
      </c>
      <c r="S248" s="4">
        <f>IF($B$224=0,0,IF(S$2&gt;=$A248,IF(S$2=$A248,($B248/$B$224)*$B$221,IF(S$2&lt;=$A248+$B$224-1,$B248/$B$224,$B248-SUM($C248:R248))),0))</f>
        <v>0</v>
      </c>
      <c r="T248" s="4">
        <f>IF($B$224=0,0,IF(T$2&gt;=$A248,IF(T$2=$A248,($B248/$B$224)*$B$221,IF(T$2&lt;=$A248+$B$224-1,$B248/$B$224,$B248-SUM($C248:S248))),0))</f>
        <v>0</v>
      </c>
      <c r="U248" s="4">
        <f>IF($B$224=0,0,IF(U$2&gt;=$A248,IF(U$2=$A248,($B248/$B$224)*$B$221,IF(U$2&lt;=$A248+$B$224-1,$B248/$B$224,$B248-SUM($C248:T248))),0))</f>
        <v>0</v>
      </c>
      <c r="V248" s="4">
        <f>IF($B$224=0,0,IF(V$2&gt;=$A248,IF(V$2=$A248,($B248/$B$224)*$B$221,IF(V$2&lt;=$A248+$B$224-1,$B248/$B$224,$B248-SUM($C248:U248))),0))</f>
        <v>0</v>
      </c>
      <c r="W248" s="4">
        <f>IF($B$224=0,0,IF(W$2&gt;=$A248,IF(W$2=$A248,($B248/$B$224)*$B$221,IF(W$2&lt;=$A248+$B$224-1,$B248/$B$224,$B248-SUM($C248:V248))),0))</f>
        <v>0</v>
      </c>
      <c r="X248" s="4">
        <f>IF($B$224=0,0,IF(X$2&gt;=$A248,IF(X$2=$A248,($B248/$B$224)*$B$221,IF(X$2&lt;=$A248+$B$224-1,$B248/$B$224,$B248-SUM($C248:W248))),0))</f>
        <v>0</v>
      </c>
      <c r="Y248" s="4">
        <f>IF($B$224=0,0,IF(Y$2&gt;=$A248,IF(Y$2=$A248,($B248/$B$224)*$B$221,IF(Y$2&lt;=$A248+$B$224-1,$B248/$B$224,$B248-SUM($C248:X248))),0))</f>
        <v>0</v>
      </c>
      <c r="Z248" s="4">
        <f>IF($B$224=0,0,IF(Z$2&gt;=$A248,IF(Z$2=$A248,($B248/$B$224)*$B$221,IF(Z$2&lt;=$A248+$B$224-1,$B248/$B$224,$B248-SUM($C248:Y248))),0))</f>
        <v>0</v>
      </c>
      <c r="AA248" s="4">
        <f>IF($B$224=0,0,IF(AA$2&gt;=$A248,IF(AA$2=$A248,($B248/$B$224)*$B$221,IF(AA$2&lt;=$A248+$B$224-1,$B248/$B$224,$B248-SUM($C248:Z248))),0))</f>
        <v>0</v>
      </c>
      <c r="AB248" s="4">
        <f>IF($B$224=0,0,IF(AB$2&gt;=$A248,IF(AB$2=$A248,($B248/$B$224)*$B$221,IF(AB$2&lt;=$A248+$B$224-1,$B248/$B$224,$B248-SUM($C248:AA248))),0))</f>
        <v>0</v>
      </c>
      <c r="AC248" s="4">
        <f>IF($B$224=0,0,IF(AC$2&gt;=$A248,IF(AC$2=$A248,($B248/$B$224)*$B$221,IF(AC$2&lt;=$A248+$B$224-1,$B248/$B$224,$B248-SUM($C248:AB248))),0))</f>
        <v>0</v>
      </c>
      <c r="AD248" s="4">
        <f>IF($B$224=0,0,IF(AD$2&gt;=$A248,IF(AD$2=$A248,($B248/$B$224)*$B$221,IF(AD$2&lt;=$A248+$B$224-1,$B248/$B$224,$B248-SUM($C248:AC248))),0))</f>
        <v>0</v>
      </c>
      <c r="AE248" s="4">
        <f>IF($B$224=0,0,IF(AE$2&gt;=$A248,IF(AE$2=$A248,($B248/$B$224)*$B$221,IF(AE$2&lt;=$A248+$B$224-1,$B248/$B$224,$B248-SUM($C248:AD248))),0))</f>
        <v>0</v>
      </c>
      <c r="AF248" s="4">
        <f>IF($B$224=0,0,IF(AF$2&gt;=$A248,IF(AF$2=$A248,($B248/$B$224)*$B$221,IF(AF$2&lt;=$A248+$B$224-1,$B248/$B$224,$B248-SUM($C248:AE248))),0))</f>
        <v>0</v>
      </c>
      <c r="AG248" s="4">
        <f t="shared" si="172"/>
        <v>0</v>
      </c>
    </row>
    <row r="249" spans="1:33">
      <c r="A249" s="6">
        <f t="shared" si="173"/>
        <v>2046</v>
      </c>
      <c r="B249" s="4">
        <f t="shared" si="171"/>
        <v>0</v>
      </c>
      <c r="C249" s="4">
        <f>IF($B$224=0,0,IF(C$2&gt;=$A249,IF(C$2=$A249,($B249/$B$224)*$B$221,IF(C$2&lt;=$A249+$B$224-1,$B249/$B$224,$B249-SUM(B249:$C249))),0))</f>
        <v>0</v>
      </c>
      <c r="D249" s="4">
        <f>IF($B$224=0,0,IF(D$2&gt;=$A249,IF(D$2=$A249,($B249/$B$224)*$B$221,IF(D$2&lt;=$A249+$B$224-1,$B249/$B$224,$B249-SUM(C249:$C249))),0))</f>
        <v>0</v>
      </c>
      <c r="E249" s="4">
        <f>IF($B$224=0,0,IF(E$2&gt;=$A249,IF(E$2=$A249,($B249/$B$224)*$B$221,IF(E$2&lt;=$A249+$B$224-1,$B249/$B$224,$B249-SUM($C249:D249))),0))</f>
        <v>0</v>
      </c>
      <c r="F249" s="4">
        <f>IF($B$224=0,0,IF(F$2&gt;=$A249,IF(F$2=$A249,($B249/$B$224)*$B$221,IF(F$2&lt;=$A249+$B$224-1,$B249/$B$224,$B249-SUM($C249:E249))),0))</f>
        <v>0</v>
      </c>
      <c r="G249" s="4">
        <f>IF($B$224=0,0,IF(G$2&gt;=$A249,IF(G$2=$A249,($B249/$B$224)*$B$221,IF(G$2&lt;=$A249+$B$224-1,$B249/$B$224,$B249-SUM($C249:F249))),0))</f>
        <v>0</v>
      </c>
      <c r="H249" s="4">
        <f>IF($B$224=0,0,IF(H$2&gt;=$A249,IF(H$2=$A249,($B249/$B$224)*$B$221,IF(H$2&lt;=$A249+$B$224-1,$B249/$B$224,$B249-SUM($C249:G249))),0))</f>
        <v>0</v>
      </c>
      <c r="I249" s="4">
        <f>IF($B$224=0,0,IF(I$2&gt;=$A249,IF(I$2=$A249,($B249/$B$224)*$B$221,IF(I$2&lt;=$A249+$B$224-1,$B249/$B$224,$B249-SUM($C249:H249))),0))</f>
        <v>0</v>
      </c>
      <c r="J249" s="4">
        <f>IF($B$224=0,0,IF(J$2&gt;=$A249,IF(J$2=$A249,($B249/$B$224)*$B$221,IF(J$2&lt;=$A249+$B$224-1,$B249/$B$224,$B249-SUM($C249:I249))),0))</f>
        <v>0</v>
      </c>
      <c r="K249" s="4">
        <f>IF($B$224=0,0,IF(K$2&gt;=$A249,IF(K$2=$A249,($B249/$B$224)*$B$221,IF(K$2&lt;=$A249+$B$224-1,$B249/$B$224,$B249-SUM($C249:J249))),0))</f>
        <v>0</v>
      </c>
      <c r="L249" s="4">
        <f>IF($B$224=0,0,IF(L$2&gt;=$A249,IF(L$2=$A249,($B249/$B$224)*$B$221,IF(L$2&lt;=$A249+$B$224-1,$B249/$B$224,$B249-SUM($C249:K249))),0))</f>
        <v>0</v>
      </c>
      <c r="M249" s="4">
        <f>IF($B$224=0,0,IF(M$2&gt;=$A249,IF(M$2=$A249,($B249/$B$224)*$B$221,IF(M$2&lt;=$A249+$B$224-1,$B249/$B$224,$B249-SUM($C249:L249))),0))</f>
        <v>0</v>
      </c>
      <c r="N249" s="4">
        <f>IF($B$224=0,0,IF(N$2&gt;=$A249,IF(N$2=$A249,($B249/$B$224)*$B$221,IF(N$2&lt;=$A249+$B$224-1,$B249/$B$224,$B249-SUM($C249:M249))),0))</f>
        <v>0</v>
      </c>
      <c r="O249" s="4">
        <f>IF($B$224=0,0,IF(O$2&gt;=$A249,IF(O$2=$A249,($B249/$B$224)*$B$221,IF(O$2&lt;=$A249+$B$224-1,$B249/$B$224,$B249-SUM($C249:N249))),0))</f>
        <v>0</v>
      </c>
      <c r="P249" s="4">
        <f>IF($B$224=0,0,IF(P$2&gt;=$A249,IF(P$2=$A249,($B249/$B$224)*$B$221,IF(P$2&lt;=$A249+$B$224-1,$B249/$B$224,$B249-SUM($C249:O249))),0))</f>
        <v>0</v>
      </c>
      <c r="Q249" s="4">
        <f>IF($B$224=0,0,IF(Q$2&gt;=$A249,IF(Q$2=$A249,($B249/$B$224)*$B$221,IF(Q$2&lt;=$A249+$B$224-1,$B249/$B$224,$B249-SUM($C249:P249))),0))</f>
        <v>0</v>
      </c>
      <c r="R249" s="4">
        <f>IF($B$224=0,0,IF(R$2&gt;=$A249,IF(R$2=$A249,($B249/$B$224)*$B$221,IF(R$2&lt;=$A249+$B$224-1,$B249/$B$224,$B249-SUM($C249:Q249))),0))</f>
        <v>0</v>
      </c>
      <c r="S249" s="4">
        <f>IF($B$224=0,0,IF(S$2&gt;=$A249,IF(S$2=$A249,($B249/$B$224)*$B$221,IF(S$2&lt;=$A249+$B$224-1,$B249/$B$224,$B249-SUM($C249:R249))),0))</f>
        <v>0</v>
      </c>
      <c r="T249" s="4">
        <f>IF($B$224=0,0,IF(T$2&gt;=$A249,IF(T$2=$A249,($B249/$B$224)*$B$221,IF(T$2&lt;=$A249+$B$224-1,$B249/$B$224,$B249-SUM($C249:S249))),0))</f>
        <v>0</v>
      </c>
      <c r="U249" s="4">
        <f>IF($B$224=0,0,IF(U$2&gt;=$A249,IF(U$2=$A249,($B249/$B$224)*$B$221,IF(U$2&lt;=$A249+$B$224-1,$B249/$B$224,$B249-SUM($C249:T249))),0))</f>
        <v>0</v>
      </c>
      <c r="V249" s="4">
        <f>IF($B$224=0,0,IF(V$2&gt;=$A249,IF(V$2=$A249,($B249/$B$224)*$B$221,IF(V$2&lt;=$A249+$B$224-1,$B249/$B$224,$B249-SUM($C249:U249))),0))</f>
        <v>0</v>
      </c>
      <c r="W249" s="4">
        <f>IF($B$224=0,0,IF(W$2&gt;=$A249,IF(W$2=$A249,($B249/$B$224)*$B$221,IF(W$2&lt;=$A249+$B$224-1,$B249/$B$224,$B249-SUM($C249:V249))),0))</f>
        <v>0</v>
      </c>
      <c r="X249" s="4">
        <f>IF($B$224=0,0,IF(X$2&gt;=$A249,IF(X$2=$A249,($B249/$B$224)*$B$221,IF(X$2&lt;=$A249+$B$224-1,$B249/$B$224,$B249-SUM($C249:W249))),0))</f>
        <v>0</v>
      </c>
      <c r="Y249" s="4">
        <f>IF($B$224=0,0,IF(Y$2&gt;=$A249,IF(Y$2=$A249,($B249/$B$224)*$B$221,IF(Y$2&lt;=$A249+$B$224-1,$B249/$B$224,$B249-SUM($C249:X249))),0))</f>
        <v>0</v>
      </c>
      <c r="Z249" s="4">
        <f>IF($B$224=0,0,IF(Z$2&gt;=$A249,IF(Z$2=$A249,($B249/$B$224)*$B$221,IF(Z$2&lt;=$A249+$B$224-1,$B249/$B$224,$B249-SUM($C249:Y249))),0))</f>
        <v>0</v>
      </c>
      <c r="AA249" s="4">
        <f>IF($B$224=0,0,IF(AA$2&gt;=$A249,IF(AA$2=$A249,($B249/$B$224)*$B$221,IF(AA$2&lt;=$A249+$B$224-1,$B249/$B$224,$B249-SUM($C249:Z249))),0))</f>
        <v>0</v>
      </c>
      <c r="AB249" s="4">
        <f>IF($B$224=0,0,IF(AB$2&gt;=$A249,IF(AB$2=$A249,($B249/$B$224)*$B$221,IF(AB$2&lt;=$A249+$B$224-1,$B249/$B$224,$B249-SUM($C249:AA249))),0))</f>
        <v>0</v>
      </c>
      <c r="AC249" s="4">
        <f>IF($B$224=0,0,IF(AC$2&gt;=$A249,IF(AC$2=$A249,($B249/$B$224)*$B$221,IF(AC$2&lt;=$A249+$B$224-1,$B249/$B$224,$B249-SUM($C249:AB249))),0))</f>
        <v>0</v>
      </c>
      <c r="AD249" s="4">
        <f>IF($B$224=0,0,IF(AD$2&gt;=$A249,IF(AD$2=$A249,($B249/$B$224)*$B$221,IF(AD$2&lt;=$A249+$B$224-1,$B249/$B$224,$B249-SUM($C249:AC249))),0))</f>
        <v>0</v>
      </c>
      <c r="AE249" s="4">
        <f>IF($B$224=0,0,IF(AE$2&gt;=$A249,IF(AE$2=$A249,($B249/$B$224)*$B$221,IF(AE$2&lt;=$A249+$B$224-1,$B249/$B$224,$B249-SUM($C249:AD249))),0))</f>
        <v>0</v>
      </c>
      <c r="AF249" s="4">
        <f>IF($B$224=0,0,IF(AF$2&gt;=$A249,IF(AF$2=$A249,($B249/$B$224)*$B$221,IF(AF$2&lt;=$A249+$B$224-1,$B249/$B$224,$B249-SUM($C249:AE249))),0))</f>
        <v>0</v>
      </c>
      <c r="AG249" s="4">
        <f t="shared" si="172"/>
        <v>0</v>
      </c>
    </row>
    <row r="250" spans="1:33">
      <c r="A250" s="6">
        <f t="shared" si="173"/>
        <v>2047</v>
      </c>
      <c r="B250" s="4">
        <f t="shared" si="171"/>
        <v>0</v>
      </c>
      <c r="C250" s="4">
        <f>IF($B$224=0,0,IF(C$2&gt;=$A250,IF(C$2=$A250,($B250/$B$224)*$B$221,IF(C$2&lt;=$A250+$B$224-1,$B250/$B$224,$B250-SUM(B250:$C250))),0))</f>
        <v>0</v>
      </c>
      <c r="D250" s="4">
        <f>IF($B$224=0,0,IF(D$2&gt;=$A250,IF(D$2=$A250,($B250/$B$224)*$B$221,IF(D$2&lt;=$A250+$B$224-1,$B250/$B$224,$B250-SUM(C250:$C250))),0))</f>
        <v>0</v>
      </c>
      <c r="E250" s="4">
        <f>IF($B$224=0,0,IF(E$2&gt;=$A250,IF(E$2=$A250,($B250/$B$224)*$B$221,IF(E$2&lt;=$A250+$B$224-1,$B250/$B$224,$B250-SUM($C250:D250))),0))</f>
        <v>0</v>
      </c>
      <c r="F250" s="4">
        <f>IF($B$224=0,0,IF(F$2&gt;=$A250,IF(F$2=$A250,($B250/$B$224)*$B$221,IF(F$2&lt;=$A250+$B$224-1,$B250/$B$224,$B250-SUM($C250:E250))),0))</f>
        <v>0</v>
      </c>
      <c r="G250" s="4">
        <f>IF($B$224=0,0,IF(G$2&gt;=$A250,IF(G$2=$A250,($B250/$B$224)*$B$221,IF(G$2&lt;=$A250+$B$224-1,$B250/$B$224,$B250-SUM($C250:F250))),0))</f>
        <v>0</v>
      </c>
      <c r="H250" s="4">
        <f>IF($B$224=0,0,IF(H$2&gt;=$A250,IF(H$2=$A250,($B250/$B$224)*$B$221,IF(H$2&lt;=$A250+$B$224-1,$B250/$B$224,$B250-SUM($C250:G250))),0))</f>
        <v>0</v>
      </c>
      <c r="I250" s="4">
        <f>IF($B$224=0,0,IF(I$2&gt;=$A250,IF(I$2=$A250,($B250/$B$224)*$B$221,IF(I$2&lt;=$A250+$B$224-1,$B250/$B$224,$B250-SUM($C250:H250))),0))</f>
        <v>0</v>
      </c>
      <c r="J250" s="4">
        <f>IF($B$224=0,0,IF(J$2&gt;=$A250,IF(J$2=$A250,($B250/$B$224)*$B$221,IF(J$2&lt;=$A250+$B$224-1,$B250/$B$224,$B250-SUM($C250:I250))),0))</f>
        <v>0</v>
      </c>
      <c r="K250" s="4">
        <f>IF($B$224=0,0,IF(K$2&gt;=$A250,IF(K$2=$A250,($B250/$B$224)*$B$221,IF(K$2&lt;=$A250+$B$224-1,$B250/$B$224,$B250-SUM($C250:J250))),0))</f>
        <v>0</v>
      </c>
      <c r="L250" s="4">
        <f>IF($B$224=0,0,IF(L$2&gt;=$A250,IF(L$2=$A250,($B250/$B$224)*$B$221,IF(L$2&lt;=$A250+$B$224-1,$B250/$B$224,$B250-SUM($C250:K250))),0))</f>
        <v>0</v>
      </c>
      <c r="M250" s="4">
        <f>IF($B$224=0,0,IF(M$2&gt;=$A250,IF(M$2=$A250,($B250/$B$224)*$B$221,IF(M$2&lt;=$A250+$B$224-1,$B250/$B$224,$B250-SUM($C250:L250))),0))</f>
        <v>0</v>
      </c>
      <c r="N250" s="4">
        <f>IF($B$224=0,0,IF(N$2&gt;=$A250,IF(N$2=$A250,($B250/$B$224)*$B$221,IF(N$2&lt;=$A250+$B$224-1,$B250/$B$224,$B250-SUM($C250:M250))),0))</f>
        <v>0</v>
      </c>
      <c r="O250" s="4">
        <f>IF($B$224=0,0,IF(O$2&gt;=$A250,IF(O$2=$A250,($B250/$B$224)*$B$221,IF(O$2&lt;=$A250+$B$224-1,$B250/$B$224,$B250-SUM($C250:N250))),0))</f>
        <v>0</v>
      </c>
      <c r="P250" s="4">
        <f>IF($B$224=0,0,IF(P$2&gt;=$A250,IF(P$2=$A250,($B250/$B$224)*$B$221,IF(P$2&lt;=$A250+$B$224-1,$B250/$B$224,$B250-SUM($C250:O250))),0))</f>
        <v>0</v>
      </c>
      <c r="Q250" s="4">
        <f>IF($B$224=0,0,IF(Q$2&gt;=$A250,IF(Q$2=$A250,($B250/$B$224)*$B$221,IF(Q$2&lt;=$A250+$B$224-1,$B250/$B$224,$B250-SUM($C250:P250))),0))</f>
        <v>0</v>
      </c>
      <c r="R250" s="4">
        <f>IF($B$224=0,0,IF(R$2&gt;=$A250,IF(R$2=$A250,($B250/$B$224)*$B$221,IF(R$2&lt;=$A250+$B$224-1,$B250/$B$224,$B250-SUM($C250:Q250))),0))</f>
        <v>0</v>
      </c>
      <c r="S250" s="4">
        <f>IF($B$224=0,0,IF(S$2&gt;=$A250,IF(S$2=$A250,($B250/$B$224)*$B$221,IF(S$2&lt;=$A250+$B$224-1,$B250/$B$224,$B250-SUM($C250:R250))),0))</f>
        <v>0</v>
      </c>
      <c r="T250" s="4">
        <f>IF($B$224=0,0,IF(T$2&gt;=$A250,IF(T$2=$A250,($B250/$B$224)*$B$221,IF(T$2&lt;=$A250+$B$224-1,$B250/$B$224,$B250-SUM($C250:S250))),0))</f>
        <v>0</v>
      </c>
      <c r="U250" s="4">
        <f>IF($B$224=0,0,IF(U$2&gt;=$A250,IF(U$2=$A250,($B250/$B$224)*$B$221,IF(U$2&lt;=$A250+$B$224-1,$B250/$B$224,$B250-SUM($C250:T250))),0))</f>
        <v>0</v>
      </c>
      <c r="V250" s="4">
        <f>IF($B$224=0,0,IF(V$2&gt;=$A250,IF(V$2=$A250,($B250/$B$224)*$B$221,IF(V$2&lt;=$A250+$B$224-1,$B250/$B$224,$B250-SUM($C250:U250))),0))</f>
        <v>0</v>
      </c>
      <c r="W250" s="4">
        <f>IF($B$224=0,0,IF(W$2&gt;=$A250,IF(W$2=$A250,($B250/$B$224)*$B$221,IF(W$2&lt;=$A250+$B$224-1,$B250/$B$224,$B250-SUM($C250:V250))),0))</f>
        <v>0</v>
      </c>
      <c r="X250" s="4">
        <f>IF($B$224=0,0,IF(X$2&gt;=$A250,IF(X$2=$A250,($B250/$B$224)*$B$221,IF(X$2&lt;=$A250+$B$224-1,$B250/$B$224,$B250-SUM($C250:W250))),0))</f>
        <v>0</v>
      </c>
      <c r="Y250" s="4">
        <f>IF($B$224=0,0,IF(Y$2&gt;=$A250,IF(Y$2=$A250,($B250/$B$224)*$B$221,IF(Y$2&lt;=$A250+$B$224-1,$B250/$B$224,$B250-SUM($C250:X250))),0))</f>
        <v>0</v>
      </c>
      <c r="Z250" s="4">
        <f>IF($B$224=0,0,IF(Z$2&gt;=$A250,IF(Z$2=$A250,($B250/$B$224)*$B$221,IF(Z$2&lt;=$A250+$B$224-1,$B250/$B$224,$B250-SUM($C250:Y250))),0))</f>
        <v>0</v>
      </c>
      <c r="AA250" s="4">
        <f>IF($B$224=0,0,IF(AA$2&gt;=$A250,IF(AA$2=$A250,($B250/$B$224)*$B$221,IF(AA$2&lt;=$A250+$B$224-1,$B250/$B$224,$B250-SUM($C250:Z250))),0))</f>
        <v>0</v>
      </c>
      <c r="AB250" s="4">
        <f>IF($B$224=0,0,IF(AB$2&gt;=$A250,IF(AB$2=$A250,($B250/$B$224)*$B$221,IF(AB$2&lt;=$A250+$B$224-1,$B250/$B$224,$B250-SUM($C250:AA250))),0))</f>
        <v>0</v>
      </c>
      <c r="AC250" s="4">
        <f>IF($B$224=0,0,IF(AC$2&gt;=$A250,IF(AC$2=$A250,($B250/$B$224)*$B$221,IF(AC$2&lt;=$A250+$B$224-1,$B250/$B$224,$B250-SUM($C250:AB250))),0))</f>
        <v>0</v>
      </c>
      <c r="AD250" s="4">
        <f>IF($B$224=0,0,IF(AD$2&gt;=$A250,IF(AD$2=$A250,($B250/$B$224)*$B$221,IF(AD$2&lt;=$A250+$B$224-1,$B250/$B$224,$B250-SUM($C250:AC250))),0))</f>
        <v>0</v>
      </c>
      <c r="AE250" s="4">
        <f>IF($B$224=0,0,IF(AE$2&gt;=$A250,IF(AE$2=$A250,($B250/$B$224)*$B$221,IF(AE$2&lt;=$A250+$B$224-1,$B250/$B$224,$B250-SUM($C250:AD250))),0))</f>
        <v>0</v>
      </c>
      <c r="AF250" s="4">
        <f>IF($B$224=0,0,IF(AF$2&gt;=$A250,IF(AF$2=$A250,($B250/$B$224)*$B$221,IF(AF$2&lt;=$A250+$B$224-1,$B250/$B$224,$B250-SUM($C250:AE250))),0))</f>
        <v>0</v>
      </c>
      <c r="AG250" s="4">
        <f t="shared" ref="AG250:AG254" si="174">SUM(C250:AF250)</f>
        <v>0</v>
      </c>
    </row>
    <row r="251" spans="1:33">
      <c r="A251" s="6">
        <f t="shared" si="173"/>
        <v>2048</v>
      </c>
      <c r="B251" s="4">
        <f t="shared" si="171"/>
        <v>0</v>
      </c>
      <c r="C251" s="4">
        <f>IF($B$224=0,0,IF(C$2&gt;=$A251,IF(C$2=$A251,($B251/$B$224)*$B$221,IF(C$2&lt;=$A251+$B$224-1,$B251/$B$224,$B251-SUM(B251:$C251))),0))</f>
        <v>0</v>
      </c>
      <c r="D251" s="4">
        <f>IF($B$224=0,0,IF(D$2&gt;=$A251,IF(D$2=$A251,($B251/$B$224)*$B$221,IF(D$2&lt;=$A251+$B$224-1,$B251/$B$224,$B251-SUM(C251:$C251))),0))</f>
        <v>0</v>
      </c>
      <c r="E251" s="4">
        <f>IF($B$224=0,0,IF(E$2&gt;=$A251,IF(E$2=$A251,($B251/$B$224)*$B$221,IF(E$2&lt;=$A251+$B$224-1,$B251/$B$224,$B251-SUM($C251:D251))),0))</f>
        <v>0</v>
      </c>
      <c r="F251" s="4">
        <f>IF($B$224=0,0,IF(F$2&gt;=$A251,IF(F$2=$A251,($B251/$B$224)*$B$221,IF(F$2&lt;=$A251+$B$224-1,$B251/$B$224,$B251-SUM($C251:E251))),0))</f>
        <v>0</v>
      </c>
      <c r="G251" s="4">
        <f>IF($B$224=0,0,IF(G$2&gt;=$A251,IF(G$2=$A251,($B251/$B$224)*$B$221,IF(G$2&lt;=$A251+$B$224-1,$B251/$B$224,$B251-SUM($C251:F251))),0))</f>
        <v>0</v>
      </c>
      <c r="H251" s="4">
        <f>IF($B$224=0,0,IF(H$2&gt;=$A251,IF(H$2=$A251,($B251/$B$224)*$B$221,IF(H$2&lt;=$A251+$B$224-1,$B251/$B$224,$B251-SUM($C251:G251))),0))</f>
        <v>0</v>
      </c>
      <c r="I251" s="4">
        <f>IF($B$224=0,0,IF(I$2&gt;=$A251,IF(I$2=$A251,($B251/$B$224)*$B$221,IF(I$2&lt;=$A251+$B$224-1,$B251/$B$224,$B251-SUM($C251:H251))),0))</f>
        <v>0</v>
      </c>
      <c r="J251" s="4">
        <f>IF($B$224=0,0,IF(J$2&gt;=$A251,IF(J$2=$A251,($B251/$B$224)*$B$221,IF(J$2&lt;=$A251+$B$224-1,$B251/$B$224,$B251-SUM($C251:I251))),0))</f>
        <v>0</v>
      </c>
      <c r="K251" s="4">
        <f>IF($B$224=0,0,IF(K$2&gt;=$A251,IF(K$2=$A251,($B251/$B$224)*$B$221,IF(K$2&lt;=$A251+$B$224-1,$B251/$B$224,$B251-SUM($C251:J251))),0))</f>
        <v>0</v>
      </c>
      <c r="L251" s="4">
        <f>IF($B$224=0,0,IF(L$2&gt;=$A251,IF(L$2=$A251,($B251/$B$224)*$B$221,IF(L$2&lt;=$A251+$B$224-1,$B251/$B$224,$B251-SUM($C251:K251))),0))</f>
        <v>0</v>
      </c>
      <c r="M251" s="4">
        <f>IF($B$224=0,0,IF(M$2&gt;=$A251,IF(M$2=$A251,($B251/$B$224)*$B$221,IF(M$2&lt;=$A251+$B$224-1,$B251/$B$224,$B251-SUM($C251:L251))),0))</f>
        <v>0</v>
      </c>
      <c r="N251" s="4">
        <f>IF($B$224=0,0,IF(N$2&gt;=$A251,IF(N$2=$A251,($B251/$B$224)*$B$221,IF(N$2&lt;=$A251+$B$224-1,$B251/$B$224,$B251-SUM($C251:M251))),0))</f>
        <v>0</v>
      </c>
      <c r="O251" s="4">
        <f>IF($B$224=0,0,IF(O$2&gt;=$A251,IF(O$2=$A251,($B251/$B$224)*$B$221,IF(O$2&lt;=$A251+$B$224-1,$B251/$B$224,$B251-SUM($C251:N251))),0))</f>
        <v>0</v>
      </c>
      <c r="P251" s="4">
        <f>IF($B$224=0,0,IF(P$2&gt;=$A251,IF(P$2=$A251,($B251/$B$224)*$B$221,IF(P$2&lt;=$A251+$B$224-1,$B251/$B$224,$B251-SUM($C251:O251))),0))</f>
        <v>0</v>
      </c>
      <c r="Q251" s="4">
        <f>IF($B$224=0,0,IF(Q$2&gt;=$A251,IF(Q$2=$A251,($B251/$B$224)*$B$221,IF(Q$2&lt;=$A251+$B$224-1,$B251/$B$224,$B251-SUM($C251:P251))),0))</f>
        <v>0</v>
      </c>
      <c r="R251" s="4">
        <f>IF($B$224=0,0,IF(R$2&gt;=$A251,IF(R$2=$A251,($B251/$B$224)*$B$221,IF(R$2&lt;=$A251+$B$224-1,$B251/$B$224,$B251-SUM($C251:Q251))),0))</f>
        <v>0</v>
      </c>
      <c r="S251" s="4">
        <f>IF($B$224=0,0,IF(S$2&gt;=$A251,IF(S$2=$A251,($B251/$B$224)*$B$221,IF(S$2&lt;=$A251+$B$224-1,$B251/$B$224,$B251-SUM($C251:R251))),0))</f>
        <v>0</v>
      </c>
      <c r="T251" s="4">
        <f>IF($B$224=0,0,IF(T$2&gt;=$A251,IF(T$2=$A251,($B251/$B$224)*$B$221,IF(T$2&lt;=$A251+$B$224-1,$B251/$B$224,$B251-SUM($C251:S251))),0))</f>
        <v>0</v>
      </c>
      <c r="U251" s="4">
        <f>IF($B$224=0,0,IF(U$2&gt;=$A251,IF(U$2=$A251,($B251/$B$224)*$B$221,IF(U$2&lt;=$A251+$B$224-1,$B251/$B$224,$B251-SUM($C251:T251))),0))</f>
        <v>0</v>
      </c>
      <c r="V251" s="4">
        <f>IF($B$224=0,0,IF(V$2&gt;=$A251,IF(V$2=$A251,($B251/$B$224)*$B$221,IF(V$2&lt;=$A251+$B$224-1,$B251/$B$224,$B251-SUM($C251:U251))),0))</f>
        <v>0</v>
      </c>
      <c r="W251" s="4">
        <f>IF($B$224=0,0,IF(W$2&gt;=$A251,IF(W$2=$A251,($B251/$B$224)*$B$221,IF(W$2&lt;=$A251+$B$224-1,$B251/$B$224,$B251-SUM($C251:V251))),0))</f>
        <v>0</v>
      </c>
      <c r="X251" s="4">
        <f>IF($B$224=0,0,IF(X$2&gt;=$A251,IF(X$2=$A251,($B251/$B$224)*$B$221,IF(X$2&lt;=$A251+$B$224-1,$B251/$B$224,$B251-SUM($C251:W251))),0))</f>
        <v>0</v>
      </c>
      <c r="Y251" s="4">
        <f>IF($B$224=0,0,IF(Y$2&gt;=$A251,IF(Y$2=$A251,($B251/$B$224)*$B$221,IF(Y$2&lt;=$A251+$B$224-1,$B251/$B$224,$B251-SUM($C251:X251))),0))</f>
        <v>0</v>
      </c>
      <c r="Z251" s="4">
        <f>IF($B$224=0,0,IF(Z$2&gt;=$A251,IF(Z$2=$A251,($B251/$B$224)*$B$221,IF(Z$2&lt;=$A251+$B$224-1,$B251/$B$224,$B251-SUM($C251:Y251))),0))</f>
        <v>0</v>
      </c>
      <c r="AA251" s="4">
        <f>IF($B$224=0,0,IF(AA$2&gt;=$A251,IF(AA$2=$A251,($B251/$B$224)*$B$221,IF(AA$2&lt;=$A251+$B$224-1,$B251/$B$224,$B251-SUM($C251:Z251))),0))</f>
        <v>0</v>
      </c>
      <c r="AB251" s="4">
        <f>IF($B$224=0,0,IF(AB$2&gt;=$A251,IF(AB$2=$A251,($B251/$B$224)*$B$221,IF(AB$2&lt;=$A251+$B$224-1,$B251/$B$224,$B251-SUM($C251:AA251))),0))</f>
        <v>0</v>
      </c>
      <c r="AC251" s="4">
        <f>IF($B$224=0,0,IF(AC$2&gt;=$A251,IF(AC$2=$A251,($B251/$B$224)*$B$221,IF(AC$2&lt;=$A251+$B$224-1,$B251/$B$224,$B251-SUM($C251:AB251))),0))</f>
        <v>0</v>
      </c>
      <c r="AD251" s="4">
        <f>IF($B$224=0,0,IF(AD$2&gt;=$A251,IF(AD$2=$A251,($B251/$B$224)*$B$221,IF(AD$2&lt;=$A251+$B$224-1,$B251/$B$224,$B251-SUM($C251:AC251))),0))</f>
        <v>0</v>
      </c>
      <c r="AE251" s="4">
        <f>IF($B$224=0,0,IF(AE$2&gt;=$A251,IF(AE$2=$A251,($B251/$B$224)*$B$221,IF(AE$2&lt;=$A251+$B$224-1,$B251/$B$224,$B251-SUM($C251:AD251))),0))</f>
        <v>0</v>
      </c>
      <c r="AF251" s="4">
        <f>IF($B$224=0,0,IF(AF$2&gt;=$A251,IF(AF$2=$A251,($B251/$B$224)*$B$221,IF(AF$2&lt;=$A251+$B$224-1,$B251/$B$224,$B251-SUM($C251:AE251))),0))</f>
        <v>0</v>
      </c>
      <c r="AG251" s="4">
        <f t="shared" si="174"/>
        <v>0</v>
      </c>
    </row>
    <row r="252" spans="1:33">
      <c r="A252" s="6">
        <f t="shared" si="173"/>
        <v>2049</v>
      </c>
      <c r="B252" s="4">
        <f t="shared" si="171"/>
        <v>0</v>
      </c>
      <c r="C252" s="4">
        <f>IF($B$224=0,0,IF(C$2&gt;=$A252,IF(C$2=$A252,($B252/$B$224)*$B$221,IF(C$2&lt;=$A252+$B$224-1,$B252/$B$224,$B252-SUM(B252:$C252))),0))</f>
        <v>0</v>
      </c>
      <c r="D252" s="4">
        <f>IF($B$224=0,0,IF(D$2&gt;=$A252,IF(D$2=$A252,($B252/$B$224)*$B$221,IF(D$2&lt;=$A252+$B$224-1,$B252/$B$224,$B252-SUM(C252:$C252))),0))</f>
        <v>0</v>
      </c>
      <c r="E252" s="4">
        <f>IF($B$224=0,0,IF(E$2&gt;=$A252,IF(E$2=$A252,($B252/$B$224)*$B$221,IF(E$2&lt;=$A252+$B$224-1,$B252/$B$224,$B252-SUM($C252:D252))),0))</f>
        <v>0</v>
      </c>
      <c r="F252" s="4">
        <f>IF($B$224=0,0,IF(F$2&gt;=$A252,IF(F$2=$A252,($B252/$B$224)*$B$221,IF(F$2&lt;=$A252+$B$224-1,$B252/$B$224,$B252-SUM($C252:E252))),0))</f>
        <v>0</v>
      </c>
      <c r="G252" s="4">
        <f>IF($B$224=0,0,IF(G$2&gt;=$A252,IF(G$2=$A252,($B252/$B$224)*$B$221,IF(G$2&lt;=$A252+$B$224-1,$B252/$B$224,$B252-SUM($C252:F252))),0))</f>
        <v>0</v>
      </c>
      <c r="H252" s="4">
        <f>IF($B$224=0,0,IF(H$2&gt;=$A252,IF(H$2=$A252,($B252/$B$224)*$B$221,IF(H$2&lt;=$A252+$B$224-1,$B252/$B$224,$B252-SUM($C252:G252))),0))</f>
        <v>0</v>
      </c>
      <c r="I252" s="4">
        <f>IF($B$224=0,0,IF(I$2&gt;=$A252,IF(I$2=$A252,($B252/$B$224)*$B$221,IF(I$2&lt;=$A252+$B$224-1,$B252/$B$224,$B252-SUM($C252:H252))),0))</f>
        <v>0</v>
      </c>
      <c r="J252" s="4">
        <f>IF($B$224=0,0,IF(J$2&gt;=$A252,IF(J$2=$A252,($B252/$B$224)*$B$221,IF(J$2&lt;=$A252+$B$224-1,$B252/$B$224,$B252-SUM($C252:I252))),0))</f>
        <v>0</v>
      </c>
      <c r="K252" s="4">
        <f>IF($B$224=0,0,IF(K$2&gt;=$A252,IF(K$2=$A252,($B252/$B$224)*$B$221,IF(K$2&lt;=$A252+$B$224-1,$B252/$B$224,$B252-SUM($C252:J252))),0))</f>
        <v>0</v>
      </c>
      <c r="L252" s="4">
        <f>IF($B$224=0,0,IF(L$2&gt;=$A252,IF(L$2=$A252,($B252/$B$224)*$B$221,IF(L$2&lt;=$A252+$B$224-1,$B252/$B$224,$B252-SUM($C252:K252))),0))</f>
        <v>0</v>
      </c>
      <c r="M252" s="4">
        <f>IF($B$224=0,0,IF(M$2&gt;=$A252,IF(M$2=$A252,($B252/$B$224)*$B$221,IF(M$2&lt;=$A252+$B$224-1,$B252/$B$224,$B252-SUM($C252:L252))),0))</f>
        <v>0</v>
      </c>
      <c r="N252" s="4">
        <f>IF($B$224=0,0,IF(N$2&gt;=$A252,IF(N$2=$A252,($B252/$B$224)*$B$221,IF(N$2&lt;=$A252+$B$224-1,$B252/$B$224,$B252-SUM($C252:M252))),0))</f>
        <v>0</v>
      </c>
      <c r="O252" s="4">
        <f>IF($B$224=0,0,IF(O$2&gt;=$A252,IF(O$2=$A252,($B252/$B$224)*$B$221,IF(O$2&lt;=$A252+$B$224-1,$B252/$B$224,$B252-SUM($C252:N252))),0))</f>
        <v>0</v>
      </c>
      <c r="P252" s="4">
        <f>IF($B$224=0,0,IF(P$2&gt;=$A252,IF(P$2=$A252,($B252/$B$224)*$B$221,IF(P$2&lt;=$A252+$B$224-1,$B252/$B$224,$B252-SUM($C252:O252))),0))</f>
        <v>0</v>
      </c>
      <c r="Q252" s="4">
        <f>IF($B$224=0,0,IF(Q$2&gt;=$A252,IF(Q$2=$A252,($B252/$B$224)*$B$221,IF(Q$2&lt;=$A252+$B$224-1,$B252/$B$224,$B252-SUM($C252:P252))),0))</f>
        <v>0</v>
      </c>
      <c r="R252" s="4">
        <f>IF($B$224=0,0,IF(R$2&gt;=$A252,IF(R$2=$A252,($B252/$B$224)*$B$221,IF(R$2&lt;=$A252+$B$224-1,$B252/$B$224,$B252-SUM($C252:Q252))),0))</f>
        <v>0</v>
      </c>
      <c r="S252" s="4">
        <f>IF($B$224=0,0,IF(S$2&gt;=$A252,IF(S$2=$A252,($B252/$B$224)*$B$221,IF(S$2&lt;=$A252+$B$224-1,$B252/$B$224,$B252-SUM($C252:R252))),0))</f>
        <v>0</v>
      </c>
      <c r="T252" s="4">
        <f>IF($B$224=0,0,IF(T$2&gt;=$A252,IF(T$2=$A252,($B252/$B$224)*$B$221,IF(T$2&lt;=$A252+$B$224-1,$B252/$B$224,$B252-SUM($C252:S252))),0))</f>
        <v>0</v>
      </c>
      <c r="U252" s="4">
        <f>IF($B$224=0,0,IF(U$2&gt;=$A252,IF(U$2=$A252,($B252/$B$224)*$B$221,IF(U$2&lt;=$A252+$B$224-1,$B252/$B$224,$B252-SUM($C252:T252))),0))</f>
        <v>0</v>
      </c>
      <c r="V252" s="4">
        <f>IF($B$224=0,0,IF(V$2&gt;=$A252,IF(V$2=$A252,($B252/$B$224)*$B$221,IF(V$2&lt;=$A252+$B$224-1,$B252/$B$224,$B252-SUM($C252:U252))),0))</f>
        <v>0</v>
      </c>
      <c r="W252" s="4">
        <f>IF($B$224=0,0,IF(W$2&gt;=$A252,IF(W$2=$A252,($B252/$B$224)*$B$221,IF(W$2&lt;=$A252+$B$224-1,$B252/$B$224,$B252-SUM($C252:V252))),0))</f>
        <v>0</v>
      </c>
      <c r="X252" s="4">
        <f>IF($B$224=0,0,IF(X$2&gt;=$A252,IF(X$2=$A252,($B252/$B$224)*$B$221,IF(X$2&lt;=$A252+$B$224-1,$B252/$B$224,$B252-SUM($C252:W252))),0))</f>
        <v>0</v>
      </c>
      <c r="Y252" s="4">
        <f>IF($B$224=0,0,IF(Y$2&gt;=$A252,IF(Y$2=$A252,($B252/$B$224)*$B$221,IF(Y$2&lt;=$A252+$B$224-1,$B252/$B$224,$B252-SUM($C252:X252))),0))</f>
        <v>0</v>
      </c>
      <c r="Z252" s="4">
        <f>IF($B$224=0,0,IF(Z$2&gt;=$A252,IF(Z$2=$A252,($B252/$B$224)*$B$221,IF(Z$2&lt;=$A252+$B$224-1,$B252/$B$224,$B252-SUM($C252:Y252))),0))</f>
        <v>0</v>
      </c>
      <c r="AA252" s="4">
        <f>IF($B$224=0,0,IF(AA$2&gt;=$A252,IF(AA$2=$A252,($B252/$B$224)*$B$221,IF(AA$2&lt;=$A252+$B$224-1,$B252/$B$224,$B252-SUM($C252:Z252))),0))</f>
        <v>0</v>
      </c>
      <c r="AB252" s="4">
        <f>IF($B$224=0,0,IF(AB$2&gt;=$A252,IF(AB$2=$A252,($B252/$B$224)*$B$221,IF(AB$2&lt;=$A252+$B$224-1,$B252/$B$224,$B252-SUM($C252:AA252))),0))</f>
        <v>0</v>
      </c>
      <c r="AC252" s="4">
        <f>IF($B$224=0,0,IF(AC$2&gt;=$A252,IF(AC$2=$A252,($B252/$B$224)*$B$221,IF(AC$2&lt;=$A252+$B$224-1,$B252/$B$224,$B252-SUM($C252:AB252))),0))</f>
        <v>0</v>
      </c>
      <c r="AD252" s="4">
        <f>IF($B$224=0,0,IF(AD$2&gt;=$A252,IF(AD$2=$A252,($B252/$B$224)*$B$221,IF(AD$2&lt;=$A252+$B$224-1,$B252/$B$224,$B252-SUM($C252:AC252))),0))</f>
        <v>0</v>
      </c>
      <c r="AE252" s="4">
        <f>IF($B$224=0,0,IF(AE$2&gt;=$A252,IF(AE$2=$A252,($B252/$B$224)*$B$221,IF(AE$2&lt;=$A252+$B$224-1,$B252/$B$224,$B252-SUM($C252:AD252))),0))</f>
        <v>0</v>
      </c>
      <c r="AF252" s="4">
        <f>IF($B$224=0,0,IF(AF$2&gt;=$A252,IF(AF$2=$A252,($B252/$B$224)*$B$221,IF(AF$2&lt;=$A252+$B$224-1,$B252/$B$224,$B252-SUM($C252:AE252))),0))</f>
        <v>0</v>
      </c>
      <c r="AG252" s="4">
        <f t="shared" si="174"/>
        <v>0</v>
      </c>
    </row>
    <row r="253" spans="1:33">
      <c r="A253" s="6">
        <f t="shared" si="173"/>
        <v>2050</v>
      </c>
      <c r="B253" s="4">
        <f t="shared" si="171"/>
        <v>0</v>
      </c>
      <c r="C253" s="4">
        <f>IF($B$224=0,0,IF(C$2&gt;=$A253,IF(C$2=$A253,($B253/$B$224)*$B$221,IF(C$2&lt;=$A253+$B$224-1,$B253/$B$224,$B253-SUM(B253:$C253))),0))</f>
        <v>0</v>
      </c>
      <c r="D253" s="4">
        <f>IF($B$224=0,0,IF(D$2&gt;=$A253,IF(D$2=$A253,($B253/$B$224)*$B$221,IF(D$2&lt;=$A253+$B$224-1,$B253/$B$224,$B253-SUM(C253:$C253))),0))</f>
        <v>0</v>
      </c>
      <c r="E253" s="4">
        <f>IF($B$224=0,0,IF(E$2&gt;=$A253,IF(E$2=$A253,($B253/$B$224)*$B$221,IF(E$2&lt;=$A253+$B$224-1,$B253/$B$224,$B253-SUM($C253:D253))),0))</f>
        <v>0</v>
      </c>
      <c r="F253" s="4">
        <f>IF($B$224=0,0,IF(F$2&gt;=$A253,IF(F$2=$A253,($B253/$B$224)*$B$221,IF(F$2&lt;=$A253+$B$224-1,$B253/$B$224,$B253-SUM($C253:E253))),0))</f>
        <v>0</v>
      </c>
      <c r="G253" s="4">
        <f>IF($B$224=0,0,IF(G$2&gt;=$A253,IF(G$2=$A253,($B253/$B$224)*$B$221,IF(G$2&lt;=$A253+$B$224-1,$B253/$B$224,$B253-SUM($C253:F253))),0))</f>
        <v>0</v>
      </c>
      <c r="H253" s="4">
        <f>IF($B$224=0,0,IF(H$2&gt;=$A253,IF(H$2=$A253,($B253/$B$224)*$B$221,IF(H$2&lt;=$A253+$B$224-1,$B253/$B$224,$B253-SUM($C253:G253))),0))</f>
        <v>0</v>
      </c>
      <c r="I253" s="4">
        <f>IF($B$224=0,0,IF(I$2&gt;=$A253,IF(I$2=$A253,($B253/$B$224)*$B$221,IF(I$2&lt;=$A253+$B$224-1,$B253/$B$224,$B253-SUM($C253:H253))),0))</f>
        <v>0</v>
      </c>
      <c r="J253" s="4">
        <f>IF($B$224=0,0,IF(J$2&gt;=$A253,IF(J$2=$A253,($B253/$B$224)*$B$221,IF(J$2&lt;=$A253+$B$224-1,$B253/$B$224,$B253-SUM($C253:I253))),0))</f>
        <v>0</v>
      </c>
      <c r="K253" s="4">
        <f>IF($B$224=0,0,IF(K$2&gt;=$A253,IF(K$2=$A253,($B253/$B$224)*$B$221,IF(K$2&lt;=$A253+$B$224-1,$B253/$B$224,$B253-SUM($C253:J253))),0))</f>
        <v>0</v>
      </c>
      <c r="L253" s="4">
        <f>IF($B$224=0,0,IF(L$2&gt;=$A253,IF(L$2=$A253,($B253/$B$224)*$B$221,IF(L$2&lt;=$A253+$B$224-1,$B253/$B$224,$B253-SUM($C253:K253))),0))</f>
        <v>0</v>
      </c>
      <c r="M253" s="4">
        <f>IF($B$224=0,0,IF(M$2&gt;=$A253,IF(M$2=$A253,($B253/$B$224)*$B$221,IF(M$2&lt;=$A253+$B$224-1,$B253/$B$224,$B253-SUM($C253:L253))),0))</f>
        <v>0</v>
      </c>
      <c r="N253" s="4">
        <f>IF($B$224=0,0,IF(N$2&gt;=$A253,IF(N$2=$A253,($B253/$B$224)*$B$221,IF(N$2&lt;=$A253+$B$224-1,$B253/$B$224,$B253-SUM($C253:M253))),0))</f>
        <v>0</v>
      </c>
      <c r="O253" s="4">
        <f>IF($B$224=0,0,IF(O$2&gt;=$A253,IF(O$2=$A253,($B253/$B$224)*$B$221,IF(O$2&lt;=$A253+$B$224-1,$B253/$B$224,$B253-SUM($C253:N253))),0))</f>
        <v>0</v>
      </c>
      <c r="P253" s="4">
        <f>IF($B$224=0,0,IF(P$2&gt;=$A253,IF(P$2=$A253,($B253/$B$224)*$B$221,IF(P$2&lt;=$A253+$B$224-1,$B253/$B$224,$B253-SUM($C253:O253))),0))</f>
        <v>0</v>
      </c>
      <c r="Q253" s="4">
        <f>IF($B$224=0,0,IF(Q$2&gt;=$A253,IF(Q$2=$A253,($B253/$B$224)*$B$221,IF(Q$2&lt;=$A253+$B$224-1,$B253/$B$224,$B253-SUM($C253:P253))),0))</f>
        <v>0</v>
      </c>
      <c r="R253" s="4">
        <f>IF($B$224=0,0,IF(R$2&gt;=$A253,IF(R$2=$A253,($B253/$B$224)*$B$221,IF(R$2&lt;=$A253+$B$224-1,$B253/$B$224,$B253-SUM($C253:Q253))),0))</f>
        <v>0</v>
      </c>
      <c r="S253" s="4">
        <f>IF($B$224=0,0,IF(S$2&gt;=$A253,IF(S$2=$A253,($B253/$B$224)*$B$221,IF(S$2&lt;=$A253+$B$224-1,$B253/$B$224,$B253-SUM($C253:R253))),0))</f>
        <v>0</v>
      </c>
      <c r="T253" s="4">
        <f>IF($B$224=0,0,IF(T$2&gt;=$A253,IF(T$2=$A253,($B253/$B$224)*$B$221,IF(T$2&lt;=$A253+$B$224-1,$B253/$B$224,$B253-SUM($C253:S253))),0))</f>
        <v>0</v>
      </c>
      <c r="U253" s="4">
        <f>IF($B$224=0,0,IF(U$2&gt;=$A253,IF(U$2=$A253,($B253/$B$224)*$B$221,IF(U$2&lt;=$A253+$B$224-1,$B253/$B$224,$B253-SUM($C253:T253))),0))</f>
        <v>0</v>
      </c>
      <c r="V253" s="4">
        <f>IF($B$224=0,0,IF(V$2&gt;=$A253,IF(V$2=$A253,($B253/$B$224)*$B$221,IF(V$2&lt;=$A253+$B$224-1,$B253/$B$224,$B253-SUM($C253:U253))),0))</f>
        <v>0</v>
      </c>
      <c r="W253" s="4">
        <f>IF($B$224=0,0,IF(W$2&gt;=$A253,IF(W$2=$A253,($B253/$B$224)*$B$221,IF(W$2&lt;=$A253+$B$224-1,$B253/$B$224,$B253-SUM($C253:V253))),0))</f>
        <v>0</v>
      </c>
      <c r="X253" s="4">
        <f>IF($B$224=0,0,IF(X$2&gt;=$A253,IF(X$2=$A253,($B253/$B$224)*$B$221,IF(X$2&lt;=$A253+$B$224-1,$B253/$B$224,$B253-SUM($C253:W253))),0))</f>
        <v>0</v>
      </c>
      <c r="Y253" s="4">
        <f>IF($B$224=0,0,IF(Y$2&gt;=$A253,IF(Y$2=$A253,($B253/$B$224)*$B$221,IF(Y$2&lt;=$A253+$B$224-1,$B253/$B$224,$B253-SUM($C253:X253))),0))</f>
        <v>0</v>
      </c>
      <c r="Z253" s="4">
        <f>IF($B$224=0,0,IF(Z$2&gt;=$A253,IF(Z$2=$A253,($B253/$B$224)*$B$221,IF(Z$2&lt;=$A253+$B$224-1,$B253/$B$224,$B253-SUM($C253:Y253))),0))</f>
        <v>0</v>
      </c>
      <c r="AA253" s="4">
        <f>IF($B$224=0,0,IF(AA$2&gt;=$A253,IF(AA$2=$A253,($B253/$B$224)*$B$221,IF(AA$2&lt;=$A253+$B$224-1,$B253/$B$224,$B253-SUM($C253:Z253))),0))</f>
        <v>0</v>
      </c>
      <c r="AB253" s="4">
        <f>IF($B$224=0,0,IF(AB$2&gt;=$A253,IF(AB$2=$A253,($B253/$B$224)*$B$221,IF(AB$2&lt;=$A253+$B$224-1,$B253/$B$224,$B253-SUM($C253:AA253))),0))</f>
        <v>0</v>
      </c>
      <c r="AC253" s="4">
        <f>IF($B$224=0,0,IF(AC$2&gt;=$A253,IF(AC$2=$A253,($B253/$B$224)*$B$221,IF(AC$2&lt;=$A253+$B$224-1,$B253/$B$224,$B253-SUM($C253:AB253))),0))</f>
        <v>0</v>
      </c>
      <c r="AD253" s="4">
        <f>IF($B$224=0,0,IF(AD$2&gt;=$A253,IF(AD$2=$A253,($B253/$B$224)*$B$221,IF(AD$2&lt;=$A253+$B$224-1,$B253/$B$224,$B253-SUM($C253:AC253))),0))</f>
        <v>0</v>
      </c>
      <c r="AE253" s="4">
        <f>IF($B$224=0,0,IF(AE$2&gt;=$A253,IF(AE$2=$A253,($B253/$B$224)*$B$221,IF(AE$2&lt;=$A253+$B$224-1,$B253/$B$224,$B253-SUM($C253:AD253))),0))</f>
        <v>0</v>
      </c>
      <c r="AF253" s="4">
        <f>IF($B$224=0,0,IF(AF$2&gt;=$A253,IF(AF$2=$A253,($B253/$B$224)*$B$221,IF(AF$2&lt;=$A253+$B$224-1,$B253/$B$224,$B253-SUM($C253:AE253))),0))</f>
        <v>0</v>
      </c>
      <c r="AG253" s="4">
        <f t="shared" si="174"/>
        <v>0</v>
      </c>
    </row>
    <row r="254" spans="1:33">
      <c r="A254" s="6">
        <f t="shared" si="173"/>
        <v>2051</v>
      </c>
      <c r="B254" s="4">
        <f t="shared" si="171"/>
        <v>0</v>
      </c>
      <c r="C254" s="4">
        <f>IF($B$224=0,0,IF(C$2&gt;=$A254,IF(C$2=$A254,($B254/$B$224)*$B$221,IF(C$2&lt;=$A254+$B$224-1,$B254/$B$224,$B254-SUM(B254:$C254))),0))</f>
        <v>0</v>
      </c>
      <c r="D254" s="4">
        <f>IF($B$224=0,0,IF(D$2&gt;=$A254,IF(D$2=$A254,($B254/$B$224)*$B$221,IF(D$2&lt;=$A254+$B$224-1,$B254/$B$224,$B254-SUM(C254:$C254))),0))</f>
        <v>0</v>
      </c>
      <c r="E254" s="4">
        <f>IF($B$224=0,0,IF(E$2&gt;=$A254,IF(E$2=$A254,($B254/$B$224)*$B$221,IF(E$2&lt;=$A254+$B$224-1,$B254/$B$224,$B254-SUM($C254:D254))),0))</f>
        <v>0</v>
      </c>
      <c r="F254" s="4">
        <f>IF($B$224=0,0,IF(F$2&gt;=$A254,IF(F$2=$A254,($B254/$B$224)*$B$221,IF(F$2&lt;=$A254+$B$224-1,$B254/$B$224,$B254-SUM($C254:E254))),0))</f>
        <v>0</v>
      </c>
      <c r="G254" s="4">
        <f>IF($B$224=0,0,IF(G$2&gt;=$A254,IF(G$2=$A254,($B254/$B$224)*$B$221,IF(G$2&lt;=$A254+$B$224-1,$B254/$B$224,$B254-SUM($C254:F254))),0))</f>
        <v>0</v>
      </c>
      <c r="H254" s="4">
        <f>IF($B$224=0,0,IF(H$2&gt;=$A254,IF(H$2=$A254,($B254/$B$224)*$B$221,IF(H$2&lt;=$A254+$B$224-1,$B254/$B$224,$B254-SUM($C254:G254))),0))</f>
        <v>0</v>
      </c>
      <c r="I254" s="4">
        <f>IF($B$224=0,0,IF(I$2&gt;=$A254,IF(I$2=$A254,($B254/$B$224)*$B$221,IF(I$2&lt;=$A254+$B$224-1,$B254/$B$224,$B254-SUM($C254:H254))),0))</f>
        <v>0</v>
      </c>
      <c r="J254" s="4">
        <f>IF($B$224=0,0,IF(J$2&gt;=$A254,IF(J$2=$A254,($B254/$B$224)*$B$221,IF(J$2&lt;=$A254+$B$224-1,$B254/$B$224,$B254-SUM($C254:I254))),0))</f>
        <v>0</v>
      </c>
      <c r="K254" s="4">
        <f>IF($B$224=0,0,IF(K$2&gt;=$A254,IF(K$2=$A254,($B254/$B$224)*$B$221,IF(K$2&lt;=$A254+$B$224-1,$B254/$B$224,$B254-SUM($C254:J254))),0))</f>
        <v>0</v>
      </c>
      <c r="L254" s="4">
        <f>IF($B$224=0,0,IF(L$2&gt;=$A254,IF(L$2=$A254,($B254/$B$224)*$B$221,IF(L$2&lt;=$A254+$B$224-1,$B254/$B$224,$B254-SUM($C254:K254))),0))</f>
        <v>0</v>
      </c>
      <c r="M254" s="4">
        <f>IF($B$224=0,0,IF(M$2&gt;=$A254,IF(M$2=$A254,($B254/$B$224)*$B$221,IF(M$2&lt;=$A254+$B$224-1,$B254/$B$224,$B254-SUM($C254:L254))),0))</f>
        <v>0</v>
      </c>
      <c r="N254" s="4">
        <f>IF($B$224=0,0,IF(N$2&gt;=$A254,IF(N$2=$A254,($B254/$B$224)*$B$221,IF(N$2&lt;=$A254+$B$224-1,$B254/$B$224,$B254-SUM($C254:M254))),0))</f>
        <v>0</v>
      </c>
      <c r="O254" s="4">
        <f>IF($B$224=0,0,IF(O$2&gt;=$A254,IF(O$2=$A254,($B254/$B$224)*$B$221,IF(O$2&lt;=$A254+$B$224-1,$B254/$B$224,$B254-SUM($C254:N254))),0))</f>
        <v>0</v>
      </c>
      <c r="P254" s="4">
        <f>IF($B$224=0,0,IF(P$2&gt;=$A254,IF(P$2=$A254,($B254/$B$224)*$B$221,IF(P$2&lt;=$A254+$B$224-1,$B254/$B$224,$B254-SUM($C254:O254))),0))</f>
        <v>0</v>
      </c>
      <c r="Q254" s="4">
        <f>IF($B$224=0,0,IF(Q$2&gt;=$A254,IF(Q$2=$A254,($B254/$B$224)*$B$221,IF(Q$2&lt;=$A254+$B$224-1,$B254/$B$224,$B254-SUM($C254:P254))),0))</f>
        <v>0</v>
      </c>
      <c r="R254" s="4">
        <f>IF($B$224=0,0,IF(R$2&gt;=$A254,IF(R$2=$A254,($B254/$B$224)*$B$221,IF(R$2&lt;=$A254+$B$224-1,$B254/$B$224,$B254-SUM($C254:Q254))),0))</f>
        <v>0</v>
      </c>
      <c r="S254" s="4">
        <f>IF($B$224=0,0,IF(S$2&gt;=$A254,IF(S$2=$A254,($B254/$B$224)*$B$221,IF(S$2&lt;=$A254+$B$224-1,$B254/$B$224,$B254-SUM($C254:R254))),0))</f>
        <v>0</v>
      </c>
      <c r="T254" s="4">
        <f>IF($B$224=0,0,IF(T$2&gt;=$A254,IF(T$2=$A254,($B254/$B$224)*$B$221,IF(T$2&lt;=$A254+$B$224-1,$B254/$B$224,$B254-SUM($C254:S254))),0))</f>
        <v>0</v>
      </c>
      <c r="U254" s="4">
        <f>IF($B$224=0,0,IF(U$2&gt;=$A254,IF(U$2=$A254,($B254/$B$224)*$B$221,IF(U$2&lt;=$A254+$B$224-1,$B254/$B$224,$B254-SUM($C254:T254))),0))</f>
        <v>0</v>
      </c>
      <c r="V254" s="4">
        <f>IF($B$224=0,0,IF(V$2&gt;=$A254,IF(V$2=$A254,($B254/$B$224)*$B$221,IF(V$2&lt;=$A254+$B$224-1,$B254/$B$224,$B254-SUM($C254:U254))),0))</f>
        <v>0</v>
      </c>
      <c r="W254" s="4">
        <f>IF($B$224=0,0,IF(W$2&gt;=$A254,IF(W$2=$A254,($B254/$B$224)*$B$221,IF(W$2&lt;=$A254+$B$224-1,$B254/$B$224,$B254-SUM($C254:V254))),0))</f>
        <v>0</v>
      </c>
      <c r="X254" s="4">
        <f>IF($B$224=0,0,IF(X$2&gt;=$A254,IF(X$2=$A254,($B254/$B$224)*$B$221,IF(X$2&lt;=$A254+$B$224-1,$B254/$B$224,$B254-SUM($C254:W254))),0))</f>
        <v>0</v>
      </c>
      <c r="Y254" s="4">
        <f>IF($B$224=0,0,IF(Y$2&gt;=$A254,IF(Y$2=$A254,($B254/$B$224)*$B$221,IF(Y$2&lt;=$A254+$B$224-1,$B254/$B$224,$B254-SUM($C254:X254))),0))</f>
        <v>0</v>
      </c>
      <c r="Z254" s="4">
        <f>IF($B$224=0,0,IF(Z$2&gt;=$A254,IF(Z$2=$A254,($B254/$B$224)*$B$221,IF(Z$2&lt;=$A254+$B$224-1,$B254/$B$224,$B254-SUM($C254:Y254))),0))</f>
        <v>0</v>
      </c>
      <c r="AA254" s="4">
        <f>IF($B$224=0,0,IF(AA$2&gt;=$A254,IF(AA$2=$A254,($B254/$B$224)*$B$221,IF(AA$2&lt;=$A254+$B$224-1,$B254/$B$224,$B254-SUM($C254:Z254))),0))</f>
        <v>0</v>
      </c>
      <c r="AB254" s="4">
        <f>IF($B$224=0,0,IF(AB$2&gt;=$A254,IF(AB$2=$A254,($B254/$B$224)*$B$221,IF(AB$2&lt;=$A254+$B$224-1,$B254/$B$224,$B254-SUM($C254:AA254))),0))</f>
        <v>0</v>
      </c>
      <c r="AC254" s="4">
        <f>IF($B$224=0,0,IF(AC$2&gt;=$A254,IF(AC$2=$A254,($B254/$B$224)*$B$221,IF(AC$2&lt;=$A254+$B$224-1,$B254/$B$224,$B254-SUM($C254:AB254))),0))</f>
        <v>0</v>
      </c>
      <c r="AD254" s="4">
        <f>IF($B$224=0,0,IF(AD$2&gt;=$A254,IF(AD$2=$A254,($B254/$B$224)*$B$221,IF(AD$2&lt;=$A254+$B$224-1,$B254/$B$224,$B254-SUM($C254:AC254))),0))</f>
        <v>0</v>
      </c>
      <c r="AE254" s="4">
        <f>IF($B$224=0,0,IF(AE$2&gt;=$A254,IF(AE$2=$A254,($B254/$B$224)*$B$221,IF(AE$2&lt;=$A254+$B$224-1,$B254/$B$224,$B254-SUM($C254:AD254))),0))</f>
        <v>0</v>
      </c>
      <c r="AF254" s="4">
        <f>IF($B$224=0,0,IF(AF$2&gt;=$A254,IF(AF$2=$A254,($B254/$B$224)*$B$221,IF(AF$2&lt;=$A254+$B$224-1,$B254/$B$224,$B254-SUM($C254:AE254))),0))</f>
        <v>0</v>
      </c>
      <c r="AG254" s="4">
        <f t="shared" si="174"/>
        <v>0</v>
      </c>
    </row>
    <row r="255" spans="1:33" ht="15" thickBot="1">
      <c r="A255" s="6" t="str">
        <f>"Total Depreciation - "&amp;A221</f>
        <v>Total Depreciation - Interior Costs - Soft Costs</v>
      </c>
      <c r="B255" s="43">
        <f>SUM(B225:B254)</f>
        <v>9701578.8821190707</v>
      </c>
      <c r="C255" s="43">
        <f>SUM(C225:C254)</f>
        <v>0</v>
      </c>
      <c r="D255" s="43">
        <f t="shared" ref="D255:AF255" si="175">SUM(D225:D254)</f>
        <v>0</v>
      </c>
      <c r="E255" s="43">
        <f t="shared" si="175"/>
        <v>0</v>
      </c>
      <c r="F255" s="43">
        <f t="shared" si="175"/>
        <v>80846.490684325589</v>
      </c>
      <c r="G255" s="43">
        <f t="shared" si="175"/>
        <v>161692.98136865118</v>
      </c>
      <c r="H255" s="43">
        <f t="shared" si="175"/>
        <v>161692.98136865118</v>
      </c>
      <c r="I255" s="43">
        <f t="shared" si="175"/>
        <v>161692.98136865118</v>
      </c>
      <c r="J255" s="43">
        <f t="shared" si="175"/>
        <v>161692.98136865118</v>
      </c>
      <c r="K255" s="43">
        <f t="shared" si="175"/>
        <v>161692.98136865118</v>
      </c>
      <c r="L255" s="43">
        <f t="shared" si="175"/>
        <v>161692.98136865118</v>
      </c>
      <c r="M255" s="43">
        <f t="shared" si="175"/>
        <v>161692.98136865118</v>
      </c>
      <c r="N255" s="43">
        <f t="shared" si="175"/>
        <v>161692.98136865118</v>
      </c>
      <c r="O255" s="43">
        <f t="shared" si="175"/>
        <v>161692.98136865118</v>
      </c>
      <c r="P255" s="43">
        <f t="shared" si="175"/>
        <v>161692.98136865118</v>
      </c>
      <c r="Q255" s="43">
        <f t="shared" si="175"/>
        <v>161692.98136865118</v>
      </c>
      <c r="R255" s="43">
        <f t="shared" si="175"/>
        <v>161692.98136865118</v>
      </c>
      <c r="S255" s="43">
        <f t="shared" si="175"/>
        <v>161692.98136865118</v>
      </c>
      <c r="T255" s="43">
        <f t="shared" si="175"/>
        <v>161692.98136865118</v>
      </c>
      <c r="U255" s="43">
        <f t="shared" si="175"/>
        <v>161692.98136865118</v>
      </c>
      <c r="V255" s="43">
        <f t="shared" si="175"/>
        <v>161692.98136865118</v>
      </c>
      <c r="W255" s="43">
        <f t="shared" si="175"/>
        <v>161692.98136865118</v>
      </c>
      <c r="X255" s="43">
        <f t="shared" si="175"/>
        <v>161692.98136865118</v>
      </c>
      <c r="Y255" s="43">
        <f t="shared" si="175"/>
        <v>161692.98136865118</v>
      </c>
      <c r="Z255" s="43">
        <f t="shared" si="175"/>
        <v>161692.98136865118</v>
      </c>
      <c r="AA255" s="43">
        <f t="shared" si="175"/>
        <v>161692.98136865118</v>
      </c>
      <c r="AB255" s="43">
        <f t="shared" si="175"/>
        <v>161692.98136865118</v>
      </c>
      <c r="AC255" s="43">
        <f t="shared" si="175"/>
        <v>161692.98136865118</v>
      </c>
      <c r="AD255" s="43">
        <f t="shared" si="175"/>
        <v>161692.98136865118</v>
      </c>
      <c r="AE255" s="43">
        <f t="shared" si="175"/>
        <v>161692.98136865118</v>
      </c>
      <c r="AF255" s="43">
        <f t="shared" si="175"/>
        <v>161692.98136865118</v>
      </c>
      <c r="AG255" s="43">
        <f>SUM(C255:AF255)</f>
        <v>4284864.0062692557</v>
      </c>
    </row>
    <row r="257" spans="1:33">
      <c r="A257" s="302" t="str">
        <f>+Capex!$A$13</f>
        <v>Interior Costs - Construction</v>
      </c>
      <c r="B257" s="324">
        <f>+Capex!$C$13/12</f>
        <v>0.5</v>
      </c>
    </row>
    <row r="258" spans="1:33">
      <c r="A258" s="6" t="s">
        <v>399</v>
      </c>
      <c r="C258" s="40">
        <f>IF(Capex!$B$13=0,Capex!G$13,IF(Capex!$B$13=Capex!G$4,Capex!$AK$13,0))+IF(Capex!$B$13=0,Capex!G$27,IF(Capex!$B$13=Capex!G$4,Capex!$AK$27,0))</f>
        <v>0</v>
      </c>
      <c r="D258" s="40">
        <f>IF(Capex!$B$13=0,Capex!H$13,IF(Capex!$B$13=Capex!H$4,Capex!$AK$13,0))+IF(Capex!$B$13=0,Capex!H$27,IF(Capex!$B$13=Capex!H$4,Capex!$AK$27,0))</f>
        <v>0</v>
      </c>
      <c r="E258" s="40">
        <f>IF(Capex!$B$13=0,Capex!I$13,IF(Capex!$B$13=Capex!I$4,Capex!$AK$13,0))+IF(Capex!$B$13=0,Capex!I$27,IF(Capex!$B$13=Capex!I$4,Capex!$AK$27,0))</f>
        <v>0</v>
      </c>
      <c r="F258" s="40">
        <f>IF(Capex!$B$13=0,Capex!J$13,IF(Capex!$B$13=Capex!J$4,Capex!$AK$13,0))+IF(Capex!$B$13=0,Capex!J$27,IF(Capex!$B$13=Capex!J$4,Capex!$AK$27,0))</f>
        <v>76500959.258979723</v>
      </c>
      <c r="G258" s="40">
        <f>IF(Capex!$B$13=0,Capex!K$13,IF(Capex!$B$13=Capex!K$4,Capex!$AK$13,0))+IF(Capex!$B$13=0,Capex!K$27,IF(Capex!$B$13=Capex!K$4,Capex!$AK$27,0))</f>
        <v>0</v>
      </c>
      <c r="H258" s="40">
        <f>IF(Capex!$B$13=0,Capex!L$13,IF(Capex!$B$13=Capex!L$4,Capex!$AK$13,0))+IF(Capex!$B$13=0,Capex!L$27,IF(Capex!$B$13=Capex!L$4,Capex!$AK$27,0))</f>
        <v>0</v>
      </c>
      <c r="I258" s="40">
        <f>IF(Capex!$B$13=0,Capex!M$13,IF(Capex!$B$13=Capex!M$4,Capex!$AK$13,0))+IF(Capex!$B$13=0,Capex!M$27,IF(Capex!$B$13=Capex!M$4,Capex!$AK$27,0))</f>
        <v>0</v>
      </c>
      <c r="J258" s="40">
        <f>IF(Capex!$B$13=0,Capex!N$13,IF(Capex!$B$13=Capex!N$4,Capex!$AK$13,0))+IF(Capex!$B$13=0,Capex!N$27,IF(Capex!$B$13=Capex!N$4,Capex!$AK$27,0))</f>
        <v>0</v>
      </c>
      <c r="K258" s="40">
        <f>IF(Capex!$B$13=0,Capex!O$13,IF(Capex!$B$13=Capex!O$4,Capex!$AK$13,0))+IF(Capex!$B$13=0,Capex!O$27,IF(Capex!$B$13=Capex!O$4,Capex!$AK$27,0))</f>
        <v>0</v>
      </c>
      <c r="L258" s="40">
        <f>IF(Capex!$B$13=0,Capex!P$13,IF(Capex!$B$13=Capex!P$4,Capex!$AK$13,0))+IF(Capex!$B$13=0,Capex!P$27,IF(Capex!$B$13=Capex!P$4,Capex!$AK$27,0))</f>
        <v>0</v>
      </c>
      <c r="M258" s="40">
        <f>IF(Capex!$B$13=0,Capex!Q$13,IF(Capex!$B$13=Capex!Q$4,Capex!$AK$13,0))+IF(Capex!$B$13=0,Capex!Q$27,IF(Capex!$B$13=Capex!Q$4,Capex!$AK$27,0))</f>
        <v>0</v>
      </c>
      <c r="N258" s="40">
        <f>IF(Capex!$B$13=0,Capex!R$13,IF(Capex!$B$13=Capex!R$4,Capex!$AK$13,0))+IF(Capex!$B$13=0,Capex!R$27,IF(Capex!$B$13=Capex!R$4,Capex!$AK$27,0))</f>
        <v>0</v>
      </c>
      <c r="O258" s="40">
        <f>IF(Capex!$B$13=0,Capex!S$13,IF(Capex!$B$13=Capex!S$4,Capex!$AK$13,0))+IF(Capex!$B$13=0,Capex!S$27,IF(Capex!$B$13=Capex!S$4,Capex!$AK$27,0))</f>
        <v>0</v>
      </c>
      <c r="P258" s="40">
        <f>IF(Capex!$B$13=0,Capex!T$13,IF(Capex!$B$13=Capex!T$4,Capex!$AK$13,0))+IF(Capex!$B$13=0,Capex!T$27,IF(Capex!$B$13=Capex!T$4,Capex!$AK$27,0))</f>
        <v>0</v>
      </c>
      <c r="Q258" s="40">
        <f>IF(Capex!$B$13=0,Capex!U$13,IF(Capex!$B$13=Capex!U$4,Capex!$AK$13,0))+IF(Capex!$B$13=0,Capex!U$27,IF(Capex!$B$13=Capex!U$4,Capex!$AK$27,0))</f>
        <v>0</v>
      </c>
      <c r="R258" s="40">
        <f>IF(Capex!$B$13=0,Capex!V$13,IF(Capex!$B$13=Capex!V$4,Capex!$AK$13,0))+IF(Capex!$B$13=0,Capex!V$27,IF(Capex!$B$13=Capex!V$4,Capex!$AK$27,0))</f>
        <v>0</v>
      </c>
      <c r="S258" s="40">
        <f>IF(Capex!$B$13=0,Capex!W$13,IF(Capex!$B$13=Capex!W$4,Capex!$AK$13,0))+IF(Capex!$B$13=0,Capex!W$27,IF(Capex!$B$13=Capex!W$4,Capex!$AK$27,0))</f>
        <v>0</v>
      </c>
      <c r="T258" s="40">
        <f>IF(Capex!$B$13=0,Capex!X$13,IF(Capex!$B$13=Capex!X$4,Capex!$AK$13,0))+IF(Capex!$B$13=0,Capex!X$27,IF(Capex!$B$13=Capex!X$4,Capex!$AK$27,0))</f>
        <v>0</v>
      </c>
      <c r="U258" s="40">
        <f>IF(Capex!$B$13=0,Capex!Y$13,IF(Capex!$B$13=Capex!Y$4,Capex!$AK$13,0))+IF(Capex!$B$13=0,Capex!Y$27,IF(Capex!$B$13=Capex!Y$4,Capex!$AK$27,0))</f>
        <v>0</v>
      </c>
      <c r="V258" s="40">
        <f>IF(Capex!$B$13=0,Capex!Z$13,IF(Capex!$B$13=Capex!Z$4,Capex!$AK$13,0))+IF(Capex!$B$13=0,Capex!Z$27,IF(Capex!$B$13=Capex!Z$4,Capex!$AK$27,0))</f>
        <v>0</v>
      </c>
      <c r="W258" s="40">
        <f>IF(Capex!$B$13=0,Capex!AA$13,IF(Capex!$B$13=Capex!AA$4,Capex!$AK$13,0))+IF(Capex!$B$13=0,Capex!AA$27,IF(Capex!$B$13=Capex!AA$4,Capex!$AK$27,0))</f>
        <v>0</v>
      </c>
      <c r="X258" s="40">
        <f>IF(Capex!$B$13=0,Capex!AB$13,IF(Capex!$B$13=Capex!AB$4,Capex!$AK$13,0))+IF(Capex!$B$13=0,Capex!AB$27,IF(Capex!$B$13=Capex!AB$4,Capex!$AK$27,0))</f>
        <v>0</v>
      </c>
      <c r="Y258" s="40">
        <f>IF(Capex!$B$13=0,Capex!AC$13,IF(Capex!$B$13=Capex!AC$4,Capex!$AK$13,0))+IF(Capex!$B$13=0,Capex!AC$27,IF(Capex!$B$13=Capex!AC$4,Capex!$AK$27,0))</f>
        <v>0</v>
      </c>
      <c r="Z258" s="40">
        <f>IF(Capex!$B$13=0,Capex!AD$13,IF(Capex!$B$13=Capex!AD$4,Capex!$AK$13,0))+IF(Capex!$B$13=0,Capex!AD$27,IF(Capex!$B$13=Capex!AD$4,Capex!$AK$27,0))</f>
        <v>0</v>
      </c>
      <c r="AA258" s="40">
        <f>IF(Capex!$B$13=0,Capex!AE$13,IF(Capex!$B$13=Capex!AE$4,Capex!$AK$13,0))+IF(Capex!$B$13=0,Capex!AE$27,IF(Capex!$B$13=Capex!AE$4,Capex!$AK$27,0))</f>
        <v>0</v>
      </c>
      <c r="AB258" s="40">
        <f>IF(Capex!$B$13=0,Capex!AF$13,IF(Capex!$B$13=Capex!AF$4,Capex!$AK$13,0))+IF(Capex!$B$13=0,Capex!AF$27,IF(Capex!$B$13=Capex!AF$4,Capex!$AK$27,0))</f>
        <v>0</v>
      </c>
      <c r="AC258" s="40">
        <f>IF(Capex!$B$13=0,Capex!AG$13,IF(Capex!$B$13=Capex!AG$4,Capex!$AK$13,0))+IF(Capex!$B$13=0,Capex!AG$27,IF(Capex!$B$13=Capex!AG$4,Capex!$AK$27,0))</f>
        <v>0</v>
      </c>
      <c r="AD258" s="40">
        <f>IF(Capex!$B$13=0,Capex!AH$13,IF(Capex!$B$13=Capex!AH$4,Capex!$AK$13,0))+IF(Capex!$B$13=0,Capex!AH$27,IF(Capex!$B$13=Capex!AH$4,Capex!$AK$27,0))</f>
        <v>0</v>
      </c>
      <c r="AE258" s="40">
        <f>IF(Capex!$B$13=0,Capex!AI$13,IF(Capex!$B$13=Capex!AI$4,Capex!$AK$13,0))+IF(Capex!$B$13=0,Capex!AI$27,IF(Capex!$B$13=Capex!AI$4,Capex!$AK$27,0))</f>
        <v>0</v>
      </c>
      <c r="AF258" s="40">
        <f>IF(Capex!$B$13=0,Capex!AJ$13,IF(Capex!$B$13=Capex!AJ$4,Capex!$AK$13,0))+IF(Capex!$B$13=0,Capex!AJ$27,IF(Capex!$B$13=Capex!AJ$4,Capex!$AK$27,0))</f>
        <v>0</v>
      </c>
    </row>
    <row r="259" spans="1:33">
      <c r="A259" s="6" t="s">
        <v>400</v>
      </c>
      <c r="B259" s="299"/>
      <c r="C259" s="49">
        <f>+C258</f>
        <v>0</v>
      </c>
      <c r="D259" s="49">
        <f t="shared" ref="D259" si="176">+D258+C259</f>
        <v>0</v>
      </c>
      <c r="E259" s="49">
        <f t="shared" ref="E259" si="177">+E258+D259</f>
        <v>0</v>
      </c>
      <c r="F259" s="49">
        <f t="shared" ref="F259" si="178">+F258+E259</f>
        <v>76500959.258979723</v>
      </c>
      <c r="G259" s="49">
        <f t="shared" ref="G259" si="179">+G258+F259</f>
        <v>76500959.258979723</v>
      </c>
      <c r="H259" s="49">
        <f t="shared" ref="H259" si="180">+H258+G259</f>
        <v>76500959.258979723</v>
      </c>
      <c r="I259" s="49">
        <f t="shared" ref="I259" si="181">+I258+H259</f>
        <v>76500959.258979723</v>
      </c>
      <c r="J259" s="49">
        <f t="shared" ref="J259" si="182">+J258+I259</f>
        <v>76500959.258979723</v>
      </c>
      <c r="K259" s="49">
        <f t="shared" ref="K259" si="183">+K258+J259</f>
        <v>76500959.258979723</v>
      </c>
      <c r="L259" s="49">
        <f t="shared" ref="L259" si="184">+L258+K259</f>
        <v>76500959.258979723</v>
      </c>
      <c r="M259" s="49">
        <f t="shared" ref="M259" si="185">+M258+L259</f>
        <v>76500959.258979723</v>
      </c>
      <c r="N259" s="49">
        <f t="shared" ref="N259" si="186">+N258+M259</f>
        <v>76500959.258979723</v>
      </c>
      <c r="O259" s="49">
        <f t="shared" ref="O259" si="187">+O258+N259</f>
        <v>76500959.258979723</v>
      </c>
      <c r="P259" s="49">
        <f t="shared" ref="P259" si="188">+P258+O259</f>
        <v>76500959.258979723</v>
      </c>
      <c r="Q259" s="49">
        <f t="shared" ref="Q259" si="189">+Q258+P259</f>
        <v>76500959.258979723</v>
      </c>
      <c r="R259" s="49">
        <f t="shared" ref="R259" si="190">+R258+Q259</f>
        <v>76500959.258979723</v>
      </c>
      <c r="S259" s="49">
        <f t="shared" ref="S259" si="191">+S258+R259</f>
        <v>76500959.258979723</v>
      </c>
      <c r="T259" s="49">
        <f t="shared" ref="T259" si="192">+T258+S259</f>
        <v>76500959.258979723</v>
      </c>
      <c r="U259" s="49">
        <f t="shared" ref="U259" si="193">+U258+T259</f>
        <v>76500959.258979723</v>
      </c>
      <c r="V259" s="49">
        <f t="shared" ref="V259" si="194">+V258+U259</f>
        <v>76500959.258979723</v>
      </c>
      <c r="W259" s="49">
        <f t="shared" ref="W259" si="195">+W258+V259</f>
        <v>76500959.258979723</v>
      </c>
      <c r="X259" s="49">
        <f t="shared" ref="X259" si="196">+X258+W259</f>
        <v>76500959.258979723</v>
      </c>
      <c r="Y259" s="49">
        <f t="shared" ref="Y259" si="197">+Y258+X259</f>
        <v>76500959.258979723</v>
      </c>
      <c r="Z259" s="49">
        <f t="shared" ref="Z259" si="198">+Z258+Y259</f>
        <v>76500959.258979723</v>
      </c>
      <c r="AA259" s="49">
        <f t="shared" ref="AA259" si="199">+AA258+Z259</f>
        <v>76500959.258979723</v>
      </c>
      <c r="AB259" s="49">
        <f t="shared" ref="AB259" si="200">+AB258+AA259</f>
        <v>76500959.258979723</v>
      </c>
      <c r="AC259" s="49">
        <f t="shared" ref="AC259" si="201">+AC258+AB259</f>
        <v>76500959.258979723</v>
      </c>
      <c r="AD259" s="49">
        <f t="shared" ref="AD259" si="202">+AD258+AC259</f>
        <v>76500959.258979723</v>
      </c>
      <c r="AE259" s="49">
        <f t="shared" ref="AE259" si="203">+AE258+AD259</f>
        <v>76500959.258979723</v>
      </c>
      <c r="AF259" s="49">
        <f t="shared" ref="AF259" si="204">+AF258+AE259</f>
        <v>76500959.258979723</v>
      </c>
    </row>
    <row r="260" spans="1:33" ht="16.2">
      <c r="A260" s="6" t="s">
        <v>401</v>
      </c>
      <c r="B260" s="88">
        <f>+Capex!$D$13</f>
        <v>60</v>
      </c>
      <c r="AG260" s="462"/>
    </row>
    <row r="261" spans="1:33">
      <c r="A261" s="6">
        <f>+A81</f>
        <v>2022</v>
      </c>
      <c r="B261" s="4">
        <f t="shared" ref="B261:B290" si="205">SUMIF($C$2:$AF$2,A261,$C$258:$AF$258)</f>
        <v>0</v>
      </c>
      <c r="C261" s="4">
        <f>IF($B$260=0,0,IF(C$2&gt;=$A261,IF(C$2=$A261,($B261/$B$260)*$B$257,IF(C$2&lt;=$A261+$B$260-1,$B261/$B$260,$B261-SUM(B261:$C261))),0))</f>
        <v>0</v>
      </c>
      <c r="D261" s="4">
        <f>IF($B$260=0,0,IF(D$2&gt;=$A261,IF(D$2=$A261,($B261/$B$260)*$B$257,IF(D$2&lt;=$A261+$B$260-1,$B261/$B$260,$B261-SUM(C261:$C261))),0))</f>
        <v>0</v>
      </c>
      <c r="E261" s="4">
        <f>IF($B$260=0,0,IF(E$2&gt;=$A261,IF(E$2=$A261,($B261/$B$260)*$B$257,IF(E$2&lt;=$A261+$B$260-1,$B261/$B$260,$B261-SUM($C261:D261))),0))</f>
        <v>0</v>
      </c>
      <c r="F261" s="4">
        <f>IF($B$260=0,0,IF(F$2&gt;=$A261,IF(F$2=$A261,($B261/$B$260)*$B$257,IF(F$2&lt;=$A261+$B$260-1,$B261/$B$260,$B261-SUM($C261:E261))),0))</f>
        <v>0</v>
      </c>
      <c r="G261" s="4">
        <f>IF($B$260=0,0,IF(G$2&gt;=$A261,IF(G$2=$A261,($B261/$B$260)*$B$257,IF(G$2&lt;=$A261+$B$260-1,$B261/$B$260,$B261-SUM($C261:F261))),0))</f>
        <v>0</v>
      </c>
      <c r="H261" s="4">
        <f>IF($B$260=0,0,IF(H$2&gt;=$A261,IF(H$2=$A261,($B261/$B$260)*$B$257,IF(H$2&lt;=$A261+$B$260-1,$B261/$B$260,$B261-SUM($C261:G261))),0))</f>
        <v>0</v>
      </c>
      <c r="I261" s="4">
        <f>IF($B$260=0,0,IF(I$2&gt;=$A261,IF(I$2=$A261,($B261/$B$260)*$B$257,IF(I$2&lt;=$A261+$B$260-1,$B261/$B$260,$B261-SUM($C261:H261))),0))</f>
        <v>0</v>
      </c>
      <c r="J261" s="4">
        <f>IF($B$260=0,0,IF(J$2&gt;=$A261,IF(J$2=$A261,($B261/$B$260)*$B$257,IF(J$2&lt;=$A261+$B$260-1,$B261/$B$260,$B261-SUM($C261:I261))),0))</f>
        <v>0</v>
      </c>
      <c r="K261" s="4">
        <f>IF($B$260=0,0,IF(K$2&gt;=$A261,IF(K$2=$A261,($B261/$B$260)*$B$257,IF(K$2&lt;=$A261+$B$260-1,$B261/$B$260,$B261-SUM($C261:J261))),0))</f>
        <v>0</v>
      </c>
      <c r="L261" s="4">
        <f>IF($B$260=0,0,IF(L$2&gt;=$A261,IF(L$2=$A261,($B261/$B$260)*$B$257,IF(L$2&lt;=$A261+$B$260-1,$B261/$B$260,$B261-SUM($C261:K261))),0))</f>
        <v>0</v>
      </c>
      <c r="M261" s="4">
        <f>IF($B$260=0,0,IF(M$2&gt;=$A261,IF(M$2=$A261,($B261/$B$260)*$B$257,IF(M$2&lt;=$A261+$B$260-1,$B261/$B$260,$B261-SUM($C261:L261))),0))</f>
        <v>0</v>
      </c>
      <c r="N261" s="4">
        <f>IF($B$260=0,0,IF(N$2&gt;=$A261,IF(N$2=$A261,($B261/$B$260)*$B$257,IF(N$2&lt;=$A261+$B$260-1,$B261/$B$260,$B261-SUM($C261:M261))),0))</f>
        <v>0</v>
      </c>
      <c r="O261" s="4">
        <f>IF($B$260=0,0,IF(O$2&gt;=$A261,IF(O$2=$A261,($B261/$B$260)*$B$257,IF(O$2&lt;=$A261+$B$260-1,$B261/$B$260,$B261-SUM($C261:N261))),0))</f>
        <v>0</v>
      </c>
      <c r="P261" s="4">
        <f>IF($B$260=0,0,IF(P$2&gt;=$A261,IF(P$2=$A261,($B261/$B$260)*$B$257,IF(P$2&lt;=$A261+$B$260-1,$B261/$B$260,$B261-SUM($C261:O261))),0))</f>
        <v>0</v>
      </c>
      <c r="Q261" s="4">
        <f>IF($B$260=0,0,IF(Q$2&gt;=$A261,IF(Q$2=$A261,($B261/$B$260)*$B$257,IF(Q$2&lt;=$A261+$B$260-1,$B261/$B$260,$B261-SUM($C261:P261))),0))</f>
        <v>0</v>
      </c>
      <c r="R261" s="4">
        <f>IF($B$260=0,0,IF(R$2&gt;=$A261,IF(R$2=$A261,($B261/$B$260)*$B$257,IF(R$2&lt;=$A261+$B$260-1,$B261/$B$260,$B261-SUM($C261:Q261))),0))</f>
        <v>0</v>
      </c>
      <c r="S261" s="4">
        <f>IF($B$260=0,0,IF(S$2&gt;=$A261,IF(S$2=$A261,($B261/$B$260)*$B$257,IF(S$2&lt;=$A261+$B$260-1,$B261/$B$260,$B261-SUM($C261:R261))),0))</f>
        <v>0</v>
      </c>
      <c r="T261" s="4">
        <f>IF($B$260=0,0,IF(T$2&gt;=$A261,IF(T$2=$A261,($B261/$B$260)*$B$257,IF(T$2&lt;=$A261+$B$260-1,$B261/$B$260,$B261-SUM($C261:S261))),0))</f>
        <v>0</v>
      </c>
      <c r="U261" s="4">
        <f>IF($B$260=0,0,IF(U$2&gt;=$A261,IF(U$2=$A261,($B261/$B$260)*$B$257,IF(U$2&lt;=$A261+$B$260-1,$B261/$B$260,$B261-SUM($C261:T261))),0))</f>
        <v>0</v>
      </c>
      <c r="V261" s="4">
        <f>IF($B$260=0,0,IF(V$2&gt;=$A261,IF(V$2=$A261,($B261/$B$260)*$B$257,IF(V$2&lt;=$A261+$B$260-1,$B261/$B$260,$B261-SUM($C261:U261))),0))</f>
        <v>0</v>
      </c>
      <c r="W261" s="4">
        <f>IF($B$260=0,0,IF(W$2&gt;=$A261,IF(W$2=$A261,($B261/$B$260)*$B$257,IF(W$2&lt;=$A261+$B$260-1,$B261/$B$260,$B261-SUM($C261:V261))),0))</f>
        <v>0</v>
      </c>
      <c r="X261" s="4">
        <f>IF($B$260=0,0,IF(X$2&gt;=$A261,IF(X$2=$A261,($B261/$B$260)*$B$257,IF(X$2&lt;=$A261+$B$260-1,$B261/$B$260,$B261-SUM($C261:W261))),0))</f>
        <v>0</v>
      </c>
      <c r="Y261" s="4">
        <f>IF($B$260=0,0,IF(Y$2&gt;=$A261,IF(Y$2=$A261,($B261/$B$260)*$B$257,IF(Y$2&lt;=$A261+$B$260-1,$B261/$B$260,$B261-SUM($C261:X261))),0))</f>
        <v>0</v>
      </c>
      <c r="Z261" s="4">
        <f>IF($B$260=0,0,IF(Z$2&gt;=$A261,IF(Z$2=$A261,($B261/$B$260)*$B$257,IF(Z$2&lt;=$A261+$B$260-1,$B261/$B$260,$B261-SUM($C261:Y261))),0))</f>
        <v>0</v>
      </c>
      <c r="AA261" s="4">
        <f>IF($B$260=0,0,IF(AA$2&gt;=$A261,IF(AA$2=$A261,($B261/$B$260)*$B$257,IF(AA$2&lt;=$A261+$B$260-1,$B261/$B$260,$B261-SUM($C261:Z261))),0))</f>
        <v>0</v>
      </c>
      <c r="AB261" s="4">
        <f>IF($B$260=0,0,IF(AB$2&gt;=$A261,IF(AB$2=$A261,($B261/$B$260)*$B$257,IF(AB$2&lt;=$A261+$B$260-1,$B261/$B$260,$B261-SUM($C261:AA261))),0))</f>
        <v>0</v>
      </c>
      <c r="AC261" s="4">
        <f>IF($B$260=0,0,IF(AC$2&gt;=$A261,IF(AC$2=$A261,($B261/$B$260)*$B$257,IF(AC$2&lt;=$A261+$B$260-1,$B261/$B$260,$B261-SUM($C261:AB261))),0))</f>
        <v>0</v>
      </c>
      <c r="AD261" s="4">
        <f>IF($B$260=0,0,IF(AD$2&gt;=$A261,IF(AD$2=$A261,($B261/$B$260)*$B$257,IF(AD$2&lt;=$A261+$B$260-1,$B261/$B$260,$B261-SUM($C261:AC261))),0))</f>
        <v>0</v>
      </c>
      <c r="AE261" s="4">
        <f>IF($B$260=0,0,IF(AE$2&gt;=$A261,IF(AE$2=$A261,($B261/$B$260)*$B$257,IF(AE$2&lt;=$A261+$B$260-1,$B261/$B$260,$B261-SUM($C261:AD261))),0))</f>
        <v>0</v>
      </c>
      <c r="AF261" s="4">
        <f>IF($B$260=0,0,IF(AF$2&gt;=$A261,IF(AF$2=$A261,($B261/$B$260)*$B$257,IF(AF$2&lt;=$A261+$B$260-1,$B261/$B$260,$B261-SUM($C261:AE261))),0))</f>
        <v>0</v>
      </c>
      <c r="AG261" s="4">
        <f t="shared" ref="AG261:AG285" si="206">SUM(C261:AF261)</f>
        <v>0</v>
      </c>
    </row>
    <row r="262" spans="1:33">
      <c r="A262" s="6">
        <f>+A261+1</f>
        <v>2023</v>
      </c>
      <c r="B262" s="4">
        <f t="shared" si="205"/>
        <v>0</v>
      </c>
      <c r="C262" s="4">
        <f>IF($B$260=0,0,IF(C$2&gt;=$A262,IF(C$2=$A262,($B262/$B$260)*$B$257,IF(C$2&lt;=$A262+$B$260-1,$B262/$B$260,$B262-SUM(B262:$C262))),0))</f>
        <v>0</v>
      </c>
      <c r="D262" s="4">
        <f>IF($B$260=0,0,IF(D$2&gt;=$A262,IF(D$2=$A262,($B262/$B$260)*$B$257,IF(D$2&lt;=$A262+$B$260-1,$B262/$B$260,$B262-SUM(C262:$C262))),0))</f>
        <v>0</v>
      </c>
      <c r="E262" s="4">
        <f>IF($B$260=0,0,IF(E$2&gt;=$A262,IF(E$2=$A262,($B262/$B$260)*$B$257,IF(E$2&lt;=$A262+$B$260-1,$B262/$B$260,$B262-SUM($C262:D262))),0))</f>
        <v>0</v>
      </c>
      <c r="F262" s="4">
        <f>IF($B$260=0,0,IF(F$2&gt;=$A262,IF(F$2=$A262,($B262/$B$260)*$B$257,IF(F$2&lt;=$A262+$B$260-1,$B262/$B$260,$B262-SUM($C262:E262))),0))</f>
        <v>0</v>
      </c>
      <c r="G262" s="4">
        <f>IF($B$260=0,0,IF(G$2&gt;=$A262,IF(G$2=$A262,($B262/$B$260)*$B$257,IF(G$2&lt;=$A262+$B$260-1,$B262/$B$260,$B262-SUM($C262:F262))),0))</f>
        <v>0</v>
      </c>
      <c r="H262" s="4">
        <f>IF($B$260=0,0,IF(H$2&gt;=$A262,IF(H$2=$A262,($B262/$B$260)*$B$257,IF(H$2&lt;=$A262+$B$260-1,$B262/$B$260,$B262-SUM($C262:G262))),0))</f>
        <v>0</v>
      </c>
      <c r="I262" s="4">
        <f>IF($B$260=0,0,IF(I$2&gt;=$A262,IF(I$2=$A262,($B262/$B$260)*$B$257,IF(I$2&lt;=$A262+$B$260-1,$B262/$B$260,$B262-SUM($C262:H262))),0))</f>
        <v>0</v>
      </c>
      <c r="J262" s="4">
        <f>IF($B$260=0,0,IF(J$2&gt;=$A262,IF(J$2=$A262,($B262/$B$260)*$B$257,IF(J$2&lt;=$A262+$B$260-1,$B262/$B$260,$B262-SUM($C262:I262))),0))</f>
        <v>0</v>
      </c>
      <c r="K262" s="4">
        <f>IF($B$260=0,0,IF(K$2&gt;=$A262,IF(K$2=$A262,($B262/$B$260)*$B$257,IF(K$2&lt;=$A262+$B$260-1,$B262/$B$260,$B262-SUM($C262:J262))),0))</f>
        <v>0</v>
      </c>
      <c r="L262" s="4">
        <f>IF($B$260=0,0,IF(L$2&gt;=$A262,IF(L$2=$A262,($B262/$B$260)*$B$257,IF(L$2&lt;=$A262+$B$260-1,$B262/$B$260,$B262-SUM($C262:K262))),0))</f>
        <v>0</v>
      </c>
      <c r="M262" s="4">
        <f>IF($B$260=0,0,IF(M$2&gt;=$A262,IF(M$2=$A262,($B262/$B$260)*$B$257,IF(M$2&lt;=$A262+$B$260-1,$B262/$B$260,$B262-SUM($C262:L262))),0))</f>
        <v>0</v>
      </c>
      <c r="N262" s="4">
        <f>IF($B$260=0,0,IF(N$2&gt;=$A262,IF(N$2=$A262,($B262/$B$260)*$B$257,IF(N$2&lt;=$A262+$B$260-1,$B262/$B$260,$B262-SUM($C262:M262))),0))</f>
        <v>0</v>
      </c>
      <c r="O262" s="4">
        <f>IF($B$260=0,0,IF(O$2&gt;=$A262,IF(O$2=$A262,($B262/$B$260)*$B$257,IF(O$2&lt;=$A262+$B$260-1,$B262/$B$260,$B262-SUM($C262:N262))),0))</f>
        <v>0</v>
      </c>
      <c r="P262" s="4">
        <f>IF($B$260=0,0,IF(P$2&gt;=$A262,IF(P$2=$A262,($B262/$B$260)*$B$257,IF(P$2&lt;=$A262+$B$260-1,$B262/$B$260,$B262-SUM($C262:O262))),0))</f>
        <v>0</v>
      </c>
      <c r="Q262" s="4">
        <f>IF($B$260=0,0,IF(Q$2&gt;=$A262,IF(Q$2=$A262,($B262/$B$260)*$B$257,IF(Q$2&lt;=$A262+$B$260-1,$B262/$B$260,$B262-SUM($C262:P262))),0))</f>
        <v>0</v>
      </c>
      <c r="R262" s="4">
        <f>IF($B$260=0,0,IF(R$2&gt;=$A262,IF(R$2=$A262,($B262/$B$260)*$B$257,IF(R$2&lt;=$A262+$B$260-1,$B262/$B$260,$B262-SUM($C262:Q262))),0))</f>
        <v>0</v>
      </c>
      <c r="S262" s="4">
        <f>IF($B$260=0,0,IF(S$2&gt;=$A262,IF(S$2=$A262,($B262/$B$260)*$B$257,IF(S$2&lt;=$A262+$B$260-1,$B262/$B$260,$B262-SUM($C262:R262))),0))</f>
        <v>0</v>
      </c>
      <c r="T262" s="4">
        <f>IF($B$260=0,0,IF(T$2&gt;=$A262,IF(T$2=$A262,($B262/$B$260)*$B$257,IF(T$2&lt;=$A262+$B$260-1,$B262/$B$260,$B262-SUM($C262:S262))),0))</f>
        <v>0</v>
      </c>
      <c r="U262" s="4">
        <f>IF($B$260=0,0,IF(U$2&gt;=$A262,IF(U$2=$A262,($B262/$B$260)*$B$257,IF(U$2&lt;=$A262+$B$260-1,$B262/$B$260,$B262-SUM($C262:T262))),0))</f>
        <v>0</v>
      </c>
      <c r="V262" s="4">
        <f>IF($B$260=0,0,IF(V$2&gt;=$A262,IF(V$2=$A262,($B262/$B$260)*$B$257,IF(V$2&lt;=$A262+$B$260-1,$B262/$B$260,$B262-SUM($C262:U262))),0))</f>
        <v>0</v>
      </c>
      <c r="W262" s="4">
        <f>IF($B$260=0,0,IF(W$2&gt;=$A262,IF(W$2=$A262,($B262/$B$260)*$B$257,IF(W$2&lt;=$A262+$B$260-1,$B262/$B$260,$B262-SUM($C262:V262))),0))</f>
        <v>0</v>
      </c>
      <c r="X262" s="4">
        <f>IF($B$260=0,0,IF(X$2&gt;=$A262,IF(X$2=$A262,($B262/$B$260)*$B$257,IF(X$2&lt;=$A262+$B$260-1,$B262/$B$260,$B262-SUM($C262:W262))),0))</f>
        <v>0</v>
      </c>
      <c r="Y262" s="4">
        <f>IF($B$260=0,0,IF(Y$2&gt;=$A262,IF(Y$2=$A262,($B262/$B$260)*$B$257,IF(Y$2&lt;=$A262+$B$260-1,$B262/$B$260,$B262-SUM($C262:X262))),0))</f>
        <v>0</v>
      </c>
      <c r="Z262" s="4">
        <f>IF($B$260=0,0,IF(Z$2&gt;=$A262,IF(Z$2=$A262,($B262/$B$260)*$B$257,IF(Z$2&lt;=$A262+$B$260-1,$B262/$B$260,$B262-SUM($C262:Y262))),0))</f>
        <v>0</v>
      </c>
      <c r="AA262" s="4">
        <f>IF($B$260=0,0,IF(AA$2&gt;=$A262,IF(AA$2=$A262,($B262/$B$260)*$B$257,IF(AA$2&lt;=$A262+$B$260-1,$B262/$B$260,$B262-SUM($C262:Z262))),0))</f>
        <v>0</v>
      </c>
      <c r="AB262" s="4">
        <f>IF($B$260=0,0,IF(AB$2&gt;=$A262,IF(AB$2=$A262,($B262/$B$260)*$B$257,IF(AB$2&lt;=$A262+$B$260-1,$B262/$B$260,$B262-SUM($C262:AA262))),0))</f>
        <v>0</v>
      </c>
      <c r="AC262" s="4">
        <f>IF($B$260=0,0,IF(AC$2&gt;=$A262,IF(AC$2=$A262,($B262/$B$260)*$B$257,IF(AC$2&lt;=$A262+$B$260-1,$B262/$B$260,$B262-SUM($C262:AB262))),0))</f>
        <v>0</v>
      </c>
      <c r="AD262" s="4">
        <f>IF($B$260=0,0,IF(AD$2&gt;=$A262,IF(AD$2=$A262,($B262/$B$260)*$B$257,IF(AD$2&lt;=$A262+$B$260-1,$B262/$B$260,$B262-SUM($C262:AC262))),0))</f>
        <v>0</v>
      </c>
      <c r="AE262" s="4">
        <f>IF($B$260=0,0,IF(AE$2&gt;=$A262,IF(AE$2=$A262,($B262/$B$260)*$B$257,IF(AE$2&lt;=$A262+$B$260-1,$B262/$B$260,$B262-SUM($C262:AD262))),0))</f>
        <v>0</v>
      </c>
      <c r="AF262" s="4">
        <f>IF($B$260=0,0,IF(AF$2&gt;=$A262,IF(AF$2=$A262,($B262/$B$260)*$B$257,IF(AF$2&lt;=$A262+$B$260-1,$B262/$B$260,$B262-SUM($C262:AE262))),0))</f>
        <v>0</v>
      </c>
      <c r="AG262" s="4">
        <f t="shared" si="206"/>
        <v>0</v>
      </c>
    </row>
    <row r="263" spans="1:33">
      <c r="A263" s="6">
        <f t="shared" ref="A263:A290" si="207">+A262+1</f>
        <v>2024</v>
      </c>
      <c r="B263" s="4">
        <f t="shared" si="205"/>
        <v>0</v>
      </c>
      <c r="C263" s="4">
        <f>IF($B$260=0,0,IF(C$2&gt;=$A263,IF(C$2=$A263,($B263/$B$260)*$B$257,IF(C$2&lt;=$A263+$B$260-1,$B263/$B$260,$B263-SUM(B263:$C263))),0))</f>
        <v>0</v>
      </c>
      <c r="D263" s="4">
        <f>IF($B$260=0,0,IF(D$2&gt;=$A263,IF(D$2=$A263,($B263/$B$260)*$B$257,IF(D$2&lt;=$A263+$B$260-1,$B263/$B$260,$B263-SUM(C263:$C263))),0))</f>
        <v>0</v>
      </c>
      <c r="E263" s="4">
        <f>IF($B$260=0,0,IF(E$2&gt;=$A263,IF(E$2=$A263,($B263/$B$260)*$B$257,IF(E$2&lt;=$A263+$B$260-1,$B263/$B$260,$B263-SUM($C263:D263))),0))</f>
        <v>0</v>
      </c>
      <c r="F263" s="4">
        <f>IF($B$260=0,0,IF(F$2&gt;=$A263,IF(F$2=$A263,($B263/$B$260)*$B$257,IF(F$2&lt;=$A263+$B$260-1,$B263/$B$260,$B263-SUM($C263:E263))),0))</f>
        <v>0</v>
      </c>
      <c r="G263" s="4">
        <f>IF($B$260=0,0,IF(G$2&gt;=$A263,IF(G$2=$A263,($B263/$B$260)*$B$257,IF(G$2&lt;=$A263+$B$260-1,$B263/$B$260,$B263-SUM($C263:F263))),0))</f>
        <v>0</v>
      </c>
      <c r="H263" s="4">
        <f>IF($B$260=0,0,IF(H$2&gt;=$A263,IF(H$2=$A263,($B263/$B$260)*$B$257,IF(H$2&lt;=$A263+$B$260-1,$B263/$B$260,$B263-SUM($C263:G263))),0))</f>
        <v>0</v>
      </c>
      <c r="I263" s="4">
        <f>IF($B$260=0,0,IF(I$2&gt;=$A263,IF(I$2=$A263,($B263/$B$260)*$B$257,IF(I$2&lt;=$A263+$B$260-1,$B263/$B$260,$B263-SUM($C263:H263))),0))</f>
        <v>0</v>
      </c>
      <c r="J263" s="4">
        <f>IF($B$260=0,0,IF(J$2&gt;=$A263,IF(J$2=$A263,($B263/$B$260)*$B$257,IF(J$2&lt;=$A263+$B$260-1,$B263/$B$260,$B263-SUM($C263:I263))),0))</f>
        <v>0</v>
      </c>
      <c r="K263" s="4">
        <f>IF($B$260=0,0,IF(K$2&gt;=$A263,IF(K$2=$A263,($B263/$B$260)*$B$257,IF(K$2&lt;=$A263+$B$260-1,$B263/$B$260,$B263-SUM($C263:J263))),0))</f>
        <v>0</v>
      </c>
      <c r="L263" s="4">
        <f>IF($B$260=0,0,IF(L$2&gt;=$A263,IF(L$2=$A263,($B263/$B$260)*$B$257,IF(L$2&lt;=$A263+$B$260-1,$B263/$B$260,$B263-SUM($C263:K263))),0))</f>
        <v>0</v>
      </c>
      <c r="M263" s="4">
        <f>IF($B$260=0,0,IF(M$2&gt;=$A263,IF(M$2=$A263,($B263/$B$260)*$B$257,IF(M$2&lt;=$A263+$B$260-1,$B263/$B$260,$B263-SUM($C263:L263))),0))</f>
        <v>0</v>
      </c>
      <c r="N263" s="4">
        <f>IF($B$260=0,0,IF(N$2&gt;=$A263,IF(N$2=$A263,($B263/$B$260)*$B$257,IF(N$2&lt;=$A263+$B$260-1,$B263/$B$260,$B263-SUM($C263:M263))),0))</f>
        <v>0</v>
      </c>
      <c r="O263" s="4">
        <f>IF($B$260=0,0,IF(O$2&gt;=$A263,IF(O$2=$A263,($B263/$B$260)*$B$257,IF(O$2&lt;=$A263+$B$260-1,$B263/$B$260,$B263-SUM($C263:N263))),0))</f>
        <v>0</v>
      </c>
      <c r="P263" s="4">
        <f>IF($B$260=0,0,IF(P$2&gt;=$A263,IF(P$2=$A263,($B263/$B$260)*$B$257,IF(P$2&lt;=$A263+$B$260-1,$B263/$B$260,$B263-SUM($C263:O263))),0))</f>
        <v>0</v>
      </c>
      <c r="Q263" s="4">
        <f>IF($B$260=0,0,IF(Q$2&gt;=$A263,IF(Q$2=$A263,($B263/$B$260)*$B$257,IF(Q$2&lt;=$A263+$B$260-1,$B263/$B$260,$B263-SUM($C263:P263))),0))</f>
        <v>0</v>
      </c>
      <c r="R263" s="4">
        <f>IF($B$260=0,0,IF(R$2&gt;=$A263,IF(R$2=$A263,($B263/$B$260)*$B$257,IF(R$2&lt;=$A263+$B$260-1,$B263/$B$260,$B263-SUM($C263:Q263))),0))</f>
        <v>0</v>
      </c>
      <c r="S263" s="4">
        <f>IF($B$260=0,0,IF(S$2&gt;=$A263,IF(S$2=$A263,($B263/$B$260)*$B$257,IF(S$2&lt;=$A263+$B$260-1,$B263/$B$260,$B263-SUM($C263:R263))),0))</f>
        <v>0</v>
      </c>
      <c r="T263" s="4">
        <f>IF($B$260=0,0,IF(T$2&gt;=$A263,IF(T$2=$A263,($B263/$B$260)*$B$257,IF(T$2&lt;=$A263+$B$260-1,$B263/$B$260,$B263-SUM($C263:S263))),0))</f>
        <v>0</v>
      </c>
      <c r="U263" s="4">
        <f>IF($B$260=0,0,IF(U$2&gt;=$A263,IF(U$2=$A263,($B263/$B$260)*$B$257,IF(U$2&lt;=$A263+$B$260-1,$B263/$B$260,$B263-SUM($C263:T263))),0))</f>
        <v>0</v>
      </c>
      <c r="V263" s="4">
        <f>IF($B$260=0,0,IF(V$2&gt;=$A263,IF(V$2=$A263,($B263/$B$260)*$B$257,IF(V$2&lt;=$A263+$B$260-1,$B263/$B$260,$B263-SUM($C263:U263))),0))</f>
        <v>0</v>
      </c>
      <c r="W263" s="4">
        <f>IF($B$260=0,0,IF(W$2&gt;=$A263,IF(W$2=$A263,($B263/$B$260)*$B$257,IF(W$2&lt;=$A263+$B$260-1,$B263/$B$260,$B263-SUM($C263:V263))),0))</f>
        <v>0</v>
      </c>
      <c r="X263" s="4">
        <f>IF($B$260=0,0,IF(X$2&gt;=$A263,IF(X$2=$A263,($B263/$B$260)*$B$257,IF(X$2&lt;=$A263+$B$260-1,$B263/$B$260,$B263-SUM($C263:W263))),0))</f>
        <v>0</v>
      </c>
      <c r="Y263" s="4">
        <f>IF($B$260=0,0,IF(Y$2&gt;=$A263,IF(Y$2=$A263,($B263/$B$260)*$B$257,IF(Y$2&lt;=$A263+$B$260-1,$B263/$B$260,$B263-SUM($C263:X263))),0))</f>
        <v>0</v>
      </c>
      <c r="Z263" s="4">
        <f>IF($B$260=0,0,IF(Z$2&gt;=$A263,IF(Z$2=$A263,($B263/$B$260)*$B$257,IF(Z$2&lt;=$A263+$B$260-1,$B263/$B$260,$B263-SUM($C263:Y263))),0))</f>
        <v>0</v>
      </c>
      <c r="AA263" s="4">
        <f>IF($B$260=0,0,IF(AA$2&gt;=$A263,IF(AA$2=$A263,($B263/$B$260)*$B$257,IF(AA$2&lt;=$A263+$B$260-1,$B263/$B$260,$B263-SUM($C263:Z263))),0))</f>
        <v>0</v>
      </c>
      <c r="AB263" s="4">
        <f>IF($B$260=0,0,IF(AB$2&gt;=$A263,IF(AB$2=$A263,($B263/$B$260)*$B$257,IF(AB$2&lt;=$A263+$B$260-1,$B263/$B$260,$B263-SUM($C263:AA263))),0))</f>
        <v>0</v>
      </c>
      <c r="AC263" s="4">
        <f>IF($B$260=0,0,IF(AC$2&gt;=$A263,IF(AC$2=$A263,($B263/$B$260)*$B$257,IF(AC$2&lt;=$A263+$B$260-1,$B263/$B$260,$B263-SUM($C263:AB263))),0))</f>
        <v>0</v>
      </c>
      <c r="AD263" s="4">
        <f>IF($B$260=0,0,IF(AD$2&gt;=$A263,IF(AD$2=$A263,($B263/$B$260)*$B$257,IF(AD$2&lt;=$A263+$B$260-1,$B263/$B$260,$B263-SUM($C263:AC263))),0))</f>
        <v>0</v>
      </c>
      <c r="AE263" s="4">
        <f>IF($B$260=0,0,IF(AE$2&gt;=$A263,IF(AE$2=$A263,($B263/$B$260)*$B$257,IF(AE$2&lt;=$A263+$B$260-1,$B263/$B$260,$B263-SUM($C263:AD263))),0))</f>
        <v>0</v>
      </c>
      <c r="AF263" s="4">
        <f>IF($B$260=0,0,IF(AF$2&gt;=$A263,IF(AF$2=$A263,($B263/$B$260)*$B$257,IF(AF$2&lt;=$A263+$B$260-1,$B263/$B$260,$B263-SUM($C263:AE263))),0))</f>
        <v>0</v>
      </c>
      <c r="AG263" s="4">
        <f t="shared" si="206"/>
        <v>0</v>
      </c>
    </row>
    <row r="264" spans="1:33">
      <c r="A264" s="6">
        <f t="shared" si="207"/>
        <v>2025</v>
      </c>
      <c r="B264" s="4">
        <f t="shared" si="205"/>
        <v>76500959.258979723</v>
      </c>
      <c r="C264" s="4">
        <f>IF($B$260=0,0,IF(C$2&gt;=$A264,IF(C$2=$A264,($B264/$B$260)*$B$257,IF(C$2&lt;=$A264+$B$260-1,$B264/$B$260,$B264-SUM(B264:$C264))),0))</f>
        <v>0</v>
      </c>
      <c r="D264" s="4">
        <f>IF($B$260=0,0,IF(D$2&gt;=$A264,IF(D$2=$A264,($B264/$B$260)*$B$257,IF(D$2&lt;=$A264+$B$260-1,$B264/$B$260,$B264-SUM(C264:$C264))),0))</f>
        <v>0</v>
      </c>
      <c r="E264" s="4">
        <f>IF($B$260=0,0,IF(E$2&gt;=$A264,IF(E$2=$A264,($B264/$B$260)*$B$257,IF(E$2&lt;=$A264+$B$260-1,$B264/$B$260,$B264-SUM($C264:D264))),0))</f>
        <v>0</v>
      </c>
      <c r="F264" s="4">
        <f>IF($B$260=0,0,IF(F$2&gt;=$A264,IF(F$2=$A264,($B264/$B$260)*$B$257,IF(F$2&lt;=$A264+$B$260-1,$B264/$B$260,$B264-SUM($C264:E264))),0))</f>
        <v>637507.99382483098</v>
      </c>
      <c r="G264" s="4">
        <f>IF($B$260=0,0,IF(G$2&gt;=$A264,IF(G$2=$A264,($B264/$B$260)*$B$257,IF(G$2&lt;=$A264+$B$260-1,$B264/$B$260,$B264-SUM($C264:F264))),0))</f>
        <v>1275015.987649662</v>
      </c>
      <c r="H264" s="4">
        <f>IF($B$260=0,0,IF(H$2&gt;=$A264,IF(H$2=$A264,($B264/$B$260)*$B$257,IF(H$2&lt;=$A264+$B$260-1,$B264/$B$260,$B264-SUM($C264:G264))),0))</f>
        <v>1275015.987649662</v>
      </c>
      <c r="I264" s="4">
        <f>IF($B$260=0,0,IF(I$2&gt;=$A264,IF(I$2=$A264,($B264/$B$260)*$B$257,IF(I$2&lt;=$A264+$B$260-1,$B264/$B$260,$B264-SUM($C264:H264))),0))</f>
        <v>1275015.987649662</v>
      </c>
      <c r="J264" s="4">
        <f>IF($B$260=0,0,IF(J$2&gt;=$A264,IF(J$2=$A264,($B264/$B$260)*$B$257,IF(J$2&lt;=$A264+$B$260-1,$B264/$B$260,$B264-SUM($C264:I264))),0))</f>
        <v>1275015.987649662</v>
      </c>
      <c r="K264" s="4">
        <f>IF($B$260=0,0,IF(K$2&gt;=$A264,IF(K$2=$A264,($B264/$B$260)*$B$257,IF(K$2&lt;=$A264+$B$260-1,$B264/$B$260,$B264-SUM($C264:J264))),0))</f>
        <v>1275015.987649662</v>
      </c>
      <c r="L264" s="4">
        <f>IF($B$260=0,0,IF(L$2&gt;=$A264,IF(L$2=$A264,($B264/$B$260)*$B$257,IF(L$2&lt;=$A264+$B$260-1,$B264/$B$260,$B264-SUM($C264:K264))),0))</f>
        <v>1275015.987649662</v>
      </c>
      <c r="M264" s="4">
        <f>IF($B$260=0,0,IF(M$2&gt;=$A264,IF(M$2=$A264,($B264/$B$260)*$B$257,IF(M$2&lt;=$A264+$B$260-1,$B264/$B$260,$B264-SUM($C264:L264))),0))</f>
        <v>1275015.987649662</v>
      </c>
      <c r="N264" s="4">
        <f>IF($B$260=0,0,IF(N$2&gt;=$A264,IF(N$2=$A264,($B264/$B$260)*$B$257,IF(N$2&lt;=$A264+$B$260-1,$B264/$B$260,$B264-SUM($C264:M264))),0))</f>
        <v>1275015.987649662</v>
      </c>
      <c r="O264" s="4">
        <f>IF($B$260=0,0,IF(O$2&gt;=$A264,IF(O$2=$A264,($B264/$B$260)*$B$257,IF(O$2&lt;=$A264+$B$260-1,$B264/$B$260,$B264-SUM($C264:N264))),0))</f>
        <v>1275015.987649662</v>
      </c>
      <c r="P264" s="4">
        <f>IF($B$260=0,0,IF(P$2&gt;=$A264,IF(P$2=$A264,($B264/$B$260)*$B$257,IF(P$2&lt;=$A264+$B$260-1,$B264/$B$260,$B264-SUM($C264:O264))),0))</f>
        <v>1275015.987649662</v>
      </c>
      <c r="Q264" s="4">
        <f>IF($B$260=0,0,IF(Q$2&gt;=$A264,IF(Q$2=$A264,($B264/$B$260)*$B$257,IF(Q$2&lt;=$A264+$B$260-1,$B264/$B$260,$B264-SUM($C264:P264))),0))</f>
        <v>1275015.987649662</v>
      </c>
      <c r="R264" s="4">
        <f>IF($B$260=0,0,IF(R$2&gt;=$A264,IF(R$2=$A264,($B264/$B$260)*$B$257,IF(R$2&lt;=$A264+$B$260-1,$B264/$B$260,$B264-SUM($C264:Q264))),0))</f>
        <v>1275015.987649662</v>
      </c>
      <c r="S264" s="4">
        <f>IF($B$260=0,0,IF(S$2&gt;=$A264,IF(S$2=$A264,($B264/$B$260)*$B$257,IF(S$2&lt;=$A264+$B$260-1,$B264/$B$260,$B264-SUM($C264:R264))),0))</f>
        <v>1275015.987649662</v>
      </c>
      <c r="T264" s="4">
        <f>IF($B$260=0,0,IF(T$2&gt;=$A264,IF(T$2=$A264,($B264/$B$260)*$B$257,IF(T$2&lt;=$A264+$B$260-1,$B264/$B$260,$B264-SUM($C264:S264))),0))</f>
        <v>1275015.987649662</v>
      </c>
      <c r="U264" s="4">
        <f>IF($B$260=0,0,IF(U$2&gt;=$A264,IF(U$2=$A264,($B264/$B$260)*$B$257,IF(U$2&lt;=$A264+$B$260-1,$B264/$B$260,$B264-SUM($C264:T264))),0))</f>
        <v>1275015.987649662</v>
      </c>
      <c r="V264" s="4">
        <f>IF($B$260=0,0,IF(V$2&gt;=$A264,IF(V$2=$A264,($B264/$B$260)*$B$257,IF(V$2&lt;=$A264+$B$260-1,$B264/$B$260,$B264-SUM($C264:U264))),0))</f>
        <v>1275015.987649662</v>
      </c>
      <c r="W264" s="4">
        <f>IF($B$260=0,0,IF(W$2&gt;=$A264,IF(W$2=$A264,($B264/$B$260)*$B$257,IF(W$2&lt;=$A264+$B$260-1,$B264/$B$260,$B264-SUM($C264:V264))),0))</f>
        <v>1275015.987649662</v>
      </c>
      <c r="X264" s="4">
        <f>IF($B$260=0,0,IF(X$2&gt;=$A264,IF(X$2=$A264,($B264/$B$260)*$B$257,IF(X$2&lt;=$A264+$B$260-1,$B264/$B$260,$B264-SUM($C264:W264))),0))</f>
        <v>1275015.987649662</v>
      </c>
      <c r="Y264" s="4">
        <f>IF($B$260=0,0,IF(Y$2&gt;=$A264,IF(Y$2=$A264,($B264/$B$260)*$B$257,IF(Y$2&lt;=$A264+$B$260-1,$B264/$B$260,$B264-SUM($C264:X264))),0))</f>
        <v>1275015.987649662</v>
      </c>
      <c r="Z264" s="4">
        <f>IF($B$260=0,0,IF(Z$2&gt;=$A264,IF(Z$2=$A264,($B264/$B$260)*$B$257,IF(Z$2&lt;=$A264+$B$260-1,$B264/$B$260,$B264-SUM($C264:Y264))),0))</f>
        <v>1275015.987649662</v>
      </c>
      <c r="AA264" s="4">
        <f>IF($B$260=0,0,IF(AA$2&gt;=$A264,IF(AA$2=$A264,($B264/$B$260)*$B$257,IF(AA$2&lt;=$A264+$B$260-1,$B264/$B$260,$B264-SUM($C264:Z264))),0))</f>
        <v>1275015.987649662</v>
      </c>
      <c r="AB264" s="4">
        <f>IF($B$260=0,0,IF(AB$2&gt;=$A264,IF(AB$2=$A264,($B264/$B$260)*$B$257,IF(AB$2&lt;=$A264+$B$260-1,$B264/$B$260,$B264-SUM($C264:AA264))),0))</f>
        <v>1275015.987649662</v>
      </c>
      <c r="AC264" s="4">
        <f>IF($B$260=0,0,IF(AC$2&gt;=$A264,IF(AC$2=$A264,($B264/$B$260)*$B$257,IF(AC$2&lt;=$A264+$B$260-1,$B264/$B$260,$B264-SUM($C264:AB264))),0))</f>
        <v>1275015.987649662</v>
      </c>
      <c r="AD264" s="4">
        <f>IF($B$260=0,0,IF(AD$2&gt;=$A264,IF(AD$2=$A264,($B264/$B$260)*$B$257,IF(AD$2&lt;=$A264+$B$260-1,$B264/$B$260,$B264-SUM($C264:AC264))),0))</f>
        <v>1275015.987649662</v>
      </c>
      <c r="AE264" s="4">
        <f>IF($B$260=0,0,IF(AE$2&gt;=$A264,IF(AE$2=$A264,($B264/$B$260)*$B$257,IF(AE$2&lt;=$A264+$B$260-1,$B264/$B$260,$B264-SUM($C264:AD264))),0))</f>
        <v>1275015.987649662</v>
      </c>
      <c r="AF264" s="4">
        <f>IF($B$260=0,0,IF(AF$2&gt;=$A264,IF(AF$2=$A264,($B264/$B$260)*$B$257,IF(AF$2&lt;=$A264+$B$260-1,$B264/$B$260,$B264-SUM($C264:AE264))),0))</f>
        <v>1275015.987649662</v>
      </c>
      <c r="AG264" s="4">
        <f t="shared" si="206"/>
        <v>33787923.672716029</v>
      </c>
    </row>
    <row r="265" spans="1:33">
      <c r="A265" s="6">
        <f t="shared" si="207"/>
        <v>2026</v>
      </c>
      <c r="B265" s="4">
        <f t="shared" si="205"/>
        <v>0</v>
      </c>
      <c r="C265" s="4">
        <f>IF($B$260=0,0,IF(C$2&gt;=$A265,IF(C$2=$A265,($B265/$B$260)*$B$257,IF(C$2&lt;=$A265+$B$260-1,$B265/$B$260,$B265-SUM(B265:$C265))),0))</f>
        <v>0</v>
      </c>
      <c r="D265" s="4">
        <f>IF($B$260=0,0,IF(D$2&gt;=$A265,IF(D$2=$A265,($B265/$B$260)*$B$257,IF(D$2&lt;=$A265+$B$260-1,$B265/$B$260,$B265-SUM(C265:$C265))),0))</f>
        <v>0</v>
      </c>
      <c r="E265" s="4">
        <f>IF($B$260=0,0,IF(E$2&gt;=$A265,IF(E$2=$A265,($B265/$B$260)*$B$257,IF(E$2&lt;=$A265+$B$260-1,$B265/$B$260,$B265-SUM($C265:D265))),0))</f>
        <v>0</v>
      </c>
      <c r="F265" s="4">
        <f>IF($B$260=0,0,IF(F$2&gt;=$A265,IF(F$2=$A265,($B265/$B$260)*$B$257,IF(F$2&lt;=$A265+$B$260-1,$B265/$B$260,$B265-SUM($C265:E265))),0))</f>
        <v>0</v>
      </c>
      <c r="G265" s="4">
        <f>IF($B$260=0,0,IF(G$2&gt;=$A265,IF(G$2=$A265,($B265/$B$260)*$B$257,IF(G$2&lt;=$A265+$B$260-1,$B265/$B$260,$B265-SUM($C265:F265))),0))</f>
        <v>0</v>
      </c>
      <c r="H265" s="4">
        <f>IF($B$260=0,0,IF(H$2&gt;=$A265,IF(H$2=$A265,($B265/$B$260)*$B$257,IF(H$2&lt;=$A265+$B$260-1,$B265/$B$260,$B265-SUM($C265:G265))),0))</f>
        <v>0</v>
      </c>
      <c r="I265" s="4">
        <f>IF($B$260=0,0,IF(I$2&gt;=$A265,IF(I$2=$A265,($B265/$B$260)*$B$257,IF(I$2&lt;=$A265+$B$260-1,$B265/$B$260,$B265-SUM($C265:H265))),0))</f>
        <v>0</v>
      </c>
      <c r="J265" s="4">
        <f>IF($B$260=0,0,IF(J$2&gt;=$A265,IF(J$2=$A265,($B265/$B$260)*$B$257,IF(J$2&lt;=$A265+$B$260-1,$B265/$B$260,$B265-SUM($C265:I265))),0))</f>
        <v>0</v>
      </c>
      <c r="K265" s="4">
        <f>IF($B$260=0,0,IF(K$2&gt;=$A265,IF(K$2=$A265,($B265/$B$260)*$B$257,IF(K$2&lt;=$A265+$B$260-1,$B265/$B$260,$B265-SUM($C265:J265))),0))</f>
        <v>0</v>
      </c>
      <c r="L265" s="4">
        <f>IF($B$260=0,0,IF(L$2&gt;=$A265,IF(L$2=$A265,($B265/$B$260)*$B$257,IF(L$2&lt;=$A265+$B$260-1,$B265/$B$260,$B265-SUM($C265:K265))),0))</f>
        <v>0</v>
      </c>
      <c r="M265" s="4">
        <f>IF($B$260=0,0,IF(M$2&gt;=$A265,IF(M$2=$A265,($B265/$B$260)*$B$257,IF(M$2&lt;=$A265+$B$260-1,$B265/$B$260,$B265-SUM($C265:L265))),0))</f>
        <v>0</v>
      </c>
      <c r="N265" s="4">
        <f>IF($B$260=0,0,IF(N$2&gt;=$A265,IF(N$2=$A265,($B265/$B$260)*$B$257,IF(N$2&lt;=$A265+$B$260-1,$B265/$B$260,$B265-SUM($C265:M265))),0))</f>
        <v>0</v>
      </c>
      <c r="O265" s="4">
        <f>IF($B$260=0,0,IF(O$2&gt;=$A265,IF(O$2=$A265,($B265/$B$260)*$B$257,IF(O$2&lt;=$A265+$B$260-1,$B265/$B$260,$B265-SUM($C265:N265))),0))</f>
        <v>0</v>
      </c>
      <c r="P265" s="4">
        <f>IF($B$260=0,0,IF(P$2&gt;=$A265,IF(P$2=$A265,($B265/$B$260)*$B$257,IF(P$2&lt;=$A265+$B$260-1,$B265/$B$260,$B265-SUM($C265:O265))),0))</f>
        <v>0</v>
      </c>
      <c r="Q265" s="4">
        <f>IF($B$260=0,0,IF(Q$2&gt;=$A265,IF(Q$2=$A265,($B265/$B$260)*$B$257,IF(Q$2&lt;=$A265+$B$260-1,$B265/$B$260,$B265-SUM($C265:P265))),0))</f>
        <v>0</v>
      </c>
      <c r="R265" s="4">
        <f>IF($B$260=0,0,IF(R$2&gt;=$A265,IF(R$2=$A265,($B265/$B$260)*$B$257,IF(R$2&lt;=$A265+$B$260-1,$B265/$B$260,$B265-SUM($C265:Q265))),0))</f>
        <v>0</v>
      </c>
      <c r="S265" s="4">
        <f>IF($B$260=0,0,IF(S$2&gt;=$A265,IF(S$2=$A265,($B265/$B$260)*$B$257,IF(S$2&lt;=$A265+$B$260-1,$B265/$B$260,$B265-SUM($C265:R265))),0))</f>
        <v>0</v>
      </c>
      <c r="T265" s="4">
        <f>IF($B$260=0,0,IF(T$2&gt;=$A265,IF(T$2=$A265,($B265/$B$260)*$B$257,IF(T$2&lt;=$A265+$B$260-1,$B265/$B$260,$B265-SUM($C265:S265))),0))</f>
        <v>0</v>
      </c>
      <c r="U265" s="4">
        <f>IF($B$260=0,0,IF(U$2&gt;=$A265,IF(U$2=$A265,($B265/$B$260)*$B$257,IF(U$2&lt;=$A265+$B$260-1,$B265/$B$260,$B265-SUM($C265:T265))),0))</f>
        <v>0</v>
      </c>
      <c r="V265" s="4">
        <f>IF($B$260=0,0,IF(V$2&gt;=$A265,IF(V$2=$A265,($B265/$B$260)*$B$257,IF(V$2&lt;=$A265+$B$260-1,$B265/$B$260,$B265-SUM($C265:U265))),0))</f>
        <v>0</v>
      </c>
      <c r="W265" s="4">
        <f>IF($B$260=0,0,IF(W$2&gt;=$A265,IF(W$2=$A265,($B265/$B$260)*$B$257,IF(W$2&lt;=$A265+$B$260-1,$B265/$B$260,$B265-SUM($C265:V265))),0))</f>
        <v>0</v>
      </c>
      <c r="X265" s="4">
        <f>IF($B$260=0,0,IF(X$2&gt;=$A265,IF(X$2=$A265,($B265/$B$260)*$B$257,IF(X$2&lt;=$A265+$B$260-1,$B265/$B$260,$B265-SUM($C265:W265))),0))</f>
        <v>0</v>
      </c>
      <c r="Y265" s="4">
        <f>IF($B$260=0,0,IF(Y$2&gt;=$A265,IF(Y$2=$A265,($B265/$B$260)*$B$257,IF(Y$2&lt;=$A265+$B$260-1,$B265/$B$260,$B265-SUM($C265:X265))),0))</f>
        <v>0</v>
      </c>
      <c r="Z265" s="4">
        <f>IF($B$260=0,0,IF(Z$2&gt;=$A265,IF(Z$2=$A265,($B265/$B$260)*$B$257,IF(Z$2&lt;=$A265+$B$260-1,$B265/$B$260,$B265-SUM($C265:Y265))),0))</f>
        <v>0</v>
      </c>
      <c r="AA265" s="4">
        <f>IF($B$260=0,0,IF(AA$2&gt;=$A265,IF(AA$2=$A265,($B265/$B$260)*$B$257,IF(AA$2&lt;=$A265+$B$260-1,$B265/$B$260,$B265-SUM($C265:Z265))),0))</f>
        <v>0</v>
      </c>
      <c r="AB265" s="4">
        <f>IF($B$260=0,0,IF(AB$2&gt;=$A265,IF(AB$2=$A265,($B265/$B$260)*$B$257,IF(AB$2&lt;=$A265+$B$260-1,$B265/$B$260,$B265-SUM($C265:AA265))),0))</f>
        <v>0</v>
      </c>
      <c r="AC265" s="4">
        <f>IF($B$260=0,0,IF(AC$2&gt;=$A265,IF(AC$2=$A265,($B265/$B$260)*$B$257,IF(AC$2&lt;=$A265+$B$260-1,$B265/$B$260,$B265-SUM($C265:AB265))),0))</f>
        <v>0</v>
      </c>
      <c r="AD265" s="4">
        <f>IF($B$260=0,0,IF(AD$2&gt;=$A265,IF(AD$2=$A265,($B265/$B$260)*$B$257,IF(AD$2&lt;=$A265+$B$260-1,$B265/$B$260,$B265-SUM($C265:AC265))),0))</f>
        <v>0</v>
      </c>
      <c r="AE265" s="4">
        <f>IF($B$260=0,0,IF(AE$2&gt;=$A265,IF(AE$2=$A265,($B265/$B$260)*$B$257,IF(AE$2&lt;=$A265+$B$260-1,$B265/$B$260,$B265-SUM($C265:AD265))),0))</f>
        <v>0</v>
      </c>
      <c r="AF265" s="4">
        <f>IF($B$260=0,0,IF(AF$2&gt;=$A265,IF(AF$2=$A265,($B265/$B$260)*$B$257,IF(AF$2&lt;=$A265+$B$260-1,$B265/$B$260,$B265-SUM($C265:AE265))),0))</f>
        <v>0</v>
      </c>
      <c r="AG265" s="4">
        <f t="shared" si="206"/>
        <v>0</v>
      </c>
    </row>
    <row r="266" spans="1:33">
      <c r="A266" s="6">
        <f t="shared" si="207"/>
        <v>2027</v>
      </c>
      <c r="B266" s="4">
        <f t="shared" si="205"/>
        <v>0</v>
      </c>
      <c r="C266" s="4">
        <f>IF($B$260=0,0,IF(C$2&gt;=$A266,IF(C$2=$A266,($B266/$B$260)*$B$257,IF(C$2&lt;=$A266+$B$260-1,$B266/$B$260,$B266-SUM(B266:$C266))),0))</f>
        <v>0</v>
      </c>
      <c r="D266" s="4">
        <f>IF($B$260=0,0,IF(D$2&gt;=$A266,IF(D$2=$A266,($B266/$B$260)*$B$257,IF(D$2&lt;=$A266+$B$260-1,$B266/$B$260,$B266-SUM(C266:$C266))),0))</f>
        <v>0</v>
      </c>
      <c r="E266" s="4">
        <f>IF($B$260=0,0,IF(E$2&gt;=$A266,IF(E$2=$A266,($B266/$B$260)*$B$257,IF(E$2&lt;=$A266+$B$260-1,$B266/$B$260,$B266-SUM($C266:D266))),0))</f>
        <v>0</v>
      </c>
      <c r="F266" s="4">
        <f>IF($B$260=0,0,IF(F$2&gt;=$A266,IF(F$2=$A266,($B266/$B$260)*$B$257,IF(F$2&lt;=$A266+$B$260-1,$B266/$B$260,$B266-SUM($C266:E266))),0))</f>
        <v>0</v>
      </c>
      <c r="G266" s="4">
        <f>IF($B$260=0,0,IF(G$2&gt;=$A266,IF(G$2=$A266,($B266/$B$260)*$B$257,IF(G$2&lt;=$A266+$B$260-1,$B266/$B$260,$B266-SUM($C266:F266))),0))</f>
        <v>0</v>
      </c>
      <c r="H266" s="4">
        <f>IF($B$260=0,0,IF(H$2&gt;=$A266,IF(H$2=$A266,($B266/$B$260)*$B$257,IF(H$2&lt;=$A266+$B$260-1,$B266/$B$260,$B266-SUM($C266:G266))),0))</f>
        <v>0</v>
      </c>
      <c r="I266" s="4">
        <f>IF($B$260=0,0,IF(I$2&gt;=$A266,IF(I$2=$A266,($B266/$B$260)*$B$257,IF(I$2&lt;=$A266+$B$260-1,$B266/$B$260,$B266-SUM($C266:H266))),0))</f>
        <v>0</v>
      </c>
      <c r="J266" s="4">
        <f>IF($B$260=0,0,IF(J$2&gt;=$A266,IF(J$2=$A266,($B266/$B$260)*$B$257,IF(J$2&lt;=$A266+$B$260-1,$B266/$B$260,$B266-SUM($C266:I266))),0))</f>
        <v>0</v>
      </c>
      <c r="K266" s="4">
        <f>IF($B$260=0,0,IF(K$2&gt;=$A266,IF(K$2=$A266,($B266/$B$260)*$B$257,IF(K$2&lt;=$A266+$B$260-1,$B266/$B$260,$B266-SUM($C266:J266))),0))</f>
        <v>0</v>
      </c>
      <c r="L266" s="4">
        <f>IF($B$260=0,0,IF(L$2&gt;=$A266,IF(L$2=$A266,($B266/$B$260)*$B$257,IF(L$2&lt;=$A266+$B$260-1,$B266/$B$260,$B266-SUM($C266:K266))),0))</f>
        <v>0</v>
      </c>
      <c r="M266" s="4">
        <f>IF($B$260=0,0,IF(M$2&gt;=$A266,IF(M$2=$A266,($B266/$B$260)*$B$257,IF(M$2&lt;=$A266+$B$260-1,$B266/$B$260,$B266-SUM($C266:L266))),0))</f>
        <v>0</v>
      </c>
      <c r="N266" s="4">
        <f>IF($B$260=0,0,IF(N$2&gt;=$A266,IF(N$2=$A266,($B266/$B$260)*$B$257,IF(N$2&lt;=$A266+$B$260-1,$B266/$B$260,$B266-SUM($C266:M266))),0))</f>
        <v>0</v>
      </c>
      <c r="O266" s="4">
        <f>IF($B$260=0,0,IF(O$2&gt;=$A266,IF(O$2=$A266,($B266/$B$260)*$B$257,IF(O$2&lt;=$A266+$B$260-1,$B266/$B$260,$B266-SUM($C266:N266))),0))</f>
        <v>0</v>
      </c>
      <c r="P266" s="4">
        <f>IF($B$260=0,0,IF(P$2&gt;=$A266,IF(P$2=$A266,($B266/$B$260)*$B$257,IF(P$2&lt;=$A266+$B$260-1,$B266/$B$260,$B266-SUM($C266:O266))),0))</f>
        <v>0</v>
      </c>
      <c r="Q266" s="4">
        <f>IF($B$260=0,0,IF(Q$2&gt;=$A266,IF(Q$2=$A266,($B266/$B$260)*$B$257,IF(Q$2&lt;=$A266+$B$260-1,$B266/$B$260,$B266-SUM($C266:P266))),0))</f>
        <v>0</v>
      </c>
      <c r="R266" s="4">
        <f>IF($B$260=0,0,IF(R$2&gt;=$A266,IF(R$2=$A266,($B266/$B$260)*$B$257,IF(R$2&lt;=$A266+$B$260-1,$B266/$B$260,$B266-SUM($C266:Q266))),0))</f>
        <v>0</v>
      </c>
      <c r="S266" s="4">
        <f>IF($B$260=0,0,IF(S$2&gt;=$A266,IF(S$2=$A266,($B266/$B$260)*$B$257,IF(S$2&lt;=$A266+$B$260-1,$B266/$B$260,$B266-SUM($C266:R266))),0))</f>
        <v>0</v>
      </c>
      <c r="T266" s="4">
        <f>IF($B$260=0,0,IF(T$2&gt;=$A266,IF(T$2=$A266,($B266/$B$260)*$B$257,IF(T$2&lt;=$A266+$B$260-1,$B266/$B$260,$B266-SUM($C266:S266))),0))</f>
        <v>0</v>
      </c>
      <c r="U266" s="4">
        <f>IF($B$260=0,0,IF(U$2&gt;=$A266,IF(U$2=$A266,($B266/$B$260)*$B$257,IF(U$2&lt;=$A266+$B$260-1,$B266/$B$260,$B266-SUM($C266:T266))),0))</f>
        <v>0</v>
      </c>
      <c r="V266" s="4">
        <f>IF($B$260=0,0,IF(V$2&gt;=$A266,IF(V$2=$A266,($B266/$B$260)*$B$257,IF(V$2&lt;=$A266+$B$260-1,$B266/$B$260,$B266-SUM($C266:U266))),0))</f>
        <v>0</v>
      </c>
      <c r="W266" s="4">
        <f>IF($B$260=0,0,IF(W$2&gt;=$A266,IF(W$2=$A266,($B266/$B$260)*$B$257,IF(W$2&lt;=$A266+$B$260-1,$B266/$B$260,$B266-SUM($C266:V266))),0))</f>
        <v>0</v>
      </c>
      <c r="X266" s="4">
        <f>IF($B$260=0,0,IF(X$2&gt;=$A266,IF(X$2=$A266,($B266/$B$260)*$B$257,IF(X$2&lt;=$A266+$B$260-1,$B266/$B$260,$B266-SUM($C266:W266))),0))</f>
        <v>0</v>
      </c>
      <c r="Y266" s="4">
        <f>IF($B$260=0,0,IF(Y$2&gt;=$A266,IF(Y$2=$A266,($B266/$B$260)*$B$257,IF(Y$2&lt;=$A266+$B$260-1,$B266/$B$260,$B266-SUM($C266:X266))),0))</f>
        <v>0</v>
      </c>
      <c r="Z266" s="4">
        <f>IF($B$260=0,0,IF(Z$2&gt;=$A266,IF(Z$2=$A266,($B266/$B$260)*$B$257,IF(Z$2&lt;=$A266+$B$260-1,$B266/$B$260,$B266-SUM($C266:Y266))),0))</f>
        <v>0</v>
      </c>
      <c r="AA266" s="4">
        <f>IF($B$260=0,0,IF(AA$2&gt;=$A266,IF(AA$2=$A266,($B266/$B$260)*$B$257,IF(AA$2&lt;=$A266+$B$260-1,$B266/$B$260,$B266-SUM($C266:Z266))),0))</f>
        <v>0</v>
      </c>
      <c r="AB266" s="4">
        <f>IF($B$260=0,0,IF(AB$2&gt;=$A266,IF(AB$2=$A266,($B266/$B$260)*$B$257,IF(AB$2&lt;=$A266+$B$260-1,$B266/$B$260,$B266-SUM($C266:AA266))),0))</f>
        <v>0</v>
      </c>
      <c r="AC266" s="4">
        <f>IF($B$260=0,0,IF(AC$2&gt;=$A266,IF(AC$2=$A266,($B266/$B$260)*$B$257,IF(AC$2&lt;=$A266+$B$260-1,$B266/$B$260,$B266-SUM($C266:AB266))),0))</f>
        <v>0</v>
      </c>
      <c r="AD266" s="4">
        <f>IF($B$260=0,0,IF(AD$2&gt;=$A266,IF(AD$2=$A266,($B266/$B$260)*$B$257,IF(AD$2&lt;=$A266+$B$260-1,$B266/$B$260,$B266-SUM($C266:AC266))),0))</f>
        <v>0</v>
      </c>
      <c r="AE266" s="4">
        <f>IF($B$260=0,0,IF(AE$2&gt;=$A266,IF(AE$2=$A266,($B266/$B$260)*$B$257,IF(AE$2&lt;=$A266+$B$260-1,$B266/$B$260,$B266-SUM($C266:AD266))),0))</f>
        <v>0</v>
      </c>
      <c r="AF266" s="4">
        <f>IF($B$260=0,0,IF(AF$2&gt;=$A266,IF(AF$2=$A266,($B266/$B$260)*$B$257,IF(AF$2&lt;=$A266+$B$260-1,$B266/$B$260,$B266-SUM($C266:AE266))),0))</f>
        <v>0</v>
      </c>
      <c r="AG266" s="4">
        <f t="shared" si="206"/>
        <v>0</v>
      </c>
    </row>
    <row r="267" spans="1:33">
      <c r="A267" s="6">
        <f t="shared" si="207"/>
        <v>2028</v>
      </c>
      <c r="B267" s="4">
        <f t="shared" si="205"/>
        <v>0</v>
      </c>
      <c r="C267" s="4">
        <f>IF($B$260=0,0,IF(C$2&gt;=$A267,IF(C$2=$A267,($B267/$B$260)*$B$257,IF(C$2&lt;=$A267+$B$260-1,$B267/$B$260,$B267-SUM(B267:$C267))),0))</f>
        <v>0</v>
      </c>
      <c r="D267" s="4">
        <f>IF($B$260=0,0,IF(D$2&gt;=$A267,IF(D$2=$A267,($B267/$B$260)*$B$257,IF(D$2&lt;=$A267+$B$260-1,$B267/$B$260,$B267-SUM(C267:$C267))),0))</f>
        <v>0</v>
      </c>
      <c r="E267" s="4">
        <f>IF($B$260=0,0,IF(E$2&gt;=$A267,IF(E$2=$A267,($B267/$B$260)*$B$257,IF(E$2&lt;=$A267+$B$260-1,$B267/$B$260,$B267-SUM($C267:D267))),0))</f>
        <v>0</v>
      </c>
      <c r="F267" s="4">
        <f>IF($B$260=0,0,IF(F$2&gt;=$A267,IF(F$2=$A267,($B267/$B$260)*$B$257,IF(F$2&lt;=$A267+$B$260-1,$B267/$B$260,$B267-SUM($C267:E267))),0))</f>
        <v>0</v>
      </c>
      <c r="G267" s="4">
        <f>IF($B$260=0,0,IF(G$2&gt;=$A267,IF(G$2=$A267,($B267/$B$260)*$B$257,IF(G$2&lt;=$A267+$B$260-1,$B267/$B$260,$B267-SUM($C267:F267))),0))</f>
        <v>0</v>
      </c>
      <c r="H267" s="4">
        <f>IF($B$260=0,0,IF(H$2&gt;=$A267,IF(H$2=$A267,($B267/$B$260)*$B$257,IF(H$2&lt;=$A267+$B$260-1,$B267/$B$260,$B267-SUM($C267:G267))),0))</f>
        <v>0</v>
      </c>
      <c r="I267" s="4">
        <f>IF($B$260=0,0,IF(I$2&gt;=$A267,IF(I$2=$A267,($B267/$B$260)*$B$257,IF(I$2&lt;=$A267+$B$260-1,$B267/$B$260,$B267-SUM($C267:H267))),0))</f>
        <v>0</v>
      </c>
      <c r="J267" s="4">
        <f>IF($B$260=0,0,IF(J$2&gt;=$A267,IF(J$2=$A267,($B267/$B$260)*$B$257,IF(J$2&lt;=$A267+$B$260-1,$B267/$B$260,$B267-SUM($C267:I267))),0))</f>
        <v>0</v>
      </c>
      <c r="K267" s="4">
        <f>IF($B$260=0,0,IF(K$2&gt;=$A267,IF(K$2=$A267,($B267/$B$260)*$B$257,IF(K$2&lt;=$A267+$B$260-1,$B267/$B$260,$B267-SUM($C267:J267))),0))</f>
        <v>0</v>
      </c>
      <c r="L267" s="4">
        <f>IF($B$260=0,0,IF(L$2&gt;=$A267,IF(L$2=$A267,($B267/$B$260)*$B$257,IF(L$2&lt;=$A267+$B$260-1,$B267/$B$260,$B267-SUM($C267:K267))),0))</f>
        <v>0</v>
      </c>
      <c r="M267" s="4">
        <f>IF($B$260=0,0,IF(M$2&gt;=$A267,IF(M$2=$A267,($B267/$B$260)*$B$257,IF(M$2&lt;=$A267+$B$260-1,$B267/$B$260,$B267-SUM($C267:L267))),0))</f>
        <v>0</v>
      </c>
      <c r="N267" s="4">
        <f>IF($B$260=0,0,IF(N$2&gt;=$A267,IF(N$2=$A267,($B267/$B$260)*$B$257,IF(N$2&lt;=$A267+$B$260-1,$B267/$B$260,$B267-SUM($C267:M267))),0))</f>
        <v>0</v>
      </c>
      <c r="O267" s="4">
        <f>IF($B$260=0,0,IF(O$2&gt;=$A267,IF(O$2=$A267,($B267/$B$260)*$B$257,IF(O$2&lt;=$A267+$B$260-1,$B267/$B$260,$B267-SUM($C267:N267))),0))</f>
        <v>0</v>
      </c>
      <c r="P267" s="4">
        <f>IF($B$260=0,0,IF(P$2&gt;=$A267,IF(P$2=$A267,($B267/$B$260)*$B$257,IF(P$2&lt;=$A267+$B$260-1,$B267/$B$260,$B267-SUM($C267:O267))),0))</f>
        <v>0</v>
      </c>
      <c r="Q267" s="4">
        <f>IF($B$260=0,0,IF(Q$2&gt;=$A267,IF(Q$2=$A267,($B267/$B$260)*$B$257,IF(Q$2&lt;=$A267+$B$260-1,$B267/$B$260,$B267-SUM($C267:P267))),0))</f>
        <v>0</v>
      </c>
      <c r="R267" s="4">
        <f>IF($B$260=0,0,IF(R$2&gt;=$A267,IF(R$2=$A267,($B267/$B$260)*$B$257,IF(R$2&lt;=$A267+$B$260-1,$B267/$B$260,$B267-SUM($C267:Q267))),0))</f>
        <v>0</v>
      </c>
      <c r="S267" s="4">
        <f>IF($B$260=0,0,IF(S$2&gt;=$A267,IF(S$2=$A267,($B267/$B$260)*$B$257,IF(S$2&lt;=$A267+$B$260-1,$B267/$B$260,$B267-SUM($C267:R267))),0))</f>
        <v>0</v>
      </c>
      <c r="T267" s="4">
        <f>IF($B$260=0,0,IF(T$2&gt;=$A267,IF(T$2=$A267,($B267/$B$260)*$B$257,IF(T$2&lt;=$A267+$B$260-1,$B267/$B$260,$B267-SUM($C267:S267))),0))</f>
        <v>0</v>
      </c>
      <c r="U267" s="4">
        <f>IF($B$260=0,0,IF(U$2&gt;=$A267,IF(U$2=$A267,($B267/$B$260)*$B$257,IF(U$2&lt;=$A267+$B$260-1,$B267/$B$260,$B267-SUM($C267:T267))),0))</f>
        <v>0</v>
      </c>
      <c r="V267" s="4">
        <f>IF($B$260=0,0,IF(V$2&gt;=$A267,IF(V$2=$A267,($B267/$B$260)*$B$257,IF(V$2&lt;=$A267+$B$260-1,$B267/$B$260,$B267-SUM($C267:U267))),0))</f>
        <v>0</v>
      </c>
      <c r="W267" s="4">
        <f>IF($B$260=0,0,IF(W$2&gt;=$A267,IF(W$2=$A267,($B267/$B$260)*$B$257,IF(W$2&lt;=$A267+$B$260-1,$B267/$B$260,$B267-SUM($C267:V267))),0))</f>
        <v>0</v>
      </c>
      <c r="X267" s="4">
        <f>IF($B$260=0,0,IF(X$2&gt;=$A267,IF(X$2=$A267,($B267/$B$260)*$B$257,IF(X$2&lt;=$A267+$B$260-1,$B267/$B$260,$B267-SUM($C267:W267))),0))</f>
        <v>0</v>
      </c>
      <c r="Y267" s="4">
        <f>IF($B$260=0,0,IF(Y$2&gt;=$A267,IF(Y$2=$A267,($B267/$B$260)*$B$257,IF(Y$2&lt;=$A267+$B$260-1,$B267/$B$260,$B267-SUM($C267:X267))),0))</f>
        <v>0</v>
      </c>
      <c r="Z267" s="4">
        <f>IF($B$260=0,0,IF(Z$2&gt;=$A267,IF(Z$2=$A267,($B267/$B$260)*$B$257,IF(Z$2&lt;=$A267+$B$260-1,$B267/$B$260,$B267-SUM($C267:Y267))),0))</f>
        <v>0</v>
      </c>
      <c r="AA267" s="4">
        <f>IF($B$260=0,0,IF(AA$2&gt;=$A267,IF(AA$2=$A267,($B267/$B$260)*$B$257,IF(AA$2&lt;=$A267+$B$260-1,$B267/$B$260,$B267-SUM($C267:Z267))),0))</f>
        <v>0</v>
      </c>
      <c r="AB267" s="4">
        <f>IF($B$260=0,0,IF(AB$2&gt;=$A267,IF(AB$2=$A267,($B267/$B$260)*$B$257,IF(AB$2&lt;=$A267+$B$260-1,$B267/$B$260,$B267-SUM($C267:AA267))),0))</f>
        <v>0</v>
      </c>
      <c r="AC267" s="4">
        <f>IF($B$260=0,0,IF(AC$2&gt;=$A267,IF(AC$2=$A267,($B267/$B$260)*$B$257,IF(AC$2&lt;=$A267+$B$260-1,$B267/$B$260,$B267-SUM($C267:AB267))),0))</f>
        <v>0</v>
      </c>
      <c r="AD267" s="4">
        <f>IF($B$260=0,0,IF(AD$2&gt;=$A267,IF(AD$2=$A267,($B267/$B$260)*$B$257,IF(AD$2&lt;=$A267+$B$260-1,$B267/$B$260,$B267-SUM($C267:AC267))),0))</f>
        <v>0</v>
      </c>
      <c r="AE267" s="4">
        <f>IF($B$260=0,0,IF(AE$2&gt;=$A267,IF(AE$2=$A267,($B267/$B$260)*$B$257,IF(AE$2&lt;=$A267+$B$260-1,$B267/$B$260,$B267-SUM($C267:AD267))),0))</f>
        <v>0</v>
      </c>
      <c r="AF267" s="4">
        <f>IF($B$260=0,0,IF(AF$2&gt;=$A267,IF(AF$2=$A267,($B267/$B$260)*$B$257,IF(AF$2&lt;=$A267+$B$260-1,$B267/$B$260,$B267-SUM($C267:AE267))),0))</f>
        <v>0</v>
      </c>
      <c r="AG267" s="4">
        <f t="shared" si="206"/>
        <v>0</v>
      </c>
    </row>
    <row r="268" spans="1:33">
      <c r="A268" s="6">
        <f t="shared" si="207"/>
        <v>2029</v>
      </c>
      <c r="B268" s="4">
        <f t="shared" si="205"/>
        <v>0</v>
      </c>
      <c r="C268" s="4">
        <f>IF($B$260=0,0,IF(C$2&gt;=$A268,IF(C$2=$A268,($B268/$B$260)*$B$257,IF(C$2&lt;=$A268+$B$260-1,$B268/$B$260,$B268-SUM(B268:$C268))),0))</f>
        <v>0</v>
      </c>
      <c r="D268" s="4">
        <f>IF($B$260=0,0,IF(D$2&gt;=$A268,IF(D$2=$A268,($B268/$B$260)*$B$257,IF(D$2&lt;=$A268+$B$260-1,$B268/$B$260,$B268-SUM(C268:$C268))),0))</f>
        <v>0</v>
      </c>
      <c r="E268" s="4">
        <f>IF($B$260=0,0,IF(E$2&gt;=$A268,IF(E$2=$A268,($B268/$B$260)*$B$257,IF(E$2&lt;=$A268+$B$260-1,$B268/$B$260,$B268-SUM($C268:D268))),0))</f>
        <v>0</v>
      </c>
      <c r="F268" s="4">
        <f>IF($B$260=0,0,IF(F$2&gt;=$A268,IF(F$2=$A268,($B268/$B$260)*$B$257,IF(F$2&lt;=$A268+$B$260-1,$B268/$B$260,$B268-SUM($C268:E268))),0))</f>
        <v>0</v>
      </c>
      <c r="G268" s="4">
        <f>IF($B$260=0,0,IF(G$2&gt;=$A268,IF(G$2=$A268,($B268/$B$260)*$B$257,IF(G$2&lt;=$A268+$B$260-1,$B268/$B$260,$B268-SUM($C268:F268))),0))</f>
        <v>0</v>
      </c>
      <c r="H268" s="4">
        <f>IF($B$260=0,0,IF(H$2&gt;=$A268,IF(H$2=$A268,($B268/$B$260)*$B$257,IF(H$2&lt;=$A268+$B$260-1,$B268/$B$260,$B268-SUM($C268:G268))),0))</f>
        <v>0</v>
      </c>
      <c r="I268" s="4">
        <f>IF($B$260=0,0,IF(I$2&gt;=$A268,IF(I$2=$A268,($B268/$B$260)*$B$257,IF(I$2&lt;=$A268+$B$260-1,$B268/$B$260,$B268-SUM($C268:H268))),0))</f>
        <v>0</v>
      </c>
      <c r="J268" s="4">
        <f>IF($B$260=0,0,IF(J$2&gt;=$A268,IF(J$2=$A268,($B268/$B$260)*$B$257,IF(J$2&lt;=$A268+$B$260-1,$B268/$B$260,$B268-SUM($C268:I268))),0))</f>
        <v>0</v>
      </c>
      <c r="K268" s="4">
        <f>IF($B$260=0,0,IF(K$2&gt;=$A268,IF(K$2=$A268,($B268/$B$260)*$B$257,IF(K$2&lt;=$A268+$B$260-1,$B268/$B$260,$B268-SUM($C268:J268))),0))</f>
        <v>0</v>
      </c>
      <c r="L268" s="4">
        <f>IF($B$260=0,0,IF(L$2&gt;=$A268,IF(L$2=$A268,($B268/$B$260)*$B$257,IF(L$2&lt;=$A268+$B$260-1,$B268/$B$260,$B268-SUM($C268:K268))),0))</f>
        <v>0</v>
      </c>
      <c r="M268" s="4">
        <f>IF($B$260=0,0,IF(M$2&gt;=$A268,IF(M$2=$A268,($B268/$B$260)*$B$257,IF(M$2&lt;=$A268+$B$260-1,$B268/$B$260,$B268-SUM($C268:L268))),0))</f>
        <v>0</v>
      </c>
      <c r="N268" s="4">
        <f>IF($B$260=0,0,IF(N$2&gt;=$A268,IF(N$2=$A268,($B268/$B$260)*$B$257,IF(N$2&lt;=$A268+$B$260-1,$B268/$B$260,$B268-SUM($C268:M268))),0))</f>
        <v>0</v>
      </c>
      <c r="O268" s="4">
        <f>IF($B$260=0,0,IF(O$2&gt;=$A268,IF(O$2=$A268,($B268/$B$260)*$B$257,IF(O$2&lt;=$A268+$B$260-1,$B268/$B$260,$B268-SUM($C268:N268))),0))</f>
        <v>0</v>
      </c>
      <c r="P268" s="4">
        <f>IF($B$260=0,0,IF(P$2&gt;=$A268,IF(P$2=$A268,($B268/$B$260)*$B$257,IF(P$2&lt;=$A268+$B$260-1,$B268/$B$260,$B268-SUM($C268:O268))),0))</f>
        <v>0</v>
      </c>
      <c r="Q268" s="4">
        <f>IF($B$260=0,0,IF(Q$2&gt;=$A268,IF(Q$2=$A268,($B268/$B$260)*$B$257,IF(Q$2&lt;=$A268+$B$260-1,$B268/$B$260,$B268-SUM($C268:P268))),0))</f>
        <v>0</v>
      </c>
      <c r="R268" s="4">
        <f>IF($B$260=0,0,IF(R$2&gt;=$A268,IF(R$2=$A268,($B268/$B$260)*$B$257,IF(R$2&lt;=$A268+$B$260-1,$B268/$B$260,$B268-SUM($C268:Q268))),0))</f>
        <v>0</v>
      </c>
      <c r="S268" s="4">
        <f>IF($B$260=0,0,IF(S$2&gt;=$A268,IF(S$2=$A268,($B268/$B$260)*$B$257,IF(S$2&lt;=$A268+$B$260-1,$B268/$B$260,$B268-SUM($C268:R268))),0))</f>
        <v>0</v>
      </c>
      <c r="T268" s="4">
        <f>IF($B$260=0,0,IF(T$2&gt;=$A268,IF(T$2=$A268,($B268/$B$260)*$B$257,IF(T$2&lt;=$A268+$B$260-1,$B268/$B$260,$B268-SUM($C268:S268))),0))</f>
        <v>0</v>
      </c>
      <c r="U268" s="4">
        <f>IF($B$260=0,0,IF(U$2&gt;=$A268,IF(U$2=$A268,($B268/$B$260)*$B$257,IF(U$2&lt;=$A268+$B$260-1,$B268/$B$260,$B268-SUM($C268:T268))),0))</f>
        <v>0</v>
      </c>
      <c r="V268" s="4">
        <f>IF($B$260=0,0,IF(V$2&gt;=$A268,IF(V$2=$A268,($B268/$B$260)*$B$257,IF(V$2&lt;=$A268+$B$260-1,$B268/$B$260,$B268-SUM($C268:U268))),0))</f>
        <v>0</v>
      </c>
      <c r="W268" s="4">
        <f>IF($B$260=0,0,IF(W$2&gt;=$A268,IF(W$2=$A268,($B268/$B$260)*$B$257,IF(W$2&lt;=$A268+$B$260-1,$B268/$B$260,$B268-SUM($C268:V268))),0))</f>
        <v>0</v>
      </c>
      <c r="X268" s="4">
        <f>IF($B$260=0,0,IF(X$2&gt;=$A268,IF(X$2=$A268,($B268/$B$260)*$B$257,IF(X$2&lt;=$A268+$B$260-1,$B268/$B$260,$B268-SUM($C268:W268))),0))</f>
        <v>0</v>
      </c>
      <c r="Y268" s="4">
        <f>IF($B$260=0,0,IF(Y$2&gt;=$A268,IF(Y$2=$A268,($B268/$B$260)*$B$257,IF(Y$2&lt;=$A268+$B$260-1,$B268/$B$260,$B268-SUM($C268:X268))),0))</f>
        <v>0</v>
      </c>
      <c r="Z268" s="4">
        <f>IF($B$260=0,0,IF(Z$2&gt;=$A268,IF(Z$2=$A268,($B268/$B$260)*$B$257,IF(Z$2&lt;=$A268+$B$260-1,$B268/$B$260,$B268-SUM($C268:Y268))),0))</f>
        <v>0</v>
      </c>
      <c r="AA268" s="4">
        <f>IF($B$260=0,0,IF(AA$2&gt;=$A268,IF(AA$2=$A268,($B268/$B$260)*$B$257,IF(AA$2&lt;=$A268+$B$260-1,$B268/$B$260,$B268-SUM($C268:Z268))),0))</f>
        <v>0</v>
      </c>
      <c r="AB268" s="4">
        <f>IF($B$260=0,0,IF(AB$2&gt;=$A268,IF(AB$2=$A268,($B268/$B$260)*$B$257,IF(AB$2&lt;=$A268+$B$260-1,$B268/$B$260,$B268-SUM($C268:AA268))),0))</f>
        <v>0</v>
      </c>
      <c r="AC268" s="4">
        <f>IF($B$260=0,0,IF(AC$2&gt;=$A268,IF(AC$2=$A268,($B268/$B$260)*$B$257,IF(AC$2&lt;=$A268+$B$260-1,$B268/$B$260,$B268-SUM($C268:AB268))),0))</f>
        <v>0</v>
      </c>
      <c r="AD268" s="4">
        <f>IF($B$260=0,0,IF(AD$2&gt;=$A268,IF(AD$2=$A268,($B268/$B$260)*$B$257,IF(AD$2&lt;=$A268+$B$260-1,$B268/$B$260,$B268-SUM($C268:AC268))),0))</f>
        <v>0</v>
      </c>
      <c r="AE268" s="4">
        <f>IF($B$260=0,0,IF(AE$2&gt;=$A268,IF(AE$2=$A268,($B268/$B$260)*$B$257,IF(AE$2&lt;=$A268+$B$260-1,$B268/$B$260,$B268-SUM($C268:AD268))),0))</f>
        <v>0</v>
      </c>
      <c r="AF268" s="4">
        <f>IF($B$260=0,0,IF(AF$2&gt;=$A268,IF(AF$2=$A268,($B268/$B$260)*$B$257,IF(AF$2&lt;=$A268+$B$260-1,$B268/$B$260,$B268-SUM($C268:AE268))),0))</f>
        <v>0</v>
      </c>
      <c r="AG268" s="4">
        <f t="shared" si="206"/>
        <v>0</v>
      </c>
    </row>
    <row r="269" spans="1:33">
      <c r="A269" s="6">
        <f t="shared" si="207"/>
        <v>2030</v>
      </c>
      <c r="B269" s="4">
        <f t="shared" si="205"/>
        <v>0</v>
      </c>
      <c r="C269" s="4">
        <f>IF($B$260=0,0,IF(C$2&gt;=$A269,IF(C$2=$A269,($B269/$B$260)*$B$257,IF(C$2&lt;=$A269+$B$260-1,$B269/$B$260,$B269-SUM(B269:$C269))),0))</f>
        <v>0</v>
      </c>
      <c r="D269" s="4">
        <f>IF($B$260=0,0,IF(D$2&gt;=$A269,IF(D$2=$A269,($B269/$B$260)*$B$257,IF(D$2&lt;=$A269+$B$260-1,$B269/$B$260,$B269-SUM(C269:$C269))),0))</f>
        <v>0</v>
      </c>
      <c r="E269" s="4">
        <f>IF($B$260=0,0,IF(E$2&gt;=$A269,IF(E$2=$A269,($B269/$B$260)*$B$257,IF(E$2&lt;=$A269+$B$260-1,$B269/$B$260,$B269-SUM($C269:D269))),0))</f>
        <v>0</v>
      </c>
      <c r="F269" s="4">
        <f>IF($B$260=0,0,IF(F$2&gt;=$A269,IF(F$2=$A269,($B269/$B$260)*$B$257,IF(F$2&lt;=$A269+$B$260-1,$B269/$B$260,$B269-SUM($C269:E269))),0))</f>
        <v>0</v>
      </c>
      <c r="G269" s="4">
        <f>IF($B$260=0,0,IF(G$2&gt;=$A269,IF(G$2=$A269,($B269/$B$260)*$B$257,IF(G$2&lt;=$A269+$B$260-1,$B269/$B$260,$B269-SUM($C269:F269))),0))</f>
        <v>0</v>
      </c>
      <c r="H269" s="4">
        <f>IF($B$260=0,0,IF(H$2&gt;=$A269,IF(H$2=$A269,($B269/$B$260)*$B$257,IF(H$2&lt;=$A269+$B$260-1,$B269/$B$260,$B269-SUM($C269:G269))),0))</f>
        <v>0</v>
      </c>
      <c r="I269" s="4">
        <f>IF($B$260=0,0,IF(I$2&gt;=$A269,IF(I$2=$A269,($B269/$B$260)*$B$257,IF(I$2&lt;=$A269+$B$260-1,$B269/$B$260,$B269-SUM($C269:H269))),0))</f>
        <v>0</v>
      </c>
      <c r="J269" s="4">
        <f>IF($B$260=0,0,IF(J$2&gt;=$A269,IF(J$2=$A269,($B269/$B$260)*$B$257,IF(J$2&lt;=$A269+$B$260-1,$B269/$B$260,$B269-SUM($C269:I269))),0))</f>
        <v>0</v>
      </c>
      <c r="K269" s="4">
        <f>IF($B$260=0,0,IF(K$2&gt;=$A269,IF(K$2=$A269,($B269/$B$260)*$B$257,IF(K$2&lt;=$A269+$B$260-1,$B269/$B$260,$B269-SUM($C269:J269))),0))</f>
        <v>0</v>
      </c>
      <c r="L269" s="4">
        <f>IF($B$260=0,0,IF(L$2&gt;=$A269,IF(L$2=$A269,($B269/$B$260)*$B$257,IF(L$2&lt;=$A269+$B$260-1,$B269/$B$260,$B269-SUM($C269:K269))),0))</f>
        <v>0</v>
      </c>
      <c r="M269" s="4">
        <f>IF($B$260=0,0,IF(M$2&gt;=$A269,IF(M$2=$A269,($B269/$B$260)*$B$257,IF(M$2&lt;=$A269+$B$260-1,$B269/$B$260,$B269-SUM($C269:L269))),0))</f>
        <v>0</v>
      </c>
      <c r="N269" s="4">
        <f>IF($B$260=0,0,IF(N$2&gt;=$A269,IF(N$2=$A269,($B269/$B$260)*$B$257,IF(N$2&lt;=$A269+$B$260-1,$B269/$B$260,$B269-SUM($C269:M269))),0))</f>
        <v>0</v>
      </c>
      <c r="O269" s="4">
        <f>IF($B$260=0,0,IF(O$2&gt;=$A269,IF(O$2=$A269,($B269/$B$260)*$B$257,IF(O$2&lt;=$A269+$B$260-1,$B269/$B$260,$B269-SUM($C269:N269))),0))</f>
        <v>0</v>
      </c>
      <c r="P269" s="4">
        <f>IF($B$260=0,0,IF(P$2&gt;=$A269,IF(P$2=$A269,($B269/$B$260)*$B$257,IF(P$2&lt;=$A269+$B$260-1,$B269/$B$260,$B269-SUM($C269:O269))),0))</f>
        <v>0</v>
      </c>
      <c r="Q269" s="4">
        <f>IF($B$260=0,0,IF(Q$2&gt;=$A269,IF(Q$2=$A269,($B269/$B$260)*$B$257,IF(Q$2&lt;=$A269+$B$260-1,$B269/$B$260,$B269-SUM($C269:P269))),0))</f>
        <v>0</v>
      </c>
      <c r="R269" s="4">
        <f>IF($B$260=0,0,IF(R$2&gt;=$A269,IF(R$2=$A269,($B269/$B$260)*$B$257,IF(R$2&lt;=$A269+$B$260-1,$B269/$B$260,$B269-SUM($C269:Q269))),0))</f>
        <v>0</v>
      </c>
      <c r="S269" s="4">
        <f>IF($B$260=0,0,IF(S$2&gt;=$A269,IF(S$2=$A269,($B269/$B$260)*$B$257,IF(S$2&lt;=$A269+$B$260-1,$B269/$B$260,$B269-SUM($C269:R269))),0))</f>
        <v>0</v>
      </c>
      <c r="T269" s="4">
        <f>IF($B$260=0,0,IF(T$2&gt;=$A269,IF(T$2=$A269,($B269/$B$260)*$B$257,IF(T$2&lt;=$A269+$B$260-1,$B269/$B$260,$B269-SUM($C269:S269))),0))</f>
        <v>0</v>
      </c>
      <c r="U269" s="4">
        <f>IF($B$260=0,0,IF(U$2&gt;=$A269,IF(U$2=$A269,($B269/$B$260)*$B$257,IF(U$2&lt;=$A269+$B$260-1,$B269/$B$260,$B269-SUM($C269:T269))),0))</f>
        <v>0</v>
      </c>
      <c r="V269" s="4">
        <f>IF($B$260=0,0,IF(V$2&gt;=$A269,IF(V$2=$A269,($B269/$B$260)*$B$257,IF(V$2&lt;=$A269+$B$260-1,$B269/$B$260,$B269-SUM($C269:U269))),0))</f>
        <v>0</v>
      </c>
      <c r="W269" s="4">
        <f>IF($B$260=0,0,IF(W$2&gt;=$A269,IF(W$2=$A269,($B269/$B$260)*$B$257,IF(W$2&lt;=$A269+$B$260-1,$B269/$B$260,$B269-SUM($C269:V269))),0))</f>
        <v>0</v>
      </c>
      <c r="X269" s="4">
        <f>IF($B$260=0,0,IF(X$2&gt;=$A269,IF(X$2=$A269,($B269/$B$260)*$B$257,IF(X$2&lt;=$A269+$B$260-1,$B269/$B$260,$B269-SUM($C269:W269))),0))</f>
        <v>0</v>
      </c>
      <c r="Y269" s="4">
        <f>IF($B$260=0,0,IF(Y$2&gt;=$A269,IF(Y$2=$A269,($B269/$B$260)*$B$257,IF(Y$2&lt;=$A269+$B$260-1,$B269/$B$260,$B269-SUM($C269:X269))),0))</f>
        <v>0</v>
      </c>
      <c r="Z269" s="4">
        <f>IF($B$260=0,0,IF(Z$2&gt;=$A269,IF(Z$2=$A269,($B269/$B$260)*$B$257,IF(Z$2&lt;=$A269+$B$260-1,$B269/$B$260,$B269-SUM($C269:Y269))),0))</f>
        <v>0</v>
      </c>
      <c r="AA269" s="4">
        <f>IF($B$260=0,0,IF(AA$2&gt;=$A269,IF(AA$2=$A269,($B269/$B$260)*$B$257,IF(AA$2&lt;=$A269+$B$260-1,$B269/$B$260,$B269-SUM($C269:Z269))),0))</f>
        <v>0</v>
      </c>
      <c r="AB269" s="4">
        <f>IF($B$260=0,0,IF(AB$2&gt;=$A269,IF(AB$2=$A269,($B269/$B$260)*$B$257,IF(AB$2&lt;=$A269+$B$260-1,$B269/$B$260,$B269-SUM($C269:AA269))),0))</f>
        <v>0</v>
      </c>
      <c r="AC269" s="4">
        <f>IF($B$260=0,0,IF(AC$2&gt;=$A269,IF(AC$2=$A269,($B269/$B$260)*$B$257,IF(AC$2&lt;=$A269+$B$260-1,$B269/$B$260,$B269-SUM($C269:AB269))),0))</f>
        <v>0</v>
      </c>
      <c r="AD269" s="4">
        <f>IF($B$260=0,0,IF(AD$2&gt;=$A269,IF(AD$2=$A269,($B269/$B$260)*$B$257,IF(AD$2&lt;=$A269+$B$260-1,$B269/$B$260,$B269-SUM($C269:AC269))),0))</f>
        <v>0</v>
      </c>
      <c r="AE269" s="4">
        <f>IF($B$260=0,0,IF(AE$2&gt;=$A269,IF(AE$2=$A269,($B269/$B$260)*$B$257,IF(AE$2&lt;=$A269+$B$260-1,$B269/$B$260,$B269-SUM($C269:AD269))),0))</f>
        <v>0</v>
      </c>
      <c r="AF269" s="4">
        <f>IF($B$260=0,0,IF(AF$2&gt;=$A269,IF(AF$2=$A269,($B269/$B$260)*$B$257,IF(AF$2&lt;=$A269+$B$260-1,$B269/$B$260,$B269-SUM($C269:AE269))),0))</f>
        <v>0</v>
      </c>
      <c r="AG269" s="4">
        <f t="shared" si="206"/>
        <v>0</v>
      </c>
    </row>
    <row r="270" spans="1:33">
      <c r="A270" s="6">
        <f t="shared" si="207"/>
        <v>2031</v>
      </c>
      <c r="B270" s="4">
        <f t="shared" si="205"/>
        <v>0</v>
      </c>
      <c r="C270" s="4">
        <f>IF($B$260=0,0,IF(C$2&gt;=$A270,IF(C$2=$A270,($B270/$B$260)*$B$257,IF(C$2&lt;=$A270+$B$260-1,$B270/$B$260,$B270-SUM(B270:$C270))),0))</f>
        <v>0</v>
      </c>
      <c r="D270" s="4">
        <f>IF($B$260=0,0,IF(D$2&gt;=$A270,IF(D$2=$A270,($B270/$B$260)*$B$257,IF(D$2&lt;=$A270+$B$260-1,$B270/$B$260,$B270-SUM(C270:$C270))),0))</f>
        <v>0</v>
      </c>
      <c r="E270" s="4">
        <f>IF($B$260=0,0,IF(E$2&gt;=$A270,IF(E$2=$A270,($B270/$B$260)*$B$257,IF(E$2&lt;=$A270+$B$260-1,$B270/$B$260,$B270-SUM($C270:D270))),0))</f>
        <v>0</v>
      </c>
      <c r="F270" s="4">
        <f>IF($B$260=0,0,IF(F$2&gt;=$A270,IF(F$2=$A270,($B270/$B$260)*$B$257,IF(F$2&lt;=$A270+$B$260-1,$B270/$B$260,$B270-SUM($C270:E270))),0))</f>
        <v>0</v>
      </c>
      <c r="G270" s="4">
        <f>IF($B$260=0,0,IF(G$2&gt;=$A270,IF(G$2=$A270,($B270/$B$260)*$B$257,IF(G$2&lt;=$A270+$B$260-1,$B270/$B$260,$B270-SUM($C270:F270))),0))</f>
        <v>0</v>
      </c>
      <c r="H270" s="4">
        <f>IF($B$260=0,0,IF(H$2&gt;=$A270,IF(H$2=$A270,($B270/$B$260)*$B$257,IF(H$2&lt;=$A270+$B$260-1,$B270/$B$260,$B270-SUM($C270:G270))),0))</f>
        <v>0</v>
      </c>
      <c r="I270" s="4">
        <f>IF($B$260=0,0,IF(I$2&gt;=$A270,IF(I$2=$A270,($B270/$B$260)*$B$257,IF(I$2&lt;=$A270+$B$260-1,$B270/$B$260,$B270-SUM($C270:H270))),0))</f>
        <v>0</v>
      </c>
      <c r="J270" s="4">
        <f>IF($B$260=0,0,IF(J$2&gt;=$A270,IF(J$2=$A270,($B270/$B$260)*$B$257,IF(J$2&lt;=$A270+$B$260-1,$B270/$B$260,$B270-SUM($C270:I270))),0))</f>
        <v>0</v>
      </c>
      <c r="K270" s="4">
        <f>IF($B$260=0,0,IF(K$2&gt;=$A270,IF(K$2=$A270,($B270/$B$260)*$B$257,IF(K$2&lt;=$A270+$B$260-1,$B270/$B$260,$B270-SUM($C270:J270))),0))</f>
        <v>0</v>
      </c>
      <c r="L270" s="4">
        <f>IF($B$260=0,0,IF(L$2&gt;=$A270,IF(L$2=$A270,($B270/$B$260)*$B$257,IF(L$2&lt;=$A270+$B$260-1,$B270/$B$260,$B270-SUM($C270:K270))),0))</f>
        <v>0</v>
      </c>
      <c r="M270" s="4">
        <f>IF($B$260=0,0,IF(M$2&gt;=$A270,IF(M$2=$A270,($B270/$B$260)*$B$257,IF(M$2&lt;=$A270+$B$260-1,$B270/$B$260,$B270-SUM($C270:L270))),0))</f>
        <v>0</v>
      </c>
      <c r="N270" s="4">
        <f>IF($B$260=0,0,IF(N$2&gt;=$A270,IF(N$2=$A270,($B270/$B$260)*$B$257,IF(N$2&lt;=$A270+$B$260-1,$B270/$B$260,$B270-SUM($C270:M270))),0))</f>
        <v>0</v>
      </c>
      <c r="O270" s="4">
        <f>IF($B$260=0,0,IF(O$2&gt;=$A270,IF(O$2=$A270,($B270/$B$260)*$B$257,IF(O$2&lt;=$A270+$B$260-1,$B270/$B$260,$B270-SUM($C270:N270))),0))</f>
        <v>0</v>
      </c>
      <c r="P270" s="4">
        <f>IF($B$260=0,0,IF(P$2&gt;=$A270,IF(P$2=$A270,($B270/$B$260)*$B$257,IF(P$2&lt;=$A270+$B$260-1,$B270/$B$260,$B270-SUM($C270:O270))),0))</f>
        <v>0</v>
      </c>
      <c r="Q270" s="4">
        <f>IF($B$260=0,0,IF(Q$2&gt;=$A270,IF(Q$2=$A270,($B270/$B$260)*$B$257,IF(Q$2&lt;=$A270+$B$260-1,$B270/$B$260,$B270-SUM($C270:P270))),0))</f>
        <v>0</v>
      </c>
      <c r="R270" s="4">
        <f>IF($B$260=0,0,IF(R$2&gt;=$A270,IF(R$2=$A270,($B270/$B$260)*$B$257,IF(R$2&lt;=$A270+$B$260-1,$B270/$B$260,$B270-SUM($C270:Q270))),0))</f>
        <v>0</v>
      </c>
      <c r="S270" s="4">
        <f>IF($B$260=0,0,IF(S$2&gt;=$A270,IF(S$2=$A270,($B270/$B$260)*$B$257,IF(S$2&lt;=$A270+$B$260-1,$B270/$B$260,$B270-SUM($C270:R270))),0))</f>
        <v>0</v>
      </c>
      <c r="T270" s="4">
        <f>IF($B$260=0,0,IF(T$2&gt;=$A270,IF(T$2=$A270,($B270/$B$260)*$B$257,IF(T$2&lt;=$A270+$B$260-1,$B270/$B$260,$B270-SUM($C270:S270))),0))</f>
        <v>0</v>
      </c>
      <c r="U270" s="4">
        <f>IF($B$260=0,0,IF(U$2&gt;=$A270,IF(U$2=$A270,($B270/$B$260)*$B$257,IF(U$2&lt;=$A270+$B$260-1,$B270/$B$260,$B270-SUM($C270:T270))),0))</f>
        <v>0</v>
      </c>
      <c r="V270" s="4">
        <f>IF($B$260=0,0,IF(V$2&gt;=$A270,IF(V$2=$A270,($B270/$B$260)*$B$257,IF(V$2&lt;=$A270+$B$260-1,$B270/$B$260,$B270-SUM($C270:U270))),0))</f>
        <v>0</v>
      </c>
      <c r="W270" s="4">
        <f>IF($B$260=0,0,IF(W$2&gt;=$A270,IF(W$2=$A270,($B270/$B$260)*$B$257,IF(W$2&lt;=$A270+$B$260-1,$B270/$B$260,$B270-SUM($C270:V270))),0))</f>
        <v>0</v>
      </c>
      <c r="X270" s="4">
        <f>IF($B$260=0,0,IF(X$2&gt;=$A270,IF(X$2=$A270,($B270/$B$260)*$B$257,IF(X$2&lt;=$A270+$B$260-1,$B270/$B$260,$B270-SUM($C270:W270))),0))</f>
        <v>0</v>
      </c>
      <c r="Y270" s="4">
        <f>IF($B$260=0,0,IF(Y$2&gt;=$A270,IF(Y$2=$A270,($B270/$B$260)*$B$257,IF(Y$2&lt;=$A270+$B$260-1,$B270/$B$260,$B270-SUM($C270:X270))),0))</f>
        <v>0</v>
      </c>
      <c r="Z270" s="4">
        <f>IF($B$260=0,0,IF(Z$2&gt;=$A270,IF(Z$2=$A270,($B270/$B$260)*$B$257,IF(Z$2&lt;=$A270+$B$260-1,$B270/$B$260,$B270-SUM($C270:Y270))),0))</f>
        <v>0</v>
      </c>
      <c r="AA270" s="4">
        <f>IF($B$260=0,0,IF(AA$2&gt;=$A270,IF(AA$2=$A270,($B270/$B$260)*$B$257,IF(AA$2&lt;=$A270+$B$260-1,$B270/$B$260,$B270-SUM($C270:Z270))),0))</f>
        <v>0</v>
      </c>
      <c r="AB270" s="4">
        <f>IF($B$260=0,0,IF(AB$2&gt;=$A270,IF(AB$2=$A270,($B270/$B$260)*$B$257,IF(AB$2&lt;=$A270+$B$260-1,$B270/$B$260,$B270-SUM($C270:AA270))),0))</f>
        <v>0</v>
      </c>
      <c r="AC270" s="4">
        <f>IF($B$260=0,0,IF(AC$2&gt;=$A270,IF(AC$2=$A270,($B270/$B$260)*$B$257,IF(AC$2&lt;=$A270+$B$260-1,$B270/$B$260,$B270-SUM($C270:AB270))),0))</f>
        <v>0</v>
      </c>
      <c r="AD270" s="4">
        <f>IF($B$260=0,0,IF(AD$2&gt;=$A270,IF(AD$2=$A270,($B270/$B$260)*$B$257,IF(AD$2&lt;=$A270+$B$260-1,$B270/$B$260,$B270-SUM($C270:AC270))),0))</f>
        <v>0</v>
      </c>
      <c r="AE270" s="4">
        <f>IF($B$260=0,0,IF(AE$2&gt;=$A270,IF(AE$2=$A270,($B270/$B$260)*$B$257,IF(AE$2&lt;=$A270+$B$260-1,$B270/$B$260,$B270-SUM($C270:AD270))),0))</f>
        <v>0</v>
      </c>
      <c r="AF270" s="4">
        <f>IF($B$260=0,0,IF(AF$2&gt;=$A270,IF(AF$2=$A270,($B270/$B$260)*$B$257,IF(AF$2&lt;=$A270+$B$260-1,$B270/$B$260,$B270-SUM($C270:AE270))),0))</f>
        <v>0</v>
      </c>
      <c r="AG270" s="4">
        <f t="shared" si="206"/>
        <v>0</v>
      </c>
    </row>
    <row r="271" spans="1:33">
      <c r="A271" s="6">
        <f t="shared" si="207"/>
        <v>2032</v>
      </c>
      <c r="B271" s="4">
        <f t="shared" si="205"/>
        <v>0</v>
      </c>
      <c r="C271" s="4">
        <f>IF($B$260=0,0,IF(C$2&gt;=$A271,IF(C$2=$A271,($B271/$B$260)*$B$257,IF(C$2&lt;=$A271+$B$260-1,$B271/$B$260,$B271-SUM(B271:$C271))),0))</f>
        <v>0</v>
      </c>
      <c r="D271" s="4">
        <f>IF($B$260=0,0,IF(D$2&gt;=$A271,IF(D$2=$A271,($B271/$B$260)*$B$257,IF(D$2&lt;=$A271+$B$260-1,$B271/$B$260,$B271-SUM(C271:$C271))),0))</f>
        <v>0</v>
      </c>
      <c r="E271" s="4">
        <f>IF($B$260=0,0,IF(E$2&gt;=$A271,IF(E$2=$A271,($B271/$B$260)*$B$257,IF(E$2&lt;=$A271+$B$260-1,$B271/$B$260,$B271-SUM($C271:D271))),0))</f>
        <v>0</v>
      </c>
      <c r="F271" s="4">
        <f>IF($B$260=0,0,IF(F$2&gt;=$A271,IF(F$2=$A271,($B271/$B$260)*$B$257,IF(F$2&lt;=$A271+$B$260-1,$B271/$B$260,$B271-SUM($C271:E271))),0))</f>
        <v>0</v>
      </c>
      <c r="G271" s="4">
        <f>IF($B$260=0,0,IF(G$2&gt;=$A271,IF(G$2=$A271,($B271/$B$260)*$B$257,IF(G$2&lt;=$A271+$B$260-1,$B271/$B$260,$B271-SUM($C271:F271))),0))</f>
        <v>0</v>
      </c>
      <c r="H271" s="4">
        <f>IF($B$260=0,0,IF(H$2&gt;=$A271,IF(H$2=$A271,($B271/$B$260)*$B$257,IF(H$2&lt;=$A271+$B$260-1,$B271/$B$260,$B271-SUM($C271:G271))),0))</f>
        <v>0</v>
      </c>
      <c r="I271" s="4">
        <f>IF($B$260=0,0,IF(I$2&gt;=$A271,IF(I$2=$A271,($B271/$B$260)*$B$257,IF(I$2&lt;=$A271+$B$260-1,$B271/$B$260,$B271-SUM($C271:H271))),0))</f>
        <v>0</v>
      </c>
      <c r="J271" s="4">
        <f>IF($B$260=0,0,IF(J$2&gt;=$A271,IF(J$2=$A271,($B271/$B$260)*$B$257,IF(J$2&lt;=$A271+$B$260-1,$B271/$B$260,$B271-SUM($C271:I271))),0))</f>
        <v>0</v>
      </c>
      <c r="K271" s="4">
        <f>IF($B$260=0,0,IF(K$2&gt;=$A271,IF(K$2=$A271,($B271/$B$260)*$B$257,IF(K$2&lt;=$A271+$B$260-1,$B271/$B$260,$B271-SUM($C271:J271))),0))</f>
        <v>0</v>
      </c>
      <c r="L271" s="4">
        <f>IF($B$260=0,0,IF(L$2&gt;=$A271,IF(L$2=$A271,($B271/$B$260)*$B$257,IF(L$2&lt;=$A271+$B$260-1,$B271/$B$260,$B271-SUM($C271:K271))),0))</f>
        <v>0</v>
      </c>
      <c r="M271" s="4">
        <f>IF($B$260=0,0,IF(M$2&gt;=$A271,IF(M$2=$A271,($B271/$B$260)*$B$257,IF(M$2&lt;=$A271+$B$260-1,$B271/$B$260,$B271-SUM($C271:L271))),0))</f>
        <v>0</v>
      </c>
      <c r="N271" s="4">
        <f>IF($B$260=0,0,IF(N$2&gt;=$A271,IF(N$2=$A271,($B271/$B$260)*$B$257,IF(N$2&lt;=$A271+$B$260-1,$B271/$B$260,$B271-SUM($C271:M271))),0))</f>
        <v>0</v>
      </c>
      <c r="O271" s="4">
        <f>IF($B$260=0,0,IF(O$2&gt;=$A271,IF(O$2=$A271,($B271/$B$260)*$B$257,IF(O$2&lt;=$A271+$B$260-1,$B271/$B$260,$B271-SUM($C271:N271))),0))</f>
        <v>0</v>
      </c>
      <c r="P271" s="4">
        <f>IF($B$260=0,0,IF(P$2&gt;=$A271,IF(P$2=$A271,($B271/$B$260)*$B$257,IF(P$2&lt;=$A271+$B$260-1,$B271/$B$260,$B271-SUM($C271:O271))),0))</f>
        <v>0</v>
      </c>
      <c r="Q271" s="4">
        <f>IF($B$260=0,0,IF(Q$2&gt;=$A271,IF(Q$2=$A271,($B271/$B$260)*$B$257,IF(Q$2&lt;=$A271+$B$260-1,$B271/$B$260,$B271-SUM($C271:P271))),0))</f>
        <v>0</v>
      </c>
      <c r="R271" s="4">
        <f>IF($B$260=0,0,IF(R$2&gt;=$A271,IF(R$2=$A271,($B271/$B$260)*$B$257,IF(R$2&lt;=$A271+$B$260-1,$B271/$B$260,$B271-SUM($C271:Q271))),0))</f>
        <v>0</v>
      </c>
      <c r="S271" s="4">
        <f>IF($B$260=0,0,IF(S$2&gt;=$A271,IF(S$2=$A271,($B271/$B$260)*$B$257,IF(S$2&lt;=$A271+$B$260-1,$B271/$B$260,$B271-SUM($C271:R271))),0))</f>
        <v>0</v>
      </c>
      <c r="T271" s="4">
        <f>IF($B$260=0,0,IF(T$2&gt;=$A271,IF(T$2=$A271,($B271/$B$260)*$B$257,IF(T$2&lt;=$A271+$B$260-1,$B271/$B$260,$B271-SUM($C271:S271))),0))</f>
        <v>0</v>
      </c>
      <c r="U271" s="4">
        <f>IF($B$260=0,0,IF(U$2&gt;=$A271,IF(U$2=$A271,($B271/$B$260)*$B$257,IF(U$2&lt;=$A271+$B$260-1,$B271/$B$260,$B271-SUM($C271:T271))),0))</f>
        <v>0</v>
      </c>
      <c r="V271" s="4">
        <f>IF($B$260=0,0,IF(V$2&gt;=$A271,IF(V$2=$A271,($B271/$B$260)*$B$257,IF(V$2&lt;=$A271+$B$260-1,$B271/$B$260,$B271-SUM($C271:U271))),0))</f>
        <v>0</v>
      </c>
      <c r="W271" s="4">
        <f>IF($B$260=0,0,IF(W$2&gt;=$A271,IF(W$2=$A271,($B271/$B$260)*$B$257,IF(W$2&lt;=$A271+$B$260-1,$B271/$B$260,$B271-SUM($C271:V271))),0))</f>
        <v>0</v>
      </c>
      <c r="X271" s="4">
        <f>IF($B$260=0,0,IF(X$2&gt;=$A271,IF(X$2=$A271,($B271/$B$260)*$B$257,IF(X$2&lt;=$A271+$B$260-1,$B271/$B$260,$B271-SUM($C271:W271))),0))</f>
        <v>0</v>
      </c>
      <c r="Y271" s="4">
        <f>IF($B$260=0,0,IF(Y$2&gt;=$A271,IF(Y$2=$A271,($B271/$B$260)*$B$257,IF(Y$2&lt;=$A271+$B$260-1,$B271/$B$260,$B271-SUM($C271:X271))),0))</f>
        <v>0</v>
      </c>
      <c r="Z271" s="4">
        <f>IF($B$260=0,0,IF(Z$2&gt;=$A271,IF(Z$2=$A271,($B271/$B$260)*$B$257,IF(Z$2&lt;=$A271+$B$260-1,$B271/$B$260,$B271-SUM($C271:Y271))),0))</f>
        <v>0</v>
      </c>
      <c r="AA271" s="4">
        <f>IF($B$260=0,0,IF(AA$2&gt;=$A271,IF(AA$2=$A271,($B271/$B$260)*$B$257,IF(AA$2&lt;=$A271+$B$260-1,$B271/$B$260,$B271-SUM($C271:Z271))),0))</f>
        <v>0</v>
      </c>
      <c r="AB271" s="4">
        <f>IF($B$260=0,0,IF(AB$2&gt;=$A271,IF(AB$2=$A271,($B271/$B$260)*$B$257,IF(AB$2&lt;=$A271+$B$260-1,$B271/$B$260,$B271-SUM($C271:AA271))),0))</f>
        <v>0</v>
      </c>
      <c r="AC271" s="4">
        <f>IF($B$260=0,0,IF(AC$2&gt;=$A271,IF(AC$2=$A271,($B271/$B$260)*$B$257,IF(AC$2&lt;=$A271+$B$260-1,$B271/$B$260,$B271-SUM($C271:AB271))),0))</f>
        <v>0</v>
      </c>
      <c r="AD271" s="4">
        <f>IF($B$260=0,0,IF(AD$2&gt;=$A271,IF(AD$2=$A271,($B271/$B$260)*$B$257,IF(AD$2&lt;=$A271+$B$260-1,$B271/$B$260,$B271-SUM($C271:AC271))),0))</f>
        <v>0</v>
      </c>
      <c r="AE271" s="4">
        <f>IF($B$260=0,0,IF(AE$2&gt;=$A271,IF(AE$2=$A271,($B271/$B$260)*$B$257,IF(AE$2&lt;=$A271+$B$260-1,$B271/$B$260,$B271-SUM($C271:AD271))),0))</f>
        <v>0</v>
      </c>
      <c r="AF271" s="4">
        <f>IF($B$260=0,0,IF(AF$2&gt;=$A271,IF(AF$2=$A271,($B271/$B$260)*$B$257,IF(AF$2&lt;=$A271+$B$260-1,$B271/$B$260,$B271-SUM($C271:AE271))),0))</f>
        <v>0</v>
      </c>
      <c r="AG271" s="4">
        <f t="shared" si="206"/>
        <v>0</v>
      </c>
    </row>
    <row r="272" spans="1:33">
      <c r="A272" s="6">
        <f t="shared" si="207"/>
        <v>2033</v>
      </c>
      <c r="B272" s="4">
        <f t="shared" si="205"/>
        <v>0</v>
      </c>
      <c r="C272" s="4">
        <f>IF($B$260=0,0,IF(C$2&gt;=$A272,IF(C$2=$A272,($B272/$B$260)*$B$257,IF(C$2&lt;=$A272+$B$260-1,$B272/$B$260,$B272-SUM(B272:$C272))),0))</f>
        <v>0</v>
      </c>
      <c r="D272" s="4">
        <f>IF($B$260=0,0,IF(D$2&gt;=$A272,IF(D$2=$A272,($B272/$B$260)*$B$257,IF(D$2&lt;=$A272+$B$260-1,$B272/$B$260,$B272-SUM(C272:$C272))),0))</f>
        <v>0</v>
      </c>
      <c r="E272" s="4">
        <f>IF($B$260=0,0,IF(E$2&gt;=$A272,IF(E$2=$A272,($B272/$B$260)*$B$257,IF(E$2&lt;=$A272+$B$260-1,$B272/$B$260,$B272-SUM($C272:D272))),0))</f>
        <v>0</v>
      </c>
      <c r="F272" s="4">
        <f>IF($B$260=0,0,IF(F$2&gt;=$A272,IF(F$2=$A272,($B272/$B$260)*$B$257,IF(F$2&lt;=$A272+$B$260-1,$B272/$B$260,$B272-SUM($C272:E272))),0))</f>
        <v>0</v>
      </c>
      <c r="G272" s="4">
        <f>IF($B$260=0,0,IF(G$2&gt;=$A272,IF(G$2=$A272,($B272/$B$260)*$B$257,IF(G$2&lt;=$A272+$B$260-1,$B272/$B$260,$B272-SUM($C272:F272))),0))</f>
        <v>0</v>
      </c>
      <c r="H272" s="4">
        <f>IF($B$260=0,0,IF(H$2&gt;=$A272,IF(H$2=$A272,($B272/$B$260)*$B$257,IF(H$2&lt;=$A272+$B$260-1,$B272/$B$260,$B272-SUM($C272:G272))),0))</f>
        <v>0</v>
      </c>
      <c r="I272" s="4">
        <f>IF($B$260=0,0,IF(I$2&gt;=$A272,IF(I$2=$A272,($B272/$B$260)*$B$257,IF(I$2&lt;=$A272+$B$260-1,$B272/$B$260,$B272-SUM($C272:H272))),0))</f>
        <v>0</v>
      </c>
      <c r="J272" s="4">
        <f>IF($B$260=0,0,IF(J$2&gt;=$A272,IF(J$2=$A272,($B272/$B$260)*$B$257,IF(J$2&lt;=$A272+$B$260-1,$B272/$B$260,$B272-SUM($C272:I272))),0))</f>
        <v>0</v>
      </c>
      <c r="K272" s="4">
        <f>IF($B$260=0,0,IF(K$2&gt;=$A272,IF(K$2=$A272,($B272/$B$260)*$B$257,IF(K$2&lt;=$A272+$B$260-1,$B272/$B$260,$B272-SUM($C272:J272))),0))</f>
        <v>0</v>
      </c>
      <c r="L272" s="4">
        <f>IF($B$260=0,0,IF(L$2&gt;=$A272,IF(L$2=$A272,($B272/$B$260)*$B$257,IF(L$2&lt;=$A272+$B$260-1,$B272/$B$260,$B272-SUM($C272:K272))),0))</f>
        <v>0</v>
      </c>
      <c r="M272" s="4">
        <f>IF($B$260=0,0,IF(M$2&gt;=$A272,IF(M$2=$A272,($B272/$B$260)*$B$257,IF(M$2&lt;=$A272+$B$260-1,$B272/$B$260,$B272-SUM($C272:L272))),0))</f>
        <v>0</v>
      </c>
      <c r="N272" s="4">
        <f>IF($B$260=0,0,IF(N$2&gt;=$A272,IF(N$2=$A272,($B272/$B$260)*$B$257,IF(N$2&lt;=$A272+$B$260-1,$B272/$B$260,$B272-SUM($C272:M272))),0))</f>
        <v>0</v>
      </c>
      <c r="O272" s="4">
        <f>IF($B$260=0,0,IF(O$2&gt;=$A272,IF(O$2=$A272,($B272/$B$260)*$B$257,IF(O$2&lt;=$A272+$B$260-1,$B272/$B$260,$B272-SUM($C272:N272))),0))</f>
        <v>0</v>
      </c>
      <c r="P272" s="4">
        <f>IF($B$260=0,0,IF(P$2&gt;=$A272,IF(P$2=$A272,($B272/$B$260)*$B$257,IF(P$2&lt;=$A272+$B$260-1,$B272/$B$260,$B272-SUM($C272:O272))),0))</f>
        <v>0</v>
      </c>
      <c r="Q272" s="4">
        <f>IF($B$260=0,0,IF(Q$2&gt;=$A272,IF(Q$2=$A272,($B272/$B$260)*$B$257,IF(Q$2&lt;=$A272+$B$260-1,$B272/$B$260,$B272-SUM($C272:P272))),0))</f>
        <v>0</v>
      </c>
      <c r="R272" s="4">
        <f>IF($B$260=0,0,IF(R$2&gt;=$A272,IF(R$2=$A272,($B272/$B$260)*$B$257,IF(R$2&lt;=$A272+$B$260-1,$B272/$B$260,$B272-SUM($C272:Q272))),0))</f>
        <v>0</v>
      </c>
      <c r="S272" s="4">
        <f>IF($B$260=0,0,IF(S$2&gt;=$A272,IF(S$2=$A272,($B272/$B$260)*$B$257,IF(S$2&lt;=$A272+$B$260-1,$B272/$B$260,$B272-SUM($C272:R272))),0))</f>
        <v>0</v>
      </c>
      <c r="T272" s="4">
        <f>IF($B$260=0,0,IF(T$2&gt;=$A272,IF(T$2=$A272,($B272/$B$260)*$B$257,IF(T$2&lt;=$A272+$B$260-1,$B272/$B$260,$B272-SUM($C272:S272))),0))</f>
        <v>0</v>
      </c>
      <c r="U272" s="4">
        <f>IF($B$260=0,0,IF(U$2&gt;=$A272,IF(U$2=$A272,($B272/$B$260)*$B$257,IF(U$2&lt;=$A272+$B$260-1,$B272/$B$260,$B272-SUM($C272:T272))),0))</f>
        <v>0</v>
      </c>
      <c r="V272" s="4">
        <f>IF($B$260=0,0,IF(V$2&gt;=$A272,IF(V$2=$A272,($B272/$B$260)*$B$257,IF(V$2&lt;=$A272+$B$260-1,$B272/$B$260,$B272-SUM($C272:U272))),0))</f>
        <v>0</v>
      </c>
      <c r="W272" s="4">
        <f>IF($B$260=0,0,IF(W$2&gt;=$A272,IF(W$2=$A272,($B272/$B$260)*$B$257,IF(W$2&lt;=$A272+$B$260-1,$B272/$B$260,$B272-SUM($C272:V272))),0))</f>
        <v>0</v>
      </c>
      <c r="X272" s="4">
        <f>IF($B$260=0,0,IF(X$2&gt;=$A272,IF(X$2=$A272,($B272/$B$260)*$B$257,IF(X$2&lt;=$A272+$B$260-1,$B272/$B$260,$B272-SUM($C272:W272))),0))</f>
        <v>0</v>
      </c>
      <c r="Y272" s="4">
        <f>IF($B$260=0,0,IF(Y$2&gt;=$A272,IF(Y$2=$A272,($B272/$B$260)*$B$257,IF(Y$2&lt;=$A272+$B$260-1,$B272/$B$260,$B272-SUM($C272:X272))),0))</f>
        <v>0</v>
      </c>
      <c r="Z272" s="4">
        <f>IF($B$260=0,0,IF(Z$2&gt;=$A272,IF(Z$2=$A272,($B272/$B$260)*$B$257,IF(Z$2&lt;=$A272+$B$260-1,$B272/$B$260,$B272-SUM($C272:Y272))),0))</f>
        <v>0</v>
      </c>
      <c r="AA272" s="4">
        <f>IF($B$260=0,0,IF(AA$2&gt;=$A272,IF(AA$2=$A272,($B272/$B$260)*$B$257,IF(AA$2&lt;=$A272+$B$260-1,$B272/$B$260,$B272-SUM($C272:Z272))),0))</f>
        <v>0</v>
      </c>
      <c r="AB272" s="4">
        <f>IF($B$260=0,0,IF(AB$2&gt;=$A272,IF(AB$2=$A272,($B272/$B$260)*$B$257,IF(AB$2&lt;=$A272+$B$260-1,$B272/$B$260,$B272-SUM($C272:AA272))),0))</f>
        <v>0</v>
      </c>
      <c r="AC272" s="4">
        <f>IF($B$260=0,0,IF(AC$2&gt;=$A272,IF(AC$2=$A272,($B272/$B$260)*$B$257,IF(AC$2&lt;=$A272+$B$260-1,$B272/$B$260,$B272-SUM($C272:AB272))),0))</f>
        <v>0</v>
      </c>
      <c r="AD272" s="4">
        <f>IF($B$260=0,0,IF(AD$2&gt;=$A272,IF(AD$2=$A272,($B272/$B$260)*$B$257,IF(AD$2&lt;=$A272+$B$260-1,$B272/$B$260,$B272-SUM($C272:AC272))),0))</f>
        <v>0</v>
      </c>
      <c r="AE272" s="4">
        <f>IF($B$260=0,0,IF(AE$2&gt;=$A272,IF(AE$2=$A272,($B272/$B$260)*$B$257,IF(AE$2&lt;=$A272+$B$260-1,$B272/$B$260,$B272-SUM($C272:AD272))),0))</f>
        <v>0</v>
      </c>
      <c r="AF272" s="4">
        <f>IF($B$260=0,0,IF(AF$2&gt;=$A272,IF(AF$2=$A272,($B272/$B$260)*$B$257,IF(AF$2&lt;=$A272+$B$260-1,$B272/$B$260,$B272-SUM($C272:AE272))),0))</f>
        <v>0</v>
      </c>
      <c r="AG272" s="4">
        <f t="shared" si="206"/>
        <v>0</v>
      </c>
    </row>
    <row r="273" spans="1:33">
      <c r="A273" s="6">
        <f t="shared" si="207"/>
        <v>2034</v>
      </c>
      <c r="B273" s="4">
        <f t="shared" si="205"/>
        <v>0</v>
      </c>
      <c r="C273" s="4">
        <f>IF($B$260=0,0,IF(C$2&gt;=$A273,IF(C$2=$A273,($B273/$B$260)*$B$257,IF(C$2&lt;=$A273+$B$260-1,$B273/$B$260,$B273-SUM(B273:$C273))),0))</f>
        <v>0</v>
      </c>
      <c r="D273" s="4">
        <f>IF($B$260=0,0,IF(D$2&gt;=$A273,IF(D$2=$A273,($B273/$B$260)*$B$257,IF(D$2&lt;=$A273+$B$260-1,$B273/$B$260,$B273-SUM(C273:$C273))),0))</f>
        <v>0</v>
      </c>
      <c r="E273" s="4">
        <f>IF($B$260=0,0,IF(E$2&gt;=$A273,IF(E$2=$A273,($B273/$B$260)*$B$257,IF(E$2&lt;=$A273+$B$260-1,$B273/$B$260,$B273-SUM($C273:D273))),0))</f>
        <v>0</v>
      </c>
      <c r="F273" s="4">
        <f>IF($B$260=0,0,IF(F$2&gt;=$A273,IF(F$2=$A273,($B273/$B$260)*$B$257,IF(F$2&lt;=$A273+$B$260-1,$B273/$B$260,$B273-SUM($C273:E273))),0))</f>
        <v>0</v>
      </c>
      <c r="G273" s="4">
        <f>IF($B$260=0,0,IF(G$2&gt;=$A273,IF(G$2=$A273,($B273/$B$260)*$B$257,IF(G$2&lt;=$A273+$B$260-1,$B273/$B$260,$B273-SUM($C273:F273))),0))</f>
        <v>0</v>
      </c>
      <c r="H273" s="4">
        <f>IF($B$260=0,0,IF(H$2&gt;=$A273,IF(H$2=$A273,($B273/$B$260)*$B$257,IF(H$2&lt;=$A273+$B$260-1,$B273/$B$260,$B273-SUM($C273:G273))),0))</f>
        <v>0</v>
      </c>
      <c r="I273" s="4">
        <f>IF($B$260=0,0,IF(I$2&gt;=$A273,IF(I$2=$A273,($B273/$B$260)*$B$257,IF(I$2&lt;=$A273+$B$260-1,$B273/$B$260,$B273-SUM($C273:H273))),0))</f>
        <v>0</v>
      </c>
      <c r="J273" s="4">
        <f>IF($B$260=0,0,IF(J$2&gt;=$A273,IF(J$2=$A273,($B273/$B$260)*$B$257,IF(J$2&lt;=$A273+$B$260-1,$B273/$B$260,$B273-SUM($C273:I273))),0))</f>
        <v>0</v>
      </c>
      <c r="K273" s="4">
        <f>IF($B$260=0,0,IF(K$2&gt;=$A273,IF(K$2=$A273,($B273/$B$260)*$B$257,IF(K$2&lt;=$A273+$B$260-1,$B273/$B$260,$B273-SUM($C273:J273))),0))</f>
        <v>0</v>
      </c>
      <c r="L273" s="4">
        <f>IF($B$260=0,0,IF(L$2&gt;=$A273,IF(L$2=$A273,($B273/$B$260)*$B$257,IF(L$2&lt;=$A273+$B$260-1,$B273/$B$260,$B273-SUM($C273:K273))),0))</f>
        <v>0</v>
      </c>
      <c r="M273" s="4">
        <f>IF($B$260=0,0,IF(M$2&gt;=$A273,IF(M$2=$A273,($B273/$B$260)*$B$257,IF(M$2&lt;=$A273+$B$260-1,$B273/$B$260,$B273-SUM($C273:L273))),0))</f>
        <v>0</v>
      </c>
      <c r="N273" s="4">
        <f>IF($B$260=0,0,IF(N$2&gt;=$A273,IF(N$2=$A273,($B273/$B$260)*$B$257,IF(N$2&lt;=$A273+$B$260-1,$B273/$B$260,$B273-SUM($C273:M273))),0))</f>
        <v>0</v>
      </c>
      <c r="O273" s="4">
        <f>IF($B$260=0,0,IF(O$2&gt;=$A273,IF(O$2=$A273,($B273/$B$260)*$B$257,IF(O$2&lt;=$A273+$B$260-1,$B273/$B$260,$B273-SUM($C273:N273))),0))</f>
        <v>0</v>
      </c>
      <c r="P273" s="4">
        <f>IF($B$260=0,0,IF(P$2&gt;=$A273,IF(P$2=$A273,($B273/$B$260)*$B$257,IF(P$2&lt;=$A273+$B$260-1,$B273/$B$260,$B273-SUM($C273:O273))),0))</f>
        <v>0</v>
      </c>
      <c r="Q273" s="4">
        <f>IF($B$260=0,0,IF(Q$2&gt;=$A273,IF(Q$2=$A273,($B273/$B$260)*$B$257,IF(Q$2&lt;=$A273+$B$260-1,$B273/$B$260,$B273-SUM($C273:P273))),0))</f>
        <v>0</v>
      </c>
      <c r="R273" s="4">
        <f>IF($B$260=0,0,IF(R$2&gt;=$A273,IF(R$2=$A273,($B273/$B$260)*$B$257,IF(R$2&lt;=$A273+$B$260-1,$B273/$B$260,$B273-SUM($C273:Q273))),0))</f>
        <v>0</v>
      </c>
      <c r="S273" s="4">
        <f>IF($B$260=0,0,IF(S$2&gt;=$A273,IF(S$2=$A273,($B273/$B$260)*$B$257,IF(S$2&lt;=$A273+$B$260-1,$B273/$B$260,$B273-SUM($C273:R273))),0))</f>
        <v>0</v>
      </c>
      <c r="T273" s="4">
        <f>IF($B$260=0,0,IF(T$2&gt;=$A273,IF(T$2=$A273,($B273/$B$260)*$B$257,IF(T$2&lt;=$A273+$B$260-1,$B273/$B$260,$B273-SUM($C273:S273))),0))</f>
        <v>0</v>
      </c>
      <c r="U273" s="4">
        <f>IF($B$260=0,0,IF(U$2&gt;=$A273,IF(U$2=$A273,($B273/$B$260)*$B$257,IF(U$2&lt;=$A273+$B$260-1,$B273/$B$260,$B273-SUM($C273:T273))),0))</f>
        <v>0</v>
      </c>
      <c r="V273" s="4">
        <f>IF($B$260=0,0,IF(V$2&gt;=$A273,IF(V$2=$A273,($B273/$B$260)*$B$257,IF(V$2&lt;=$A273+$B$260-1,$B273/$B$260,$B273-SUM($C273:U273))),0))</f>
        <v>0</v>
      </c>
      <c r="W273" s="4">
        <f>IF($B$260=0,0,IF(W$2&gt;=$A273,IF(W$2=$A273,($B273/$B$260)*$B$257,IF(W$2&lt;=$A273+$B$260-1,$B273/$B$260,$B273-SUM($C273:V273))),0))</f>
        <v>0</v>
      </c>
      <c r="X273" s="4">
        <f>IF($B$260=0,0,IF(X$2&gt;=$A273,IF(X$2=$A273,($B273/$B$260)*$B$257,IF(X$2&lt;=$A273+$B$260-1,$B273/$B$260,$B273-SUM($C273:W273))),0))</f>
        <v>0</v>
      </c>
      <c r="Y273" s="4">
        <f>IF($B$260=0,0,IF(Y$2&gt;=$A273,IF(Y$2=$A273,($B273/$B$260)*$B$257,IF(Y$2&lt;=$A273+$B$260-1,$B273/$B$260,$B273-SUM($C273:X273))),0))</f>
        <v>0</v>
      </c>
      <c r="Z273" s="4">
        <f>IF($B$260=0,0,IF(Z$2&gt;=$A273,IF(Z$2=$A273,($B273/$B$260)*$B$257,IF(Z$2&lt;=$A273+$B$260-1,$B273/$B$260,$B273-SUM($C273:Y273))),0))</f>
        <v>0</v>
      </c>
      <c r="AA273" s="4">
        <f>IF($B$260=0,0,IF(AA$2&gt;=$A273,IF(AA$2=$A273,($B273/$B$260)*$B$257,IF(AA$2&lt;=$A273+$B$260-1,$B273/$B$260,$B273-SUM($C273:Z273))),0))</f>
        <v>0</v>
      </c>
      <c r="AB273" s="4">
        <f>IF($B$260=0,0,IF(AB$2&gt;=$A273,IF(AB$2=$A273,($B273/$B$260)*$B$257,IF(AB$2&lt;=$A273+$B$260-1,$B273/$B$260,$B273-SUM($C273:AA273))),0))</f>
        <v>0</v>
      </c>
      <c r="AC273" s="4">
        <f>IF($B$260=0,0,IF(AC$2&gt;=$A273,IF(AC$2=$A273,($B273/$B$260)*$B$257,IF(AC$2&lt;=$A273+$B$260-1,$B273/$B$260,$B273-SUM($C273:AB273))),0))</f>
        <v>0</v>
      </c>
      <c r="AD273" s="4">
        <f>IF($B$260=0,0,IF(AD$2&gt;=$A273,IF(AD$2=$A273,($B273/$B$260)*$B$257,IF(AD$2&lt;=$A273+$B$260-1,$B273/$B$260,$B273-SUM($C273:AC273))),0))</f>
        <v>0</v>
      </c>
      <c r="AE273" s="4">
        <f>IF($B$260=0,0,IF(AE$2&gt;=$A273,IF(AE$2=$A273,($B273/$B$260)*$B$257,IF(AE$2&lt;=$A273+$B$260-1,$B273/$B$260,$B273-SUM($C273:AD273))),0))</f>
        <v>0</v>
      </c>
      <c r="AF273" s="4">
        <f>IF($B$260=0,0,IF(AF$2&gt;=$A273,IF(AF$2=$A273,($B273/$B$260)*$B$257,IF(AF$2&lt;=$A273+$B$260-1,$B273/$B$260,$B273-SUM($C273:AE273))),0))</f>
        <v>0</v>
      </c>
      <c r="AG273" s="4">
        <f t="shared" si="206"/>
        <v>0</v>
      </c>
    </row>
    <row r="274" spans="1:33">
      <c r="A274" s="6">
        <f t="shared" si="207"/>
        <v>2035</v>
      </c>
      <c r="B274" s="4">
        <f t="shared" si="205"/>
        <v>0</v>
      </c>
      <c r="C274" s="4">
        <f>IF($B$260=0,0,IF(C$2&gt;=$A274,IF(C$2=$A274,($B274/$B$260)*$B$257,IF(C$2&lt;=$A274+$B$260-1,$B274/$B$260,$B274-SUM(B274:$C274))),0))</f>
        <v>0</v>
      </c>
      <c r="D274" s="4">
        <f>IF($B$260=0,0,IF(D$2&gt;=$A274,IF(D$2=$A274,($B274/$B$260)*$B$257,IF(D$2&lt;=$A274+$B$260-1,$B274/$B$260,$B274-SUM(C274:$C274))),0))</f>
        <v>0</v>
      </c>
      <c r="E274" s="4">
        <f>IF($B$260=0,0,IF(E$2&gt;=$A274,IF(E$2=$A274,($B274/$B$260)*$B$257,IF(E$2&lt;=$A274+$B$260-1,$B274/$B$260,$B274-SUM($C274:D274))),0))</f>
        <v>0</v>
      </c>
      <c r="F274" s="4">
        <f>IF($B$260=0,0,IF(F$2&gt;=$A274,IF(F$2=$A274,($B274/$B$260)*$B$257,IF(F$2&lt;=$A274+$B$260-1,$B274/$B$260,$B274-SUM($C274:E274))),0))</f>
        <v>0</v>
      </c>
      <c r="G274" s="4">
        <f>IF($B$260=0,0,IF(G$2&gt;=$A274,IF(G$2=$A274,($B274/$B$260)*$B$257,IF(G$2&lt;=$A274+$B$260-1,$B274/$B$260,$B274-SUM($C274:F274))),0))</f>
        <v>0</v>
      </c>
      <c r="H274" s="4">
        <f>IF($B$260=0,0,IF(H$2&gt;=$A274,IF(H$2=$A274,($B274/$B$260)*$B$257,IF(H$2&lt;=$A274+$B$260-1,$B274/$B$260,$B274-SUM($C274:G274))),0))</f>
        <v>0</v>
      </c>
      <c r="I274" s="4">
        <f>IF($B$260=0,0,IF(I$2&gt;=$A274,IF(I$2=$A274,($B274/$B$260)*$B$257,IF(I$2&lt;=$A274+$B$260-1,$B274/$B$260,$B274-SUM($C274:H274))),0))</f>
        <v>0</v>
      </c>
      <c r="J274" s="4">
        <f>IF($B$260=0,0,IF(J$2&gt;=$A274,IF(J$2=$A274,($B274/$B$260)*$B$257,IF(J$2&lt;=$A274+$B$260-1,$B274/$B$260,$B274-SUM($C274:I274))),0))</f>
        <v>0</v>
      </c>
      <c r="K274" s="4">
        <f>IF($B$260=0,0,IF(K$2&gt;=$A274,IF(K$2=$A274,($B274/$B$260)*$B$257,IF(K$2&lt;=$A274+$B$260-1,$B274/$B$260,$B274-SUM($C274:J274))),0))</f>
        <v>0</v>
      </c>
      <c r="L274" s="4">
        <f>IF($B$260=0,0,IF(L$2&gt;=$A274,IF(L$2=$A274,($B274/$B$260)*$B$257,IF(L$2&lt;=$A274+$B$260-1,$B274/$B$260,$B274-SUM($C274:K274))),0))</f>
        <v>0</v>
      </c>
      <c r="M274" s="4">
        <f>IF($B$260=0,0,IF(M$2&gt;=$A274,IF(M$2=$A274,($B274/$B$260)*$B$257,IF(M$2&lt;=$A274+$B$260-1,$B274/$B$260,$B274-SUM($C274:L274))),0))</f>
        <v>0</v>
      </c>
      <c r="N274" s="4">
        <f>IF($B$260=0,0,IF(N$2&gt;=$A274,IF(N$2=$A274,($B274/$B$260)*$B$257,IF(N$2&lt;=$A274+$B$260-1,$B274/$B$260,$B274-SUM($C274:M274))),0))</f>
        <v>0</v>
      </c>
      <c r="O274" s="4">
        <f>IF($B$260=0,0,IF(O$2&gt;=$A274,IF(O$2=$A274,($B274/$B$260)*$B$257,IF(O$2&lt;=$A274+$B$260-1,$B274/$B$260,$B274-SUM($C274:N274))),0))</f>
        <v>0</v>
      </c>
      <c r="P274" s="4">
        <f>IF($B$260=0,0,IF(P$2&gt;=$A274,IF(P$2=$A274,($B274/$B$260)*$B$257,IF(P$2&lt;=$A274+$B$260-1,$B274/$B$260,$B274-SUM($C274:O274))),0))</f>
        <v>0</v>
      </c>
      <c r="Q274" s="4">
        <f>IF($B$260=0,0,IF(Q$2&gt;=$A274,IF(Q$2=$A274,($B274/$B$260)*$B$257,IF(Q$2&lt;=$A274+$B$260-1,$B274/$B$260,$B274-SUM($C274:P274))),0))</f>
        <v>0</v>
      </c>
      <c r="R274" s="4">
        <f>IF($B$260=0,0,IF(R$2&gt;=$A274,IF(R$2=$A274,($B274/$B$260)*$B$257,IF(R$2&lt;=$A274+$B$260-1,$B274/$B$260,$B274-SUM($C274:Q274))),0))</f>
        <v>0</v>
      </c>
      <c r="S274" s="4">
        <f>IF($B$260=0,0,IF(S$2&gt;=$A274,IF(S$2=$A274,($B274/$B$260)*$B$257,IF(S$2&lt;=$A274+$B$260-1,$B274/$B$260,$B274-SUM($C274:R274))),0))</f>
        <v>0</v>
      </c>
      <c r="T274" s="4">
        <f>IF($B$260=0,0,IF(T$2&gt;=$A274,IF(T$2=$A274,($B274/$B$260)*$B$257,IF(T$2&lt;=$A274+$B$260-1,$B274/$B$260,$B274-SUM($C274:S274))),0))</f>
        <v>0</v>
      </c>
      <c r="U274" s="4">
        <f>IF($B$260=0,0,IF(U$2&gt;=$A274,IF(U$2=$A274,($B274/$B$260)*$B$257,IF(U$2&lt;=$A274+$B$260-1,$B274/$B$260,$B274-SUM($C274:T274))),0))</f>
        <v>0</v>
      </c>
      <c r="V274" s="4">
        <f>IF($B$260=0,0,IF(V$2&gt;=$A274,IF(V$2=$A274,($B274/$B$260)*$B$257,IF(V$2&lt;=$A274+$B$260-1,$B274/$B$260,$B274-SUM($C274:U274))),0))</f>
        <v>0</v>
      </c>
      <c r="W274" s="4">
        <f>IF($B$260=0,0,IF(W$2&gt;=$A274,IF(W$2=$A274,($B274/$B$260)*$B$257,IF(W$2&lt;=$A274+$B$260-1,$B274/$B$260,$B274-SUM($C274:V274))),0))</f>
        <v>0</v>
      </c>
      <c r="X274" s="4">
        <f>IF($B$260=0,0,IF(X$2&gt;=$A274,IF(X$2=$A274,($B274/$B$260)*$B$257,IF(X$2&lt;=$A274+$B$260-1,$B274/$B$260,$B274-SUM($C274:W274))),0))</f>
        <v>0</v>
      </c>
      <c r="Y274" s="4">
        <f>IF($B$260=0,0,IF(Y$2&gt;=$A274,IF(Y$2=$A274,($B274/$B$260)*$B$257,IF(Y$2&lt;=$A274+$B$260-1,$B274/$B$260,$B274-SUM($C274:X274))),0))</f>
        <v>0</v>
      </c>
      <c r="Z274" s="4">
        <f>IF($B$260=0,0,IF(Z$2&gt;=$A274,IF(Z$2=$A274,($B274/$B$260)*$B$257,IF(Z$2&lt;=$A274+$B$260-1,$B274/$B$260,$B274-SUM($C274:Y274))),0))</f>
        <v>0</v>
      </c>
      <c r="AA274" s="4">
        <f>IF($B$260=0,0,IF(AA$2&gt;=$A274,IF(AA$2=$A274,($B274/$B$260)*$B$257,IF(AA$2&lt;=$A274+$B$260-1,$B274/$B$260,$B274-SUM($C274:Z274))),0))</f>
        <v>0</v>
      </c>
      <c r="AB274" s="4">
        <f>IF($B$260=0,0,IF(AB$2&gt;=$A274,IF(AB$2=$A274,($B274/$B$260)*$B$257,IF(AB$2&lt;=$A274+$B$260-1,$B274/$B$260,$B274-SUM($C274:AA274))),0))</f>
        <v>0</v>
      </c>
      <c r="AC274" s="4">
        <f>IF($B$260=0,0,IF(AC$2&gt;=$A274,IF(AC$2=$A274,($B274/$B$260)*$B$257,IF(AC$2&lt;=$A274+$B$260-1,$B274/$B$260,$B274-SUM($C274:AB274))),0))</f>
        <v>0</v>
      </c>
      <c r="AD274" s="4">
        <f>IF($B$260=0,0,IF(AD$2&gt;=$A274,IF(AD$2=$A274,($B274/$B$260)*$B$257,IF(AD$2&lt;=$A274+$B$260-1,$B274/$B$260,$B274-SUM($C274:AC274))),0))</f>
        <v>0</v>
      </c>
      <c r="AE274" s="4">
        <f>IF($B$260=0,0,IF(AE$2&gt;=$A274,IF(AE$2=$A274,($B274/$B$260)*$B$257,IF(AE$2&lt;=$A274+$B$260-1,$B274/$B$260,$B274-SUM($C274:AD274))),0))</f>
        <v>0</v>
      </c>
      <c r="AF274" s="4">
        <f>IF($B$260=0,0,IF(AF$2&gt;=$A274,IF(AF$2=$A274,($B274/$B$260)*$B$257,IF(AF$2&lt;=$A274+$B$260-1,$B274/$B$260,$B274-SUM($C274:AE274))),0))</f>
        <v>0</v>
      </c>
      <c r="AG274" s="4">
        <f t="shared" si="206"/>
        <v>0</v>
      </c>
    </row>
    <row r="275" spans="1:33">
      <c r="A275" s="6">
        <f t="shared" si="207"/>
        <v>2036</v>
      </c>
      <c r="B275" s="4">
        <f t="shared" si="205"/>
        <v>0</v>
      </c>
      <c r="C275" s="4">
        <f>IF($B$260=0,0,IF(C$2&gt;=$A275,IF(C$2=$A275,($B275/$B$260)*$B$257,IF(C$2&lt;=$A275+$B$260-1,$B275/$B$260,$B275-SUM(B275:$C275))),0))</f>
        <v>0</v>
      </c>
      <c r="D275" s="4">
        <f>IF($B$260=0,0,IF(D$2&gt;=$A275,IF(D$2=$A275,($B275/$B$260)*$B$257,IF(D$2&lt;=$A275+$B$260-1,$B275/$B$260,$B275-SUM(C275:$C275))),0))</f>
        <v>0</v>
      </c>
      <c r="E275" s="4">
        <f>IF($B$260=0,0,IF(E$2&gt;=$A275,IF(E$2=$A275,($B275/$B$260)*$B$257,IF(E$2&lt;=$A275+$B$260-1,$B275/$B$260,$B275-SUM($C275:D275))),0))</f>
        <v>0</v>
      </c>
      <c r="F275" s="4">
        <f>IF($B$260=0,0,IF(F$2&gt;=$A275,IF(F$2=$A275,($B275/$B$260)*$B$257,IF(F$2&lt;=$A275+$B$260-1,$B275/$B$260,$B275-SUM($C275:E275))),0))</f>
        <v>0</v>
      </c>
      <c r="G275" s="4">
        <f>IF($B$260=0,0,IF(G$2&gt;=$A275,IF(G$2=$A275,($B275/$B$260)*$B$257,IF(G$2&lt;=$A275+$B$260-1,$B275/$B$260,$B275-SUM($C275:F275))),0))</f>
        <v>0</v>
      </c>
      <c r="H275" s="4">
        <f>IF($B$260=0,0,IF(H$2&gt;=$A275,IF(H$2=$A275,($B275/$B$260)*$B$257,IF(H$2&lt;=$A275+$B$260-1,$B275/$B$260,$B275-SUM($C275:G275))),0))</f>
        <v>0</v>
      </c>
      <c r="I275" s="4">
        <f>IF($B$260=0,0,IF(I$2&gt;=$A275,IF(I$2=$A275,($B275/$B$260)*$B$257,IF(I$2&lt;=$A275+$B$260-1,$B275/$B$260,$B275-SUM($C275:H275))),0))</f>
        <v>0</v>
      </c>
      <c r="J275" s="4">
        <f>IF($B$260=0,0,IF(J$2&gt;=$A275,IF(J$2=$A275,($B275/$B$260)*$B$257,IF(J$2&lt;=$A275+$B$260-1,$B275/$B$260,$B275-SUM($C275:I275))),0))</f>
        <v>0</v>
      </c>
      <c r="K275" s="4">
        <f>IF($B$260=0,0,IF(K$2&gt;=$A275,IF(K$2=$A275,($B275/$B$260)*$B$257,IF(K$2&lt;=$A275+$B$260-1,$B275/$B$260,$B275-SUM($C275:J275))),0))</f>
        <v>0</v>
      </c>
      <c r="L275" s="4">
        <f>IF($B$260=0,0,IF(L$2&gt;=$A275,IF(L$2=$A275,($B275/$B$260)*$B$257,IF(L$2&lt;=$A275+$B$260-1,$B275/$B$260,$B275-SUM($C275:K275))),0))</f>
        <v>0</v>
      </c>
      <c r="M275" s="4">
        <f>IF($B$260=0,0,IF(M$2&gt;=$A275,IF(M$2=$A275,($B275/$B$260)*$B$257,IF(M$2&lt;=$A275+$B$260-1,$B275/$B$260,$B275-SUM($C275:L275))),0))</f>
        <v>0</v>
      </c>
      <c r="N275" s="4">
        <f>IF($B$260=0,0,IF(N$2&gt;=$A275,IF(N$2=$A275,($B275/$B$260)*$B$257,IF(N$2&lt;=$A275+$B$260-1,$B275/$B$260,$B275-SUM($C275:M275))),0))</f>
        <v>0</v>
      </c>
      <c r="O275" s="4">
        <f>IF($B$260=0,0,IF(O$2&gt;=$A275,IF(O$2=$A275,($B275/$B$260)*$B$257,IF(O$2&lt;=$A275+$B$260-1,$B275/$B$260,$B275-SUM($C275:N275))),0))</f>
        <v>0</v>
      </c>
      <c r="P275" s="4">
        <f>IF($B$260=0,0,IF(P$2&gt;=$A275,IF(P$2=$A275,($B275/$B$260)*$B$257,IF(P$2&lt;=$A275+$B$260-1,$B275/$B$260,$B275-SUM($C275:O275))),0))</f>
        <v>0</v>
      </c>
      <c r="Q275" s="4">
        <f>IF($B$260=0,0,IF(Q$2&gt;=$A275,IF(Q$2=$A275,($B275/$B$260)*$B$257,IF(Q$2&lt;=$A275+$B$260-1,$B275/$B$260,$B275-SUM($C275:P275))),0))</f>
        <v>0</v>
      </c>
      <c r="R275" s="4">
        <f>IF($B$260=0,0,IF(R$2&gt;=$A275,IF(R$2=$A275,($B275/$B$260)*$B$257,IF(R$2&lt;=$A275+$B$260-1,$B275/$B$260,$B275-SUM($C275:Q275))),0))</f>
        <v>0</v>
      </c>
      <c r="S275" s="4">
        <f>IF($B$260=0,0,IF(S$2&gt;=$A275,IF(S$2=$A275,($B275/$B$260)*$B$257,IF(S$2&lt;=$A275+$B$260-1,$B275/$B$260,$B275-SUM($C275:R275))),0))</f>
        <v>0</v>
      </c>
      <c r="T275" s="4">
        <f>IF($B$260=0,0,IF(T$2&gt;=$A275,IF(T$2=$A275,($B275/$B$260)*$B$257,IF(T$2&lt;=$A275+$B$260-1,$B275/$B$260,$B275-SUM($C275:S275))),0))</f>
        <v>0</v>
      </c>
      <c r="U275" s="4">
        <f>IF($B$260=0,0,IF(U$2&gt;=$A275,IF(U$2=$A275,($B275/$B$260)*$B$257,IF(U$2&lt;=$A275+$B$260-1,$B275/$B$260,$B275-SUM($C275:T275))),0))</f>
        <v>0</v>
      </c>
      <c r="V275" s="4">
        <f>IF($B$260=0,0,IF(V$2&gt;=$A275,IF(V$2=$A275,($B275/$B$260)*$B$257,IF(V$2&lt;=$A275+$B$260-1,$B275/$B$260,$B275-SUM($C275:U275))),0))</f>
        <v>0</v>
      </c>
      <c r="W275" s="4">
        <f>IF($B$260=0,0,IF(W$2&gt;=$A275,IF(W$2=$A275,($B275/$B$260)*$B$257,IF(W$2&lt;=$A275+$B$260-1,$B275/$B$260,$B275-SUM($C275:V275))),0))</f>
        <v>0</v>
      </c>
      <c r="X275" s="4">
        <f>IF($B$260=0,0,IF(X$2&gt;=$A275,IF(X$2=$A275,($B275/$B$260)*$B$257,IF(X$2&lt;=$A275+$B$260-1,$B275/$B$260,$B275-SUM($C275:W275))),0))</f>
        <v>0</v>
      </c>
      <c r="Y275" s="4">
        <f>IF($B$260=0,0,IF(Y$2&gt;=$A275,IF(Y$2=$A275,($B275/$B$260)*$B$257,IF(Y$2&lt;=$A275+$B$260-1,$B275/$B$260,$B275-SUM($C275:X275))),0))</f>
        <v>0</v>
      </c>
      <c r="Z275" s="4">
        <f>IF($B$260=0,0,IF(Z$2&gt;=$A275,IF(Z$2=$A275,($B275/$B$260)*$B$257,IF(Z$2&lt;=$A275+$B$260-1,$B275/$B$260,$B275-SUM($C275:Y275))),0))</f>
        <v>0</v>
      </c>
      <c r="AA275" s="4">
        <f>IF($B$260=0,0,IF(AA$2&gt;=$A275,IF(AA$2=$A275,($B275/$B$260)*$B$257,IF(AA$2&lt;=$A275+$B$260-1,$B275/$B$260,$B275-SUM($C275:Z275))),0))</f>
        <v>0</v>
      </c>
      <c r="AB275" s="4">
        <f>IF($B$260=0,0,IF(AB$2&gt;=$A275,IF(AB$2=$A275,($B275/$B$260)*$B$257,IF(AB$2&lt;=$A275+$B$260-1,$B275/$B$260,$B275-SUM($C275:AA275))),0))</f>
        <v>0</v>
      </c>
      <c r="AC275" s="4">
        <f>IF($B$260=0,0,IF(AC$2&gt;=$A275,IF(AC$2=$A275,($B275/$B$260)*$B$257,IF(AC$2&lt;=$A275+$B$260-1,$B275/$B$260,$B275-SUM($C275:AB275))),0))</f>
        <v>0</v>
      </c>
      <c r="AD275" s="4">
        <f>IF($B$260=0,0,IF(AD$2&gt;=$A275,IF(AD$2=$A275,($B275/$B$260)*$B$257,IF(AD$2&lt;=$A275+$B$260-1,$B275/$B$260,$B275-SUM($C275:AC275))),0))</f>
        <v>0</v>
      </c>
      <c r="AE275" s="4">
        <f>IF($B$260=0,0,IF(AE$2&gt;=$A275,IF(AE$2=$A275,($B275/$B$260)*$B$257,IF(AE$2&lt;=$A275+$B$260-1,$B275/$B$260,$B275-SUM($C275:AD275))),0))</f>
        <v>0</v>
      </c>
      <c r="AF275" s="4">
        <f>IF($B$260=0,0,IF(AF$2&gt;=$A275,IF(AF$2=$A275,($B275/$B$260)*$B$257,IF(AF$2&lt;=$A275+$B$260-1,$B275/$B$260,$B275-SUM($C275:AE275))),0))</f>
        <v>0</v>
      </c>
      <c r="AG275" s="4">
        <f t="shared" si="206"/>
        <v>0</v>
      </c>
    </row>
    <row r="276" spans="1:33">
      <c r="A276" s="6">
        <f t="shared" si="207"/>
        <v>2037</v>
      </c>
      <c r="B276" s="4">
        <f t="shared" si="205"/>
        <v>0</v>
      </c>
      <c r="C276" s="4">
        <f>IF($B$260=0,0,IF(C$2&gt;=$A276,IF(C$2=$A276,($B276/$B$260)*$B$257,IF(C$2&lt;=$A276+$B$260-1,$B276/$B$260,$B276-SUM(B276:$C276))),0))</f>
        <v>0</v>
      </c>
      <c r="D276" s="4">
        <f>IF($B$260=0,0,IF(D$2&gt;=$A276,IF(D$2=$A276,($B276/$B$260)*$B$257,IF(D$2&lt;=$A276+$B$260-1,$B276/$B$260,$B276-SUM(C276:$C276))),0))</f>
        <v>0</v>
      </c>
      <c r="E276" s="4">
        <f>IF($B$260=0,0,IF(E$2&gt;=$A276,IF(E$2=$A276,($B276/$B$260)*$B$257,IF(E$2&lt;=$A276+$B$260-1,$B276/$B$260,$B276-SUM($C276:D276))),0))</f>
        <v>0</v>
      </c>
      <c r="F276" s="4">
        <f>IF($B$260=0,0,IF(F$2&gt;=$A276,IF(F$2=$A276,($B276/$B$260)*$B$257,IF(F$2&lt;=$A276+$B$260-1,$B276/$B$260,$B276-SUM($C276:E276))),0))</f>
        <v>0</v>
      </c>
      <c r="G276" s="4">
        <f>IF($B$260=0,0,IF(G$2&gt;=$A276,IF(G$2=$A276,($B276/$B$260)*$B$257,IF(G$2&lt;=$A276+$B$260-1,$B276/$B$260,$B276-SUM($C276:F276))),0))</f>
        <v>0</v>
      </c>
      <c r="H276" s="4">
        <f>IF($B$260=0,0,IF(H$2&gt;=$A276,IF(H$2=$A276,($B276/$B$260)*$B$257,IF(H$2&lt;=$A276+$B$260-1,$B276/$B$260,$B276-SUM($C276:G276))),0))</f>
        <v>0</v>
      </c>
      <c r="I276" s="4">
        <f>IF($B$260=0,0,IF(I$2&gt;=$A276,IF(I$2=$A276,($B276/$B$260)*$B$257,IF(I$2&lt;=$A276+$B$260-1,$B276/$B$260,$B276-SUM($C276:H276))),0))</f>
        <v>0</v>
      </c>
      <c r="J276" s="4">
        <f>IF($B$260=0,0,IF(J$2&gt;=$A276,IF(J$2=$A276,($B276/$B$260)*$B$257,IF(J$2&lt;=$A276+$B$260-1,$B276/$B$260,$B276-SUM($C276:I276))),0))</f>
        <v>0</v>
      </c>
      <c r="K276" s="4">
        <f>IF($B$260=0,0,IF(K$2&gt;=$A276,IF(K$2=$A276,($B276/$B$260)*$B$257,IF(K$2&lt;=$A276+$B$260-1,$B276/$B$260,$B276-SUM($C276:J276))),0))</f>
        <v>0</v>
      </c>
      <c r="L276" s="4">
        <f>IF($B$260=0,0,IF(L$2&gt;=$A276,IF(L$2=$A276,($B276/$B$260)*$B$257,IF(L$2&lt;=$A276+$B$260-1,$B276/$B$260,$B276-SUM($C276:K276))),0))</f>
        <v>0</v>
      </c>
      <c r="M276" s="4">
        <f>IF($B$260=0,0,IF(M$2&gt;=$A276,IF(M$2=$A276,($B276/$B$260)*$B$257,IF(M$2&lt;=$A276+$B$260-1,$B276/$B$260,$B276-SUM($C276:L276))),0))</f>
        <v>0</v>
      </c>
      <c r="N276" s="4">
        <f>IF($B$260=0,0,IF(N$2&gt;=$A276,IF(N$2=$A276,($B276/$B$260)*$B$257,IF(N$2&lt;=$A276+$B$260-1,$B276/$B$260,$B276-SUM($C276:M276))),0))</f>
        <v>0</v>
      </c>
      <c r="O276" s="4">
        <f>IF($B$260=0,0,IF(O$2&gt;=$A276,IF(O$2=$A276,($B276/$B$260)*$B$257,IF(O$2&lt;=$A276+$B$260-1,$B276/$B$260,$B276-SUM($C276:N276))),0))</f>
        <v>0</v>
      </c>
      <c r="P276" s="4">
        <f>IF($B$260=0,0,IF(P$2&gt;=$A276,IF(P$2=$A276,($B276/$B$260)*$B$257,IF(P$2&lt;=$A276+$B$260-1,$B276/$B$260,$B276-SUM($C276:O276))),0))</f>
        <v>0</v>
      </c>
      <c r="Q276" s="4">
        <f>IF($B$260=0,0,IF(Q$2&gt;=$A276,IF(Q$2=$A276,($B276/$B$260)*$B$257,IF(Q$2&lt;=$A276+$B$260-1,$B276/$B$260,$B276-SUM($C276:P276))),0))</f>
        <v>0</v>
      </c>
      <c r="R276" s="4">
        <f>IF($B$260=0,0,IF(R$2&gt;=$A276,IF(R$2=$A276,($B276/$B$260)*$B$257,IF(R$2&lt;=$A276+$B$260-1,$B276/$B$260,$B276-SUM($C276:Q276))),0))</f>
        <v>0</v>
      </c>
      <c r="S276" s="4">
        <f>IF($B$260=0,0,IF(S$2&gt;=$A276,IF(S$2=$A276,($B276/$B$260)*$B$257,IF(S$2&lt;=$A276+$B$260-1,$B276/$B$260,$B276-SUM($C276:R276))),0))</f>
        <v>0</v>
      </c>
      <c r="T276" s="4">
        <f>IF($B$260=0,0,IF(T$2&gt;=$A276,IF(T$2=$A276,($B276/$B$260)*$B$257,IF(T$2&lt;=$A276+$B$260-1,$B276/$B$260,$B276-SUM($C276:S276))),0))</f>
        <v>0</v>
      </c>
      <c r="U276" s="4">
        <f>IF($B$260=0,0,IF(U$2&gt;=$A276,IF(U$2=$A276,($B276/$B$260)*$B$257,IF(U$2&lt;=$A276+$B$260-1,$B276/$B$260,$B276-SUM($C276:T276))),0))</f>
        <v>0</v>
      </c>
      <c r="V276" s="4">
        <f>IF($B$260=0,0,IF(V$2&gt;=$A276,IF(V$2=$A276,($B276/$B$260)*$B$257,IF(V$2&lt;=$A276+$B$260-1,$B276/$B$260,$B276-SUM($C276:U276))),0))</f>
        <v>0</v>
      </c>
      <c r="W276" s="4">
        <f>IF($B$260=0,0,IF(W$2&gt;=$A276,IF(W$2=$A276,($B276/$B$260)*$B$257,IF(W$2&lt;=$A276+$B$260-1,$B276/$B$260,$B276-SUM($C276:V276))),0))</f>
        <v>0</v>
      </c>
      <c r="X276" s="4">
        <f>IF($B$260=0,0,IF(X$2&gt;=$A276,IF(X$2=$A276,($B276/$B$260)*$B$257,IF(X$2&lt;=$A276+$B$260-1,$B276/$B$260,$B276-SUM($C276:W276))),0))</f>
        <v>0</v>
      </c>
      <c r="Y276" s="4">
        <f>IF($B$260=0,0,IF(Y$2&gt;=$A276,IF(Y$2=$A276,($B276/$B$260)*$B$257,IF(Y$2&lt;=$A276+$B$260-1,$B276/$B$260,$B276-SUM($C276:X276))),0))</f>
        <v>0</v>
      </c>
      <c r="Z276" s="4">
        <f>IF($B$260=0,0,IF(Z$2&gt;=$A276,IF(Z$2=$A276,($B276/$B$260)*$B$257,IF(Z$2&lt;=$A276+$B$260-1,$B276/$B$260,$B276-SUM($C276:Y276))),0))</f>
        <v>0</v>
      </c>
      <c r="AA276" s="4">
        <f>IF($B$260=0,0,IF(AA$2&gt;=$A276,IF(AA$2=$A276,($B276/$B$260)*$B$257,IF(AA$2&lt;=$A276+$B$260-1,$B276/$B$260,$B276-SUM($C276:Z276))),0))</f>
        <v>0</v>
      </c>
      <c r="AB276" s="4">
        <f>IF($B$260=0,0,IF(AB$2&gt;=$A276,IF(AB$2=$A276,($B276/$B$260)*$B$257,IF(AB$2&lt;=$A276+$B$260-1,$B276/$B$260,$B276-SUM($C276:AA276))),0))</f>
        <v>0</v>
      </c>
      <c r="AC276" s="4">
        <f>IF($B$260=0,0,IF(AC$2&gt;=$A276,IF(AC$2=$A276,($B276/$B$260)*$B$257,IF(AC$2&lt;=$A276+$B$260-1,$B276/$B$260,$B276-SUM($C276:AB276))),0))</f>
        <v>0</v>
      </c>
      <c r="AD276" s="4">
        <f>IF($B$260=0,0,IF(AD$2&gt;=$A276,IF(AD$2=$A276,($B276/$B$260)*$B$257,IF(AD$2&lt;=$A276+$B$260-1,$B276/$B$260,$B276-SUM($C276:AC276))),0))</f>
        <v>0</v>
      </c>
      <c r="AE276" s="4">
        <f>IF($B$260=0,0,IF(AE$2&gt;=$A276,IF(AE$2=$A276,($B276/$B$260)*$B$257,IF(AE$2&lt;=$A276+$B$260-1,$B276/$B$260,$B276-SUM($C276:AD276))),0))</f>
        <v>0</v>
      </c>
      <c r="AF276" s="4">
        <f>IF($B$260=0,0,IF(AF$2&gt;=$A276,IF(AF$2=$A276,($B276/$B$260)*$B$257,IF(AF$2&lt;=$A276+$B$260-1,$B276/$B$260,$B276-SUM($C276:AE276))),0))</f>
        <v>0</v>
      </c>
      <c r="AG276" s="4">
        <f t="shared" si="206"/>
        <v>0</v>
      </c>
    </row>
    <row r="277" spans="1:33">
      <c r="A277" s="6">
        <f t="shared" si="207"/>
        <v>2038</v>
      </c>
      <c r="B277" s="4">
        <f t="shared" si="205"/>
        <v>0</v>
      </c>
      <c r="C277" s="4">
        <f>IF($B$260=0,0,IF(C$2&gt;=$A277,IF(C$2=$A277,($B277/$B$260)*$B$257,IF(C$2&lt;=$A277+$B$260-1,$B277/$B$260,$B277-SUM(B277:$C277))),0))</f>
        <v>0</v>
      </c>
      <c r="D277" s="4">
        <f>IF($B$260=0,0,IF(D$2&gt;=$A277,IF(D$2=$A277,($B277/$B$260)*$B$257,IF(D$2&lt;=$A277+$B$260-1,$B277/$B$260,$B277-SUM(C277:$C277))),0))</f>
        <v>0</v>
      </c>
      <c r="E277" s="4">
        <f>IF($B$260=0,0,IF(E$2&gt;=$A277,IF(E$2=$A277,($B277/$B$260)*$B$257,IF(E$2&lt;=$A277+$B$260-1,$B277/$B$260,$B277-SUM($C277:D277))),0))</f>
        <v>0</v>
      </c>
      <c r="F277" s="4">
        <f>IF($B$260=0,0,IF(F$2&gt;=$A277,IF(F$2=$A277,($B277/$B$260)*$B$257,IF(F$2&lt;=$A277+$B$260-1,$B277/$B$260,$B277-SUM($C277:E277))),0))</f>
        <v>0</v>
      </c>
      <c r="G277" s="4">
        <f>IF($B$260=0,0,IF(G$2&gt;=$A277,IF(G$2=$A277,($B277/$B$260)*$B$257,IF(G$2&lt;=$A277+$B$260-1,$B277/$B$260,$B277-SUM($C277:F277))),0))</f>
        <v>0</v>
      </c>
      <c r="H277" s="4">
        <f>IF($B$260=0,0,IF(H$2&gt;=$A277,IF(H$2=$A277,($B277/$B$260)*$B$257,IF(H$2&lt;=$A277+$B$260-1,$B277/$B$260,$B277-SUM($C277:G277))),0))</f>
        <v>0</v>
      </c>
      <c r="I277" s="4">
        <f>IF($B$260=0,0,IF(I$2&gt;=$A277,IF(I$2=$A277,($B277/$B$260)*$B$257,IF(I$2&lt;=$A277+$B$260-1,$B277/$B$260,$B277-SUM($C277:H277))),0))</f>
        <v>0</v>
      </c>
      <c r="J277" s="4">
        <f>IF($B$260=0,0,IF(J$2&gt;=$A277,IF(J$2=$A277,($B277/$B$260)*$B$257,IF(J$2&lt;=$A277+$B$260-1,$B277/$B$260,$B277-SUM($C277:I277))),0))</f>
        <v>0</v>
      </c>
      <c r="K277" s="4">
        <f>IF($B$260=0,0,IF(K$2&gt;=$A277,IF(K$2=$A277,($B277/$B$260)*$B$257,IF(K$2&lt;=$A277+$B$260-1,$B277/$B$260,$B277-SUM($C277:J277))),0))</f>
        <v>0</v>
      </c>
      <c r="L277" s="4">
        <f>IF($B$260=0,0,IF(L$2&gt;=$A277,IF(L$2=$A277,($B277/$B$260)*$B$257,IF(L$2&lt;=$A277+$B$260-1,$B277/$B$260,$B277-SUM($C277:K277))),0))</f>
        <v>0</v>
      </c>
      <c r="M277" s="4">
        <f>IF($B$260=0,0,IF(M$2&gt;=$A277,IF(M$2=$A277,($B277/$B$260)*$B$257,IF(M$2&lt;=$A277+$B$260-1,$B277/$B$260,$B277-SUM($C277:L277))),0))</f>
        <v>0</v>
      </c>
      <c r="N277" s="4">
        <f>IF($B$260=0,0,IF(N$2&gt;=$A277,IF(N$2=$A277,($B277/$B$260)*$B$257,IF(N$2&lt;=$A277+$B$260-1,$B277/$B$260,$B277-SUM($C277:M277))),0))</f>
        <v>0</v>
      </c>
      <c r="O277" s="4">
        <f>IF($B$260=0,0,IF(O$2&gt;=$A277,IF(O$2=$A277,($B277/$B$260)*$B$257,IF(O$2&lt;=$A277+$B$260-1,$B277/$B$260,$B277-SUM($C277:N277))),0))</f>
        <v>0</v>
      </c>
      <c r="P277" s="4">
        <f>IF($B$260=0,0,IF(P$2&gt;=$A277,IF(P$2=$A277,($B277/$B$260)*$B$257,IF(P$2&lt;=$A277+$B$260-1,$B277/$B$260,$B277-SUM($C277:O277))),0))</f>
        <v>0</v>
      </c>
      <c r="Q277" s="4">
        <f>IF($B$260=0,0,IF(Q$2&gt;=$A277,IF(Q$2=$A277,($B277/$B$260)*$B$257,IF(Q$2&lt;=$A277+$B$260-1,$B277/$B$260,$B277-SUM($C277:P277))),0))</f>
        <v>0</v>
      </c>
      <c r="R277" s="4">
        <f>IF($B$260=0,0,IF(R$2&gt;=$A277,IF(R$2=$A277,($B277/$B$260)*$B$257,IF(R$2&lt;=$A277+$B$260-1,$B277/$B$260,$B277-SUM($C277:Q277))),0))</f>
        <v>0</v>
      </c>
      <c r="S277" s="4">
        <f>IF($B$260=0,0,IF(S$2&gt;=$A277,IF(S$2=$A277,($B277/$B$260)*$B$257,IF(S$2&lt;=$A277+$B$260-1,$B277/$B$260,$B277-SUM($C277:R277))),0))</f>
        <v>0</v>
      </c>
      <c r="T277" s="4">
        <f>IF($B$260=0,0,IF(T$2&gt;=$A277,IF(T$2=$A277,($B277/$B$260)*$B$257,IF(T$2&lt;=$A277+$B$260-1,$B277/$B$260,$B277-SUM($C277:S277))),0))</f>
        <v>0</v>
      </c>
      <c r="U277" s="4">
        <f>IF($B$260=0,0,IF(U$2&gt;=$A277,IF(U$2=$A277,($B277/$B$260)*$B$257,IF(U$2&lt;=$A277+$B$260-1,$B277/$B$260,$B277-SUM($C277:T277))),0))</f>
        <v>0</v>
      </c>
      <c r="V277" s="4">
        <f>IF($B$260=0,0,IF(V$2&gt;=$A277,IF(V$2=$A277,($B277/$B$260)*$B$257,IF(V$2&lt;=$A277+$B$260-1,$B277/$B$260,$B277-SUM($C277:U277))),0))</f>
        <v>0</v>
      </c>
      <c r="W277" s="4">
        <f>IF($B$260=0,0,IF(W$2&gt;=$A277,IF(W$2=$A277,($B277/$B$260)*$B$257,IF(W$2&lt;=$A277+$B$260-1,$B277/$B$260,$B277-SUM($C277:V277))),0))</f>
        <v>0</v>
      </c>
      <c r="X277" s="4">
        <f>IF($B$260=0,0,IF(X$2&gt;=$A277,IF(X$2=$A277,($B277/$B$260)*$B$257,IF(X$2&lt;=$A277+$B$260-1,$B277/$B$260,$B277-SUM($C277:W277))),0))</f>
        <v>0</v>
      </c>
      <c r="Y277" s="4">
        <f>IF($B$260=0,0,IF(Y$2&gt;=$A277,IF(Y$2=$A277,($B277/$B$260)*$B$257,IF(Y$2&lt;=$A277+$B$260-1,$B277/$B$260,$B277-SUM($C277:X277))),0))</f>
        <v>0</v>
      </c>
      <c r="Z277" s="4">
        <f>IF($B$260=0,0,IF(Z$2&gt;=$A277,IF(Z$2=$A277,($B277/$B$260)*$B$257,IF(Z$2&lt;=$A277+$B$260-1,$B277/$B$260,$B277-SUM($C277:Y277))),0))</f>
        <v>0</v>
      </c>
      <c r="AA277" s="4">
        <f>IF($B$260=0,0,IF(AA$2&gt;=$A277,IF(AA$2=$A277,($B277/$B$260)*$B$257,IF(AA$2&lt;=$A277+$B$260-1,$B277/$B$260,$B277-SUM($C277:Z277))),0))</f>
        <v>0</v>
      </c>
      <c r="AB277" s="4">
        <f>IF($B$260=0,0,IF(AB$2&gt;=$A277,IF(AB$2=$A277,($B277/$B$260)*$B$257,IF(AB$2&lt;=$A277+$B$260-1,$B277/$B$260,$B277-SUM($C277:AA277))),0))</f>
        <v>0</v>
      </c>
      <c r="AC277" s="4">
        <f>IF($B$260=0,0,IF(AC$2&gt;=$A277,IF(AC$2=$A277,($B277/$B$260)*$B$257,IF(AC$2&lt;=$A277+$B$260-1,$B277/$B$260,$B277-SUM($C277:AB277))),0))</f>
        <v>0</v>
      </c>
      <c r="AD277" s="4">
        <f>IF($B$260=0,0,IF(AD$2&gt;=$A277,IF(AD$2=$A277,($B277/$B$260)*$B$257,IF(AD$2&lt;=$A277+$B$260-1,$B277/$B$260,$B277-SUM($C277:AC277))),0))</f>
        <v>0</v>
      </c>
      <c r="AE277" s="4">
        <f>IF($B$260=0,0,IF(AE$2&gt;=$A277,IF(AE$2=$A277,($B277/$B$260)*$B$257,IF(AE$2&lt;=$A277+$B$260-1,$B277/$B$260,$B277-SUM($C277:AD277))),0))</f>
        <v>0</v>
      </c>
      <c r="AF277" s="4">
        <f>IF($B$260=0,0,IF(AF$2&gt;=$A277,IF(AF$2=$A277,($B277/$B$260)*$B$257,IF(AF$2&lt;=$A277+$B$260-1,$B277/$B$260,$B277-SUM($C277:AE277))),0))</f>
        <v>0</v>
      </c>
      <c r="AG277" s="4">
        <f t="shared" si="206"/>
        <v>0</v>
      </c>
    </row>
    <row r="278" spans="1:33">
      <c r="A278" s="6">
        <f t="shared" si="207"/>
        <v>2039</v>
      </c>
      <c r="B278" s="4">
        <f t="shared" si="205"/>
        <v>0</v>
      </c>
      <c r="C278" s="4">
        <f>IF($B$260=0,0,IF(C$2&gt;=$A278,IF(C$2=$A278,($B278/$B$260)*$B$257,IF(C$2&lt;=$A278+$B$260-1,$B278/$B$260,$B278-SUM(B278:$C278))),0))</f>
        <v>0</v>
      </c>
      <c r="D278" s="4">
        <f>IF($B$260=0,0,IF(D$2&gt;=$A278,IF(D$2=$A278,($B278/$B$260)*$B$257,IF(D$2&lt;=$A278+$B$260-1,$B278/$B$260,$B278-SUM(C278:$C278))),0))</f>
        <v>0</v>
      </c>
      <c r="E278" s="4">
        <f>IF($B$260=0,0,IF(E$2&gt;=$A278,IF(E$2=$A278,($B278/$B$260)*$B$257,IF(E$2&lt;=$A278+$B$260-1,$B278/$B$260,$B278-SUM($C278:D278))),0))</f>
        <v>0</v>
      </c>
      <c r="F278" s="4">
        <f>IF($B$260=0,0,IF(F$2&gt;=$A278,IF(F$2=$A278,($B278/$B$260)*$B$257,IF(F$2&lt;=$A278+$B$260-1,$B278/$B$260,$B278-SUM($C278:E278))),0))</f>
        <v>0</v>
      </c>
      <c r="G278" s="4">
        <f>IF($B$260=0,0,IF(G$2&gt;=$A278,IF(G$2=$A278,($B278/$B$260)*$B$257,IF(G$2&lt;=$A278+$B$260-1,$B278/$B$260,$B278-SUM($C278:F278))),0))</f>
        <v>0</v>
      </c>
      <c r="H278" s="4">
        <f>IF($B$260=0,0,IF(H$2&gt;=$A278,IF(H$2=$A278,($B278/$B$260)*$B$257,IF(H$2&lt;=$A278+$B$260-1,$B278/$B$260,$B278-SUM($C278:G278))),0))</f>
        <v>0</v>
      </c>
      <c r="I278" s="4">
        <f>IF($B$260=0,0,IF(I$2&gt;=$A278,IF(I$2=$A278,($B278/$B$260)*$B$257,IF(I$2&lt;=$A278+$B$260-1,$B278/$B$260,$B278-SUM($C278:H278))),0))</f>
        <v>0</v>
      </c>
      <c r="J278" s="4">
        <f>IF($B$260=0,0,IF(J$2&gt;=$A278,IF(J$2=$A278,($B278/$B$260)*$B$257,IF(J$2&lt;=$A278+$B$260-1,$B278/$B$260,$B278-SUM($C278:I278))),0))</f>
        <v>0</v>
      </c>
      <c r="K278" s="4">
        <f>IF($B$260=0,0,IF(K$2&gt;=$A278,IF(K$2=$A278,($B278/$B$260)*$B$257,IF(K$2&lt;=$A278+$B$260-1,$B278/$B$260,$B278-SUM($C278:J278))),0))</f>
        <v>0</v>
      </c>
      <c r="L278" s="4">
        <f>IF($B$260=0,0,IF(L$2&gt;=$A278,IF(L$2=$A278,($B278/$B$260)*$B$257,IF(L$2&lt;=$A278+$B$260-1,$B278/$B$260,$B278-SUM($C278:K278))),0))</f>
        <v>0</v>
      </c>
      <c r="M278" s="4">
        <f>IF($B$260=0,0,IF(M$2&gt;=$A278,IF(M$2=$A278,($B278/$B$260)*$B$257,IF(M$2&lt;=$A278+$B$260-1,$B278/$B$260,$B278-SUM($C278:L278))),0))</f>
        <v>0</v>
      </c>
      <c r="N278" s="4">
        <f>IF($B$260=0,0,IF(N$2&gt;=$A278,IF(N$2=$A278,($B278/$B$260)*$B$257,IF(N$2&lt;=$A278+$B$260-1,$B278/$B$260,$B278-SUM($C278:M278))),0))</f>
        <v>0</v>
      </c>
      <c r="O278" s="4">
        <f>IF($B$260=0,0,IF(O$2&gt;=$A278,IF(O$2=$A278,($B278/$B$260)*$B$257,IF(O$2&lt;=$A278+$B$260-1,$B278/$B$260,$B278-SUM($C278:N278))),0))</f>
        <v>0</v>
      </c>
      <c r="P278" s="4">
        <f>IF($B$260=0,0,IF(P$2&gt;=$A278,IF(P$2=$A278,($B278/$B$260)*$B$257,IF(P$2&lt;=$A278+$B$260-1,$B278/$B$260,$B278-SUM($C278:O278))),0))</f>
        <v>0</v>
      </c>
      <c r="Q278" s="4">
        <f>IF($B$260=0,0,IF(Q$2&gt;=$A278,IF(Q$2=$A278,($B278/$B$260)*$B$257,IF(Q$2&lt;=$A278+$B$260-1,$B278/$B$260,$B278-SUM($C278:P278))),0))</f>
        <v>0</v>
      </c>
      <c r="R278" s="4">
        <f>IF($B$260=0,0,IF(R$2&gt;=$A278,IF(R$2=$A278,($B278/$B$260)*$B$257,IF(R$2&lt;=$A278+$B$260-1,$B278/$B$260,$B278-SUM($C278:Q278))),0))</f>
        <v>0</v>
      </c>
      <c r="S278" s="4">
        <f>IF($B$260=0,0,IF(S$2&gt;=$A278,IF(S$2=$A278,($B278/$B$260)*$B$257,IF(S$2&lt;=$A278+$B$260-1,$B278/$B$260,$B278-SUM($C278:R278))),0))</f>
        <v>0</v>
      </c>
      <c r="T278" s="4">
        <f>IF($B$260=0,0,IF(T$2&gt;=$A278,IF(T$2=$A278,($B278/$B$260)*$B$257,IF(T$2&lt;=$A278+$B$260-1,$B278/$B$260,$B278-SUM($C278:S278))),0))</f>
        <v>0</v>
      </c>
      <c r="U278" s="4">
        <f>IF($B$260=0,0,IF(U$2&gt;=$A278,IF(U$2=$A278,($B278/$B$260)*$B$257,IF(U$2&lt;=$A278+$B$260-1,$B278/$B$260,$B278-SUM($C278:T278))),0))</f>
        <v>0</v>
      </c>
      <c r="V278" s="4">
        <f>IF($B$260=0,0,IF(V$2&gt;=$A278,IF(V$2=$A278,($B278/$B$260)*$B$257,IF(V$2&lt;=$A278+$B$260-1,$B278/$B$260,$B278-SUM($C278:U278))),0))</f>
        <v>0</v>
      </c>
      <c r="W278" s="4">
        <f>IF($B$260=0,0,IF(W$2&gt;=$A278,IF(W$2=$A278,($B278/$B$260)*$B$257,IF(W$2&lt;=$A278+$B$260-1,$B278/$B$260,$B278-SUM($C278:V278))),0))</f>
        <v>0</v>
      </c>
      <c r="X278" s="4">
        <f>IF($B$260=0,0,IF(X$2&gt;=$A278,IF(X$2=$A278,($B278/$B$260)*$B$257,IF(X$2&lt;=$A278+$B$260-1,$B278/$B$260,$B278-SUM($C278:W278))),0))</f>
        <v>0</v>
      </c>
      <c r="Y278" s="4">
        <f>IF($B$260=0,0,IF(Y$2&gt;=$A278,IF(Y$2=$A278,($B278/$B$260)*$B$257,IF(Y$2&lt;=$A278+$B$260-1,$B278/$B$260,$B278-SUM($C278:X278))),0))</f>
        <v>0</v>
      </c>
      <c r="Z278" s="4">
        <f>IF($B$260=0,0,IF(Z$2&gt;=$A278,IF(Z$2=$A278,($B278/$B$260)*$B$257,IF(Z$2&lt;=$A278+$B$260-1,$B278/$B$260,$B278-SUM($C278:Y278))),0))</f>
        <v>0</v>
      </c>
      <c r="AA278" s="4">
        <f>IF($B$260=0,0,IF(AA$2&gt;=$A278,IF(AA$2=$A278,($B278/$B$260)*$B$257,IF(AA$2&lt;=$A278+$B$260-1,$B278/$B$260,$B278-SUM($C278:Z278))),0))</f>
        <v>0</v>
      </c>
      <c r="AB278" s="4">
        <f>IF($B$260=0,0,IF(AB$2&gt;=$A278,IF(AB$2=$A278,($B278/$B$260)*$B$257,IF(AB$2&lt;=$A278+$B$260-1,$B278/$B$260,$B278-SUM($C278:AA278))),0))</f>
        <v>0</v>
      </c>
      <c r="AC278" s="4">
        <f>IF($B$260=0,0,IF(AC$2&gt;=$A278,IF(AC$2=$A278,($B278/$B$260)*$B$257,IF(AC$2&lt;=$A278+$B$260-1,$B278/$B$260,$B278-SUM($C278:AB278))),0))</f>
        <v>0</v>
      </c>
      <c r="AD278" s="4">
        <f>IF($B$260=0,0,IF(AD$2&gt;=$A278,IF(AD$2=$A278,($B278/$B$260)*$B$257,IF(AD$2&lt;=$A278+$B$260-1,$B278/$B$260,$B278-SUM($C278:AC278))),0))</f>
        <v>0</v>
      </c>
      <c r="AE278" s="4">
        <f>IF($B$260=0,0,IF(AE$2&gt;=$A278,IF(AE$2=$A278,($B278/$B$260)*$B$257,IF(AE$2&lt;=$A278+$B$260-1,$B278/$B$260,$B278-SUM($C278:AD278))),0))</f>
        <v>0</v>
      </c>
      <c r="AF278" s="4">
        <f>IF($B$260=0,0,IF(AF$2&gt;=$A278,IF(AF$2=$A278,($B278/$B$260)*$B$257,IF(AF$2&lt;=$A278+$B$260-1,$B278/$B$260,$B278-SUM($C278:AE278))),0))</f>
        <v>0</v>
      </c>
      <c r="AG278" s="4">
        <f t="shared" si="206"/>
        <v>0</v>
      </c>
    </row>
    <row r="279" spans="1:33">
      <c r="A279" s="6">
        <f t="shared" si="207"/>
        <v>2040</v>
      </c>
      <c r="B279" s="4">
        <f t="shared" si="205"/>
        <v>0</v>
      </c>
      <c r="C279" s="4">
        <f>IF($B$260=0,0,IF(C$2&gt;=$A279,IF(C$2=$A279,($B279/$B$260)*$B$257,IF(C$2&lt;=$A279+$B$260-1,$B279/$B$260,$B279-SUM(B279:$C279))),0))</f>
        <v>0</v>
      </c>
      <c r="D279" s="4">
        <f>IF($B$260=0,0,IF(D$2&gt;=$A279,IF(D$2=$A279,($B279/$B$260)*$B$257,IF(D$2&lt;=$A279+$B$260-1,$B279/$B$260,$B279-SUM(C279:$C279))),0))</f>
        <v>0</v>
      </c>
      <c r="E279" s="4">
        <f>IF($B$260=0,0,IF(E$2&gt;=$A279,IF(E$2=$A279,($B279/$B$260)*$B$257,IF(E$2&lt;=$A279+$B$260-1,$B279/$B$260,$B279-SUM($C279:D279))),0))</f>
        <v>0</v>
      </c>
      <c r="F279" s="4">
        <f>IF($B$260=0,0,IF(F$2&gt;=$A279,IF(F$2=$A279,($B279/$B$260)*$B$257,IF(F$2&lt;=$A279+$B$260-1,$B279/$B$260,$B279-SUM($C279:E279))),0))</f>
        <v>0</v>
      </c>
      <c r="G279" s="4">
        <f>IF($B$260=0,0,IF(G$2&gt;=$A279,IF(G$2=$A279,($B279/$B$260)*$B$257,IF(G$2&lt;=$A279+$B$260-1,$B279/$B$260,$B279-SUM($C279:F279))),0))</f>
        <v>0</v>
      </c>
      <c r="H279" s="4">
        <f>IF($B$260=0,0,IF(H$2&gt;=$A279,IF(H$2=$A279,($B279/$B$260)*$B$257,IF(H$2&lt;=$A279+$B$260-1,$B279/$B$260,$B279-SUM($C279:G279))),0))</f>
        <v>0</v>
      </c>
      <c r="I279" s="4">
        <f>IF($B$260=0,0,IF(I$2&gt;=$A279,IF(I$2=$A279,($B279/$B$260)*$B$257,IF(I$2&lt;=$A279+$B$260-1,$B279/$B$260,$B279-SUM($C279:H279))),0))</f>
        <v>0</v>
      </c>
      <c r="J279" s="4">
        <f>IF($B$260=0,0,IF(J$2&gt;=$A279,IF(J$2=$A279,($B279/$B$260)*$B$257,IF(J$2&lt;=$A279+$B$260-1,$B279/$B$260,$B279-SUM($C279:I279))),0))</f>
        <v>0</v>
      </c>
      <c r="K279" s="4">
        <f>IF($B$260=0,0,IF(K$2&gt;=$A279,IF(K$2=$A279,($B279/$B$260)*$B$257,IF(K$2&lt;=$A279+$B$260-1,$B279/$B$260,$B279-SUM($C279:J279))),0))</f>
        <v>0</v>
      </c>
      <c r="L279" s="4">
        <f>IF($B$260=0,0,IF(L$2&gt;=$A279,IF(L$2=$A279,($B279/$B$260)*$B$257,IF(L$2&lt;=$A279+$B$260-1,$B279/$B$260,$B279-SUM($C279:K279))),0))</f>
        <v>0</v>
      </c>
      <c r="M279" s="4">
        <f>IF($B$260=0,0,IF(M$2&gt;=$A279,IF(M$2=$A279,($B279/$B$260)*$B$257,IF(M$2&lt;=$A279+$B$260-1,$B279/$B$260,$B279-SUM($C279:L279))),0))</f>
        <v>0</v>
      </c>
      <c r="N279" s="4">
        <f>IF($B$260=0,0,IF(N$2&gt;=$A279,IF(N$2=$A279,($B279/$B$260)*$B$257,IF(N$2&lt;=$A279+$B$260-1,$B279/$B$260,$B279-SUM($C279:M279))),0))</f>
        <v>0</v>
      </c>
      <c r="O279" s="4">
        <f>IF($B$260=0,0,IF(O$2&gt;=$A279,IF(O$2=$A279,($B279/$B$260)*$B$257,IF(O$2&lt;=$A279+$B$260-1,$B279/$B$260,$B279-SUM($C279:N279))),0))</f>
        <v>0</v>
      </c>
      <c r="P279" s="4">
        <f>IF($B$260=0,0,IF(P$2&gt;=$A279,IF(P$2=$A279,($B279/$B$260)*$B$257,IF(P$2&lt;=$A279+$B$260-1,$B279/$B$260,$B279-SUM($C279:O279))),0))</f>
        <v>0</v>
      </c>
      <c r="Q279" s="4">
        <f>IF($B$260=0,0,IF(Q$2&gt;=$A279,IF(Q$2=$A279,($B279/$B$260)*$B$257,IF(Q$2&lt;=$A279+$B$260-1,$B279/$B$260,$B279-SUM($C279:P279))),0))</f>
        <v>0</v>
      </c>
      <c r="R279" s="4">
        <f>IF($B$260=0,0,IF(R$2&gt;=$A279,IF(R$2=$A279,($B279/$B$260)*$B$257,IF(R$2&lt;=$A279+$B$260-1,$B279/$B$260,$B279-SUM($C279:Q279))),0))</f>
        <v>0</v>
      </c>
      <c r="S279" s="4">
        <f>IF($B$260=0,0,IF(S$2&gt;=$A279,IF(S$2=$A279,($B279/$B$260)*$B$257,IF(S$2&lt;=$A279+$B$260-1,$B279/$B$260,$B279-SUM($C279:R279))),0))</f>
        <v>0</v>
      </c>
      <c r="T279" s="4">
        <f>IF($B$260=0,0,IF(T$2&gt;=$A279,IF(T$2=$A279,($B279/$B$260)*$B$257,IF(T$2&lt;=$A279+$B$260-1,$B279/$B$260,$B279-SUM($C279:S279))),0))</f>
        <v>0</v>
      </c>
      <c r="U279" s="4">
        <f>IF($B$260=0,0,IF(U$2&gt;=$A279,IF(U$2=$A279,($B279/$B$260)*$B$257,IF(U$2&lt;=$A279+$B$260-1,$B279/$B$260,$B279-SUM($C279:T279))),0))</f>
        <v>0</v>
      </c>
      <c r="V279" s="4">
        <f>IF($B$260=0,0,IF(V$2&gt;=$A279,IF(V$2=$A279,($B279/$B$260)*$B$257,IF(V$2&lt;=$A279+$B$260-1,$B279/$B$260,$B279-SUM($C279:U279))),0))</f>
        <v>0</v>
      </c>
      <c r="W279" s="4">
        <f>IF($B$260=0,0,IF(W$2&gt;=$A279,IF(W$2=$A279,($B279/$B$260)*$B$257,IF(W$2&lt;=$A279+$B$260-1,$B279/$B$260,$B279-SUM($C279:V279))),0))</f>
        <v>0</v>
      </c>
      <c r="X279" s="4">
        <f>IF($B$260=0,0,IF(X$2&gt;=$A279,IF(X$2=$A279,($B279/$B$260)*$B$257,IF(X$2&lt;=$A279+$B$260-1,$B279/$B$260,$B279-SUM($C279:W279))),0))</f>
        <v>0</v>
      </c>
      <c r="Y279" s="4">
        <f>IF($B$260=0,0,IF(Y$2&gt;=$A279,IF(Y$2=$A279,($B279/$B$260)*$B$257,IF(Y$2&lt;=$A279+$B$260-1,$B279/$B$260,$B279-SUM($C279:X279))),0))</f>
        <v>0</v>
      </c>
      <c r="Z279" s="4">
        <f>IF($B$260=0,0,IF(Z$2&gt;=$A279,IF(Z$2=$A279,($B279/$B$260)*$B$257,IF(Z$2&lt;=$A279+$B$260-1,$B279/$B$260,$B279-SUM($C279:Y279))),0))</f>
        <v>0</v>
      </c>
      <c r="AA279" s="4">
        <f>IF($B$260=0,0,IF(AA$2&gt;=$A279,IF(AA$2=$A279,($B279/$B$260)*$B$257,IF(AA$2&lt;=$A279+$B$260-1,$B279/$B$260,$B279-SUM($C279:Z279))),0))</f>
        <v>0</v>
      </c>
      <c r="AB279" s="4">
        <f>IF($B$260=0,0,IF(AB$2&gt;=$A279,IF(AB$2=$A279,($B279/$B$260)*$B$257,IF(AB$2&lt;=$A279+$B$260-1,$B279/$B$260,$B279-SUM($C279:AA279))),0))</f>
        <v>0</v>
      </c>
      <c r="AC279" s="4">
        <f>IF($B$260=0,0,IF(AC$2&gt;=$A279,IF(AC$2=$A279,($B279/$B$260)*$B$257,IF(AC$2&lt;=$A279+$B$260-1,$B279/$B$260,$B279-SUM($C279:AB279))),0))</f>
        <v>0</v>
      </c>
      <c r="AD279" s="4">
        <f>IF($B$260=0,0,IF(AD$2&gt;=$A279,IF(AD$2=$A279,($B279/$B$260)*$B$257,IF(AD$2&lt;=$A279+$B$260-1,$B279/$B$260,$B279-SUM($C279:AC279))),0))</f>
        <v>0</v>
      </c>
      <c r="AE279" s="4">
        <f>IF($B$260=0,0,IF(AE$2&gt;=$A279,IF(AE$2=$A279,($B279/$B$260)*$B$257,IF(AE$2&lt;=$A279+$B$260-1,$B279/$B$260,$B279-SUM($C279:AD279))),0))</f>
        <v>0</v>
      </c>
      <c r="AF279" s="4">
        <f>IF($B$260=0,0,IF(AF$2&gt;=$A279,IF(AF$2=$A279,($B279/$B$260)*$B$257,IF(AF$2&lt;=$A279+$B$260-1,$B279/$B$260,$B279-SUM($C279:AE279))),0))</f>
        <v>0</v>
      </c>
      <c r="AG279" s="4">
        <f t="shared" si="206"/>
        <v>0</v>
      </c>
    </row>
    <row r="280" spans="1:33">
      <c r="A280" s="6">
        <f t="shared" si="207"/>
        <v>2041</v>
      </c>
      <c r="B280" s="4">
        <f t="shared" si="205"/>
        <v>0</v>
      </c>
      <c r="C280" s="4">
        <f>IF($B$260=0,0,IF(C$2&gt;=$A280,IF(C$2=$A280,($B280/$B$260)*$B$257,IF(C$2&lt;=$A280+$B$260-1,$B280/$B$260,$B280-SUM(B280:$C280))),0))</f>
        <v>0</v>
      </c>
      <c r="D280" s="4">
        <f>IF($B$260=0,0,IF(D$2&gt;=$A280,IF(D$2=$A280,($B280/$B$260)*$B$257,IF(D$2&lt;=$A280+$B$260-1,$B280/$B$260,$B280-SUM(C280:$C280))),0))</f>
        <v>0</v>
      </c>
      <c r="E280" s="4">
        <f>IF($B$260=0,0,IF(E$2&gt;=$A280,IF(E$2=$A280,($B280/$B$260)*$B$257,IF(E$2&lt;=$A280+$B$260-1,$B280/$B$260,$B280-SUM($C280:D280))),0))</f>
        <v>0</v>
      </c>
      <c r="F280" s="4">
        <f>IF($B$260=0,0,IF(F$2&gt;=$A280,IF(F$2=$A280,($B280/$B$260)*$B$257,IF(F$2&lt;=$A280+$B$260-1,$B280/$B$260,$B280-SUM($C280:E280))),0))</f>
        <v>0</v>
      </c>
      <c r="G280" s="4">
        <f>IF($B$260=0,0,IF(G$2&gt;=$A280,IF(G$2=$A280,($B280/$B$260)*$B$257,IF(G$2&lt;=$A280+$B$260-1,$B280/$B$260,$B280-SUM($C280:F280))),0))</f>
        <v>0</v>
      </c>
      <c r="H280" s="4">
        <f>IF($B$260=0,0,IF(H$2&gt;=$A280,IF(H$2=$A280,($B280/$B$260)*$B$257,IF(H$2&lt;=$A280+$B$260-1,$B280/$B$260,$B280-SUM($C280:G280))),0))</f>
        <v>0</v>
      </c>
      <c r="I280" s="4">
        <f>IF($B$260=0,0,IF(I$2&gt;=$A280,IF(I$2=$A280,($B280/$B$260)*$B$257,IF(I$2&lt;=$A280+$B$260-1,$B280/$B$260,$B280-SUM($C280:H280))),0))</f>
        <v>0</v>
      </c>
      <c r="J280" s="4">
        <f>IF($B$260=0,0,IF(J$2&gt;=$A280,IF(J$2=$A280,($B280/$B$260)*$B$257,IF(J$2&lt;=$A280+$B$260-1,$B280/$B$260,$B280-SUM($C280:I280))),0))</f>
        <v>0</v>
      </c>
      <c r="K280" s="4">
        <f>IF($B$260=0,0,IF(K$2&gt;=$A280,IF(K$2=$A280,($B280/$B$260)*$B$257,IF(K$2&lt;=$A280+$B$260-1,$B280/$B$260,$B280-SUM($C280:J280))),0))</f>
        <v>0</v>
      </c>
      <c r="L280" s="4">
        <f>IF($B$260=0,0,IF(L$2&gt;=$A280,IF(L$2=$A280,($B280/$B$260)*$B$257,IF(L$2&lt;=$A280+$B$260-1,$B280/$B$260,$B280-SUM($C280:K280))),0))</f>
        <v>0</v>
      </c>
      <c r="M280" s="4">
        <f>IF($B$260=0,0,IF(M$2&gt;=$A280,IF(M$2=$A280,($B280/$B$260)*$B$257,IF(M$2&lt;=$A280+$B$260-1,$B280/$B$260,$B280-SUM($C280:L280))),0))</f>
        <v>0</v>
      </c>
      <c r="N280" s="4">
        <f>IF($B$260=0,0,IF(N$2&gt;=$A280,IF(N$2=$A280,($B280/$B$260)*$B$257,IF(N$2&lt;=$A280+$B$260-1,$B280/$B$260,$B280-SUM($C280:M280))),0))</f>
        <v>0</v>
      </c>
      <c r="O280" s="4">
        <f>IF($B$260=0,0,IF(O$2&gt;=$A280,IF(O$2=$A280,($B280/$B$260)*$B$257,IF(O$2&lt;=$A280+$B$260-1,$B280/$B$260,$B280-SUM($C280:N280))),0))</f>
        <v>0</v>
      </c>
      <c r="P280" s="4">
        <f>IF($B$260=0,0,IF(P$2&gt;=$A280,IF(P$2=$A280,($B280/$B$260)*$B$257,IF(P$2&lt;=$A280+$B$260-1,$B280/$B$260,$B280-SUM($C280:O280))),0))</f>
        <v>0</v>
      </c>
      <c r="Q280" s="4">
        <f>IF($B$260=0,0,IF(Q$2&gt;=$A280,IF(Q$2=$A280,($B280/$B$260)*$B$257,IF(Q$2&lt;=$A280+$B$260-1,$B280/$B$260,$B280-SUM($C280:P280))),0))</f>
        <v>0</v>
      </c>
      <c r="R280" s="4">
        <f>IF($B$260=0,0,IF(R$2&gt;=$A280,IF(R$2=$A280,($B280/$B$260)*$B$257,IF(R$2&lt;=$A280+$B$260-1,$B280/$B$260,$B280-SUM($C280:Q280))),0))</f>
        <v>0</v>
      </c>
      <c r="S280" s="4">
        <f>IF($B$260=0,0,IF(S$2&gt;=$A280,IF(S$2=$A280,($B280/$B$260)*$B$257,IF(S$2&lt;=$A280+$B$260-1,$B280/$B$260,$B280-SUM($C280:R280))),0))</f>
        <v>0</v>
      </c>
      <c r="T280" s="4">
        <f>IF($B$260=0,0,IF(T$2&gt;=$A280,IF(T$2=$A280,($B280/$B$260)*$B$257,IF(T$2&lt;=$A280+$B$260-1,$B280/$B$260,$B280-SUM($C280:S280))),0))</f>
        <v>0</v>
      </c>
      <c r="U280" s="4">
        <f>IF($B$260=0,0,IF(U$2&gt;=$A280,IF(U$2=$A280,($B280/$B$260)*$B$257,IF(U$2&lt;=$A280+$B$260-1,$B280/$B$260,$B280-SUM($C280:T280))),0))</f>
        <v>0</v>
      </c>
      <c r="V280" s="4">
        <f>IF($B$260=0,0,IF(V$2&gt;=$A280,IF(V$2=$A280,($B280/$B$260)*$B$257,IF(V$2&lt;=$A280+$B$260-1,$B280/$B$260,$B280-SUM($C280:U280))),0))</f>
        <v>0</v>
      </c>
      <c r="W280" s="4">
        <f>IF($B$260=0,0,IF(W$2&gt;=$A280,IF(W$2=$A280,($B280/$B$260)*$B$257,IF(W$2&lt;=$A280+$B$260-1,$B280/$B$260,$B280-SUM($C280:V280))),0))</f>
        <v>0</v>
      </c>
      <c r="X280" s="4">
        <f>IF($B$260=0,0,IF(X$2&gt;=$A280,IF(X$2=$A280,($B280/$B$260)*$B$257,IF(X$2&lt;=$A280+$B$260-1,$B280/$B$260,$B280-SUM($C280:W280))),0))</f>
        <v>0</v>
      </c>
      <c r="Y280" s="4">
        <f>IF($B$260=0,0,IF(Y$2&gt;=$A280,IF(Y$2=$A280,($B280/$B$260)*$B$257,IF(Y$2&lt;=$A280+$B$260-1,$B280/$B$260,$B280-SUM($C280:X280))),0))</f>
        <v>0</v>
      </c>
      <c r="Z280" s="4">
        <f>IF($B$260=0,0,IF(Z$2&gt;=$A280,IF(Z$2=$A280,($B280/$B$260)*$B$257,IF(Z$2&lt;=$A280+$B$260-1,$B280/$B$260,$B280-SUM($C280:Y280))),0))</f>
        <v>0</v>
      </c>
      <c r="AA280" s="4">
        <f>IF($B$260=0,0,IF(AA$2&gt;=$A280,IF(AA$2=$A280,($B280/$B$260)*$B$257,IF(AA$2&lt;=$A280+$B$260-1,$B280/$B$260,$B280-SUM($C280:Z280))),0))</f>
        <v>0</v>
      </c>
      <c r="AB280" s="4">
        <f>IF($B$260=0,0,IF(AB$2&gt;=$A280,IF(AB$2=$A280,($B280/$B$260)*$B$257,IF(AB$2&lt;=$A280+$B$260-1,$B280/$B$260,$B280-SUM($C280:AA280))),0))</f>
        <v>0</v>
      </c>
      <c r="AC280" s="4">
        <f>IF($B$260=0,0,IF(AC$2&gt;=$A280,IF(AC$2=$A280,($B280/$B$260)*$B$257,IF(AC$2&lt;=$A280+$B$260-1,$B280/$B$260,$B280-SUM($C280:AB280))),0))</f>
        <v>0</v>
      </c>
      <c r="AD280" s="4">
        <f>IF($B$260=0,0,IF(AD$2&gt;=$A280,IF(AD$2=$A280,($B280/$B$260)*$B$257,IF(AD$2&lt;=$A280+$B$260-1,$B280/$B$260,$B280-SUM($C280:AC280))),0))</f>
        <v>0</v>
      </c>
      <c r="AE280" s="4">
        <f>IF($B$260=0,0,IF(AE$2&gt;=$A280,IF(AE$2=$A280,($B280/$B$260)*$B$257,IF(AE$2&lt;=$A280+$B$260-1,$B280/$B$260,$B280-SUM($C280:AD280))),0))</f>
        <v>0</v>
      </c>
      <c r="AF280" s="4">
        <f>IF($B$260=0,0,IF(AF$2&gt;=$A280,IF(AF$2=$A280,($B280/$B$260)*$B$257,IF(AF$2&lt;=$A280+$B$260-1,$B280/$B$260,$B280-SUM($C280:AE280))),0))</f>
        <v>0</v>
      </c>
      <c r="AG280" s="4">
        <f t="shared" si="206"/>
        <v>0</v>
      </c>
    </row>
    <row r="281" spans="1:33">
      <c r="A281" s="6">
        <f t="shared" si="207"/>
        <v>2042</v>
      </c>
      <c r="B281" s="4">
        <f t="shared" si="205"/>
        <v>0</v>
      </c>
      <c r="C281" s="4">
        <f>IF($B$260=0,0,IF(C$2&gt;=$A281,IF(C$2=$A281,($B281/$B$260)*$B$257,IF(C$2&lt;=$A281+$B$260-1,$B281/$B$260,$B281-SUM(B281:$C281))),0))</f>
        <v>0</v>
      </c>
      <c r="D281" s="4">
        <f>IF($B$260=0,0,IF(D$2&gt;=$A281,IF(D$2=$A281,($B281/$B$260)*$B$257,IF(D$2&lt;=$A281+$B$260-1,$B281/$B$260,$B281-SUM(C281:$C281))),0))</f>
        <v>0</v>
      </c>
      <c r="E281" s="4">
        <f>IF($B$260=0,0,IF(E$2&gt;=$A281,IF(E$2=$A281,($B281/$B$260)*$B$257,IF(E$2&lt;=$A281+$B$260-1,$B281/$B$260,$B281-SUM($C281:D281))),0))</f>
        <v>0</v>
      </c>
      <c r="F281" s="4">
        <f>IF($B$260=0,0,IF(F$2&gt;=$A281,IF(F$2=$A281,($B281/$B$260)*$B$257,IF(F$2&lt;=$A281+$B$260-1,$B281/$B$260,$B281-SUM($C281:E281))),0))</f>
        <v>0</v>
      </c>
      <c r="G281" s="4">
        <f>IF($B$260=0,0,IF(G$2&gt;=$A281,IF(G$2=$A281,($B281/$B$260)*$B$257,IF(G$2&lt;=$A281+$B$260-1,$B281/$B$260,$B281-SUM($C281:F281))),0))</f>
        <v>0</v>
      </c>
      <c r="H281" s="4">
        <f>IF($B$260=0,0,IF(H$2&gt;=$A281,IF(H$2=$A281,($B281/$B$260)*$B$257,IF(H$2&lt;=$A281+$B$260-1,$B281/$B$260,$B281-SUM($C281:G281))),0))</f>
        <v>0</v>
      </c>
      <c r="I281" s="4">
        <f>IF($B$260=0,0,IF(I$2&gt;=$A281,IF(I$2=$A281,($B281/$B$260)*$B$257,IF(I$2&lt;=$A281+$B$260-1,$B281/$B$260,$B281-SUM($C281:H281))),0))</f>
        <v>0</v>
      </c>
      <c r="J281" s="4">
        <f>IF($B$260=0,0,IF(J$2&gt;=$A281,IF(J$2=$A281,($B281/$B$260)*$B$257,IF(J$2&lt;=$A281+$B$260-1,$B281/$B$260,$B281-SUM($C281:I281))),0))</f>
        <v>0</v>
      </c>
      <c r="K281" s="4">
        <f>IF($B$260=0,0,IF(K$2&gt;=$A281,IF(K$2=$A281,($B281/$B$260)*$B$257,IF(K$2&lt;=$A281+$B$260-1,$B281/$B$260,$B281-SUM($C281:J281))),0))</f>
        <v>0</v>
      </c>
      <c r="L281" s="4">
        <f>IF($B$260=0,0,IF(L$2&gt;=$A281,IF(L$2=$A281,($B281/$B$260)*$B$257,IF(L$2&lt;=$A281+$B$260-1,$B281/$B$260,$B281-SUM($C281:K281))),0))</f>
        <v>0</v>
      </c>
      <c r="M281" s="4">
        <f>IF($B$260=0,0,IF(M$2&gt;=$A281,IF(M$2=$A281,($B281/$B$260)*$B$257,IF(M$2&lt;=$A281+$B$260-1,$B281/$B$260,$B281-SUM($C281:L281))),0))</f>
        <v>0</v>
      </c>
      <c r="N281" s="4">
        <f>IF($B$260=0,0,IF(N$2&gt;=$A281,IF(N$2=$A281,($B281/$B$260)*$B$257,IF(N$2&lt;=$A281+$B$260-1,$B281/$B$260,$B281-SUM($C281:M281))),0))</f>
        <v>0</v>
      </c>
      <c r="O281" s="4">
        <f>IF($B$260=0,0,IF(O$2&gt;=$A281,IF(O$2=$A281,($B281/$B$260)*$B$257,IF(O$2&lt;=$A281+$B$260-1,$B281/$B$260,$B281-SUM($C281:N281))),0))</f>
        <v>0</v>
      </c>
      <c r="P281" s="4">
        <f>IF($B$260=0,0,IF(P$2&gt;=$A281,IF(P$2=$A281,($B281/$B$260)*$B$257,IF(P$2&lt;=$A281+$B$260-1,$B281/$B$260,$B281-SUM($C281:O281))),0))</f>
        <v>0</v>
      </c>
      <c r="Q281" s="4">
        <f>IF($B$260=0,0,IF(Q$2&gt;=$A281,IF(Q$2=$A281,($B281/$B$260)*$B$257,IF(Q$2&lt;=$A281+$B$260-1,$B281/$B$260,$B281-SUM($C281:P281))),0))</f>
        <v>0</v>
      </c>
      <c r="R281" s="4">
        <f>IF($B$260=0,0,IF(R$2&gt;=$A281,IF(R$2=$A281,($B281/$B$260)*$B$257,IF(R$2&lt;=$A281+$B$260-1,$B281/$B$260,$B281-SUM($C281:Q281))),0))</f>
        <v>0</v>
      </c>
      <c r="S281" s="4">
        <f>IF($B$260=0,0,IF(S$2&gt;=$A281,IF(S$2=$A281,($B281/$B$260)*$B$257,IF(S$2&lt;=$A281+$B$260-1,$B281/$B$260,$B281-SUM($C281:R281))),0))</f>
        <v>0</v>
      </c>
      <c r="T281" s="4">
        <f>IF($B$260=0,0,IF(T$2&gt;=$A281,IF(T$2=$A281,($B281/$B$260)*$B$257,IF(T$2&lt;=$A281+$B$260-1,$B281/$B$260,$B281-SUM($C281:S281))),0))</f>
        <v>0</v>
      </c>
      <c r="U281" s="4">
        <f>IF($B$260=0,0,IF(U$2&gt;=$A281,IF(U$2=$A281,($B281/$B$260)*$B$257,IF(U$2&lt;=$A281+$B$260-1,$B281/$B$260,$B281-SUM($C281:T281))),0))</f>
        <v>0</v>
      </c>
      <c r="V281" s="4">
        <f>IF($B$260=0,0,IF(V$2&gt;=$A281,IF(V$2=$A281,($B281/$B$260)*$B$257,IF(V$2&lt;=$A281+$B$260-1,$B281/$B$260,$B281-SUM($C281:U281))),0))</f>
        <v>0</v>
      </c>
      <c r="W281" s="4">
        <f>IF($B$260=0,0,IF(W$2&gt;=$A281,IF(W$2=$A281,($B281/$B$260)*$B$257,IF(W$2&lt;=$A281+$B$260-1,$B281/$B$260,$B281-SUM($C281:V281))),0))</f>
        <v>0</v>
      </c>
      <c r="X281" s="4">
        <f>IF($B$260=0,0,IF(X$2&gt;=$A281,IF(X$2=$A281,($B281/$B$260)*$B$257,IF(X$2&lt;=$A281+$B$260-1,$B281/$B$260,$B281-SUM($C281:W281))),0))</f>
        <v>0</v>
      </c>
      <c r="Y281" s="4">
        <f>IF($B$260=0,0,IF(Y$2&gt;=$A281,IF(Y$2=$A281,($B281/$B$260)*$B$257,IF(Y$2&lt;=$A281+$B$260-1,$B281/$B$260,$B281-SUM($C281:X281))),0))</f>
        <v>0</v>
      </c>
      <c r="Z281" s="4">
        <f>IF($B$260=0,0,IF(Z$2&gt;=$A281,IF(Z$2=$A281,($B281/$B$260)*$B$257,IF(Z$2&lt;=$A281+$B$260-1,$B281/$B$260,$B281-SUM($C281:Y281))),0))</f>
        <v>0</v>
      </c>
      <c r="AA281" s="4">
        <f>IF($B$260=0,0,IF(AA$2&gt;=$A281,IF(AA$2=$A281,($B281/$B$260)*$B$257,IF(AA$2&lt;=$A281+$B$260-1,$B281/$B$260,$B281-SUM($C281:Z281))),0))</f>
        <v>0</v>
      </c>
      <c r="AB281" s="4">
        <f>IF($B$260=0,0,IF(AB$2&gt;=$A281,IF(AB$2=$A281,($B281/$B$260)*$B$257,IF(AB$2&lt;=$A281+$B$260-1,$B281/$B$260,$B281-SUM($C281:AA281))),0))</f>
        <v>0</v>
      </c>
      <c r="AC281" s="4">
        <f>IF($B$260=0,0,IF(AC$2&gt;=$A281,IF(AC$2=$A281,($B281/$B$260)*$B$257,IF(AC$2&lt;=$A281+$B$260-1,$B281/$B$260,$B281-SUM($C281:AB281))),0))</f>
        <v>0</v>
      </c>
      <c r="AD281" s="4">
        <f>IF($B$260=0,0,IF(AD$2&gt;=$A281,IF(AD$2=$A281,($B281/$B$260)*$B$257,IF(AD$2&lt;=$A281+$B$260-1,$B281/$B$260,$B281-SUM($C281:AC281))),0))</f>
        <v>0</v>
      </c>
      <c r="AE281" s="4">
        <f>IF($B$260=0,0,IF(AE$2&gt;=$A281,IF(AE$2=$A281,($B281/$B$260)*$B$257,IF(AE$2&lt;=$A281+$B$260-1,$B281/$B$260,$B281-SUM($C281:AD281))),0))</f>
        <v>0</v>
      </c>
      <c r="AF281" s="4">
        <f>IF($B$260=0,0,IF(AF$2&gt;=$A281,IF(AF$2=$A281,($B281/$B$260)*$B$257,IF(AF$2&lt;=$A281+$B$260-1,$B281/$B$260,$B281-SUM($C281:AE281))),0))</f>
        <v>0</v>
      </c>
      <c r="AG281" s="4">
        <f t="shared" si="206"/>
        <v>0</v>
      </c>
    </row>
    <row r="282" spans="1:33">
      <c r="A282" s="6">
        <f t="shared" si="207"/>
        <v>2043</v>
      </c>
      <c r="B282" s="4">
        <f t="shared" si="205"/>
        <v>0</v>
      </c>
      <c r="C282" s="4">
        <f>IF($B$260=0,0,IF(C$2&gt;=$A282,IF(C$2=$A282,($B282/$B$260)*$B$257,IF(C$2&lt;=$A282+$B$260-1,$B282/$B$260,$B282-SUM(B282:$C282))),0))</f>
        <v>0</v>
      </c>
      <c r="D282" s="4">
        <f>IF($B$260=0,0,IF(D$2&gt;=$A282,IF(D$2=$A282,($B282/$B$260)*$B$257,IF(D$2&lt;=$A282+$B$260-1,$B282/$B$260,$B282-SUM(C282:$C282))),0))</f>
        <v>0</v>
      </c>
      <c r="E282" s="4">
        <f>IF($B$260=0,0,IF(E$2&gt;=$A282,IF(E$2=$A282,($B282/$B$260)*$B$257,IF(E$2&lt;=$A282+$B$260-1,$B282/$B$260,$B282-SUM($C282:D282))),0))</f>
        <v>0</v>
      </c>
      <c r="F282" s="4">
        <f>IF($B$260=0,0,IF(F$2&gt;=$A282,IF(F$2=$A282,($B282/$B$260)*$B$257,IF(F$2&lt;=$A282+$B$260-1,$B282/$B$260,$B282-SUM($C282:E282))),0))</f>
        <v>0</v>
      </c>
      <c r="G282" s="4">
        <f>IF($B$260=0,0,IF(G$2&gt;=$A282,IF(G$2=$A282,($B282/$B$260)*$B$257,IF(G$2&lt;=$A282+$B$260-1,$B282/$B$260,$B282-SUM($C282:F282))),0))</f>
        <v>0</v>
      </c>
      <c r="H282" s="4">
        <f>IF($B$260=0,0,IF(H$2&gt;=$A282,IF(H$2=$A282,($B282/$B$260)*$B$257,IF(H$2&lt;=$A282+$B$260-1,$B282/$B$260,$B282-SUM($C282:G282))),0))</f>
        <v>0</v>
      </c>
      <c r="I282" s="4">
        <f>IF($B$260=0,0,IF(I$2&gt;=$A282,IF(I$2=$A282,($B282/$B$260)*$B$257,IF(I$2&lt;=$A282+$B$260-1,$B282/$B$260,$B282-SUM($C282:H282))),0))</f>
        <v>0</v>
      </c>
      <c r="J282" s="4">
        <f>IF($B$260=0,0,IF(J$2&gt;=$A282,IF(J$2=$A282,($B282/$B$260)*$B$257,IF(J$2&lt;=$A282+$B$260-1,$B282/$B$260,$B282-SUM($C282:I282))),0))</f>
        <v>0</v>
      </c>
      <c r="K282" s="4">
        <f>IF($B$260=0,0,IF(K$2&gt;=$A282,IF(K$2=$A282,($B282/$B$260)*$B$257,IF(K$2&lt;=$A282+$B$260-1,$B282/$B$260,$B282-SUM($C282:J282))),0))</f>
        <v>0</v>
      </c>
      <c r="L282" s="4">
        <f>IF($B$260=0,0,IF(L$2&gt;=$A282,IF(L$2=$A282,($B282/$B$260)*$B$257,IF(L$2&lt;=$A282+$B$260-1,$B282/$B$260,$B282-SUM($C282:K282))),0))</f>
        <v>0</v>
      </c>
      <c r="M282" s="4">
        <f>IF($B$260=0,0,IF(M$2&gt;=$A282,IF(M$2=$A282,($B282/$B$260)*$B$257,IF(M$2&lt;=$A282+$B$260-1,$B282/$B$260,$B282-SUM($C282:L282))),0))</f>
        <v>0</v>
      </c>
      <c r="N282" s="4">
        <f>IF($B$260=0,0,IF(N$2&gt;=$A282,IF(N$2=$A282,($B282/$B$260)*$B$257,IF(N$2&lt;=$A282+$B$260-1,$B282/$B$260,$B282-SUM($C282:M282))),0))</f>
        <v>0</v>
      </c>
      <c r="O282" s="4">
        <f>IF($B$260=0,0,IF(O$2&gt;=$A282,IF(O$2=$A282,($B282/$B$260)*$B$257,IF(O$2&lt;=$A282+$B$260-1,$B282/$B$260,$B282-SUM($C282:N282))),0))</f>
        <v>0</v>
      </c>
      <c r="P282" s="4">
        <f>IF($B$260=0,0,IF(P$2&gt;=$A282,IF(P$2=$A282,($B282/$B$260)*$B$257,IF(P$2&lt;=$A282+$B$260-1,$B282/$B$260,$B282-SUM($C282:O282))),0))</f>
        <v>0</v>
      </c>
      <c r="Q282" s="4">
        <f>IF($B$260=0,0,IF(Q$2&gt;=$A282,IF(Q$2=$A282,($B282/$B$260)*$B$257,IF(Q$2&lt;=$A282+$B$260-1,$B282/$B$260,$B282-SUM($C282:P282))),0))</f>
        <v>0</v>
      </c>
      <c r="R282" s="4">
        <f>IF($B$260=0,0,IF(R$2&gt;=$A282,IF(R$2=$A282,($B282/$B$260)*$B$257,IF(R$2&lt;=$A282+$B$260-1,$B282/$B$260,$B282-SUM($C282:Q282))),0))</f>
        <v>0</v>
      </c>
      <c r="S282" s="4">
        <f>IF($B$260=0,0,IF(S$2&gt;=$A282,IF(S$2=$A282,($B282/$B$260)*$B$257,IF(S$2&lt;=$A282+$B$260-1,$B282/$B$260,$B282-SUM($C282:R282))),0))</f>
        <v>0</v>
      </c>
      <c r="T282" s="4">
        <f>IF($B$260=0,0,IF(T$2&gt;=$A282,IF(T$2=$A282,($B282/$B$260)*$B$257,IF(T$2&lt;=$A282+$B$260-1,$B282/$B$260,$B282-SUM($C282:S282))),0))</f>
        <v>0</v>
      </c>
      <c r="U282" s="4">
        <f>IF($B$260=0,0,IF(U$2&gt;=$A282,IF(U$2=$A282,($B282/$B$260)*$B$257,IF(U$2&lt;=$A282+$B$260-1,$B282/$B$260,$B282-SUM($C282:T282))),0))</f>
        <v>0</v>
      </c>
      <c r="V282" s="4">
        <f>IF($B$260=0,0,IF(V$2&gt;=$A282,IF(V$2=$A282,($B282/$B$260)*$B$257,IF(V$2&lt;=$A282+$B$260-1,$B282/$B$260,$B282-SUM($C282:U282))),0))</f>
        <v>0</v>
      </c>
      <c r="W282" s="4">
        <f>IF($B$260=0,0,IF(W$2&gt;=$A282,IF(W$2=$A282,($B282/$B$260)*$B$257,IF(W$2&lt;=$A282+$B$260-1,$B282/$B$260,$B282-SUM($C282:V282))),0))</f>
        <v>0</v>
      </c>
      <c r="X282" s="4">
        <f>IF($B$260=0,0,IF(X$2&gt;=$A282,IF(X$2=$A282,($B282/$B$260)*$B$257,IF(X$2&lt;=$A282+$B$260-1,$B282/$B$260,$B282-SUM($C282:W282))),0))</f>
        <v>0</v>
      </c>
      <c r="Y282" s="4">
        <f>IF($B$260=0,0,IF(Y$2&gt;=$A282,IF(Y$2=$A282,($B282/$B$260)*$B$257,IF(Y$2&lt;=$A282+$B$260-1,$B282/$B$260,$B282-SUM($C282:X282))),0))</f>
        <v>0</v>
      </c>
      <c r="Z282" s="4">
        <f>IF($B$260=0,0,IF(Z$2&gt;=$A282,IF(Z$2=$A282,($B282/$B$260)*$B$257,IF(Z$2&lt;=$A282+$B$260-1,$B282/$B$260,$B282-SUM($C282:Y282))),0))</f>
        <v>0</v>
      </c>
      <c r="AA282" s="4">
        <f>IF($B$260=0,0,IF(AA$2&gt;=$A282,IF(AA$2=$A282,($B282/$B$260)*$B$257,IF(AA$2&lt;=$A282+$B$260-1,$B282/$B$260,$B282-SUM($C282:Z282))),0))</f>
        <v>0</v>
      </c>
      <c r="AB282" s="4">
        <f>IF($B$260=0,0,IF(AB$2&gt;=$A282,IF(AB$2=$A282,($B282/$B$260)*$B$257,IF(AB$2&lt;=$A282+$B$260-1,$B282/$B$260,$B282-SUM($C282:AA282))),0))</f>
        <v>0</v>
      </c>
      <c r="AC282" s="4">
        <f>IF($B$260=0,0,IF(AC$2&gt;=$A282,IF(AC$2=$A282,($B282/$B$260)*$B$257,IF(AC$2&lt;=$A282+$B$260-1,$B282/$B$260,$B282-SUM($C282:AB282))),0))</f>
        <v>0</v>
      </c>
      <c r="AD282" s="4">
        <f>IF($B$260=0,0,IF(AD$2&gt;=$A282,IF(AD$2=$A282,($B282/$B$260)*$B$257,IF(AD$2&lt;=$A282+$B$260-1,$B282/$B$260,$B282-SUM($C282:AC282))),0))</f>
        <v>0</v>
      </c>
      <c r="AE282" s="4">
        <f>IF($B$260=0,0,IF(AE$2&gt;=$A282,IF(AE$2=$A282,($B282/$B$260)*$B$257,IF(AE$2&lt;=$A282+$B$260-1,$B282/$B$260,$B282-SUM($C282:AD282))),0))</f>
        <v>0</v>
      </c>
      <c r="AF282" s="4">
        <f>IF($B$260=0,0,IF(AF$2&gt;=$A282,IF(AF$2=$A282,($B282/$B$260)*$B$257,IF(AF$2&lt;=$A282+$B$260-1,$B282/$B$260,$B282-SUM($C282:AE282))),0))</f>
        <v>0</v>
      </c>
      <c r="AG282" s="4">
        <f t="shared" si="206"/>
        <v>0</v>
      </c>
    </row>
    <row r="283" spans="1:33">
      <c r="A283" s="6">
        <f t="shared" si="207"/>
        <v>2044</v>
      </c>
      <c r="B283" s="4">
        <f t="shared" si="205"/>
        <v>0</v>
      </c>
      <c r="C283" s="4">
        <f>IF($B$260=0,0,IF(C$2&gt;=$A283,IF(C$2=$A283,($B283/$B$260)*$B$257,IF(C$2&lt;=$A283+$B$260-1,$B283/$B$260,$B283-SUM(B283:$C283))),0))</f>
        <v>0</v>
      </c>
      <c r="D283" s="4">
        <f>IF($B$260=0,0,IF(D$2&gt;=$A283,IF(D$2=$A283,($B283/$B$260)*$B$257,IF(D$2&lt;=$A283+$B$260-1,$B283/$B$260,$B283-SUM(C283:$C283))),0))</f>
        <v>0</v>
      </c>
      <c r="E283" s="4">
        <f>IF($B$260=0,0,IF(E$2&gt;=$A283,IF(E$2=$A283,($B283/$B$260)*$B$257,IF(E$2&lt;=$A283+$B$260-1,$B283/$B$260,$B283-SUM($C283:D283))),0))</f>
        <v>0</v>
      </c>
      <c r="F283" s="4">
        <f>IF($B$260=0,0,IF(F$2&gt;=$A283,IF(F$2=$A283,($B283/$B$260)*$B$257,IF(F$2&lt;=$A283+$B$260-1,$B283/$B$260,$B283-SUM($C283:E283))),0))</f>
        <v>0</v>
      </c>
      <c r="G283" s="4">
        <f>IF($B$260=0,0,IF(G$2&gt;=$A283,IF(G$2=$A283,($B283/$B$260)*$B$257,IF(G$2&lt;=$A283+$B$260-1,$B283/$B$260,$B283-SUM($C283:F283))),0))</f>
        <v>0</v>
      </c>
      <c r="H283" s="4">
        <f>IF($B$260=0,0,IF(H$2&gt;=$A283,IF(H$2=$A283,($B283/$B$260)*$B$257,IF(H$2&lt;=$A283+$B$260-1,$B283/$B$260,$B283-SUM($C283:G283))),0))</f>
        <v>0</v>
      </c>
      <c r="I283" s="4">
        <f>IF($B$260=0,0,IF(I$2&gt;=$A283,IF(I$2=$A283,($B283/$B$260)*$B$257,IF(I$2&lt;=$A283+$B$260-1,$B283/$B$260,$B283-SUM($C283:H283))),0))</f>
        <v>0</v>
      </c>
      <c r="J283" s="4">
        <f>IF($B$260=0,0,IF(J$2&gt;=$A283,IF(J$2=$A283,($B283/$B$260)*$B$257,IF(J$2&lt;=$A283+$B$260-1,$B283/$B$260,$B283-SUM($C283:I283))),0))</f>
        <v>0</v>
      </c>
      <c r="K283" s="4">
        <f>IF($B$260=0,0,IF(K$2&gt;=$A283,IF(K$2=$A283,($B283/$B$260)*$B$257,IF(K$2&lt;=$A283+$B$260-1,$B283/$B$260,$B283-SUM($C283:J283))),0))</f>
        <v>0</v>
      </c>
      <c r="L283" s="4">
        <f>IF($B$260=0,0,IF(L$2&gt;=$A283,IF(L$2=$A283,($B283/$B$260)*$B$257,IF(L$2&lt;=$A283+$B$260-1,$B283/$B$260,$B283-SUM($C283:K283))),0))</f>
        <v>0</v>
      </c>
      <c r="M283" s="4">
        <f>IF($B$260=0,0,IF(M$2&gt;=$A283,IF(M$2=$A283,($B283/$B$260)*$B$257,IF(M$2&lt;=$A283+$B$260-1,$B283/$B$260,$B283-SUM($C283:L283))),0))</f>
        <v>0</v>
      </c>
      <c r="N283" s="4">
        <f>IF($B$260=0,0,IF(N$2&gt;=$A283,IF(N$2=$A283,($B283/$B$260)*$B$257,IF(N$2&lt;=$A283+$B$260-1,$B283/$B$260,$B283-SUM($C283:M283))),0))</f>
        <v>0</v>
      </c>
      <c r="O283" s="4">
        <f>IF($B$260=0,0,IF(O$2&gt;=$A283,IF(O$2=$A283,($B283/$B$260)*$B$257,IF(O$2&lt;=$A283+$B$260-1,$B283/$B$260,$B283-SUM($C283:N283))),0))</f>
        <v>0</v>
      </c>
      <c r="P283" s="4">
        <f>IF($B$260=0,0,IF(P$2&gt;=$A283,IF(P$2=$A283,($B283/$B$260)*$B$257,IF(P$2&lt;=$A283+$B$260-1,$B283/$B$260,$B283-SUM($C283:O283))),0))</f>
        <v>0</v>
      </c>
      <c r="Q283" s="4">
        <f>IF($B$260=0,0,IF(Q$2&gt;=$A283,IF(Q$2=$A283,($B283/$B$260)*$B$257,IF(Q$2&lt;=$A283+$B$260-1,$B283/$B$260,$B283-SUM($C283:P283))),0))</f>
        <v>0</v>
      </c>
      <c r="R283" s="4">
        <f>IF($B$260=0,0,IF(R$2&gt;=$A283,IF(R$2=$A283,($B283/$B$260)*$B$257,IF(R$2&lt;=$A283+$B$260-1,$B283/$B$260,$B283-SUM($C283:Q283))),0))</f>
        <v>0</v>
      </c>
      <c r="S283" s="4">
        <f>IF($B$260=0,0,IF(S$2&gt;=$A283,IF(S$2=$A283,($B283/$B$260)*$B$257,IF(S$2&lt;=$A283+$B$260-1,$B283/$B$260,$B283-SUM($C283:R283))),0))</f>
        <v>0</v>
      </c>
      <c r="T283" s="4">
        <f>IF($B$260=0,0,IF(T$2&gt;=$A283,IF(T$2=$A283,($B283/$B$260)*$B$257,IF(T$2&lt;=$A283+$B$260-1,$B283/$B$260,$B283-SUM($C283:S283))),0))</f>
        <v>0</v>
      </c>
      <c r="U283" s="4">
        <f>IF($B$260=0,0,IF(U$2&gt;=$A283,IF(U$2=$A283,($B283/$B$260)*$B$257,IF(U$2&lt;=$A283+$B$260-1,$B283/$B$260,$B283-SUM($C283:T283))),0))</f>
        <v>0</v>
      </c>
      <c r="V283" s="4">
        <f>IF($B$260=0,0,IF(V$2&gt;=$A283,IF(V$2=$A283,($B283/$B$260)*$B$257,IF(V$2&lt;=$A283+$B$260-1,$B283/$B$260,$B283-SUM($C283:U283))),0))</f>
        <v>0</v>
      </c>
      <c r="W283" s="4">
        <f>IF($B$260=0,0,IF(W$2&gt;=$A283,IF(W$2=$A283,($B283/$B$260)*$B$257,IF(W$2&lt;=$A283+$B$260-1,$B283/$B$260,$B283-SUM($C283:V283))),0))</f>
        <v>0</v>
      </c>
      <c r="X283" s="4">
        <f>IF($B$260=0,0,IF(X$2&gt;=$A283,IF(X$2=$A283,($B283/$B$260)*$B$257,IF(X$2&lt;=$A283+$B$260-1,$B283/$B$260,$B283-SUM($C283:W283))),0))</f>
        <v>0</v>
      </c>
      <c r="Y283" s="4">
        <f>IF($B$260=0,0,IF(Y$2&gt;=$A283,IF(Y$2=$A283,($B283/$B$260)*$B$257,IF(Y$2&lt;=$A283+$B$260-1,$B283/$B$260,$B283-SUM($C283:X283))),0))</f>
        <v>0</v>
      </c>
      <c r="Z283" s="4">
        <f>IF($B$260=0,0,IF(Z$2&gt;=$A283,IF(Z$2=$A283,($B283/$B$260)*$B$257,IF(Z$2&lt;=$A283+$B$260-1,$B283/$B$260,$B283-SUM($C283:Y283))),0))</f>
        <v>0</v>
      </c>
      <c r="AA283" s="4">
        <f>IF($B$260=0,0,IF(AA$2&gt;=$A283,IF(AA$2=$A283,($B283/$B$260)*$B$257,IF(AA$2&lt;=$A283+$B$260-1,$B283/$B$260,$B283-SUM($C283:Z283))),0))</f>
        <v>0</v>
      </c>
      <c r="AB283" s="4">
        <f>IF($B$260=0,0,IF(AB$2&gt;=$A283,IF(AB$2=$A283,($B283/$B$260)*$B$257,IF(AB$2&lt;=$A283+$B$260-1,$B283/$B$260,$B283-SUM($C283:AA283))),0))</f>
        <v>0</v>
      </c>
      <c r="AC283" s="4">
        <f>IF($B$260=0,0,IF(AC$2&gt;=$A283,IF(AC$2=$A283,($B283/$B$260)*$B$257,IF(AC$2&lt;=$A283+$B$260-1,$B283/$B$260,$B283-SUM($C283:AB283))),0))</f>
        <v>0</v>
      </c>
      <c r="AD283" s="4">
        <f>IF($B$260=0,0,IF(AD$2&gt;=$A283,IF(AD$2=$A283,($B283/$B$260)*$B$257,IF(AD$2&lt;=$A283+$B$260-1,$B283/$B$260,$B283-SUM($C283:AC283))),0))</f>
        <v>0</v>
      </c>
      <c r="AE283" s="4">
        <f>IF($B$260=0,0,IF(AE$2&gt;=$A283,IF(AE$2=$A283,($B283/$B$260)*$B$257,IF(AE$2&lt;=$A283+$B$260-1,$B283/$B$260,$B283-SUM($C283:AD283))),0))</f>
        <v>0</v>
      </c>
      <c r="AF283" s="4">
        <f>IF($B$260=0,0,IF(AF$2&gt;=$A283,IF(AF$2=$A283,($B283/$B$260)*$B$257,IF(AF$2&lt;=$A283+$B$260-1,$B283/$B$260,$B283-SUM($C283:AE283))),0))</f>
        <v>0</v>
      </c>
      <c r="AG283" s="4">
        <f t="shared" si="206"/>
        <v>0</v>
      </c>
    </row>
    <row r="284" spans="1:33">
      <c r="A284" s="6">
        <f t="shared" si="207"/>
        <v>2045</v>
      </c>
      <c r="B284" s="4">
        <f t="shared" si="205"/>
        <v>0</v>
      </c>
      <c r="C284" s="4">
        <f>IF($B$260=0,0,IF(C$2&gt;=$A284,IF(C$2=$A284,($B284/$B$260)*$B$257,IF(C$2&lt;=$A284+$B$260-1,$B284/$B$260,$B284-SUM(B284:$C284))),0))</f>
        <v>0</v>
      </c>
      <c r="D284" s="4">
        <f>IF($B$260=0,0,IF(D$2&gt;=$A284,IF(D$2=$A284,($B284/$B$260)*$B$257,IF(D$2&lt;=$A284+$B$260-1,$B284/$B$260,$B284-SUM(C284:$C284))),0))</f>
        <v>0</v>
      </c>
      <c r="E284" s="4">
        <f>IF($B$260=0,0,IF(E$2&gt;=$A284,IF(E$2=$A284,($B284/$B$260)*$B$257,IF(E$2&lt;=$A284+$B$260-1,$B284/$B$260,$B284-SUM($C284:D284))),0))</f>
        <v>0</v>
      </c>
      <c r="F284" s="4">
        <f>IF($B$260=0,0,IF(F$2&gt;=$A284,IF(F$2=$A284,($B284/$B$260)*$B$257,IF(F$2&lt;=$A284+$B$260-1,$B284/$B$260,$B284-SUM($C284:E284))),0))</f>
        <v>0</v>
      </c>
      <c r="G284" s="4">
        <f>IF($B$260=0,0,IF(G$2&gt;=$A284,IF(G$2=$A284,($B284/$B$260)*$B$257,IF(G$2&lt;=$A284+$B$260-1,$B284/$B$260,$B284-SUM($C284:F284))),0))</f>
        <v>0</v>
      </c>
      <c r="H284" s="4">
        <f>IF($B$260=0,0,IF(H$2&gt;=$A284,IF(H$2=$A284,($B284/$B$260)*$B$257,IF(H$2&lt;=$A284+$B$260-1,$B284/$B$260,$B284-SUM($C284:G284))),0))</f>
        <v>0</v>
      </c>
      <c r="I284" s="4">
        <f>IF($B$260=0,0,IF(I$2&gt;=$A284,IF(I$2=$A284,($B284/$B$260)*$B$257,IF(I$2&lt;=$A284+$B$260-1,$B284/$B$260,$B284-SUM($C284:H284))),0))</f>
        <v>0</v>
      </c>
      <c r="J284" s="4">
        <f>IF($B$260=0,0,IF(J$2&gt;=$A284,IF(J$2=$A284,($B284/$B$260)*$B$257,IF(J$2&lt;=$A284+$B$260-1,$B284/$B$260,$B284-SUM($C284:I284))),0))</f>
        <v>0</v>
      </c>
      <c r="K284" s="4">
        <f>IF($B$260=0,0,IF(K$2&gt;=$A284,IF(K$2=$A284,($B284/$B$260)*$B$257,IF(K$2&lt;=$A284+$B$260-1,$B284/$B$260,$B284-SUM($C284:J284))),0))</f>
        <v>0</v>
      </c>
      <c r="L284" s="4">
        <f>IF($B$260=0,0,IF(L$2&gt;=$A284,IF(L$2=$A284,($B284/$B$260)*$B$257,IF(L$2&lt;=$A284+$B$260-1,$B284/$B$260,$B284-SUM($C284:K284))),0))</f>
        <v>0</v>
      </c>
      <c r="M284" s="4">
        <f>IF($B$260=0,0,IF(M$2&gt;=$A284,IF(M$2=$A284,($B284/$B$260)*$B$257,IF(M$2&lt;=$A284+$B$260-1,$B284/$B$260,$B284-SUM($C284:L284))),0))</f>
        <v>0</v>
      </c>
      <c r="N284" s="4">
        <f>IF($B$260=0,0,IF(N$2&gt;=$A284,IF(N$2=$A284,($B284/$B$260)*$B$257,IF(N$2&lt;=$A284+$B$260-1,$B284/$B$260,$B284-SUM($C284:M284))),0))</f>
        <v>0</v>
      </c>
      <c r="O284" s="4">
        <f>IF($B$260=0,0,IF(O$2&gt;=$A284,IF(O$2=$A284,($B284/$B$260)*$B$257,IF(O$2&lt;=$A284+$B$260-1,$B284/$B$260,$B284-SUM($C284:N284))),0))</f>
        <v>0</v>
      </c>
      <c r="P284" s="4">
        <f>IF($B$260=0,0,IF(P$2&gt;=$A284,IF(P$2=$A284,($B284/$B$260)*$B$257,IF(P$2&lt;=$A284+$B$260-1,$B284/$B$260,$B284-SUM($C284:O284))),0))</f>
        <v>0</v>
      </c>
      <c r="Q284" s="4">
        <f>IF($B$260=0,0,IF(Q$2&gt;=$A284,IF(Q$2=$A284,($B284/$B$260)*$B$257,IF(Q$2&lt;=$A284+$B$260-1,$B284/$B$260,$B284-SUM($C284:P284))),0))</f>
        <v>0</v>
      </c>
      <c r="R284" s="4">
        <f>IF($B$260=0,0,IF(R$2&gt;=$A284,IF(R$2=$A284,($B284/$B$260)*$B$257,IF(R$2&lt;=$A284+$B$260-1,$B284/$B$260,$B284-SUM($C284:Q284))),0))</f>
        <v>0</v>
      </c>
      <c r="S284" s="4">
        <f>IF($B$260=0,0,IF(S$2&gt;=$A284,IF(S$2=$A284,($B284/$B$260)*$B$257,IF(S$2&lt;=$A284+$B$260-1,$B284/$B$260,$B284-SUM($C284:R284))),0))</f>
        <v>0</v>
      </c>
      <c r="T284" s="4">
        <f>IF($B$260=0,0,IF(T$2&gt;=$A284,IF(T$2=$A284,($B284/$B$260)*$B$257,IF(T$2&lt;=$A284+$B$260-1,$B284/$B$260,$B284-SUM($C284:S284))),0))</f>
        <v>0</v>
      </c>
      <c r="U284" s="4">
        <f>IF($B$260=0,0,IF(U$2&gt;=$A284,IF(U$2=$A284,($B284/$B$260)*$B$257,IF(U$2&lt;=$A284+$B$260-1,$B284/$B$260,$B284-SUM($C284:T284))),0))</f>
        <v>0</v>
      </c>
      <c r="V284" s="4">
        <f>IF($B$260=0,0,IF(V$2&gt;=$A284,IF(V$2=$A284,($B284/$B$260)*$B$257,IF(V$2&lt;=$A284+$B$260-1,$B284/$B$260,$B284-SUM($C284:U284))),0))</f>
        <v>0</v>
      </c>
      <c r="W284" s="4">
        <f>IF($B$260=0,0,IF(W$2&gt;=$A284,IF(W$2=$A284,($B284/$B$260)*$B$257,IF(W$2&lt;=$A284+$B$260-1,$B284/$B$260,$B284-SUM($C284:V284))),0))</f>
        <v>0</v>
      </c>
      <c r="X284" s="4">
        <f>IF($B$260=0,0,IF(X$2&gt;=$A284,IF(X$2=$A284,($B284/$B$260)*$B$257,IF(X$2&lt;=$A284+$B$260-1,$B284/$B$260,$B284-SUM($C284:W284))),0))</f>
        <v>0</v>
      </c>
      <c r="Y284" s="4">
        <f>IF($B$260=0,0,IF(Y$2&gt;=$A284,IF(Y$2=$A284,($B284/$B$260)*$B$257,IF(Y$2&lt;=$A284+$B$260-1,$B284/$B$260,$B284-SUM($C284:X284))),0))</f>
        <v>0</v>
      </c>
      <c r="Z284" s="4">
        <f>IF($B$260=0,0,IF(Z$2&gt;=$A284,IF(Z$2=$A284,($B284/$B$260)*$B$257,IF(Z$2&lt;=$A284+$B$260-1,$B284/$B$260,$B284-SUM($C284:Y284))),0))</f>
        <v>0</v>
      </c>
      <c r="AA284" s="4">
        <f>IF($B$260=0,0,IF(AA$2&gt;=$A284,IF(AA$2=$A284,($B284/$B$260)*$B$257,IF(AA$2&lt;=$A284+$B$260-1,$B284/$B$260,$B284-SUM($C284:Z284))),0))</f>
        <v>0</v>
      </c>
      <c r="AB284" s="4">
        <f>IF($B$260=0,0,IF(AB$2&gt;=$A284,IF(AB$2=$A284,($B284/$B$260)*$B$257,IF(AB$2&lt;=$A284+$B$260-1,$B284/$B$260,$B284-SUM($C284:AA284))),0))</f>
        <v>0</v>
      </c>
      <c r="AC284" s="4">
        <f>IF($B$260=0,0,IF(AC$2&gt;=$A284,IF(AC$2=$A284,($B284/$B$260)*$B$257,IF(AC$2&lt;=$A284+$B$260-1,$B284/$B$260,$B284-SUM($C284:AB284))),0))</f>
        <v>0</v>
      </c>
      <c r="AD284" s="4">
        <f>IF($B$260=0,0,IF(AD$2&gt;=$A284,IF(AD$2=$A284,($B284/$B$260)*$B$257,IF(AD$2&lt;=$A284+$B$260-1,$B284/$B$260,$B284-SUM($C284:AC284))),0))</f>
        <v>0</v>
      </c>
      <c r="AE284" s="4">
        <f>IF($B$260=0,0,IF(AE$2&gt;=$A284,IF(AE$2=$A284,($B284/$B$260)*$B$257,IF(AE$2&lt;=$A284+$B$260-1,$B284/$B$260,$B284-SUM($C284:AD284))),0))</f>
        <v>0</v>
      </c>
      <c r="AF284" s="4">
        <f>IF($B$260=0,0,IF(AF$2&gt;=$A284,IF(AF$2=$A284,($B284/$B$260)*$B$257,IF(AF$2&lt;=$A284+$B$260-1,$B284/$B$260,$B284-SUM($C284:AE284))),0))</f>
        <v>0</v>
      </c>
      <c r="AG284" s="4">
        <f t="shared" si="206"/>
        <v>0</v>
      </c>
    </row>
    <row r="285" spans="1:33">
      <c r="A285" s="6">
        <f t="shared" si="207"/>
        <v>2046</v>
      </c>
      <c r="B285" s="4">
        <f t="shared" si="205"/>
        <v>0</v>
      </c>
      <c r="C285" s="4">
        <f>IF($B$260=0,0,IF(C$2&gt;=$A285,IF(C$2=$A285,($B285/$B$260)*$B$257,IF(C$2&lt;=$A285+$B$260-1,$B285/$B$260,$B285-SUM(B285:$C285))),0))</f>
        <v>0</v>
      </c>
      <c r="D285" s="4">
        <f>IF($B$260=0,0,IF(D$2&gt;=$A285,IF(D$2=$A285,($B285/$B$260)*$B$257,IF(D$2&lt;=$A285+$B$260-1,$B285/$B$260,$B285-SUM(C285:$C285))),0))</f>
        <v>0</v>
      </c>
      <c r="E285" s="4">
        <f>IF($B$260=0,0,IF(E$2&gt;=$A285,IF(E$2=$A285,($B285/$B$260)*$B$257,IF(E$2&lt;=$A285+$B$260-1,$B285/$B$260,$B285-SUM($C285:D285))),0))</f>
        <v>0</v>
      </c>
      <c r="F285" s="4">
        <f>IF($B$260=0,0,IF(F$2&gt;=$A285,IF(F$2=$A285,($B285/$B$260)*$B$257,IF(F$2&lt;=$A285+$B$260-1,$B285/$B$260,$B285-SUM($C285:E285))),0))</f>
        <v>0</v>
      </c>
      <c r="G285" s="4">
        <f>IF($B$260=0,0,IF(G$2&gt;=$A285,IF(G$2=$A285,($B285/$B$260)*$B$257,IF(G$2&lt;=$A285+$B$260-1,$B285/$B$260,$B285-SUM($C285:F285))),0))</f>
        <v>0</v>
      </c>
      <c r="H285" s="4">
        <f>IF($B$260=0,0,IF(H$2&gt;=$A285,IF(H$2=$A285,($B285/$B$260)*$B$257,IF(H$2&lt;=$A285+$B$260-1,$B285/$B$260,$B285-SUM($C285:G285))),0))</f>
        <v>0</v>
      </c>
      <c r="I285" s="4">
        <f>IF($B$260=0,0,IF(I$2&gt;=$A285,IF(I$2=$A285,($B285/$B$260)*$B$257,IF(I$2&lt;=$A285+$B$260-1,$B285/$B$260,$B285-SUM($C285:H285))),0))</f>
        <v>0</v>
      </c>
      <c r="J285" s="4">
        <f>IF($B$260=0,0,IF(J$2&gt;=$A285,IF(J$2=$A285,($B285/$B$260)*$B$257,IF(J$2&lt;=$A285+$B$260-1,$B285/$B$260,$B285-SUM($C285:I285))),0))</f>
        <v>0</v>
      </c>
      <c r="K285" s="4">
        <f>IF($B$260=0,0,IF(K$2&gt;=$A285,IF(K$2=$A285,($B285/$B$260)*$B$257,IF(K$2&lt;=$A285+$B$260-1,$B285/$B$260,$B285-SUM($C285:J285))),0))</f>
        <v>0</v>
      </c>
      <c r="L285" s="4">
        <f>IF($B$260=0,0,IF(L$2&gt;=$A285,IF(L$2=$A285,($B285/$B$260)*$B$257,IF(L$2&lt;=$A285+$B$260-1,$B285/$B$260,$B285-SUM($C285:K285))),0))</f>
        <v>0</v>
      </c>
      <c r="M285" s="4">
        <f>IF($B$260=0,0,IF(M$2&gt;=$A285,IF(M$2=$A285,($B285/$B$260)*$B$257,IF(M$2&lt;=$A285+$B$260-1,$B285/$B$260,$B285-SUM($C285:L285))),0))</f>
        <v>0</v>
      </c>
      <c r="N285" s="4">
        <f>IF($B$260=0,0,IF(N$2&gt;=$A285,IF(N$2=$A285,($B285/$B$260)*$B$257,IF(N$2&lt;=$A285+$B$260-1,$B285/$B$260,$B285-SUM($C285:M285))),0))</f>
        <v>0</v>
      </c>
      <c r="O285" s="4">
        <f>IF($B$260=0,0,IF(O$2&gt;=$A285,IF(O$2=$A285,($B285/$B$260)*$B$257,IF(O$2&lt;=$A285+$B$260-1,$B285/$B$260,$B285-SUM($C285:N285))),0))</f>
        <v>0</v>
      </c>
      <c r="P285" s="4">
        <f>IF($B$260=0,0,IF(P$2&gt;=$A285,IF(P$2=$A285,($B285/$B$260)*$B$257,IF(P$2&lt;=$A285+$B$260-1,$B285/$B$260,$B285-SUM($C285:O285))),0))</f>
        <v>0</v>
      </c>
      <c r="Q285" s="4">
        <f>IF($B$260=0,0,IF(Q$2&gt;=$A285,IF(Q$2=$A285,($B285/$B$260)*$B$257,IF(Q$2&lt;=$A285+$B$260-1,$B285/$B$260,$B285-SUM($C285:P285))),0))</f>
        <v>0</v>
      </c>
      <c r="R285" s="4">
        <f>IF($B$260=0,0,IF(R$2&gt;=$A285,IF(R$2=$A285,($B285/$B$260)*$B$257,IF(R$2&lt;=$A285+$B$260-1,$B285/$B$260,$B285-SUM($C285:Q285))),0))</f>
        <v>0</v>
      </c>
      <c r="S285" s="4">
        <f>IF($B$260=0,0,IF(S$2&gt;=$A285,IF(S$2=$A285,($B285/$B$260)*$B$257,IF(S$2&lt;=$A285+$B$260-1,$B285/$B$260,$B285-SUM($C285:R285))),0))</f>
        <v>0</v>
      </c>
      <c r="T285" s="4">
        <f>IF($B$260=0,0,IF(T$2&gt;=$A285,IF(T$2=$A285,($B285/$B$260)*$B$257,IF(T$2&lt;=$A285+$B$260-1,$B285/$B$260,$B285-SUM($C285:S285))),0))</f>
        <v>0</v>
      </c>
      <c r="U285" s="4">
        <f>IF($B$260=0,0,IF(U$2&gt;=$A285,IF(U$2=$A285,($B285/$B$260)*$B$257,IF(U$2&lt;=$A285+$B$260-1,$B285/$B$260,$B285-SUM($C285:T285))),0))</f>
        <v>0</v>
      </c>
      <c r="V285" s="4">
        <f>IF($B$260=0,0,IF(V$2&gt;=$A285,IF(V$2=$A285,($B285/$B$260)*$B$257,IF(V$2&lt;=$A285+$B$260-1,$B285/$B$260,$B285-SUM($C285:U285))),0))</f>
        <v>0</v>
      </c>
      <c r="W285" s="4">
        <f>IF($B$260=0,0,IF(W$2&gt;=$A285,IF(W$2=$A285,($B285/$B$260)*$B$257,IF(W$2&lt;=$A285+$B$260-1,$B285/$B$260,$B285-SUM($C285:V285))),0))</f>
        <v>0</v>
      </c>
      <c r="X285" s="4">
        <f>IF($B$260=0,0,IF(X$2&gt;=$A285,IF(X$2=$A285,($B285/$B$260)*$B$257,IF(X$2&lt;=$A285+$B$260-1,$B285/$B$260,$B285-SUM($C285:W285))),0))</f>
        <v>0</v>
      </c>
      <c r="Y285" s="4">
        <f>IF($B$260=0,0,IF(Y$2&gt;=$A285,IF(Y$2=$A285,($B285/$B$260)*$B$257,IF(Y$2&lt;=$A285+$B$260-1,$B285/$B$260,$B285-SUM($C285:X285))),0))</f>
        <v>0</v>
      </c>
      <c r="Z285" s="4">
        <f>IF($B$260=0,0,IF(Z$2&gt;=$A285,IF(Z$2=$A285,($B285/$B$260)*$B$257,IF(Z$2&lt;=$A285+$B$260-1,$B285/$B$260,$B285-SUM($C285:Y285))),0))</f>
        <v>0</v>
      </c>
      <c r="AA285" s="4">
        <f>IF($B$260=0,0,IF(AA$2&gt;=$A285,IF(AA$2=$A285,($B285/$B$260)*$B$257,IF(AA$2&lt;=$A285+$B$260-1,$B285/$B$260,$B285-SUM($C285:Z285))),0))</f>
        <v>0</v>
      </c>
      <c r="AB285" s="4">
        <f>IF($B$260=0,0,IF(AB$2&gt;=$A285,IF(AB$2=$A285,($B285/$B$260)*$B$257,IF(AB$2&lt;=$A285+$B$260-1,$B285/$B$260,$B285-SUM($C285:AA285))),0))</f>
        <v>0</v>
      </c>
      <c r="AC285" s="4">
        <f>IF($B$260=0,0,IF(AC$2&gt;=$A285,IF(AC$2=$A285,($B285/$B$260)*$B$257,IF(AC$2&lt;=$A285+$B$260-1,$B285/$B$260,$B285-SUM($C285:AB285))),0))</f>
        <v>0</v>
      </c>
      <c r="AD285" s="4">
        <f>IF($B$260=0,0,IF(AD$2&gt;=$A285,IF(AD$2=$A285,($B285/$B$260)*$B$257,IF(AD$2&lt;=$A285+$B$260-1,$B285/$B$260,$B285-SUM($C285:AC285))),0))</f>
        <v>0</v>
      </c>
      <c r="AE285" s="4">
        <f>IF($B$260=0,0,IF(AE$2&gt;=$A285,IF(AE$2=$A285,($B285/$B$260)*$B$257,IF(AE$2&lt;=$A285+$B$260-1,$B285/$B$260,$B285-SUM($C285:AD285))),0))</f>
        <v>0</v>
      </c>
      <c r="AF285" s="4">
        <f>IF($B$260=0,0,IF(AF$2&gt;=$A285,IF(AF$2=$A285,($B285/$B$260)*$B$257,IF(AF$2&lt;=$A285+$B$260-1,$B285/$B$260,$B285-SUM($C285:AE285))),0))</f>
        <v>0</v>
      </c>
      <c r="AG285" s="4">
        <f t="shared" si="206"/>
        <v>0</v>
      </c>
    </row>
    <row r="286" spans="1:33">
      <c r="A286" s="6">
        <f t="shared" si="207"/>
        <v>2047</v>
      </c>
      <c r="B286" s="4">
        <f t="shared" si="205"/>
        <v>0</v>
      </c>
      <c r="C286" s="4">
        <f>IF($B$260=0,0,IF(C$2&gt;=$A286,IF(C$2=$A286,($B286/$B$260)*$B$257,IF(C$2&lt;=$A286+$B$260-1,$B286/$B$260,$B286-SUM(B286:$C286))),0))</f>
        <v>0</v>
      </c>
      <c r="D286" s="4">
        <f>IF($B$260=0,0,IF(D$2&gt;=$A286,IF(D$2=$A286,($B286/$B$260)*$B$257,IF(D$2&lt;=$A286+$B$260-1,$B286/$B$260,$B286-SUM(C286:$C286))),0))</f>
        <v>0</v>
      </c>
      <c r="E286" s="4">
        <f>IF($B$260=0,0,IF(E$2&gt;=$A286,IF(E$2=$A286,($B286/$B$260)*$B$257,IF(E$2&lt;=$A286+$B$260-1,$B286/$B$260,$B286-SUM($C286:D286))),0))</f>
        <v>0</v>
      </c>
      <c r="F286" s="4">
        <f>IF($B$260=0,0,IF(F$2&gt;=$A286,IF(F$2=$A286,($B286/$B$260)*$B$257,IF(F$2&lt;=$A286+$B$260-1,$B286/$B$260,$B286-SUM($C286:E286))),0))</f>
        <v>0</v>
      </c>
      <c r="G286" s="4">
        <f>IF($B$260=0,0,IF(G$2&gt;=$A286,IF(G$2=$A286,($B286/$B$260)*$B$257,IF(G$2&lt;=$A286+$B$260-1,$B286/$B$260,$B286-SUM($C286:F286))),0))</f>
        <v>0</v>
      </c>
      <c r="H286" s="4">
        <f>IF($B$260=0,0,IF(H$2&gt;=$A286,IF(H$2=$A286,($B286/$B$260)*$B$257,IF(H$2&lt;=$A286+$B$260-1,$B286/$B$260,$B286-SUM($C286:G286))),0))</f>
        <v>0</v>
      </c>
      <c r="I286" s="4">
        <f>IF($B$260=0,0,IF(I$2&gt;=$A286,IF(I$2=$A286,($B286/$B$260)*$B$257,IF(I$2&lt;=$A286+$B$260-1,$B286/$B$260,$B286-SUM($C286:H286))),0))</f>
        <v>0</v>
      </c>
      <c r="J286" s="4">
        <f>IF($B$260=0,0,IF(J$2&gt;=$A286,IF(J$2=$A286,($B286/$B$260)*$B$257,IF(J$2&lt;=$A286+$B$260-1,$B286/$B$260,$B286-SUM($C286:I286))),0))</f>
        <v>0</v>
      </c>
      <c r="K286" s="4">
        <f>IF($B$260=0,0,IF(K$2&gt;=$A286,IF(K$2=$A286,($B286/$B$260)*$B$257,IF(K$2&lt;=$A286+$B$260-1,$B286/$B$260,$B286-SUM($C286:J286))),0))</f>
        <v>0</v>
      </c>
      <c r="L286" s="4">
        <f>IF($B$260=0,0,IF(L$2&gt;=$A286,IF(L$2=$A286,($B286/$B$260)*$B$257,IF(L$2&lt;=$A286+$B$260-1,$B286/$B$260,$B286-SUM($C286:K286))),0))</f>
        <v>0</v>
      </c>
      <c r="M286" s="4">
        <f>IF($B$260=0,0,IF(M$2&gt;=$A286,IF(M$2=$A286,($B286/$B$260)*$B$257,IF(M$2&lt;=$A286+$B$260-1,$B286/$B$260,$B286-SUM($C286:L286))),0))</f>
        <v>0</v>
      </c>
      <c r="N286" s="4">
        <f>IF($B$260=0,0,IF(N$2&gt;=$A286,IF(N$2=$A286,($B286/$B$260)*$B$257,IF(N$2&lt;=$A286+$B$260-1,$B286/$B$260,$B286-SUM($C286:M286))),0))</f>
        <v>0</v>
      </c>
      <c r="O286" s="4">
        <f>IF($B$260=0,0,IF(O$2&gt;=$A286,IF(O$2=$A286,($B286/$B$260)*$B$257,IF(O$2&lt;=$A286+$B$260-1,$B286/$B$260,$B286-SUM($C286:N286))),0))</f>
        <v>0</v>
      </c>
      <c r="P286" s="4">
        <f>IF($B$260=0,0,IF(P$2&gt;=$A286,IF(P$2=$A286,($B286/$B$260)*$B$257,IF(P$2&lt;=$A286+$B$260-1,$B286/$B$260,$B286-SUM($C286:O286))),0))</f>
        <v>0</v>
      </c>
      <c r="Q286" s="4">
        <f>IF($B$260=0,0,IF(Q$2&gt;=$A286,IF(Q$2=$A286,($B286/$B$260)*$B$257,IF(Q$2&lt;=$A286+$B$260-1,$B286/$B$260,$B286-SUM($C286:P286))),0))</f>
        <v>0</v>
      </c>
      <c r="R286" s="4">
        <f>IF($B$260=0,0,IF(R$2&gt;=$A286,IF(R$2=$A286,($B286/$B$260)*$B$257,IF(R$2&lt;=$A286+$B$260-1,$B286/$B$260,$B286-SUM($C286:Q286))),0))</f>
        <v>0</v>
      </c>
      <c r="S286" s="4">
        <f>IF($B$260=0,0,IF(S$2&gt;=$A286,IF(S$2=$A286,($B286/$B$260)*$B$257,IF(S$2&lt;=$A286+$B$260-1,$B286/$B$260,$B286-SUM($C286:R286))),0))</f>
        <v>0</v>
      </c>
      <c r="T286" s="4">
        <f>IF($B$260=0,0,IF(T$2&gt;=$A286,IF(T$2=$A286,($B286/$B$260)*$B$257,IF(T$2&lt;=$A286+$B$260-1,$B286/$B$260,$B286-SUM($C286:S286))),0))</f>
        <v>0</v>
      </c>
      <c r="U286" s="4">
        <f>IF($B$260=0,0,IF(U$2&gt;=$A286,IF(U$2=$A286,($B286/$B$260)*$B$257,IF(U$2&lt;=$A286+$B$260-1,$B286/$B$260,$B286-SUM($C286:T286))),0))</f>
        <v>0</v>
      </c>
      <c r="V286" s="4">
        <f>IF($B$260=0,0,IF(V$2&gt;=$A286,IF(V$2=$A286,($B286/$B$260)*$B$257,IF(V$2&lt;=$A286+$B$260-1,$B286/$B$260,$B286-SUM($C286:U286))),0))</f>
        <v>0</v>
      </c>
      <c r="W286" s="4">
        <f>IF($B$260=0,0,IF(W$2&gt;=$A286,IF(W$2=$A286,($B286/$B$260)*$B$257,IF(W$2&lt;=$A286+$B$260-1,$B286/$B$260,$B286-SUM($C286:V286))),0))</f>
        <v>0</v>
      </c>
      <c r="X286" s="4">
        <f>IF($B$260=0,0,IF(X$2&gt;=$A286,IF(X$2=$A286,($B286/$B$260)*$B$257,IF(X$2&lt;=$A286+$B$260-1,$B286/$B$260,$B286-SUM($C286:W286))),0))</f>
        <v>0</v>
      </c>
      <c r="Y286" s="4">
        <f>IF($B$260=0,0,IF(Y$2&gt;=$A286,IF(Y$2=$A286,($B286/$B$260)*$B$257,IF(Y$2&lt;=$A286+$B$260-1,$B286/$B$260,$B286-SUM($C286:X286))),0))</f>
        <v>0</v>
      </c>
      <c r="Z286" s="4">
        <f>IF($B$260=0,0,IF(Z$2&gt;=$A286,IF(Z$2=$A286,($B286/$B$260)*$B$257,IF(Z$2&lt;=$A286+$B$260-1,$B286/$B$260,$B286-SUM($C286:Y286))),0))</f>
        <v>0</v>
      </c>
      <c r="AA286" s="4">
        <f>IF($B$260=0,0,IF(AA$2&gt;=$A286,IF(AA$2=$A286,($B286/$B$260)*$B$257,IF(AA$2&lt;=$A286+$B$260-1,$B286/$B$260,$B286-SUM($C286:Z286))),0))</f>
        <v>0</v>
      </c>
      <c r="AB286" s="4">
        <f>IF($B$260=0,0,IF(AB$2&gt;=$A286,IF(AB$2=$A286,($B286/$B$260)*$B$257,IF(AB$2&lt;=$A286+$B$260-1,$B286/$B$260,$B286-SUM($C286:AA286))),0))</f>
        <v>0</v>
      </c>
      <c r="AC286" s="4">
        <f>IF($B$260=0,0,IF(AC$2&gt;=$A286,IF(AC$2=$A286,($B286/$B$260)*$B$257,IF(AC$2&lt;=$A286+$B$260-1,$B286/$B$260,$B286-SUM($C286:AB286))),0))</f>
        <v>0</v>
      </c>
      <c r="AD286" s="4">
        <f>IF($B$260=0,0,IF(AD$2&gt;=$A286,IF(AD$2=$A286,($B286/$B$260)*$B$257,IF(AD$2&lt;=$A286+$B$260-1,$B286/$B$260,$B286-SUM($C286:AC286))),0))</f>
        <v>0</v>
      </c>
      <c r="AE286" s="4">
        <f>IF($B$260=0,0,IF(AE$2&gt;=$A286,IF(AE$2=$A286,($B286/$B$260)*$B$257,IF(AE$2&lt;=$A286+$B$260-1,$B286/$B$260,$B286-SUM($C286:AD286))),0))</f>
        <v>0</v>
      </c>
      <c r="AF286" s="4">
        <f>IF($B$260=0,0,IF(AF$2&gt;=$A286,IF(AF$2=$A286,($B286/$B$260)*$B$257,IF(AF$2&lt;=$A286+$B$260-1,$B286/$B$260,$B286-SUM($C286:AE286))),0))</f>
        <v>0</v>
      </c>
      <c r="AG286" s="4">
        <f t="shared" ref="AG286:AG290" si="208">SUM(C286:AF286)</f>
        <v>0</v>
      </c>
    </row>
    <row r="287" spans="1:33">
      <c r="A287" s="6">
        <f t="shared" si="207"/>
        <v>2048</v>
      </c>
      <c r="B287" s="4">
        <f t="shared" si="205"/>
        <v>0</v>
      </c>
      <c r="C287" s="4">
        <f>IF($B$260=0,0,IF(C$2&gt;=$A287,IF(C$2=$A287,($B287/$B$260)*$B$257,IF(C$2&lt;=$A287+$B$260-1,$B287/$B$260,$B287-SUM(B287:$C287))),0))</f>
        <v>0</v>
      </c>
      <c r="D287" s="4">
        <f>IF($B$260=0,0,IF(D$2&gt;=$A287,IF(D$2=$A287,($B287/$B$260)*$B$257,IF(D$2&lt;=$A287+$B$260-1,$B287/$B$260,$B287-SUM(C287:$C287))),0))</f>
        <v>0</v>
      </c>
      <c r="E287" s="4">
        <f>IF($B$260=0,0,IF(E$2&gt;=$A287,IF(E$2=$A287,($B287/$B$260)*$B$257,IF(E$2&lt;=$A287+$B$260-1,$B287/$B$260,$B287-SUM($C287:D287))),0))</f>
        <v>0</v>
      </c>
      <c r="F287" s="4">
        <f>IF($B$260=0,0,IF(F$2&gt;=$A287,IF(F$2=$A287,($B287/$B$260)*$B$257,IF(F$2&lt;=$A287+$B$260-1,$B287/$B$260,$B287-SUM($C287:E287))),0))</f>
        <v>0</v>
      </c>
      <c r="G287" s="4">
        <f>IF($B$260=0,0,IF(G$2&gt;=$A287,IF(G$2=$A287,($B287/$B$260)*$B$257,IF(G$2&lt;=$A287+$B$260-1,$B287/$B$260,$B287-SUM($C287:F287))),0))</f>
        <v>0</v>
      </c>
      <c r="H287" s="4">
        <f>IF($B$260=0,0,IF(H$2&gt;=$A287,IF(H$2=$A287,($B287/$B$260)*$B$257,IF(H$2&lt;=$A287+$B$260-1,$B287/$B$260,$B287-SUM($C287:G287))),0))</f>
        <v>0</v>
      </c>
      <c r="I287" s="4">
        <f>IF($B$260=0,0,IF(I$2&gt;=$A287,IF(I$2=$A287,($B287/$B$260)*$B$257,IF(I$2&lt;=$A287+$B$260-1,$B287/$B$260,$B287-SUM($C287:H287))),0))</f>
        <v>0</v>
      </c>
      <c r="J287" s="4">
        <f>IF($B$260=0,0,IF(J$2&gt;=$A287,IF(J$2=$A287,($B287/$B$260)*$B$257,IF(J$2&lt;=$A287+$B$260-1,$B287/$B$260,$B287-SUM($C287:I287))),0))</f>
        <v>0</v>
      </c>
      <c r="K287" s="4">
        <f>IF($B$260=0,0,IF(K$2&gt;=$A287,IF(K$2=$A287,($B287/$B$260)*$B$257,IF(K$2&lt;=$A287+$B$260-1,$B287/$B$260,$B287-SUM($C287:J287))),0))</f>
        <v>0</v>
      </c>
      <c r="L287" s="4">
        <f>IF($B$260=0,0,IF(L$2&gt;=$A287,IF(L$2=$A287,($B287/$B$260)*$B$257,IF(L$2&lt;=$A287+$B$260-1,$B287/$B$260,$B287-SUM($C287:K287))),0))</f>
        <v>0</v>
      </c>
      <c r="M287" s="4">
        <f>IF($B$260=0,0,IF(M$2&gt;=$A287,IF(M$2=$A287,($B287/$B$260)*$B$257,IF(M$2&lt;=$A287+$B$260-1,$B287/$B$260,$B287-SUM($C287:L287))),0))</f>
        <v>0</v>
      </c>
      <c r="N287" s="4">
        <f>IF($B$260=0,0,IF(N$2&gt;=$A287,IF(N$2=$A287,($B287/$B$260)*$B$257,IF(N$2&lt;=$A287+$B$260-1,$B287/$B$260,$B287-SUM($C287:M287))),0))</f>
        <v>0</v>
      </c>
      <c r="O287" s="4">
        <f>IF($B$260=0,0,IF(O$2&gt;=$A287,IF(O$2=$A287,($B287/$B$260)*$B$257,IF(O$2&lt;=$A287+$B$260-1,$B287/$B$260,$B287-SUM($C287:N287))),0))</f>
        <v>0</v>
      </c>
      <c r="P287" s="4">
        <f>IF($B$260=0,0,IF(P$2&gt;=$A287,IF(P$2=$A287,($B287/$B$260)*$B$257,IF(P$2&lt;=$A287+$B$260-1,$B287/$B$260,$B287-SUM($C287:O287))),0))</f>
        <v>0</v>
      </c>
      <c r="Q287" s="4">
        <f>IF($B$260=0,0,IF(Q$2&gt;=$A287,IF(Q$2=$A287,($B287/$B$260)*$B$257,IF(Q$2&lt;=$A287+$B$260-1,$B287/$B$260,$B287-SUM($C287:P287))),0))</f>
        <v>0</v>
      </c>
      <c r="R287" s="4">
        <f>IF($B$260=0,0,IF(R$2&gt;=$A287,IF(R$2=$A287,($B287/$B$260)*$B$257,IF(R$2&lt;=$A287+$B$260-1,$B287/$B$260,$B287-SUM($C287:Q287))),0))</f>
        <v>0</v>
      </c>
      <c r="S287" s="4">
        <f>IF($B$260=0,0,IF(S$2&gt;=$A287,IF(S$2=$A287,($B287/$B$260)*$B$257,IF(S$2&lt;=$A287+$B$260-1,$B287/$B$260,$B287-SUM($C287:R287))),0))</f>
        <v>0</v>
      </c>
      <c r="T287" s="4">
        <f>IF($B$260=0,0,IF(T$2&gt;=$A287,IF(T$2=$A287,($B287/$B$260)*$B$257,IF(T$2&lt;=$A287+$B$260-1,$B287/$B$260,$B287-SUM($C287:S287))),0))</f>
        <v>0</v>
      </c>
      <c r="U287" s="4">
        <f>IF($B$260=0,0,IF(U$2&gt;=$A287,IF(U$2=$A287,($B287/$B$260)*$B$257,IF(U$2&lt;=$A287+$B$260-1,$B287/$B$260,$B287-SUM($C287:T287))),0))</f>
        <v>0</v>
      </c>
      <c r="V287" s="4">
        <f>IF($B$260=0,0,IF(V$2&gt;=$A287,IF(V$2=$A287,($B287/$B$260)*$B$257,IF(V$2&lt;=$A287+$B$260-1,$B287/$B$260,$B287-SUM($C287:U287))),0))</f>
        <v>0</v>
      </c>
      <c r="W287" s="4">
        <f>IF($B$260=0,0,IF(W$2&gt;=$A287,IF(W$2=$A287,($B287/$B$260)*$B$257,IF(W$2&lt;=$A287+$B$260-1,$B287/$B$260,$B287-SUM($C287:V287))),0))</f>
        <v>0</v>
      </c>
      <c r="X287" s="4">
        <f>IF($B$260=0,0,IF(X$2&gt;=$A287,IF(X$2=$A287,($B287/$B$260)*$B$257,IF(X$2&lt;=$A287+$B$260-1,$B287/$B$260,$B287-SUM($C287:W287))),0))</f>
        <v>0</v>
      </c>
      <c r="Y287" s="4">
        <f>IF($B$260=0,0,IF(Y$2&gt;=$A287,IF(Y$2=$A287,($B287/$B$260)*$B$257,IF(Y$2&lt;=$A287+$B$260-1,$B287/$B$260,$B287-SUM($C287:X287))),0))</f>
        <v>0</v>
      </c>
      <c r="Z287" s="4">
        <f>IF($B$260=0,0,IF(Z$2&gt;=$A287,IF(Z$2=$A287,($B287/$B$260)*$B$257,IF(Z$2&lt;=$A287+$B$260-1,$B287/$B$260,$B287-SUM($C287:Y287))),0))</f>
        <v>0</v>
      </c>
      <c r="AA287" s="4">
        <f>IF($B$260=0,0,IF(AA$2&gt;=$A287,IF(AA$2=$A287,($B287/$B$260)*$B$257,IF(AA$2&lt;=$A287+$B$260-1,$B287/$B$260,$B287-SUM($C287:Z287))),0))</f>
        <v>0</v>
      </c>
      <c r="AB287" s="4">
        <f>IF($B$260=0,0,IF(AB$2&gt;=$A287,IF(AB$2=$A287,($B287/$B$260)*$B$257,IF(AB$2&lt;=$A287+$B$260-1,$B287/$B$260,$B287-SUM($C287:AA287))),0))</f>
        <v>0</v>
      </c>
      <c r="AC287" s="4">
        <f>IF($B$260=0,0,IF(AC$2&gt;=$A287,IF(AC$2=$A287,($B287/$B$260)*$B$257,IF(AC$2&lt;=$A287+$B$260-1,$B287/$B$260,$B287-SUM($C287:AB287))),0))</f>
        <v>0</v>
      </c>
      <c r="AD287" s="4">
        <f>IF($B$260=0,0,IF(AD$2&gt;=$A287,IF(AD$2=$A287,($B287/$B$260)*$B$257,IF(AD$2&lt;=$A287+$B$260-1,$B287/$B$260,$B287-SUM($C287:AC287))),0))</f>
        <v>0</v>
      </c>
      <c r="AE287" s="4">
        <f>IF($B$260=0,0,IF(AE$2&gt;=$A287,IF(AE$2=$A287,($B287/$B$260)*$B$257,IF(AE$2&lt;=$A287+$B$260-1,$B287/$B$260,$B287-SUM($C287:AD287))),0))</f>
        <v>0</v>
      </c>
      <c r="AF287" s="4">
        <f>IF($B$260=0,0,IF(AF$2&gt;=$A287,IF(AF$2=$A287,($B287/$B$260)*$B$257,IF(AF$2&lt;=$A287+$B$260-1,$B287/$B$260,$B287-SUM($C287:AE287))),0))</f>
        <v>0</v>
      </c>
      <c r="AG287" s="4">
        <f t="shared" si="208"/>
        <v>0</v>
      </c>
    </row>
    <row r="288" spans="1:33">
      <c r="A288" s="6">
        <f t="shared" si="207"/>
        <v>2049</v>
      </c>
      <c r="B288" s="4">
        <f t="shared" si="205"/>
        <v>0</v>
      </c>
      <c r="C288" s="4">
        <f>IF($B$260=0,0,IF(C$2&gt;=$A288,IF(C$2=$A288,($B288/$B$260)*$B$257,IF(C$2&lt;=$A288+$B$260-1,$B288/$B$260,$B288-SUM(B288:$C288))),0))</f>
        <v>0</v>
      </c>
      <c r="D288" s="4">
        <f>IF($B$260=0,0,IF(D$2&gt;=$A288,IF(D$2=$A288,($B288/$B$260)*$B$257,IF(D$2&lt;=$A288+$B$260-1,$B288/$B$260,$B288-SUM(C288:$C288))),0))</f>
        <v>0</v>
      </c>
      <c r="E288" s="4">
        <f>IF($B$260=0,0,IF(E$2&gt;=$A288,IF(E$2=$A288,($B288/$B$260)*$B$257,IF(E$2&lt;=$A288+$B$260-1,$B288/$B$260,$B288-SUM($C288:D288))),0))</f>
        <v>0</v>
      </c>
      <c r="F288" s="4">
        <f>IF($B$260=0,0,IF(F$2&gt;=$A288,IF(F$2=$A288,($B288/$B$260)*$B$257,IF(F$2&lt;=$A288+$B$260-1,$B288/$B$260,$B288-SUM($C288:E288))),0))</f>
        <v>0</v>
      </c>
      <c r="G288" s="4">
        <f>IF($B$260=0,0,IF(G$2&gt;=$A288,IF(G$2=$A288,($B288/$B$260)*$B$257,IF(G$2&lt;=$A288+$B$260-1,$B288/$B$260,$B288-SUM($C288:F288))),0))</f>
        <v>0</v>
      </c>
      <c r="H288" s="4">
        <f>IF($B$260=0,0,IF(H$2&gt;=$A288,IF(H$2=$A288,($B288/$B$260)*$B$257,IF(H$2&lt;=$A288+$B$260-1,$B288/$B$260,$B288-SUM($C288:G288))),0))</f>
        <v>0</v>
      </c>
      <c r="I288" s="4">
        <f>IF($B$260=0,0,IF(I$2&gt;=$A288,IF(I$2=$A288,($B288/$B$260)*$B$257,IF(I$2&lt;=$A288+$B$260-1,$B288/$B$260,$B288-SUM($C288:H288))),0))</f>
        <v>0</v>
      </c>
      <c r="J288" s="4">
        <f>IF($B$260=0,0,IF(J$2&gt;=$A288,IF(J$2=$A288,($B288/$B$260)*$B$257,IF(J$2&lt;=$A288+$B$260-1,$B288/$B$260,$B288-SUM($C288:I288))),0))</f>
        <v>0</v>
      </c>
      <c r="K288" s="4">
        <f>IF($B$260=0,0,IF(K$2&gt;=$A288,IF(K$2=$A288,($B288/$B$260)*$B$257,IF(K$2&lt;=$A288+$B$260-1,$B288/$B$260,$B288-SUM($C288:J288))),0))</f>
        <v>0</v>
      </c>
      <c r="L288" s="4">
        <f>IF($B$260=0,0,IF(L$2&gt;=$A288,IF(L$2=$A288,($B288/$B$260)*$B$257,IF(L$2&lt;=$A288+$B$260-1,$B288/$B$260,$B288-SUM($C288:K288))),0))</f>
        <v>0</v>
      </c>
      <c r="M288" s="4">
        <f>IF($B$260=0,0,IF(M$2&gt;=$A288,IF(M$2=$A288,($B288/$B$260)*$B$257,IF(M$2&lt;=$A288+$B$260-1,$B288/$B$260,$B288-SUM($C288:L288))),0))</f>
        <v>0</v>
      </c>
      <c r="N288" s="4">
        <f>IF($B$260=0,0,IF(N$2&gt;=$A288,IF(N$2=$A288,($B288/$B$260)*$B$257,IF(N$2&lt;=$A288+$B$260-1,$B288/$B$260,$B288-SUM($C288:M288))),0))</f>
        <v>0</v>
      </c>
      <c r="O288" s="4">
        <f>IF($B$260=0,0,IF(O$2&gt;=$A288,IF(O$2=$A288,($B288/$B$260)*$B$257,IF(O$2&lt;=$A288+$B$260-1,$B288/$B$260,$B288-SUM($C288:N288))),0))</f>
        <v>0</v>
      </c>
      <c r="P288" s="4">
        <f>IF($B$260=0,0,IF(P$2&gt;=$A288,IF(P$2=$A288,($B288/$B$260)*$B$257,IF(P$2&lt;=$A288+$B$260-1,$B288/$B$260,$B288-SUM($C288:O288))),0))</f>
        <v>0</v>
      </c>
      <c r="Q288" s="4">
        <f>IF($B$260=0,0,IF(Q$2&gt;=$A288,IF(Q$2=$A288,($B288/$B$260)*$B$257,IF(Q$2&lt;=$A288+$B$260-1,$B288/$B$260,$B288-SUM($C288:P288))),0))</f>
        <v>0</v>
      </c>
      <c r="R288" s="4">
        <f>IF($B$260=0,0,IF(R$2&gt;=$A288,IF(R$2=$A288,($B288/$B$260)*$B$257,IF(R$2&lt;=$A288+$B$260-1,$B288/$B$260,$B288-SUM($C288:Q288))),0))</f>
        <v>0</v>
      </c>
      <c r="S288" s="4">
        <f>IF($B$260=0,0,IF(S$2&gt;=$A288,IF(S$2=$A288,($B288/$B$260)*$B$257,IF(S$2&lt;=$A288+$B$260-1,$B288/$B$260,$B288-SUM($C288:R288))),0))</f>
        <v>0</v>
      </c>
      <c r="T288" s="4">
        <f>IF($B$260=0,0,IF(T$2&gt;=$A288,IF(T$2=$A288,($B288/$B$260)*$B$257,IF(T$2&lt;=$A288+$B$260-1,$B288/$B$260,$B288-SUM($C288:S288))),0))</f>
        <v>0</v>
      </c>
      <c r="U288" s="4">
        <f>IF($B$260=0,0,IF(U$2&gt;=$A288,IF(U$2=$A288,($B288/$B$260)*$B$257,IF(U$2&lt;=$A288+$B$260-1,$B288/$B$260,$B288-SUM($C288:T288))),0))</f>
        <v>0</v>
      </c>
      <c r="V288" s="4">
        <f>IF($B$260=0,0,IF(V$2&gt;=$A288,IF(V$2=$A288,($B288/$B$260)*$B$257,IF(V$2&lt;=$A288+$B$260-1,$B288/$B$260,$B288-SUM($C288:U288))),0))</f>
        <v>0</v>
      </c>
      <c r="W288" s="4">
        <f>IF($B$260=0,0,IF(W$2&gt;=$A288,IF(W$2=$A288,($B288/$B$260)*$B$257,IF(W$2&lt;=$A288+$B$260-1,$B288/$B$260,$B288-SUM($C288:V288))),0))</f>
        <v>0</v>
      </c>
      <c r="X288" s="4">
        <f>IF($B$260=0,0,IF(X$2&gt;=$A288,IF(X$2=$A288,($B288/$B$260)*$B$257,IF(X$2&lt;=$A288+$B$260-1,$B288/$B$260,$B288-SUM($C288:W288))),0))</f>
        <v>0</v>
      </c>
      <c r="Y288" s="4">
        <f>IF($B$260=0,0,IF(Y$2&gt;=$A288,IF(Y$2=$A288,($B288/$B$260)*$B$257,IF(Y$2&lt;=$A288+$B$260-1,$B288/$B$260,$B288-SUM($C288:X288))),0))</f>
        <v>0</v>
      </c>
      <c r="Z288" s="4">
        <f>IF($B$260=0,0,IF(Z$2&gt;=$A288,IF(Z$2=$A288,($B288/$B$260)*$B$257,IF(Z$2&lt;=$A288+$B$260-1,$B288/$B$260,$B288-SUM($C288:Y288))),0))</f>
        <v>0</v>
      </c>
      <c r="AA288" s="4">
        <f>IF($B$260=0,0,IF(AA$2&gt;=$A288,IF(AA$2=$A288,($B288/$B$260)*$B$257,IF(AA$2&lt;=$A288+$B$260-1,$B288/$B$260,$B288-SUM($C288:Z288))),0))</f>
        <v>0</v>
      </c>
      <c r="AB288" s="4">
        <f>IF($B$260=0,0,IF(AB$2&gt;=$A288,IF(AB$2=$A288,($B288/$B$260)*$B$257,IF(AB$2&lt;=$A288+$B$260-1,$B288/$B$260,$B288-SUM($C288:AA288))),0))</f>
        <v>0</v>
      </c>
      <c r="AC288" s="4">
        <f>IF($B$260=0,0,IF(AC$2&gt;=$A288,IF(AC$2=$A288,($B288/$B$260)*$B$257,IF(AC$2&lt;=$A288+$B$260-1,$B288/$B$260,$B288-SUM($C288:AB288))),0))</f>
        <v>0</v>
      </c>
      <c r="AD288" s="4">
        <f>IF($B$260=0,0,IF(AD$2&gt;=$A288,IF(AD$2=$A288,($B288/$B$260)*$B$257,IF(AD$2&lt;=$A288+$B$260-1,$B288/$B$260,$B288-SUM($C288:AC288))),0))</f>
        <v>0</v>
      </c>
      <c r="AE288" s="4">
        <f>IF($B$260=0,0,IF(AE$2&gt;=$A288,IF(AE$2=$A288,($B288/$B$260)*$B$257,IF(AE$2&lt;=$A288+$B$260-1,$B288/$B$260,$B288-SUM($C288:AD288))),0))</f>
        <v>0</v>
      </c>
      <c r="AF288" s="4">
        <f>IF($B$260=0,0,IF(AF$2&gt;=$A288,IF(AF$2=$A288,($B288/$B$260)*$B$257,IF(AF$2&lt;=$A288+$B$260-1,$B288/$B$260,$B288-SUM($C288:AE288))),0))</f>
        <v>0</v>
      </c>
      <c r="AG288" s="4">
        <f t="shared" si="208"/>
        <v>0</v>
      </c>
    </row>
    <row r="289" spans="1:33">
      <c r="A289" s="6">
        <f t="shared" si="207"/>
        <v>2050</v>
      </c>
      <c r="B289" s="4">
        <f t="shared" si="205"/>
        <v>0</v>
      </c>
      <c r="C289" s="4">
        <f>IF($B$260=0,0,IF(C$2&gt;=$A289,IF(C$2=$A289,($B289/$B$260)*$B$257,IF(C$2&lt;=$A289+$B$260-1,$B289/$B$260,$B289-SUM(B289:$C289))),0))</f>
        <v>0</v>
      </c>
      <c r="D289" s="4">
        <f>IF($B$260=0,0,IF(D$2&gt;=$A289,IF(D$2=$A289,($B289/$B$260)*$B$257,IF(D$2&lt;=$A289+$B$260-1,$B289/$B$260,$B289-SUM(C289:$C289))),0))</f>
        <v>0</v>
      </c>
      <c r="E289" s="4">
        <f>IF($B$260=0,0,IF(E$2&gt;=$A289,IF(E$2=$A289,($B289/$B$260)*$B$257,IF(E$2&lt;=$A289+$B$260-1,$B289/$B$260,$B289-SUM($C289:D289))),0))</f>
        <v>0</v>
      </c>
      <c r="F289" s="4">
        <f>IF($B$260=0,0,IF(F$2&gt;=$A289,IF(F$2=$A289,($B289/$B$260)*$B$257,IF(F$2&lt;=$A289+$B$260-1,$B289/$B$260,$B289-SUM($C289:E289))),0))</f>
        <v>0</v>
      </c>
      <c r="G289" s="4">
        <f>IF($B$260=0,0,IF(G$2&gt;=$A289,IF(G$2=$A289,($B289/$B$260)*$B$257,IF(G$2&lt;=$A289+$B$260-1,$B289/$B$260,$B289-SUM($C289:F289))),0))</f>
        <v>0</v>
      </c>
      <c r="H289" s="4">
        <f>IF($B$260=0,0,IF(H$2&gt;=$A289,IF(H$2=$A289,($B289/$B$260)*$B$257,IF(H$2&lt;=$A289+$B$260-1,$B289/$B$260,$B289-SUM($C289:G289))),0))</f>
        <v>0</v>
      </c>
      <c r="I289" s="4">
        <f>IF($B$260=0,0,IF(I$2&gt;=$A289,IF(I$2=$A289,($B289/$B$260)*$B$257,IF(I$2&lt;=$A289+$B$260-1,$B289/$B$260,$B289-SUM($C289:H289))),0))</f>
        <v>0</v>
      </c>
      <c r="J289" s="4">
        <f>IF($B$260=0,0,IF(J$2&gt;=$A289,IF(J$2=$A289,($B289/$B$260)*$B$257,IF(J$2&lt;=$A289+$B$260-1,$B289/$B$260,$B289-SUM($C289:I289))),0))</f>
        <v>0</v>
      </c>
      <c r="K289" s="4">
        <f>IF($B$260=0,0,IF(K$2&gt;=$A289,IF(K$2=$A289,($B289/$B$260)*$B$257,IF(K$2&lt;=$A289+$B$260-1,$B289/$B$260,$B289-SUM($C289:J289))),0))</f>
        <v>0</v>
      </c>
      <c r="L289" s="4">
        <f>IF($B$260=0,0,IF(L$2&gt;=$A289,IF(L$2=$A289,($B289/$B$260)*$B$257,IF(L$2&lt;=$A289+$B$260-1,$B289/$B$260,$B289-SUM($C289:K289))),0))</f>
        <v>0</v>
      </c>
      <c r="M289" s="4">
        <f>IF($B$260=0,0,IF(M$2&gt;=$A289,IF(M$2=$A289,($B289/$B$260)*$B$257,IF(M$2&lt;=$A289+$B$260-1,$B289/$B$260,$B289-SUM($C289:L289))),0))</f>
        <v>0</v>
      </c>
      <c r="N289" s="4">
        <f>IF($B$260=0,0,IF(N$2&gt;=$A289,IF(N$2=$A289,($B289/$B$260)*$B$257,IF(N$2&lt;=$A289+$B$260-1,$B289/$B$260,$B289-SUM($C289:M289))),0))</f>
        <v>0</v>
      </c>
      <c r="O289" s="4">
        <f>IF($B$260=0,0,IF(O$2&gt;=$A289,IF(O$2=$A289,($B289/$B$260)*$B$257,IF(O$2&lt;=$A289+$B$260-1,$B289/$B$260,$B289-SUM($C289:N289))),0))</f>
        <v>0</v>
      </c>
      <c r="P289" s="4">
        <f>IF($B$260=0,0,IF(P$2&gt;=$A289,IF(P$2=$A289,($B289/$B$260)*$B$257,IF(P$2&lt;=$A289+$B$260-1,$B289/$B$260,$B289-SUM($C289:O289))),0))</f>
        <v>0</v>
      </c>
      <c r="Q289" s="4">
        <f>IF($B$260=0,0,IF(Q$2&gt;=$A289,IF(Q$2=$A289,($B289/$B$260)*$B$257,IF(Q$2&lt;=$A289+$B$260-1,$B289/$B$260,$B289-SUM($C289:P289))),0))</f>
        <v>0</v>
      </c>
      <c r="R289" s="4">
        <f>IF($B$260=0,0,IF(R$2&gt;=$A289,IF(R$2=$A289,($B289/$B$260)*$B$257,IF(R$2&lt;=$A289+$B$260-1,$B289/$B$260,$B289-SUM($C289:Q289))),0))</f>
        <v>0</v>
      </c>
      <c r="S289" s="4">
        <f>IF($B$260=0,0,IF(S$2&gt;=$A289,IF(S$2=$A289,($B289/$B$260)*$B$257,IF(S$2&lt;=$A289+$B$260-1,$B289/$B$260,$B289-SUM($C289:R289))),0))</f>
        <v>0</v>
      </c>
      <c r="T289" s="4">
        <f>IF($B$260=0,0,IF(T$2&gt;=$A289,IF(T$2=$A289,($B289/$B$260)*$B$257,IF(T$2&lt;=$A289+$B$260-1,$B289/$B$260,$B289-SUM($C289:S289))),0))</f>
        <v>0</v>
      </c>
      <c r="U289" s="4">
        <f>IF($B$260=0,0,IF(U$2&gt;=$A289,IF(U$2=$A289,($B289/$B$260)*$B$257,IF(U$2&lt;=$A289+$B$260-1,$B289/$B$260,$B289-SUM($C289:T289))),0))</f>
        <v>0</v>
      </c>
      <c r="V289" s="4">
        <f>IF($B$260=0,0,IF(V$2&gt;=$A289,IF(V$2=$A289,($B289/$B$260)*$B$257,IF(V$2&lt;=$A289+$B$260-1,$B289/$B$260,$B289-SUM($C289:U289))),0))</f>
        <v>0</v>
      </c>
      <c r="W289" s="4">
        <f>IF($B$260=0,0,IF(W$2&gt;=$A289,IF(W$2=$A289,($B289/$B$260)*$B$257,IF(W$2&lt;=$A289+$B$260-1,$B289/$B$260,$B289-SUM($C289:V289))),0))</f>
        <v>0</v>
      </c>
      <c r="X289" s="4">
        <f>IF($B$260=0,0,IF(X$2&gt;=$A289,IF(X$2=$A289,($B289/$B$260)*$B$257,IF(X$2&lt;=$A289+$B$260-1,$B289/$B$260,$B289-SUM($C289:W289))),0))</f>
        <v>0</v>
      </c>
      <c r="Y289" s="4">
        <f>IF($B$260=0,0,IF(Y$2&gt;=$A289,IF(Y$2=$A289,($B289/$B$260)*$B$257,IF(Y$2&lt;=$A289+$B$260-1,$B289/$B$260,$B289-SUM($C289:X289))),0))</f>
        <v>0</v>
      </c>
      <c r="Z289" s="4">
        <f>IF($B$260=0,0,IF(Z$2&gt;=$A289,IF(Z$2=$A289,($B289/$B$260)*$B$257,IF(Z$2&lt;=$A289+$B$260-1,$B289/$B$260,$B289-SUM($C289:Y289))),0))</f>
        <v>0</v>
      </c>
      <c r="AA289" s="4">
        <f>IF($B$260=0,0,IF(AA$2&gt;=$A289,IF(AA$2=$A289,($B289/$B$260)*$B$257,IF(AA$2&lt;=$A289+$B$260-1,$B289/$B$260,$B289-SUM($C289:Z289))),0))</f>
        <v>0</v>
      </c>
      <c r="AB289" s="4">
        <f>IF($B$260=0,0,IF(AB$2&gt;=$A289,IF(AB$2=$A289,($B289/$B$260)*$B$257,IF(AB$2&lt;=$A289+$B$260-1,$B289/$B$260,$B289-SUM($C289:AA289))),0))</f>
        <v>0</v>
      </c>
      <c r="AC289" s="4">
        <f>IF($B$260=0,0,IF(AC$2&gt;=$A289,IF(AC$2=$A289,($B289/$B$260)*$B$257,IF(AC$2&lt;=$A289+$B$260-1,$B289/$B$260,$B289-SUM($C289:AB289))),0))</f>
        <v>0</v>
      </c>
      <c r="AD289" s="4">
        <f>IF($B$260=0,0,IF(AD$2&gt;=$A289,IF(AD$2=$A289,($B289/$B$260)*$B$257,IF(AD$2&lt;=$A289+$B$260-1,$B289/$B$260,$B289-SUM($C289:AC289))),0))</f>
        <v>0</v>
      </c>
      <c r="AE289" s="4">
        <f>IF($B$260=0,0,IF(AE$2&gt;=$A289,IF(AE$2=$A289,($B289/$B$260)*$B$257,IF(AE$2&lt;=$A289+$B$260-1,$B289/$B$260,$B289-SUM($C289:AD289))),0))</f>
        <v>0</v>
      </c>
      <c r="AF289" s="4">
        <f>IF($B$260=0,0,IF(AF$2&gt;=$A289,IF(AF$2=$A289,($B289/$B$260)*$B$257,IF(AF$2&lt;=$A289+$B$260-1,$B289/$B$260,$B289-SUM($C289:AE289))),0))</f>
        <v>0</v>
      </c>
      <c r="AG289" s="4">
        <f t="shared" si="208"/>
        <v>0</v>
      </c>
    </row>
    <row r="290" spans="1:33">
      <c r="A290" s="6">
        <f t="shared" si="207"/>
        <v>2051</v>
      </c>
      <c r="B290" s="4">
        <f t="shared" si="205"/>
        <v>0</v>
      </c>
      <c r="C290" s="4">
        <f>IF($B$260=0,0,IF(C$2&gt;=$A290,IF(C$2=$A290,($B290/$B$260)*$B$257,IF(C$2&lt;=$A290+$B$260-1,$B290/$B$260,$B290-SUM(B290:$C290))),0))</f>
        <v>0</v>
      </c>
      <c r="D290" s="4">
        <f>IF($B$260=0,0,IF(D$2&gt;=$A290,IF(D$2=$A290,($B290/$B$260)*$B$257,IF(D$2&lt;=$A290+$B$260-1,$B290/$B$260,$B290-SUM(C290:$C290))),0))</f>
        <v>0</v>
      </c>
      <c r="E290" s="4">
        <f>IF($B$260=0,0,IF(E$2&gt;=$A290,IF(E$2=$A290,($B290/$B$260)*$B$257,IF(E$2&lt;=$A290+$B$260-1,$B290/$B$260,$B290-SUM($C290:D290))),0))</f>
        <v>0</v>
      </c>
      <c r="F290" s="4">
        <f>IF($B$260=0,0,IF(F$2&gt;=$A290,IF(F$2=$A290,($B290/$B$260)*$B$257,IF(F$2&lt;=$A290+$B$260-1,$B290/$B$260,$B290-SUM($C290:E290))),0))</f>
        <v>0</v>
      </c>
      <c r="G290" s="4">
        <f>IF($B$260=0,0,IF(G$2&gt;=$A290,IF(G$2=$A290,($B290/$B$260)*$B$257,IF(G$2&lt;=$A290+$B$260-1,$B290/$B$260,$B290-SUM($C290:F290))),0))</f>
        <v>0</v>
      </c>
      <c r="H290" s="4">
        <f>IF($B$260=0,0,IF(H$2&gt;=$A290,IF(H$2=$A290,($B290/$B$260)*$B$257,IF(H$2&lt;=$A290+$B$260-1,$B290/$B$260,$B290-SUM($C290:G290))),0))</f>
        <v>0</v>
      </c>
      <c r="I290" s="4">
        <f>IF($B$260=0,0,IF(I$2&gt;=$A290,IF(I$2=$A290,($B290/$B$260)*$B$257,IF(I$2&lt;=$A290+$B$260-1,$B290/$B$260,$B290-SUM($C290:H290))),0))</f>
        <v>0</v>
      </c>
      <c r="J290" s="4">
        <f>IF($B$260=0,0,IF(J$2&gt;=$A290,IF(J$2=$A290,($B290/$B$260)*$B$257,IF(J$2&lt;=$A290+$B$260-1,$B290/$B$260,$B290-SUM($C290:I290))),0))</f>
        <v>0</v>
      </c>
      <c r="K290" s="4">
        <f>IF($B$260=0,0,IF(K$2&gt;=$A290,IF(K$2=$A290,($B290/$B$260)*$B$257,IF(K$2&lt;=$A290+$B$260-1,$B290/$B$260,$B290-SUM($C290:J290))),0))</f>
        <v>0</v>
      </c>
      <c r="L290" s="4">
        <f>IF($B$260=0,0,IF(L$2&gt;=$A290,IF(L$2=$A290,($B290/$B$260)*$B$257,IF(L$2&lt;=$A290+$B$260-1,$B290/$B$260,$B290-SUM($C290:K290))),0))</f>
        <v>0</v>
      </c>
      <c r="M290" s="4">
        <f>IF($B$260=0,0,IF(M$2&gt;=$A290,IF(M$2=$A290,($B290/$B$260)*$B$257,IF(M$2&lt;=$A290+$B$260-1,$B290/$B$260,$B290-SUM($C290:L290))),0))</f>
        <v>0</v>
      </c>
      <c r="N290" s="4">
        <f>IF($B$260=0,0,IF(N$2&gt;=$A290,IF(N$2=$A290,($B290/$B$260)*$B$257,IF(N$2&lt;=$A290+$B$260-1,$B290/$B$260,$B290-SUM($C290:M290))),0))</f>
        <v>0</v>
      </c>
      <c r="O290" s="4">
        <f>IF($B$260=0,0,IF(O$2&gt;=$A290,IF(O$2=$A290,($B290/$B$260)*$B$257,IF(O$2&lt;=$A290+$B$260-1,$B290/$B$260,$B290-SUM($C290:N290))),0))</f>
        <v>0</v>
      </c>
      <c r="P290" s="4">
        <f>IF($B$260=0,0,IF(P$2&gt;=$A290,IF(P$2=$A290,($B290/$B$260)*$B$257,IF(P$2&lt;=$A290+$B$260-1,$B290/$B$260,$B290-SUM($C290:O290))),0))</f>
        <v>0</v>
      </c>
      <c r="Q290" s="4">
        <f>IF($B$260=0,0,IF(Q$2&gt;=$A290,IF(Q$2=$A290,($B290/$B$260)*$B$257,IF(Q$2&lt;=$A290+$B$260-1,$B290/$B$260,$B290-SUM($C290:P290))),0))</f>
        <v>0</v>
      </c>
      <c r="R290" s="4">
        <f>IF($B$260=0,0,IF(R$2&gt;=$A290,IF(R$2=$A290,($B290/$B$260)*$B$257,IF(R$2&lt;=$A290+$B$260-1,$B290/$B$260,$B290-SUM($C290:Q290))),0))</f>
        <v>0</v>
      </c>
      <c r="S290" s="4">
        <f>IF($B$260=0,0,IF(S$2&gt;=$A290,IF(S$2=$A290,($B290/$B$260)*$B$257,IF(S$2&lt;=$A290+$B$260-1,$B290/$B$260,$B290-SUM($C290:R290))),0))</f>
        <v>0</v>
      </c>
      <c r="T290" s="4">
        <f>IF($B$260=0,0,IF(T$2&gt;=$A290,IF(T$2=$A290,($B290/$B$260)*$B$257,IF(T$2&lt;=$A290+$B$260-1,$B290/$B$260,$B290-SUM($C290:S290))),0))</f>
        <v>0</v>
      </c>
      <c r="U290" s="4">
        <f>IF($B$260=0,0,IF(U$2&gt;=$A290,IF(U$2=$A290,($B290/$B$260)*$B$257,IF(U$2&lt;=$A290+$B$260-1,$B290/$B$260,$B290-SUM($C290:T290))),0))</f>
        <v>0</v>
      </c>
      <c r="V290" s="4">
        <f>IF($B$260=0,0,IF(V$2&gt;=$A290,IF(V$2=$A290,($B290/$B$260)*$B$257,IF(V$2&lt;=$A290+$B$260-1,$B290/$B$260,$B290-SUM($C290:U290))),0))</f>
        <v>0</v>
      </c>
      <c r="W290" s="4">
        <f>IF($B$260=0,0,IF(W$2&gt;=$A290,IF(W$2=$A290,($B290/$B$260)*$B$257,IF(W$2&lt;=$A290+$B$260-1,$B290/$B$260,$B290-SUM($C290:V290))),0))</f>
        <v>0</v>
      </c>
      <c r="X290" s="4">
        <f>IF($B$260=0,0,IF(X$2&gt;=$A290,IF(X$2=$A290,($B290/$B$260)*$B$257,IF(X$2&lt;=$A290+$B$260-1,$B290/$B$260,$B290-SUM($C290:W290))),0))</f>
        <v>0</v>
      </c>
      <c r="Y290" s="4">
        <f>IF($B$260=0,0,IF(Y$2&gt;=$A290,IF(Y$2=$A290,($B290/$B$260)*$B$257,IF(Y$2&lt;=$A290+$B$260-1,$B290/$B$260,$B290-SUM($C290:X290))),0))</f>
        <v>0</v>
      </c>
      <c r="Z290" s="4">
        <f>IF($B$260=0,0,IF(Z$2&gt;=$A290,IF(Z$2=$A290,($B290/$B$260)*$B$257,IF(Z$2&lt;=$A290+$B$260-1,$B290/$B$260,$B290-SUM($C290:Y290))),0))</f>
        <v>0</v>
      </c>
      <c r="AA290" s="4">
        <f>IF($B$260=0,0,IF(AA$2&gt;=$A290,IF(AA$2=$A290,($B290/$B$260)*$B$257,IF(AA$2&lt;=$A290+$B$260-1,$B290/$B$260,$B290-SUM($C290:Z290))),0))</f>
        <v>0</v>
      </c>
      <c r="AB290" s="4">
        <f>IF($B$260=0,0,IF(AB$2&gt;=$A290,IF(AB$2=$A290,($B290/$B$260)*$B$257,IF(AB$2&lt;=$A290+$B$260-1,$B290/$B$260,$B290-SUM($C290:AA290))),0))</f>
        <v>0</v>
      </c>
      <c r="AC290" s="4">
        <f>IF($B$260=0,0,IF(AC$2&gt;=$A290,IF(AC$2=$A290,($B290/$B$260)*$B$257,IF(AC$2&lt;=$A290+$B$260-1,$B290/$B$260,$B290-SUM($C290:AB290))),0))</f>
        <v>0</v>
      </c>
      <c r="AD290" s="4">
        <f>IF($B$260=0,0,IF(AD$2&gt;=$A290,IF(AD$2=$A290,($B290/$B$260)*$B$257,IF(AD$2&lt;=$A290+$B$260-1,$B290/$B$260,$B290-SUM($C290:AC290))),0))</f>
        <v>0</v>
      </c>
      <c r="AE290" s="4">
        <f>IF($B$260=0,0,IF(AE$2&gt;=$A290,IF(AE$2=$A290,($B290/$B$260)*$B$257,IF(AE$2&lt;=$A290+$B$260-1,$B290/$B$260,$B290-SUM($C290:AD290))),0))</f>
        <v>0</v>
      </c>
      <c r="AF290" s="4">
        <f>IF($B$260=0,0,IF(AF$2&gt;=$A290,IF(AF$2=$A290,($B290/$B$260)*$B$257,IF(AF$2&lt;=$A290+$B$260-1,$B290/$B$260,$B290-SUM($C290:AE290))),0))</f>
        <v>0</v>
      </c>
      <c r="AG290" s="4">
        <f t="shared" si="208"/>
        <v>0</v>
      </c>
    </row>
    <row r="291" spans="1:33" ht="15" thickBot="1">
      <c r="A291" s="6" t="str">
        <f>"Total Depreciation - "&amp;A257</f>
        <v>Total Depreciation - Interior Costs - Construction</v>
      </c>
      <c r="B291" s="43">
        <f>SUM(B261:B290)</f>
        <v>76500959.258979723</v>
      </c>
      <c r="C291" s="43">
        <f>SUM(C261:C290)</f>
        <v>0</v>
      </c>
      <c r="D291" s="43">
        <f t="shared" ref="D291:AF291" si="209">SUM(D261:D290)</f>
        <v>0</v>
      </c>
      <c r="E291" s="43">
        <f t="shared" si="209"/>
        <v>0</v>
      </c>
      <c r="F291" s="43">
        <f t="shared" si="209"/>
        <v>637507.99382483098</v>
      </c>
      <c r="G291" s="43">
        <f t="shared" si="209"/>
        <v>1275015.987649662</v>
      </c>
      <c r="H291" s="43">
        <f t="shared" si="209"/>
        <v>1275015.987649662</v>
      </c>
      <c r="I291" s="43">
        <f t="shared" si="209"/>
        <v>1275015.987649662</v>
      </c>
      <c r="J291" s="43">
        <f t="shared" si="209"/>
        <v>1275015.987649662</v>
      </c>
      <c r="K291" s="43">
        <f t="shared" si="209"/>
        <v>1275015.987649662</v>
      </c>
      <c r="L291" s="43">
        <f t="shared" si="209"/>
        <v>1275015.987649662</v>
      </c>
      <c r="M291" s="43">
        <f t="shared" si="209"/>
        <v>1275015.987649662</v>
      </c>
      <c r="N291" s="43">
        <f t="shared" si="209"/>
        <v>1275015.987649662</v>
      </c>
      <c r="O291" s="43">
        <f t="shared" si="209"/>
        <v>1275015.987649662</v>
      </c>
      <c r="P291" s="43">
        <f t="shared" si="209"/>
        <v>1275015.987649662</v>
      </c>
      <c r="Q291" s="43">
        <f t="shared" si="209"/>
        <v>1275015.987649662</v>
      </c>
      <c r="R291" s="43">
        <f t="shared" si="209"/>
        <v>1275015.987649662</v>
      </c>
      <c r="S291" s="43">
        <f t="shared" si="209"/>
        <v>1275015.987649662</v>
      </c>
      <c r="T291" s="43">
        <f t="shared" si="209"/>
        <v>1275015.987649662</v>
      </c>
      <c r="U291" s="43">
        <f t="shared" si="209"/>
        <v>1275015.987649662</v>
      </c>
      <c r="V291" s="43">
        <f t="shared" si="209"/>
        <v>1275015.987649662</v>
      </c>
      <c r="W291" s="43">
        <f t="shared" si="209"/>
        <v>1275015.987649662</v>
      </c>
      <c r="X291" s="43">
        <f t="shared" si="209"/>
        <v>1275015.987649662</v>
      </c>
      <c r="Y291" s="43">
        <f t="shared" si="209"/>
        <v>1275015.987649662</v>
      </c>
      <c r="Z291" s="43">
        <f t="shared" si="209"/>
        <v>1275015.987649662</v>
      </c>
      <c r="AA291" s="43">
        <f t="shared" si="209"/>
        <v>1275015.987649662</v>
      </c>
      <c r="AB291" s="43">
        <f t="shared" si="209"/>
        <v>1275015.987649662</v>
      </c>
      <c r="AC291" s="43">
        <f t="shared" si="209"/>
        <v>1275015.987649662</v>
      </c>
      <c r="AD291" s="43">
        <f t="shared" si="209"/>
        <v>1275015.987649662</v>
      </c>
      <c r="AE291" s="43">
        <f t="shared" si="209"/>
        <v>1275015.987649662</v>
      </c>
      <c r="AF291" s="43">
        <f t="shared" si="209"/>
        <v>1275015.987649662</v>
      </c>
      <c r="AG291" s="43">
        <f>SUM(C291:AF291)</f>
        <v>33787923.672716029</v>
      </c>
    </row>
    <row r="293" spans="1:33">
      <c r="A293" s="302" t="str">
        <f>+Capex!$A$14</f>
        <v>Maintenance Capital</v>
      </c>
      <c r="B293" s="324">
        <f>+Capex!$C$14/12</f>
        <v>0.5</v>
      </c>
    </row>
    <row r="294" spans="1:33">
      <c r="A294" s="6" t="s">
        <v>399</v>
      </c>
      <c r="C294" s="40">
        <f>IF(Capex!$B$14=0,Capex!G$14,IF(Capex!$B$14=Capex!G$4,Capex!$AK$14,0))+IF(Capex!$B$14=0,Capex!G$28,IF(Capex!$B$14=Capex!G$4,Capex!$AK$28,0))</f>
        <v>0</v>
      </c>
      <c r="D294" s="40">
        <f>IF(Capex!$B$14=0,Capex!H$14,IF(Capex!$B$14=Capex!H$4,Capex!$AK$14,0))+IF(Capex!$B$14=0,Capex!H$28,IF(Capex!$B$14=Capex!H$4,Capex!$AK$28,0))</f>
        <v>0</v>
      </c>
      <c r="E294" s="40">
        <f>IF(Capex!$B$14=0,Capex!I$14,IF(Capex!$B$14=Capex!I$4,Capex!$AK$14,0))+IF(Capex!$B$14=0,Capex!I$28,IF(Capex!$B$14=Capex!I$4,Capex!$AK$28,0))</f>
        <v>0</v>
      </c>
      <c r="F294" s="40">
        <f>IF(Capex!$B$14=0,Capex!J$14,IF(Capex!$B$14=Capex!J$4,Capex!$AK$14,0))+IF(Capex!$B$14=0,Capex!J$28,IF(Capex!$B$14=Capex!J$4,Capex!$AK$28,0))</f>
        <v>0</v>
      </c>
      <c r="G294" s="40">
        <f>IF(Capex!$B$14=0,Capex!K$14,IF(Capex!$B$14=Capex!K$4,Capex!$AK$14,0))+IF(Capex!$B$14=0,Capex!K$28,IF(Capex!$B$14=Capex!K$4,Capex!$AK$28,0))</f>
        <v>0</v>
      </c>
      <c r="H294" s="40">
        <f>IF(Capex!$B$14=0,Capex!L$14,IF(Capex!$B$14=Capex!L$4,Capex!$AK$14,0))+IF(Capex!$B$14=0,Capex!L$28,IF(Capex!$B$14=Capex!L$4,Capex!$AK$28,0))</f>
        <v>0</v>
      </c>
      <c r="I294" s="40">
        <f>IF(Capex!$B$14=0,Capex!M$14,IF(Capex!$B$14=Capex!M$4,Capex!$AK$14,0))+IF(Capex!$B$14=0,Capex!M$28,IF(Capex!$B$14=Capex!M$4,Capex!$AK$28,0))</f>
        <v>0</v>
      </c>
      <c r="J294" s="40">
        <f>IF(Capex!$B$14=0,Capex!N$14,IF(Capex!$B$14=Capex!N$4,Capex!$AK$14,0))+IF(Capex!$B$14=0,Capex!N$28,IF(Capex!$B$14=Capex!N$4,Capex!$AK$28,0))</f>
        <v>0</v>
      </c>
      <c r="K294" s="40">
        <f>IF(Capex!$B$14=0,Capex!O$14,IF(Capex!$B$14=Capex!O$4,Capex!$AK$14,0))+IF(Capex!$B$14=0,Capex!O$28,IF(Capex!$B$14=Capex!O$4,Capex!$AK$28,0))</f>
        <v>0</v>
      </c>
      <c r="L294" s="40">
        <f>IF(Capex!$B$14=0,Capex!P$14,IF(Capex!$B$14=Capex!P$4,Capex!$AK$14,0))+IF(Capex!$B$14=0,Capex!P$28,IF(Capex!$B$14=Capex!P$4,Capex!$AK$28,0))</f>
        <v>26500</v>
      </c>
      <c r="M294" s="40">
        <f>IF(Capex!$B$14=0,Capex!Q$14,IF(Capex!$B$14=Capex!Q$4,Capex!$AK$14,0))+IF(Capex!$B$14=0,Capex!Q$28,IF(Capex!$B$14=Capex!Q$4,Capex!$AK$28,0))</f>
        <v>27295</v>
      </c>
      <c r="N294" s="40">
        <f>IF(Capex!$B$14=0,Capex!R$14,IF(Capex!$B$14=Capex!R$4,Capex!$AK$14,0))+IF(Capex!$B$14=0,Capex!R$28,IF(Capex!$B$14=Capex!R$4,Capex!$AK$28,0))</f>
        <v>28364.72309090909</v>
      </c>
      <c r="O294" s="40">
        <f>IF(Capex!$B$14=0,Capex!S$14,IF(Capex!$B$14=Capex!S$4,Capex!$AK$14,0))+IF(Capex!$B$14=0,Capex!S$28,IF(Capex!$B$14=Capex!S$4,Capex!$AK$28,0))</f>
        <v>29215.671818181818</v>
      </c>
      <c r="P294" s="40">
        <f>IF(Capex!$B$14=0,Capex!T$14,IF(Capex!$B$14=Capex!T$4,Capex!$AK$14,0))+IF(Capex!$B$14=0,Capex!T$28,IF(Capex!$B$14=Capex!T$4,Capex!$AK$28,0))</f>
        <v>30092.137636363637</v>
      </c>
      <c r="Q294" s="40">
        <f>IF(Capex!$B$14=0,Capex!U$14,IF(Capex!$B$14=Capex!U$4,Capex!$AK$14,0))+IF(Capex!$B$14=0,Capex!U$28,IF(Capex!$B$14=Capex!U$4,Capex!$AK$28,0))</f>
        <v>30994.90109090909</v>
      </c>
      <c r="R294" s="40">
        <f>IF(Capex!$B$14=0,Capex!V$14,IF(Capex!$B$14=Capex!V$4,Capex!$AK$14,0))+IF(Capex!$B$14=0,Capex!V$28,IF(Capex!$B$14=Capex!V$4,Capex!$AK$28,0))</f>
        <v>66841.190909090918</v>
      </c>
      <c r="S294" s="40">
        <f>IF(Capex!$B$14=0,Capex!W$14,IF(Capex!$B$14=Capex!W$4,Capex!$AK$14,0))+IF(Capex!$B$14=0,Capex!W$28,IF(Capex!$B$14=Capex!W$4,Capex!$AK$28,0))</f>
        <v>68846.431454545454</v>
      </c>
      <c r="T294" s="40">
        <f>IF(Capex!$B$14=0,Capex!X$14,IF(Capex!$B$14=Capex!X$4,Capex!$AK$14,0))+IF(Capex!$B$14=0,Capex!X$28,IF(Capex!$B$14=Capex!X$4,Capex!$AK$28,0))</f>
        <v>70911.822181818177</v>
      </c>
      <c r="U294" s="40">
        <f>IF(Capex!$B$14=0,Capex!Y$14,IF(Capex!$B$14=Capex!Y$4,Capex!$AK$14,0))+IF(Capex!$B$14=0,Capex!Y$28,IF(Capex!$B$14=Capex!Y$4,Capex!$AK$28,0))</f>
        <v>73039.174727272723</v>
      </c>
      <c r="V294" s="40">
        <f>IF(Capex!$B$14=0,Capex!Z$14,IF(Capex!$B$14=Capex!Z$4,Capex!$AK$14,0))+IF(Capex!$B$14=0,Capex!Z$28,IF(Capex!$B$14=Capex!Z$4,Capex!$AK$28,0))</f>
        <v>75230.348909090899</v>
      </c>
      <c r="W294" s="40">
        <f>IF(Capex!$B$14=0,Capex!AA$14,IF(Capex!$B$14=Capex!AA$4,Capex!$AK$14,0))+IF(Capex!$B$14=0,Capex!AA$28,IF(Capex!$B$14=Capex!AA$4,Capex!$AK$28,0))</f>
        <v>77487.262363636371</v>
      </c>
      <c r="X294" s="40">
        <f>IF(Capex!$B$14=0,Capex!AB$14,IF(Capex!$B$14=Capex!AB$4,Capex!$AK$14,0))+IF(Capex!$B$14=0,Capex!AB$28,IF(Capex!$B$14=Capex!AB$4,Capex!$AK$28,0))</f>
        <v>79811.880909090905</v>
      </c>
      <c r="Y294" s="40">
        <f>IF(Capex!$B$14=0,Capex!AC$14,IF(Capex!$B$14=Capex!AC$4,Capex!$AK$14,0))+IF(Capex!$B$14=0,Capex!AC$28,IF(Capex!$B$14=Capex!AC$4,Capex!$AK$28,0))</f>
        <v>82206.23781818182</v>
      </c>
      <c r="Z294" s="40">
        <f>IF(Capex!$B$14=0,Capex!AD$14,IF(Capex!$B$14=Capex!AD$4,Capex!$AK$14,0))+IF(Capex!$B$14=0,Capex!AD$28,IF(Capex!$B$14=Capex!AD$4,Capex!$AK$28,0))</f>
        <v>84672.424181818176</v>
      </c>
      <c r="AA294" s="40">
        <f>IF(Capex!$B$14=0,Capex!AE$14,IF(Capex!$B$14=Capex!AE$4,Capex!$AK$14,0))+IF(Capex!$B$14=0,Capex!AE$28,IF(Capex!$B$14=Capex!AE$4,Capex!$AK$28,0))</f>
        <v>87212.588909090904</v>
      </c>
      <c r="AB294" s="40">
        <f>IF(Capex!$B$14=0,Capex!AF$14,IF(Capex!$B$14=Capex!AF$4,Capex!$AK$14,0))+IF(Capex!$B$14=0,Capex!AF$28,IF(Capex!$B$14=Capex!AF$4,Capex!$AK$28,0))</f>
        <v>89828.967636363639</v>
      </c>
      <c r="AC294" s="40">
        <f>IF(Capex!$B$14=0,Capex!AG$14,IF(Capex!$B$14=Capex!AG$4,Capex!$AK$14,0))+IF(Capex!$B$14=0,Capex!AG$28,IF(Capex!$B$14=Capex!AG$4,Capex!$AK$28,0))</f>
        <v>92523.844181818175</v>
      </c>
      <c r="AD294" s="40">
        <f>IF(Capex!$B$14=0,Capex!AH$14,IF(Capex!$B$14=Capex!AH$4,Capex!$AK$14,0))+IF(Capex!$B$14=0,Capex!AH$28,IF(Capex!$B$14=Capex!AH$4,Capex!$AK$28,0))</f>
        <v>95299.560181818175</v>
      </c>
      <c r="AE294" s="40">
        <f>IF(Capex!$B$14=0,Capex!AI$14,IF(Capex!$B$14=Capex!AI$4,Capex!$AK$14,0))+IF(Capex!$B$14=0,Capex!AI$28,IF(Capex!$B$14=Capex!AI$4,Capex!$AK$28,0))</f>
        <v>98158.543999999994</v>
      </c>
      <c r="AF294" s="40">
        <f>IF(Capex!$B$14=0,Capex!AJ$14,IF(Capex!$B$14=Capex!AJ$4,Capex!$AK$14,0))+IF(Capex!$B$14=0,Capex!AJ$28,IF(Capex!$B$14=Capex!AJ$4,Capex!$AK$28,0))</f>
        <v>101103.3010909091</v>
      </c>
    </row>
    <row r="295" spans="1:33">
      <c r="A295" s="6" t="s">
        <v>400</v>
      </c>
      <c r="B295" s="299"/>
      <c r="C295" s="49">
        <f>+C294</f>
        <v>0</v>
      </c>
      <c r="D295" s="49">
        <f t="shared" ref="D295" si="210">+D294+C295</f>
        <v>0</v>
      </c>
      <c r="E295" s="49">
        <f t="shared" ref="E295" si="211">+E294+D295</f>
        <v>0</v>
      </c>
      <c r="F295" s="49">
        <f t="shared" ref="F295" si="212">+F294+E295</f>
        <v>0</v>
      </c>
      <c r="G295" s="49">
        <f t="shared" ref="G295" si="213">+G294+F295</f>
        <v>0</v>
      </c>
      <c r="H295" s="49">
        <f t="shared" ref="H295" si="214">+H294+G295</f>
        <v>0</v>
      </c>
      <c r="I295" s="49">
        <f t="shared" ref="I295" si="215">+I294+H295</f>
        <v>0</v>
      </c>
      <c r="J295" s="49">
        <f t="shared" ref="J295" si="216">+J294+I295</f>
        <v>0</v>
      </c>
      <c r="K295" s="49">
        <f t="shared" ref="K295" si="217">+K294+J295</f>
        <v>0</v>
      </c>
      <c r="L295" s="49">
        <f t="shared" ref="L295" si="218">+L294+K295</f>
        <v>26500</v>
      </c>
      <c r="M295" s="49">
        <f t="shared" ref="M295" si="219">+M294+L295</f>
        <v>53795</v>
      </c>
      <c r="N295" s="49">
        <f t="shared" ref="N295" si="220">+N294+M295</f>
        <v>82159.723090909087</v>
      </c>
      <c r="O295" s="49">
        <f t="shared" ref="O295" si="221">+O294+N295</f>
        <v>111375.3949090909</v>
      </c>
      <c r="P295" s="49">
        <f t="shared" ref="P295" si="222">+P294+O295</f>
        <v>141467.53254545454</v>
      </c>
      <c r="Q295" s="49">
        <f t="shared" ref="Q295" si="223">+Q294+P295</f>
        <v>172462.43363636362</v>
      </c>
      <c r="R295" s="49">
        <f t="shared" ref="R295" si="224">+R294+Q295</f>
        <v>239303.62454545454</v>
      </c>
      <c r="S295" s="49">
        <f t="shared" ref="S295" si="225">+S294+R295</f>
        <v>308150.05599999998</v>
      </c>
      <c r="T295" s="49">
        <f t="shared" ref="T295" si="226">+T294+S295</f>
        <v>379061.87818181817</v>
      </c>
      <c r="U295" s="49">
        <f t="shared" ref="U295" si="227">+U294+T295</f>
        <v>452101.05290909088</v>
      </c>
      <c r="V295" s="49">
        <f t="shared" ref="V295" si="228">+V294+U295</f>
        <v>527331.40181818174</v>
      </c>
      <c r="W295" s="49">
        <f t="shared" ref="W295" si="229">+W294+V295</f>
        <v>604818.66418181814</v>
      </c>
      <c r="X295" s="49">
        <f t="shared" ref="X295" si="230">+X294+W295</f>
        <v>684630.545090909</v>
      </c>
      <c r="Y295" s="49">
        <f t="shared" ref="Y295" si="231">+Y294+X295</f>
        <v>766836.78290909086</v>
      </c>
      <c r="Z295" s="49">
        <f t="shared" ref="Z295" si="232">+Z294+Y295</f>
        <v>851509.20709090901</v>
      </c>
      <c r="AA295" s="49">
        <f t="shared" ref="AA295" si="233">+AA294+Z295</f>
        <v>938721.79599999986</v>
      </c>
      <c r="AB295" s="49">
        <f t="shared" ref="AB295" si="234">+AB294+AA295</f>
        <v>1028550.7636363634</v>
      </c>
      <c r="AC295" s="49">
        <f t="shared" ref="AC295" si="235">+AC294+AB295</f>
        <v>1121074.6078181816</v>
      </c>
      <c r="AD295" s="49">
        <f t="shared" ref="AD295" si="236">+AD294+AC295</f>
        <v>1216374.1679999998</v>
      </c>
      <c r="AE295" s="49">
        <f t="shared" ref="AE295" si="237">+AE294+AD295</f>
        <v>1314532.7119999998</v>
      </c>
      <c r="AF295" s="49">
        <f t="shared" ref="AF295" si="238">+AF294+AE295</f>
        <v>1415636.013090909</v>
      </c>
    </row>
    <row r="296" spans="1:33" ht="16.2">
      <c r="A296" s="6" t="s">
        <v>401</v>
      </c>
      <c r="B296" s="88">
        <f>+Capex!$D$14</f>
        <v>60</v>
      </c>
      <c r="AG296" s="462"/>
    </row>
    <row r="297" spans="1:33">
      <c r="A297" s="6">
        <f>+A117</f>
        <v>2022</v>
      </c>
      <c r="B297" s="4">
        <f t="shared" ref="B297:B326" si="239">SUMIF($C$2:$AF$2,A297,$C$294:$AF$294)</f>
        <v>0</v>
      </c>
      <c r="C297" s="4">
        <f>IF($B$296=0,0,IF(C$2&gt;=$A297,IF(C$2=$A297,($B297/$B$296)*$B$293,IF(C$2&lt;=$A297+$B$296-1,$B297/$B$296,$B297-SUM(B297:$C297))),0))</f>
        <v>0</v>
      </c>
      <c r="D297" s="4">
        <f>IF($B$296=0,0,IF(D$2&gt;=$A297,IF(D$2=$A297,($B297/$B$296)*$B$293,IF(D$2&lt;=$A297+$B$296-1,$B297/$B$296,$B297-SUM(C297:$C297))),0))</f>
        <v>0</v>
      </c>
      <c r="E297" s="4">
        <f>IF($B$296=0,0,IF(E$2&gt;=$A297,IF(E$2=$A297,($B297/$B$296)*$B$293,IF(E$2&lt;=$A297+$B$296-1,$B297/$B$296,$B297-SUM($C297:D297))),0))</f>
        <v>0</v>
      </c>
      <c r="F297" s="4">
        <f>IF($B$296=0,0,IF(F$2&gt;=$A297,IF(F$2=$A297,($B297/$B$296)*$B$293,IF(F$2&lt;=$A297+$B$296-1,$B297/$B$296,$B297-SUM($C297:E297))),0))</f>
        <v>0</v>
      </c>
      <c r="G297" s="4">
        <f>IF($B$296=0,0,IF(G$2&gt;=$A297,IF(G$2=$A297,($B297/$B$296)*$B$293,IF(G$2&lt;=$A297+$B$296-1,$B297/$B$296,$B297-SUM($C297:F297))),0))</f>
        <v>0</v>
      </c>
      <c r="H297" s="4">
        <f>IF($B$296=0,0,IF(H$2&gt;=$A297,IF(H$2=$A297,($B297/$B$296)*$B$293,IF(H$2&lt;=$A297+$B$296-1,$B297/$B$296,$B297-SUM($C297:G297))),0))</f>
        <v>0</v>
      </c>
      <c r="I297" s="4">
        <f>IF($B$296=0,0,IF(I$2&gt;=$A297,IF(I$2=$A297,($B297/$B$296)*$B$293,IF(I$2&lt;=$A297+$B$296-1,$B297/$B$296,$B297-SUM($C297:H297))),0))</f>
        <v>0</v>
      </c>
      <c r="J297" s="4">
        <f>IF($B$296=0,0,IF(J$2&gt;=$A297,IF(J$2=$A297,($B297/$B$296)*$B$293,IF(J$2&lt;=$A297+$B$296-1,$B297/$B$296,$B297-SUM($C297:I297))),0))</f>
        <v>0</v>
      </c>
      <c r="K297" s="4">
        <f>IF($B$296=0,0,IF(K$2&gt;=$A297,IF(K$2=$A297,($B297/$B$296)*$B$293,IF(K$2&lt;=$A297+$B$296-1,$B297/$B$296,$B297-SUM($C297:J297))),0))</f>
        <v>0</v>
      </c>
      <c r="L297" s="4">
        <f>IF($B$296=0,0,IF(L$2&gt;=$A297,IF(L$2=$A297,($B297/$B$296)*$B$293,IF(L$2&lt;=$A297+$B$296-1,$B297/$B$296,$B297-SUM($C297:K297))),0))</f>
        <v>0</v>
      </c>
      <c r="M297" s="4">
        <f>IF($B$296=0,0,IF(M$2&gt;=$A297,IF(M$2=$A297,($B297/$B$296)*$B$293,IF(M$2&lt;=$A297+$B$296-1,$B297/$B$296,$B297-SUM($C297:L297))),0))</f>
        <v>0</v>
      </c>
      <c r="N297" s="4">
        <f>IF($B$296=0,0,IF(N$2&gt;=$A297,IF(N$2=$A297,($B297/$B$296)*$B$293,IF(N$2&lt;=$A297+$B$296-1,$B297/$B$296,$B297-SUM($C297:M297))),0))</f>
        <v>0</v>
      </c>
      <c r="O297" s="4">
        <f>IF($B$296=0,0,IF(O$2&gt;=$A297,IF(O$2=$A297,($B297/$B$296)*$B$293,IF(O$2&lt;=$A297+$B$296-1,$B297/$B$296,$B297-SUM($C297:N297))),0))</f>
        <v>0</v>
      </c>
      <c r="P297" s="4">
        <f>IF($B$296=0,0,IF(P$2&gt;=$A297,IF(P$2=$A297,($B297/$B$296)*$B$293,IF(P$2&lt;=$A297+$B$296-1,$B297/$B$296,$B297-SUM($C297:O297))),0))</f>
        <v>0</v>
      </c>
      <c r="Q297" s="4">
        <f>IF($B$296=0,0,IF(Q$2&gt;=$A297,IF(Q$2=$A297,($B297/$B$296)*$B$293,IF(Q$2&lt;=$A297+$B$296-1,$B297/$B$296,$B297-SUM($C297:P297))),0))</f>
        <v>0</v>
      </c>
      <c r="R297" s="4">
        <f>IF($B$296=0,0,IF(R$2&gt;=$A297,IF(R$2=$A297,($B297/$B$296)*$B$293,IF(R$2&lt;=$A297+$B$296-1,$B297/$B$296,$B297-SUM($C297:Q297))),0))</f>
        <v>0</v>
      </c>
      <c r="S297" s="4">
        <f>IF($B$296=0,0,IF(S$2&gt;=$A297,IF(S$2=$A297,($B297/$B$296)*$B$293,IF(S$2&lt;=$A297+$B$296-1,$B297/$B$296,$B297-SUM($C297:R297))),0))</f>
        <v>0</v>
      </c>
      <c r="T297" s="4">
        <f>IF($B$296=0,0,IF(T$2&gt;=$A297,IF(T$2=$A297,($B297/$B$296)*$B$293,IF(T$2&lt;=$A297+$B$296-1,$B297/$B$296,$B297-SUM($C297:S297))),0))</f>
        <v>0</v>
      </c>
      <c r="U297" s="4">
        <f>IF($B$296=0,0,IF(U$2&gt;=$A297,IF(U$2=$A297,($B297/$B$296)*$B$293,IF(U$2&lt;=$A297+$B$296-1,$B297/$B$296,$B297-SUM($C297:T297))),0))</f>
        <v>0</v>
      </c>
      <c r="V297" s="4">
        <f>IF($B$296=0,0,IF(V$2&gt;=$A297,IF(V$2=$A297,($B297/$B$296)*$B$293,IF(V$2&lt;=$A297+$B$296-1,$B297/$B$296,$B297-SUM($C297:U297))),0))</f>
        <v>0</v>
      </c>
      <c r="W297" s="4">
        <f>IF($B$296=0,0,IF(W$2&gt;=$A297,IF(W$2=$A297,($B297/$B$296)*$B$293,IF(W$2&lt;=$A297+$B$296-1,$B297/$B$296,$B297-SUM($C297:V297))),0))</f>
        <v>0</v>
      </c>
      <c r="X297" s="4">
        <f>IF($B$296=0,0,IF(X$2&gt;=$A297,IF(X$2=$A297,($B297/$B$296)*$B$293,IF(X$2&lt;=$A297+$B$296-1,$B297/$B$296,$B297-SUM($C297:W297))),0))</f>
        <v>0</v>
      </c>
      <c r="Y297" s="4">
        <f>IF($B$296=0,0,IF(Y$2&gt;=$A297,IF(Y$2=$A297,($B297/$B$296)*$B$293,IF(Y$2&lt;=$A297+$B$296-1,$B297/$B$296,$B297-SUM($C297:X297))),0))</f>
        <v>0</v>
      </c>
      <c r="Z297" s="4">
        <f>IF($B$296=0,0,IF(Z$2&gt;=$A297,IF(Z$2=$A297,($B297/$B$296)*$B$293,IF(Z$2&lt;=$A297+$B$296-1,$B297/$B$296,$B297-SUM($C297:Y297))),0))</f>
        <v>0</v>
      </c>
      <c r="AA297" s="4">
        <f>IF($B$296=0,0,IF(AA$2&gt;=$A297,IF(AA$2=$A297,($B297/$B$296)*$B$293,IF(AA$2&lt;=$A297+$B$296-1,$B297/$B$296,$B297-SUM($C297:Z297))),0))</f>
        <v>0</v>
      </c>
      <c r="AB297" s="4">
        <f>IF($B$296=0,0,IF(AB$2&gt;=$A297,IF(AB$2=$A297,($B297/$B$296)*$B$293,IF(AB$2&lt;=$A297+$B$296-1,$B297/$B$296,$B297-SUM($C297:AA297))),0))</f>
        <v>0</v>
      </c>
      <c r="AC297" s="4">
        <f>IF($B$296=0,0,IF(AC$2&gt;=$A297,IF(AC$2=$A297,($B297/$B$296)*$B$293,IF(AC$2&lt;=$A297+$B$296-1,$B297/$B$296,$B297-SUM($C297:AB297))),0))</f>
        <v>0</v>
      </c>
      <c r="AD297" s="4">
        <f>IF($B$296=0,0,IF(AD$2&gt;=$A297,IF(AD$2=$A297,($B297/$B$296)*$B$293,IF(AD$2&lt;=$A297+$B$296-1,$B297/$B$296,$B297-SUM($C297:AC297))),0))</f>
        <v>0</v>
      </c>
      <c r="AE297" s="4">
        <f>IF($B$296=0,0,IF(AE$2&gt;=$A297,IF(AE$2=$A297,($B297/$B$296)*$B$293,IF(AE$2&lt;=$A297+$B$296-1,$B297/$B$296,$B297-SUM($C297:AD297))),0))</f>
        <v>0</v>
      </c>
      <c r="AF297" s="4">
        <f>IF($B$296=0,0,IF(AF$2&gt;=$A297,IF(AF$2=$A297,($B297/$B$296)*$B$293,IF(AF$2&lt;=$A297+$B$296-1,$B297/$B$296,$B297-SUM($C297:AE297))),0))</f>
        <v>0</v>
      </c>
      <c r="AG297" s="4">
        <f t="shared" ref="AG297:AG321" si="240">SUM(C297:AF297)</f>
        <v>0</v>
      </c>
    </row>
    <row r="298" spans="1:33">
      <c r="A298" s="6">
        <f>+A297+1</f>
        <v>2023</v>
      </c>
      <c r="B298" s="4">
        <f t="shared" si="239"/>
        <v>0</v>
      </c>
      <c r="C298" s="4">
        <f>IF($B$296=0,0,IF(C$2&gt;=$A298,IF(C$2=$A298,($B298/$B$296)*$B$293,IF(C$2&lt;=$A298+$B$296-1,$B298/$B$296,$B298-SUM(B298:$C298))),0))</f>
        <v>0</v>
      </c>
      <c r="D298" s="4">
        <f>IF($B$296=0,0,IF(D$2&gt;=$A298,IF(D$2=$A298,($B298/$B$296)*$B$293,IF(D$2&lt;=$A298+$B$296-1,$B298/$B$296,$B298-SUM(C298:$C298))),0))</f>
        <v>0</v>
      </c>
      <c r="E298" s="4">
        <f>IF($B$296=0,0,IF(E$2&gt;=$A298,IF(E$2=$A298,($B298/$B$296)*$B$293,IF(E$2&lt;=$A298+$B$296-1,$B298/$B$296,$B298-SUM($C298:D298))),0))</f>
        <v>0</v>
      </c>
      <c r="F298" s="4">
        <f>IF($B$296=0,0,IF(F$2&gt;=$A298,IF(F$2=$A298,($B298/$B$296)*$B$293,IF(F$2&lt;=$A298+$B$296-1,$B298/$B$296,$B298-SUM($C298:E298))),0))</f>
        <v>0</v>
      </c>
      <c r="G298" s="4">
        <f>IF($B$296=0,0,IF(G$2&gt;=$A298,IF(G$2=$A298,($B298/$B$296)*$B$293,IF(G$2&lt;=$A298+$B$296-1,$B298/$B$296,$B298-SUM($C298:F298))),0))</f>
        <v>0</v>
      </c>
      <c r="H298" s="4">
        <f>IF($B$296=0,0,IF(H$2&gt;=$A298,IF(H$2=$A298,($B298/$B$296)*$B$293,IF(H$2&lt;=$A298+$B$296-1,$B298/$B$296,$B298-SUM($C298:G298))),0))</f>
        <v>0</v>
      </c>
      <c r="I298" s="4">
        <f>IF($B$296=0,0,IF(I$2&gt;=$A298,IF(I$2=$A298,($B298/$B$296)*$B$293,IF(I$2&lt;=$A298+$B$296-1,$B298/$B$296,$B298-SUM($C298:H298))),0))</f>
        <v>0</v>
      </c>
      <c r="J298" s="4">
        <f>IF($B$296=0,0,IF(J$2&gt;=$A298,IF(J$2=$A298,($B298/$B$296)*$B$293,IF(J$2&lt;=$A298+$B$296-1,$B298/$B$296,$B298-SUM($C298:I298))),0))</f>
        <v>0</v>
      </c>
      <c r="K298" s="4">
        <f>IF($B$296=0,0,IF(K$2&gt;=$A298,IF(K$2=$A298,($B298/$B$296)*$B$293,IF(K$2&lt;=$A298+$B$296-1,$B298/$B$296,$B298-SUM($C298:J298))),0))</f>
        <v>0</v>
      </c>
      <c r="L298" s="4">
        <f>IF($B$296=0,0,IF(L$2&gt;=$A298,IF(L$2=$A298,($B298/$B$296)*$B$293,IF(L$2&lt;=$A298+$B$296-1,$B298/$B$296,$B298-SUM($C298:K298))),0))</f>
        <v>0</v>
      </c>
      <c r="M298" s="4">
        <f>IF($B$296=0,0,IF(M$2&gt;=$A298,IF(M$2=$A298,($B298/$B$296)*$B$293,IF(M$2&lt;=$A298+$B$296-1,$B298/$B$296,$B298-SUM($C298:L298))),0))</f>
        <v>0</v>
      </c>
      <c r="N298" s="4">
        <f>IF($B$296=0,0,IF(N$2&gt;=$A298,IF(N$2=$A298,($B298/$B$296)*$B$293,IF(N$2&lt;=$A298+$B$296-1,$B298/$B$296,$B298-SUM($C298:M298))),0))</f>
        <v>0</v>
      </c>
      <c r="O298" s="4">
        <f>IF($B$296=0,0,IF(O$2&gt;=$A298,IF(O$2=$A298,($B298/$B$296)*$B$293,IF(O$2&lt;=$A298+$B$296-1,$B298/$B$296,$B298-SUM($C298:N298))),0))</f>
        <v>0</v>
      </c>
      <c r="P298" s="4">
        <f>IF($B$296=0,0,IF(P$2&gt;=$A298,IF(P$2=$A298,($B298/$B$296)*$B$293,IF(P$2&lt;=$A298+$B$296-1,$B298/$B$296,$B298-SUM($C298:O298))),0))</f>
        <v>0</v>
      </c>
      <c r="Q298" s="4">
        <f>IF($B$296=0,0,IF(Q$2&gt;=$A298,IF(Q$2=$A298,($B298/$B$296)*$B$293,IF(Q$2&lt;=$A298+$B$296-1,$B298/$B$296,$B298-SUM($C298:P298))),0))</f>
        <v>0</v>
      </c>
      <c r="R298" s="4">
        <f>IF($B$296=0,0,IF(R$2&gt;=$A298,IF(R$2=$A298,($B298/$B$296)*$B$293,IF(R$2&lt;=$A298+$B$296-1,$B298/$B$296,$B298-SUM($C298:Q298))),0))</f>
        <v>0</v>
      </c>
      <c r="S298" s="4">
        <f>IF($B$296=0,0,IF(S$2&gt;=$A298,IF(S$2=$A298,($B298/$B$296)*$B$293,IF(S$2&lt;=$A298+$B$296-1,$B298/$B$296,$B298-SUM($C298:R298))),0))</f>
        <v>0</v>
      </c>
      <c r="T298" s="4">
        <f>IF($B$296=0,0,IF(T$2&gt;=$A298,IF(T$2=$A298,($B298/$B$296)*$B$293,IF(T$2&lt;=$A298+$B$296-1,$B298/$B$296,$B298-SUM($C298:S298))),0))</f>
        <v>0</v>
      </c>
      <c r="U298" s="4">
        <f>IF($B$296=0,0,IF(U$2&gt;=$A298,IF(U$2=$A298,($B298/$B$296)*$B$293,IF(U$2&lt;=$A298+$B$296-1,$B298/$B$296,$B298-SUM($C298:T298))),0))</f>
        <v>0</v>
      </c>
      <c r="V298" s="4">
        <f>IF($B$296=0,0,IF(V$2&gt;=$A298,IF(V$2=$A298,($B298/$B$296)*$B$293,IF(V$2&lt;=$A298+$B$296-1,$B298/$B$296,$B298-SUM($C298:U298))),0))</f>
        <v>0</v>
      </c>
      <c r="W298" s="4">
        <f>IF($B$296=0,0,IF(W$2&gt;=$A298,IF(W$2=$A298,($B298/$B$296)*$B$293,IF(W$2&lt;=$A298+$B$296-1,$B298/$B$296,$B298-SUM($C298:V298))),0))</f>
        <v>0</v>
      </c>
      <c r="X298" s="4">
        <f>IF($B$296=0,0,IF(X$2&gt;=$A298,IF(X$2=$A298,($B298/$B$296)*$B$293,IF(X$2&lt;=$A298+$B$296-1,$B298/$B$296,$B298-SUM($C298:W298))),0))</f>
        <v>0</v>
      </c>
      <c r="Y298" s="4">
        <f>IF($B$296=0,0,IF(Y$2&gt;=$A298,IF(Y$2=$A298,($B298/$B$296)*$B$293,IF(Y$2&lt;=$A298+$B$296-1,$B298/$B$296,$B298-SUM($C298:X298))),0))</f>
        <v>0</v>
      </c>
      <c r="Z298" s="4">
        <f>IF($B$296=0,0,IF(Z$2&gt;=$A298,IF(Z$2=$A298,($B298/$B$296)*$B$293,IF(Z$2&lt;=$A298+$B$296-1,$B298/$B$296,$B298-SUM($C298:Y298))),0))</f>
        <v>0</v>
      </c>
      <c r="AA298" s="4">
        <f>IF($B$296=0,0,IF(AA$2&gt;=$A298,IF(AA$2=$A298,($B298/$B$296)*$B$293,IF(AA$2&lt;=$A298+$B$296-1,$B298/$B$296,$B298-SUM($C298:Z298))),0))</f>
        <v>0</v>
      </c>
      <c r="AB298" s="4">
        <f>IF($B$296=0,0,IF(AB$2&gt;=$A298,IF(AB$2=$A298,($B298/$B$296)*$B$293,IF(AB$2&lt;=$A298+$B$296-1,$B298/$B$296,$B298-SUM($C298:AA298))),0))</f>
        <v>0</v>
      </c>
      <c r="AC298" s="4">
        <f>IF($B$296=0,0,IF(AC$2&gt;=$A298,IF(AC$2=$A298,($B298/$B$296)*$B$293,IF(AC$2&lt;=$A298+$B$296-1,$B298/$B$296,$B298-SUM($C298:AB298))),0))</f>
        <v>0</v>
      </c>
      <c r="AD298" s="4">
        <f>IF($B$296=0,0,IF(AD$2&gt;=$A298,IF(AD$2=$A298,($B298/$B$296)*$B$293,IF(AD$2&lt;=$A298+$B$296-1,$B298/$B$296,$B298-SUM($C298:AC298))),0))</f>
        <v>0</v>
      </c>
      <c r="AE298" s="4">
        <f>IF($B$296=0,0,IF(AE$2&gt;=$A298,IF(AE$2=$A298,($B298/$B$296)*$B$293,IF(AE$2&lt;=$A298+$B$296-1,$B298/$B$296,$B298-SUM($C298:AD298))),0))</f>
        <v>0</v>
      </c>
      <c r="AF298" s="4">
        <f>IF($B$296=0,0,IF(AF$2&gt;=$A298,IF(AF$2=$A298,($B298/$B$296)*$B$293,IF(AF$2&lt;=$A298+$B$296-1,$B298/$B$296,$B298-SUM($C298:AE298))),0))</f>
        <v>0</v>
      </c>
      <c r="AG298" s="4">
        <f t="shared" si="240"/>
        <v>0</v>
      </c>
    </row>
    <row r="299" spans="1:33">
      <c r="A299" s="6">
        <f t="shared" ref="A299:A326" si="241">+A298+1</f>
        <v>2024</v>
      </c>
      <c r="B299" s="4">
        <f t="shared" si="239"/>
        <v>0</v>
      </c>
      <c r="C299" s="4">
        <f>IF($B$296=0,0,IF(C$2&gt;=$A299,IF(C$2=$A299,($B299/$B$296)*$B$293,IF(C$2&lt;=$A299+$B$296-1,$B299/$B$296,$B299-SUM(B299:$C299))),0))</f>
        <v>0</v>
      </c>
      <c r="D299" s="4">
        <f>IF($B$296=0,0,IF(D$2&gt;=$A299,IF(D$2=$A299,($B299/$B$296)*$B$293,IF(D$2&lt;=$A299+$B$296-1,$B299/$B$296,$B299-SUM(C299:$C299))),0))</f>
        <v>0</v>
      </c>
      <c r="E299" s="4">
        <f>IF($B$296=0,0,IF(E$2&gt;=$A299,IF(E$2=$A299,($B299/$B$296)*$B$293,IF(E$2&lt;=$A299+$B$296-1,$B299/$B$296,$B299-SUM($C299:D299))),0))</f>
        <v>0</v>
      </c>
      <c r="F299" s="4">
        <f>IF($B$296=0,0,IF(F$2&gt;=$A299,IF(F$2=$A299,($B299/$B$296)*$B$293,IF(F$2&lt;=$A299+$B$296-1,$B299/$B$296,$B299-SUM($C299:E299))),0))</f>
        <v>0</v>
      </c>
      <c r="G299" s="4">
        <f>IF($B$296=0,0,IF(G$2&gt;=$A299,IF(G$2=$A299,($B299/$B$296)*$B$293,IF(G$2&lt;=$A299+$B$296-1,$B299/$B$296,$B299-SUM($C299:F299))),0))</f>
        <v>0</v>
      </c>
      <c r="H299" s="4">
        <f>IF($B$296=0,0,IF(H$2&gt;=$A299,IF(H$2=$A299,($B299/$B$296)*$B$293,IF(H$2&lt;=$A299+$B$296-1,$B299/$B$296,$B299-SUM($C299:G299))),0))</f>
        <v>0</v>
      </c>
      <c r="I299" s="4">
        <f>IF($B$296=0,0,IF(I$2&gt;=$A299,IF(I$2=$A299,($B299/$B$296)*$B$293,IF(I$2&lt;=$A299+$B$296-1,$B299/$B$296,$B299-SUM($C299:H299))),0))</f>
        <v>0</v>
      </c>
      <c r="J299" s="4">
        <f>IF($B$296=0,0,IF(J$2&gt;=$A299,IF(J$2=$A299,($B299/$B$296)*$B$293,IF(J$2&lt;=$A299+$B$296-1,$B299/$B$296,$B299-SUM($C299:I299))),0))</f>
        <v>0</v>
      </c>
      <c r="K299" s="4">
        <f>IF($B$296=0,0,IF(K$2&gt;=$A299,IF(K$2=$A299,($B299/$B$296)*$B$293,IF(K$2&lt;=$A299+$B$296-1,$B299/$B$296,$B299-SUM($C299:J299))),0))</f>
        <v>0</v>
      </c>
      <c r="L299" s="4">
        <f>IF($B$296=0,0,IF(L$2&gt;=$A299,IF(L$2=$A299,($B299/$B$296)*$B$293,IF(L$2&lt;=$A299+$B$296-1,$B299/$B$296,$B299-SUM($C299:K299))),0))</f>
        <v>0</v>
      </c>
      <c r="M299" s="4">
        <f>IF($B$296=0,0,IF(M$2&gt;=$A299,IF(M$2=$A299,($B299/$B$296)*$B$293,IF(M$2&lt;=$A299+$B$296-1,$B299/$B$296,$B299-SUM($C299:L299))),0))</f>
        <v>0</v>
      </c>
      <c r="N299" s="4">
        <f>IF($B$296=0,0,IF(N$2&gt;=$A299,IF(N$2=$A299,($B299/$B$296)*$B$293,IF(N$2&lt;=$A299+$B$296-1,$B299/$B$296,$B299-SUM($C299:M299))),0))</f>
        <v>0</v>
      </c>
      <c r="O299" s="4">
        <f>IF($B$296=0,0,IF(O$2&gt;=$A299,IF(O$2=$A299,($B299/$B$296)*$B$293,IF(O$2&lt;=$A299+$B$296-1,$B299/$B$296,$B299-SUM($C299:N299))),0))</f>
        <v>0</v>
      </c>
      <c r="P299" s="4">
        <f>IF($B$296=0,0,IF(P$2&gt;=$A299,IF(P$2=$A299,($B299/$B$296)*$B$293,IF(P$2&lt;=$A299+$B$296-1,$B299/$B$296,$B299-SUM($C299:O299))),0))</f>
        <v>0</v>
      </c>
      <c r="Q299" s="4">
        <f>IF($B$296=0,0,IF(Q$2&gt;=$A299,IF(Q$2=$A299,($B299/$B$296)*$B$293,IF(Q$2&lt;=$A299+$B$296-1,$B299/$B$296,$B299-SUM($C299:P299))),0))</f>
        <v>0</v>
      </c>
      <c r="R299" s="4">
        <f>IF($B$296=0,0,IF(R$2&gt;=$A299,IF(R$2=$A299,($B299/$B$296)*$B$293,IF(R$2&lt;=$A299+$B$296-1,$B299/$B$296,$B299-SUM($C299:Q299))),0))</f>
        <v>0</v>
      </c>
      <c r="S299" s="4">
        <f>IF($B$296=0,0,IF(S$2&gt;=$A299,IF(S$2=$A299,($B299/$B$296)*$B$293,IF(S$2&lt;=$A299+$B$296-1,$B299/$B$296,$B299-SUM($C299:R299))),0))</f>
        <v>0</v>
      </c>
      <c r="T299" s="4">
        <f>IF($B$296=0,0,IF(T$2&gt;=$A299,IF(T$2=$A299,($B299/$B$296)*$B$293,IF(T$2&lt;=$A299+$B$296-1,$B299/$B$296,$B299-SUM($C299:S299))),0))</f>
        <v>0</v>
      </c>
      <c r="U299" s="4">
        <f>IF($B$296=0,0,IF(U$2&gt;=$A299,IF(U$2=$A299,($B299/$B$296)*$B$293,IF(U$2&lt;=$A299+$B$296-1,$B299/$B$296,$B299-SUM($C299:T299))),0))</f>
        <v>0</v>
      </c>
      <c r="V299" s="4">
        <f>IF($B$296=0,0,IF(V$2&gt;=$A299,IF(V$2=$A299,($B299/$B$296)*$B$293,IF(V$2&lt;=$A299+$B$296-1,$B299/$B$296,$B299-SUM($C299:U299))),0))</f>
        <v>0</v>
      </c>
      <c r="W299" s="4">
        <f>IF($B$296=0,0,IF(W$2&gt;=$A299,IF(W$2=$A299,($B299/$B$296)*$B$293,IF(W$2&lt;=$A299+$B$296-1,$B299/$B$296,$B299-SUM($C299:V299))),0))</f>
        <v>0</v>
      </c>
      <c r="X299" s="4">
        <f>IF($B$296=0,0,IF(X$2&gt;=$A299,IF(X$2=$A299,($B299/$B$296)*$B$293,IF(X$2&lt;=$A299+$B$296-1,$B299/$B$296,$B299-SUM($C299:W299))),0))</f>
        <v>0</v>
      </c>
      <c r="Y299" s="4">
        <f>IF($B$296=0,0,IF(Y$2&gt;=$A299,IF(Y$2=$A299,($B299/$B$296)*$B$293,IF(Y$2&lt;=$A299+$B$296-1,$B299/$B$296,$B299-SUM($C299:X299))),0))</f>
        <v>0</v>
      </c>
      <c r="Z299" s="4">
        <f>IF($B$296=0,0,IF(Z$2&gt;=$A299,IF(Z$2=$A299,($B299/$B$296)*$B$293,IF(Z$2&lt;=$A299+$B$296-1,$B299/$B$296,$B299-SUM($C299:Y299))),0))</f>
        <v>0</v>
      </c>
      <c r="AA299" s="4">
        <f>IF($B$296=0,0,IF(AA$2&gt;=$A299,IF(AA$2=$A299,($B299/$B$296)*$B$293,IF(AA$2&lt;=$A299+$B$296-1,$B299/$B$296,$B299-SUM($C299:Z299))),0))</f>
        <v>0</v>
      </c>
      <c r="AB299" s="4">
        <f>IF($B$296=0,0,IF(AB$2&gt;=$A299,IF(AB$2=$A299,($B299/$B$296)*$B$293,IF(AB$2&lt;=$A299+$B$296-1,$B299/$B$296,$B299-SUM($C299:AA299))),0))</f>
        <v>0</v>
      </c>
      <c r="AC299" s="4">
        <f>IF($B$296=0,0,IF(AC$2&gt;=$A299,IF(AC$2=$A299,($B299/$B$296)*$B$293,IF(AC$2&lt;=$A299+$B$296-1,$B299/$B$296,$B299-SUM($C299:AB299))),0))</f>
        <v>0</v>
      </c>
      <c r="AD299" s="4">
        <f>IF($B$296=0,0,IF(AD$2&gt;=$A299,IF(AD$2=$A299,($B299/$B$296)*$B$293,IF(AD$2&lt;=$A299+$B$296-1,$B299/$B$296,$B299-SUM($C299:AC299))),0))</f>
        <v>0</v>
      </c>
      <c r="AE299" s="4">
        <f>IF($B$296=0,0,IF(AE$2&gt;=$A299,IF(AE$2=$A299,($B299/$B$296)*$B$293,IF(AE$2&lt;=$A299+$B$296-1,$B299/$B$296,$B299-SUM($C299:AD299))),0))</f>
        <v>0</v>
      </c>
      <c r="AF299" s="4">
        <f>IF($B$296=0,0,IF(AF$2&gt;=$A299,IF(AF$2=$A299,($B299/$B$296)*$B$293,IF(AF$2&lt;=$A299+$B$296-1,$B299/$B$296,$B299-SUM($C299:AE299))),0))</f>
        <v>0</v>
      </c>
      <c r="AG299" s="4">
        <f t="shared" si="240"/>
        <v>0</v>
      </c>
    </row>
    <row r="300" spans="1:33">
      <c r="A300" s="6">
        <f t="shared" si="241"/>
        <v>2025</v>
      </c>
      <c r="B300" s="4">
        <f t="shared" si="239"/>
        <v>0</v>
      </c>
      <c r="C300" s="4">
        <f>IF($B$296=0,0,IF(C$2&gt;=$A300,IF(C$2=$A300,($B300/$B$296)*$B$293,IF(C$2&lt;=$A300+$B$296-1,$B300/$B$296,$B300-SUM(B300:$C300))),0))</f>
        <v>0</v>
      </c>
      <c r="D300" s="4">
        <f>IF($B$296=0,0,IF(D$2&gt;=$A300,IF(D$2=$A300,($B300/$B$296)*$B$293,IF(D$2&lt;=$A300+$B$296-1,$B300/$B$296,$B300-SUM(C300:$C300))),0))</f>
        <v>0</v>
      </c>
      <c r="E300" s="4">
        <f>IF($B$296=0,0,IF(E$2&gt;=$A300,IF(E$2=$A300,($B300/$B$296)*$B$293,IF(E$2&lt;=$A300+$B$296-1,$B300/$B$296,$B300-SUM($C300:D300))),0))</f>
        <v>0</v>
      </c>
      <c r="F300" s="4">
        <f>IF($B$296=0,0,IF(F$2&gt;=$A300,IF(F$2=$A300,($B300/$B$296)*$B$293,IF(F$2&lt;=$A300+$B$296-1,$B300/$B$296,$B300-SUM($C300:E300))),0))</f>
        <v>0</v>
      </c>
      <c r="G300" s="4">
        <f>IF($B$296=0,0,IF(G$2&gt;=$A300,IF(G$2=$A300,($B300/$B$296)*$B$293,IF(G$2&lt;=$A300+$B$296-1,$B300/$B$296,$B300-SUM($C300:F300))),0))</f>
        <v>0</v>
      </c>
      <c r="H300" s="4">
        <f>IF($B$296=0,0,IF(H$2&gt;=$A300,IF(H$2=$A300,($B300/$B$296)*$B$293,IF(H$2&lt;=$A300+$B$296-1,$B300/$B$296,$B300-SUM($C300:G300))),0))</f>
        <v>0</v>
      </c>
      <c r="I300" s="4">
        <f>IF($B$296=0,0,IF(I$2&gt;=$A300,IF(I$2=$A300,($B300/$B$296)*$B$293,IF(I$2&lt;=$A300+$B$296-1,$B300/$B$296,$B300-SUM($C300:H300))),0))</f>
        <v>0</v>
      </c>
      <c r="J300" s="4">
        <f>IF($B$296=0,0,IF(J$2&gt;=$A300,IF(J$2=$A300,($B300/$B$296)*$B$293,IF(J$2&lt;=$A300+$B$296-1,$B300/$B$296,$B300-SUM($C300:I300))),0))</f>
        <v>0</v>
      </c>
      <c r="K300" s="4">
        <f>IF($B$296=0,0,IF(K$2&gt;=$A300,IF(K$2=$A300,($B300/$B$296)*$B$293,IF(K$2&lt;=$A300+$B$296-1,$B300/$B$296,$B300-SUM($C300:J300))),0))</f>
        <v>0</v>
      </c>
      <c r="L300" s="4">
        <f>IF($B$296=0,0,IF(L$2&gt;=$A300,IF(L$2=$A300,($B300/$B$296)*$B$293,IF(L$2&lt;=$A300+$B$296-1,$B300/$B$296,$B300-SUM($C300:K300))),0))</f>
        <v>0</v>
      </c>
      <c r="M300" s="4">
        <f>IF($B$296=0,0,IF(M$2&gt;=$A300,IF(M$2=$A300,($B300/$B$296)*$B$293,IF(M$2&lt;=$A300+$B$296-1,$B300/$B$296,$B300-SUM($C300:L300))),0))</f>
        <v>0</v>
      </c>
      <c r="N300" s="4">
        <f>IF($B$296=0,0,IF(N$2&gt;=$A300,IF(N$2=$A300,($B300/$B$296)*$B$293,IF(N$2&lt;=$A300+$B$296-1,$B300/$B$296,$B300-SUM($C300:M300))),0))</f>
        <v>0</v>
      </c>
      <c r="O300" s="4">
        <f>IF($B$296=0,0,IF(O$2&gt;=$A300,IF(O$2=$A300,($B300/$B$296)*$B$293,IF(O$2&lt;=$A300+$B$296-1,$B300/$B$296,$B300-SUM($C300:N300))),0))</f>
        <v>0</v>
      </c>
      <c r="P300" s="4">
        <f>IF($B$296=0,0,IF(P$2&gt;=$A300,IF(P$2=$A300,($B300/$B$296)*$B$293,IF(P$2&lt;=$A300+$B$296-1,$B300/$B$296,$B300-SUM($C300:O300))),0))</f>
        <v>0</v>
      </c>
      <c r="Q300" s="4">
        <f>IF($B$296=0,0,IF(Q$2&gt;=$A300,IF(Q$2=$A300,($B300/$B$296)*$B$293,IF(Q$2&lt;=$A300+$B$296-1,$B300/$B$296,$B300-SUM($C300:P300))),0))</f>
        <v>0</v>
      </c>
      <c r="R300" s="4">
        <f>IF($B$296=0,0,IF(R$2&gt;=$A300,IF(R$2=$A300,($B300/$B$296)*$B$293,IF(R$2&lt;=$A300+$B$296-1,$B300/$B$296,$B300-SUM($C300:Q300))),0))</f>
        <v>0</v>
      </c>
      <c r="S300" s="4">
        <f>IF($B$296=0,0,IF(S$2&gt;=$A300,IF(S$2=$A300,($B300/$B$296)*$B$293,IF(S$2&lt;=$A300+$B$296-1,$B300/$B$296,$B300-SUM($C300:R300))),0))</f>
        <v>0</v>
      </c>
      <c r="T300" s="4">
        <f>IF($B$296=0,0,IF(T$2&gt;=$A300,IF(T$2=$A300,($B300/$B$296)*$B$293,IF(T$2&lt;=$A300+$B$296-1,$B300/$B$296,$B300-SUM($C300:S300))),0))</f>
        <v>0</v>
      </c>
      <c r="U300" s="4">
        <f>IF($B$296=0,0,IF(U$2&gt;=$A300,IF(U$2=$A300,($B300/$B$296)*$B$293,IF(U$2&lt;=$A300+$B$296-1,$B300/$B$296,$B300-SUM($C300:T300))),0))</f>
        <v>0</v>
      </c>
      <c r="V300" s="4">
        <f>IF($B$296=0,0,IF(V$2&gt;=$A300,IF(V$2=$A300,($B300/$B$296)*$B$293,IF(V$2&lt;=$A300+$B$296-1,$B300/$B$296,$B300-SUM($C300:U300))),0))</f>
        <v>0</v>
      </c>
      <c r="W300" s="4">
        <f>IF($B$296=0,0,IF(W$2&gt;=$A300,IF(W$2=$A300,($B300/$B$296)*$B$293,IF(W$2&lt;=$A300+$B$296-1,$B300/$B$296,$B300-SUM($C300:V300))),0))</f>
        <v>0</v>
      </c>
      <c r="X300" s="4">
        <f>IF($B$296=0,0,IF(X$2&gt;=$A300,IF(X$2=$A300,($B300/$B$296)*$B$293,IF(X$2&lt;=$A300+$B$296-1,$B300/$B$296,$B300-SUM($C300:W300))),0))</f>
        <v>0</v>
      </c>
      <c r="Y300" s="4">
        <f>IF($B$296=0,0,IF(Y$2&gt;=$A300,IF(Y$2=$A300,($B300/$B$296)*$B$293,IF(Y$2&lt;=$A300+$B$296-1,$B300/$B$296,$B300-SUM($C300:X300))),0))</f>
        <v>0</v>
      </c>
      <c r="Z300" s="4">
        <f>IF($B$296=0,0,IF(Z$2&gt;=$A300,IF(Z$2=$A300,($B300/$B$296)*$B$293,IF(Z$2&lt;=$A300+$B$296-1,$B300/$B$296,$B300-SUM($C300:Y300))),0))</f>
        <v>0</v>
      </c>
      <c r="AA300" s="4">
        <f>IF($B$296=0,0,IF(AA$2&gt;=$A300,IF(AA$2=$A300,($B300/$B$296)*$B$293,IF(AA$2&lt;=$A300+$B$296-1,$B300/$B$296,$B300-SUM($C300:Z300))),0))</f>
        <v>0</v>
      </c>
      <c r="AB300" s="4">
        <f>IF($B$296=0,0,IF(AB$2&gt;=$A300,IF(AB$2=$A300,($B300/$B$296)*$B$293,IF(AB$2&lt;=$A300+$B$296-1,$B300/$B$296,$B300-SUM($C300:AA300))),0))</f>
        <v>0</v>
      </c>
      <c r="AC300" s="4">
        <f>IF($B$296=0,0,IF(AC$2&gt;=$A300,IF(AC$2=$A300,($B300/$B$296)*$B$293,IF(AC$2&lt;=$A300+$B$296-1,$B300/$B$296,$B300-SUM($C300:AB300))),0))</f>
        <v>0</v>
      </c>
      <c r="AD300" s="4">
        <f>IF($B$296=0,0,IF(AD$2&gt;=$A300,IF(AD$2=$A300,($B300/$B$296)*$B$293,IF(AD$2&lt;=$A300+$B$296-1,$B300/$B$296,$B300-SUM($C300:AC300))),0))</f>
        <v>0</v>
      </c>
      <c r="AE300" s="4">
        <f>IF($B$296=0,0,IF(AE$2&gt;=$A300,IF(AE$2=$A300,($B300/$B$296)*$B$293,IF(AE$2&lt;=$A300+$B$296-1,$B300/$B$296,$B300-SUM($C300:AD300))),0))</f>
        <v>0</v>
      </c>
      <c r="AF300" s="4">
        <f>IF($B$296=0,0,IF(AF$2&gt;=$A300,IF(AF$2=$A300,($B300/$B$296)*$B$293,IF(AF$2&lt;=$A300+$B$296-1,$B300/$B$296,$B300-SUM($C300:AE300))),0))</f>
        <v>0</v>
      </c>
      <c r="AG300" s="4">
        <f t="shared" si="240"/>
        <v>0</v>
      </c>
    </row>
    <row r="301" spans="1:33">
      <c r="A301" s="6">
        <f t="shared" si="241"/>
        <v>2026</v>
      </c>
      <c r="B301" s="4">
        <f t="shared" si="239"/>
        <v>0</v>
      </c>
      <c r="C301" s="4">
        <f>IF($B$296=0,0,IF(C$2&gt;=$A301,IF(C$2=$A301,($B301/$B$296)*$B$293,IF(C$2&lt;=$A301+$B$296-1,$B301/$B$296,$B301-SUM(B301:$C301))),0))</f>
        <v>0</v>
      </c>
      <c r="D301" s="4">
        <f>IF($B$296=0,0,IF(D$2&gt;=$A301,IF(D$2=$A301,($B301/$B$296)*$B$293,IF(D$2&lt;=$A301+$B$296-1,$B301/$B$296,$B301-SUM(C301:$C301))),0))</f>
        <v>0</v>
      </c>
      <c r="E301" s="4">
        <f>IF($B$296=0,0,IF(E$2&gt;=$A301,IF(E$2=$A301,($B301/$B$296)*$B$293,IF(E$2&lt;=$A301+$B$296-1,$B301/$B$296,$B301-SUM($C301:D301))),0))</f>
        <v>0</v>
      </c>
      <c r="F301" s="4">
        <f>IF($B$296=0,0,IF(F$2&gt;=$A301,IF(F$2=$A301,($B301/$B$296)*$B$293,IF(F$2&lt;=$A301+$B$296-1,$B301/$B$296,$B301-SUM($C301:E301))),0))</f>
        <v>0</v>
      </c>
      <c r="G301" s="4">
        <f>IF($B$296=0,0,IF(G$2&gt;=$A301,IF(G$2=$A301,($B301/$B$296)*$B$293,IF(G$2&lt;=$A301+$B$296-1,$B301/$B$296,$B301-SUM($C301:F301))),0))</f>
        <v>0</v>
      </c>
      <c r="H301" s="4">
        <f>IF($B$296=0,0,IF(H$2&gt;=$A301,IF(H$2=$A301,($B301/$B$296)*$B$293,IF(H$2&lt;=$A301+$B$296-1,$B301/$B$296,$B301-SUM($C301:G301))),0))</f>
        <v>0</v>
      </c>
      <c r="I301" s="4">
        <f>IF($B$296=0,0,IF(I$2&gt;=$A301,IF(I$2=$A301,($B301/$B$296)*$B$293,IF(I$2&lt;=$A301+$B$296-1,$B301/$B$296,$B301-SUM($C301:H301))),0))</f>
        <v>0</v>
      </c>
      <c r="J301" s="4">
        <f>IF($B$296=0,0,IF(J$2&gt;=$A301,IF(J$2=$A301,($B301/$B$296)*$B$293,IF(J$2&lt;=$A301+$B$296-1,$B301/$B$296,$B301-SUM($C301:I301))),0))</f>
        <v>0</v>
      </c>
      <c r="K301" s="4">
        <f>IF($B$296=0,0,IF(K$2&gt;=$A301,IF(K$2=$A301,($B301/$B$296)*$B$293,IF(K$2&lt;=$A301+$B$296-1,$B301/$B$296,$B301-SUM($C301:J301))),0))</f>
        <v>0</v>
      </c>
      <c r="L301" s="4">
        <f>IF($B$296=0,0,IF(L$2&gt;=$A301,IF(L$2=$A301,($B301/$B$296)*$B$293,IF(L$2&lt;=$A301+$B$296-1,$B301/$B$296,$B301-SUM($C301:K301))),0))</f>
        <v>0</v>
      </c>
      <c r="M301" s="4">
        <f>IF($B$296=0,0,IF(M$2&gt;=$A301,IF(M$2=$A301,($B301/$B$296)*$B$293,IF(M$2&lt;=$A301+$B$296-1,$B301/$B$296,$B301-SUM($C301:L301))),0))</f>
        <v>0</v>
      </c>
      <c r="N301" s="4">
        <f>IF($B$296=0,0,IF(N$2&gt;=$A301,IF(N$2=$A301,($B301/$B$296)*$B$293,IF(N$2&lt;=$A301+$B$296-1,$B301/$B$296,$B301-SUM($C301:M301))),0))</f>
        <v>0</v>
      </c>
      <c r="O301" s="4">
        <f>IF($B$296=0,0,IF(O$2&gt;=$A301,IF(O$2=$A301,($B301/$B$296)*$B$293,IF(O$2&lt;=$A301+$B$296-1,$B301/$B$296,$B301-SUM($C301:N301))),0))</f>
        <v>0</v>
      </c>
      <c r="P301" s="4">
        <f>IF($B$296=0,0,IF(P$2&gt;=$A301,IF(P$2=$A301,($B301/$B$296)*$B$293,IF(P$2&lt;=$A301+$B$296-1,$B301/$B$296,$B301-SUM($C301:O301))),0))</f>
        <v>0</v>
      </c>
      <c r="Q301" s="4">
        <f>IF($B$296=0,0,IF(Q$2&gt;=$A301,IF(Q$2=$A301,($B301/$B$296)*$B$293,IF(Q$2&lt;=$A301+$B$296-1,$B301/$B$296,$B301-SUM($C301:P301))),0))</f>
        <v>0</v>
      </c>
      <c r="R301" s="4">
        <f>IF($B$296=0,0,IF(R$2&gt;=$A301,IF(R$2=$A301,($B301/$B$296)*$B$293,IF(R$2&lt;=$A301+$B$296-1,$B301/$B$296,$B301-SUM($C301:Q301))),0))</f>
        <v>0</v>
      </c>
      <c r="S301" s="4">
        <f>IF($B$296=0,0,IF(S$2&gt;=$A301,IF(S$2=$A301,($B301/$B$296)*$B$293,IF(S$2&lt;=$A301+$B$296-1,$B301/$B$296,$B301-SUM($C301:R301))),0))</f>
        <v>0</v>
      </c>
      <c r="T301" s="4">
        <f>IF($B$296=0,0,IF(T$2&gt;=$A301,IF(T$2=$A301,($B301/$B$296)*$B$293,IF(T$2&lt;=$A301+$B$296-1,$B301/$B$296,$B301-SUM($C301:S301))),0))</f>
        <v>0</v>
      </c>
      <c r="U301" s="4">
        <f>IF($B$296=0,0,IF(U$2&gt;=$A301,IF(U$2=$A301,($B301/$B$296)*$B$293,IF(U$2&lt;=$A301+$B$296-1,$B301/$B$296,$B301-SUM($C301:T301))),0))</f>
        <v>0</v>
      </c>
      <c r="V301" s="4">
        <f>IF($B$296=0,0,IF(V$2&gt;=$A301,IF(V$2=$A301,($B301/$B$296)*$B$293,IF(V$2&lt;=$A301+$B$296-1,$B301/$B$296,$B301-SUM($C301:U301))),0))</f>
        <v>0</v>
      </c>
      <c r="W301" s="4">
        <f>IF($B$296=0,0,IF(W$2&gt;=$A301,IF(W$2=$A301,($B301/$B$296)*$B$293,IF(W$2&lt;=$A301+$B$296-1,$B301/$B$296,$B301-SUM($C301:V301))),0))</f>
        <v>0</v>
      </c>
      <c r="X301" s="4">
        <f>IF($B$296=0,0,IF(X$2&gt;=$A301,IF(X$2=$A301,($B301/$B$296)*$B$293,IF(X$2&lt;=$A301+$B$296-1,$B301/$B$296,$B301-SUM($C301:W301))),0))</f>
        <v>0</v>
      </c>
      <c r="Y301" s="4">
        <f>IF($B$296=0,0,IF(Y$2&gt;=$A301,IF(Y$2=$A301,($B301/$B$296)*$B$293,IF(Y$2&lt;=$A301+$B$296-1,$B301/$B$296,$B301-SUM($C301:X301))),0))</f>
        <v>0</v>
      </c>
      <c r="Z301" s="4">
        <f>IF($B$296=0,0,IF(Z$2&gt;=$A301,IF(Z$2=$A301,($B301/$B$296)*$B$293,IF(Z$2&lt;=$A301+$B$296-1,$B301/$B$296,$B301-SUM($C301:Y301))),0))</f>
        <v>0</v>
      </c>
      <c r="AA301" s="4">
        <f>IF($B$296=0,0,IF(AA$2&gt;=$A301,IF(AA$2=$A301,($B301/$B$296)*$B$293,IF(AA$2&lt;=$A301+$B$296-1,$B301/$B$296,$B301-SUM($C301:Z301))),0))</f>
        <v>0</v>
      </c>
      <c r="AB301" s="4">
        <f>IF($B$296=0,0,IF(AB$2&gt;=$A301,IF(AB$2=$A301,($B301/$B$296)*$B$293,IF(AB$2&lt;=$A301+$B$296-1,$B301/$B$296,$B301-SUM($C301:AA301))),0))</f>
        <v>0</v>
      </c>
      <c r="AC301" s="4">
        <f>IF($B$296=0,0,IF(AC$2&gt;=$A301,IF(AC$2=$A301,($B301/$B$296)*$B$293,IF(AC$2&lt;=$A301+$B$296-1,$B301/$B$296,$B301-SUM($C301:AB301))),0))</f>
        <v>0</v>
      </c>
      <c r="AD301" s="4">
        <f>IF($B$296=0,0,IF(AD$2&gt;=$A301,IF(AD$2=$A301,($B301/$B$296)*$B$293,IF(AD$2&lt;=$A301+$B$296-1,$B301/$B$296,$B301-SUM($C301:AC301))),0))</f>
        <v>0</v>
      </c>
      <c r="AE301" s="4">
        <f>IF($B$296=0,0,IF(AE$2&gt;=$A301,IF(AE$2=$A301,($B301/$B$296)*$B$293,IF(AE$2&lt;=$A301+$B$296-1,$B301/$B$296,$B301-SUM($C301:AD301))),0))</f>
        <v>0</v>
      </c>
      <c r="AF301" s="4">
        <f>IF($B$296=0,0,IF(AF$2&gt;=$A301,IF(AF$2=$A301,($B301/$B$296)*$B$293,IF(AF$2&lt;=$A301+$B$296-1,$B301/$B$296,$B301-SUM($C301:AE301))),0))</f>
        <v>0</v>
      </c>
      <c r="AG301" s="4">
        <f t="shared" si="240"/>
        <v>0</v>
      </c>
    </row>
    <row r="302" spans="1:33">
      <c r="A302" s="6">
        <f t="shared" si="241"/>
        <v>2027</v>
      </c>
      <c r="B302" s="4">
        <f t="shared" si="239"/>
        <v>0</v>
      </c>
      <c r="C302" s="4">
        <f>IF($B$296=0,0,IF(C$2&gt;=$A302,IF(C$2=$A302,($B302/$B$296)*$B$293,IF(C$2&lt;=$A302+$B$296-1,$B302/$B$296,$B302-SUM(B302:$C302))),0))</f>
        <v>0</v>
      </c>
      <c r="D302" s="4">
        <f>IF($B$296=0,0,IF(D$2&gt;=$A302,IF(D$2=$A302,($B302/$B$296)*$B$293,IF(D$2&lt;=$A302+$B$296-1,$B302/$B$296,$B302-SUM(C302:$C302))),0))</f>
        <v>0</v>
      </c>
      <c r="E302" s="4">
        <f>IF($B$296=0,0,IF(E$2&gt;=$A302,IF(E$2=$A302,($B302/$B$296)*$B$293,IF(E$2&lt;=$A302+$B$296-1,$B302/$B$296,$B302-SUM($C302:D302))),0))</f>
        <v>0</v>
      </c>
      <c r="F302" s="4">
        <f>IF($B$296=0,0,IF(F$2&gt;=$A302,IF(F$2=$A302,($B302/$B$296)*$B$293,IF(F$2&lt;=$A302+$B$296-1,$B302/$B$296,$B302-SUM($C302:E302))),0))</f>
        <v>0</v>
      </c>
      <c r="G302" s="4">
        <f>IF($B$296=0,0,IF(G$2&gt;=$A302,IF(G$2=$A302,($B302/$B$296)*$B$293,IF(G$2&lt;=$A302+$B$296-1,$B302/$B$296,$B302-SUM($C302:F302))),0))</f>
        <v>0</v>
      </c>
      <c r="H302" s="4">
        <f>IF($B$296=0,0,IF(H$2&gt;=$A302,IF(H$2=$A302,($B302/$B$296)*$B$293,IF(H$2&lt;=$A302+$B$296-1,$B302/$B$296,$B302-SUM($C302:G302))),0))</f>
        <v>0</v>
      </c>
      <c r="I302" s="4">
        <f>IF($B$296=0,0,IF(I$2&gt;=$A302,IF(I$2=$A302,($B302/$B$296)*$B$293,IF(I$2&lt;=$A302+$B$296-1,$B302/$B$296,$B302-SUM($C302:H302))),0))</f>
        <v>0</v>
      </c>
      <c r="J302" s="4">
        <f>IF($B$296=0,0,IF(J$2&gt;=$A302,IF(J$2=$A302,($B302/$B$296)*$B$293,IF(J$2&lt;=$A302+$B$296-1,$B302/$B$296,$B302-SUM($C302:I302))),0))</f>
        <v>0</v>
      </c>
      <c r="K302" s="4">
        <f>IF($B$296=0,0,IF(K$2&gt;=$A302,IF(K$2=$A302,($B302/$B$296)*$B$293,IF(K$2&lt;=$A302+$B$296-1,$B302/$B$296,$B302-SUM($C302:J302))),0))</f>
        <v>0</v>
      </c>
      <c r="L302" s="4">
        <f>IF($B$296=0,0,IF(L$2&gt;=$A302,IF(L$2=$A302,($B302/$B$296)*$B$293,IF(L$2&lt;=$A302+$B$296-1,$B302/$B$296,$B302-SUM($C302:K302))),0))</f>
        <v>0</v>
      </c>
      <c r="M302" s="4">
        <f>IF($B$296=0,0,IF(M$2&gt;=$A302,IF(M$2=$A302,($B302/$B$296)*$B$293,IF(M$2&lt;=$A302+$B$296-1,$B302/$B$296,$B302-SUM($C302:L302))),0))</f>
        <v>0</v>
      </c>
      <c r="N302" s="4">
        <f>IF($B$296=0,0,IF(N$2&gt;=$A302,IF(N$2=$A302,($B302/$B$296)*$B$293,IF(N$2&lt;=$A302+$B$296-1,$B302/$B$296,$B302-SUM($C302:M302))),0))</f>
        <v>0</v>
      </c>
      <c r="O302" s="4">
        <f>IF($B$296=0,0,IF(O$2&gt;=$A302,IF(O$2=$A302,($B302/$B$296)*$B$293,IF(O$2&lt;=$A302+$B$296-1,$B302/$B$296,$B302-SUM($C302:N302))),0))</f>
        <v>0</v>
      </c>
      <c r="P302" s="4">
        <f>IF($B$296=0,0,IF(P$2&gt;=$A302,IF(P$2=$A302,($B302/$B$296)*$B$293,IF(P$2&lt;=$A302+$B$296-1,$B302/$B$296,$B302-SUM($C302:O302))),0))</f>
        <v>0</v>
      </c>
      <c r="Q302" s="4">
        <f>IF($B$296=0,0,IF(Q$2&gt;=$A302,IF(Q$2=$A302,($B302/$B$296)*$B$293,IF(Q$2&lt;=$A302+$B$296-1,$B302/$B$296,$B302-SUM($C302:P302))),0))</f>
        <v>0</v>
      </c>
      <c r="R302" s="4">
        <f>IF($B$296=0,0,IF(R$2&gt;=$A302,IF(R$2=$A302,($B302/$B$296)*$B$293,IF(R$2&lt;=$A302+$B$296-1,$B302/$B$296,$B302-SUM($C302:Q302))),0))</f>
        <v>0</v>
      </c>
      <c r="S302" s="4">
        <f>IF($B$296=0,0,IF(S$2&gt;=$A302,IF(S$2=$A302,($B302/$B$296)*$B$293,IF(S$2&lt;=$A302+$B$296-1,$B302/$B$296,$B302-SUM($C302:R302))),0))</f>
        <v>0</v>
      </c>
      <c r="T302" s="4">
        <f>IF($B$296=0,0,IF(T$2&gt;=$A302,IF(T$2=$A302,($B302/$B$296)*$B$293,IF(T$2&lt;=$A302+$B$296-1,$B302/$B$296,$B302-SUM($C302:S302))),0))</f>
        <v>0</v>
      </c>
      <c r="U302" s="4">
        <f>IF($B$296=0,0,IF(U$2&gt;=$A302,IF(U$2=$A302,($B302/$B$296)*$B$293,IF(U$2&lt;=$A302+$B$296-1,$B302/$B$296,$B302-SUM($C302:T302))),0))</f>
        <v>0</v>
      </c>
      <c r="V302" s="4">
        <f>IF($B$296=0,0,IF(V$2&gt;=$A302,IF(V$2=$A302,($B302/$B$296)*$B$293,IF(V$2&lt;=$A302+$B$296-1,$B302/$B$296,$B302-SUM($C302:U302))),0))</f>
        <v>0</v>
      </c>
      <c r="W302" s="4">
        <f>IF($B$296=0,0,IF(W$2&gt;=$A302,IF(W$2=$A302,($B302/$B$296)*$B$293,IF(W$2&lt;=$A302+$B$296-1,$B302/$B$296,$B302-SUM($C302:V302))),0))</f>
        <v>0</v>
      </c>
      <c r="X302" s="4">
        <f>IF($B$296=0,0,IF(X$2&gt;=$A302,IF(X$2=$A302,($B302/$B$296)*$B$293,IF(X$2&lt;=$A302+$B$296-1,$B302/$B$296,$B302-SUM($C302:W302))),0))</f>
        <v>0</v>
      </c>
      <c r="Y302" s="4">
        <f>IF($B$296=0,0,IF(Y$2&gt;=$A302,IF(Y$2=$A302,($B302/$B$296)*$B$293,IF(Y$2&lt;=$A302+$B$296-1,$B302/$B$296,$B302-SUM($C302:X302))),0))</f>
        <v>0</v>
      </c>
      <c r="Z302" s="4">
        <f>IF($B$296=0,0,IF(Z$2&gt;=$A302,IF(Z$2=$A302,($B302/$B$296)*$B$293,IF(Z$2&lt;=$A302+$B$296-1,$B302/$B$296,$B302-SUM($C302:Y302))),0))</f>
        <v>0</v>
      </c>
      <c r="AA302" s="4">
        <f>IF($B$296=0,0,IF(AA$2&gt;=$A302,IF(AA$2=$A302,($B302/$B$296)*$B$293,IF(AA$2&lt;=$A302+$B$296-1,$B302/$B$296,$B302-SUM($C302:Z302))),0))</f>
        <v>0</v>
      </c>
      <c r="AB302" s="4">
        <f>IF($B$296=0,0,IF(AB$2&gt;=$A302,IF(AB$2=$A302,($B302/$B$296)*$B$293,IF(AB$2&lt;=$A302+$B$296-1,$B302/$B$296,$B302-SUM($C302:AA302))),0))</f>
        <v>0</v>
      </c>
      <c r="AC302" s="4">
        <f>IF($B$296=0,0,IF(AC$2&gt;=$A302,IF(AC$2=$A302,($B302/$B$296)*$B$293,IF(AC$2&lt;=$A302+$B$296-1,$B302/$B$296,$B302-SUM($C302:AB302))),0))</f>
        <v>0</v>
      </c>
      <c r="AD302" s="4">
        <f>IF($B$296=0,0,IF(AD$2&gt;=$A302,IF(AD$2=$A302,($B302/$B$296)*$B$293,IF(AD$2&lt;=$A302+$B$296-1,$B302/$B$296,$B302-SUM($C302:AC302))),0))</f>
        <v>0</v>
      </c>
      <c r="AE302" s="4">
        <f>IF($B$296=0,0,IF(AE$2&gt;=$A302,IF(AE$2=$A302,($B302/$B$296)*$B$293,IF(AE$2&lt;=$A302+$B$296-1,$B302/$B$296,$B302-SUM($C302:AD302))),0))</f>
        <v>0</v>
      </c>
      <c r="AF302" s="4">
        <f>IF($B$296=0,0,IF(AF$2&gt;=$A302,IF(AF$2=$A302,($B302/$B$296)*$B$293,IF(AF$2&lt;=$A302+$B$296-1,$B302/$B$296,$B302-SUM($C302:AE302))),0))</f>
        <v>0</v>
      </c>
      <c r="AG302" s="4">
        <f t="shared" si="240"/>
        <v>0</v>
      </c>
    </row>
    <row r="303" spans="1:33">
      <c r="A303" s="6">
        <f t="shared" si="241"/>
        <v>2028</v>
      </c>
      <c r="B303" s="4">
        <f t="shared" si="239"/>
        <v>0</v>
      </c>
      <c r="C303" s="4">
        <f>IF($B$296=0,0,IF(C$2&gt;=$A303,IF(C$2=$A303,($B303/$B$296)*$B$293,IF(C$2&lt;=$A303+$B$296-1,$B303/$B$296,$B303-SUM(B303:$C303))),0))</f>
        <v>0</v>
      </c>
      <c r="D303" s="4">
        <f>IF($B$296=0,0,IF(D$2&gt;=$A303,IF(D$2=$A303,($B303/$B$296)*$B$293,IF(D$2&lt;=$A303+$B$296-1,$B303/$B$296,$B303-SUM(C303:$C303))),0))</f>
        <v>0</v>
      </c>
      <c r="E303" s="4">
        <f>IF($B$296=0,0,IF(E$2&gt;=$A303,IF(E$2=$A303,($B303/$B$296)*$B$293,IF(E$2&lt;=$A303+$B$296-1,$B303/$B$296,$B303-SUM($C303:D303))),0))</f>
        <v>0</v>
      </c>
      <c r="F303" s="4">
        <f>IF($B$296=0,0,IF(F$2&gt;=$A303,IF(F$2=$A303,($B303/$B$296)*$B$293,IF(F$2&lt;=$A303+$B$296-1,$B303/$B$296,$B303-SUM($C303:E303))),0))</f>
        <v>0</v>
      </c>
      <c r="G303" s="4">
        <f>IF($B$296=0,0,IF(G$2&gt;=$A303,IF(G$2=$A303,($B303/$B$296)*$B$293,IF(G$2&lt;=$A303+$B$296-1,$B303/$B$296,$B303-SUM($C303:F303))),0))</f>
        <v>0</v>
      </c>
      <c r="H303" s="4">
        <f>IF($B$296=0,0,IF(H$2&gt;=$A303,IF(H$2=$A303,($B303/$B$296)*$B$293,IF(H$2&lt;=$A303+$B$296-1,$B303/$B$296,$B303-SUM($C303:G303))),0))</f>
        <v>0</v>
      </c>
      <c r="I303" s="4">
        <f>IF($B$296=0,0,IF(I$2&gt;=$A303,IF(I$2=$A303,($B303/$B$296)*$B$293,IF(I$2&lt;=$A303+$B$296-1,$B303/$B$296,$B303-SUM($C303:H303))),0))</f>
        <v>0</v>
      </c>
      <c r="J303" s="4">
        <f>IF($B$296=0,0,IF(J$2&gt;=$A303,IF(J$2=$A303,($B303/$B$296)*$B$293,IF(J$2&lt;=$A303+$B$296-1,$B303/$B$296,$B303-SUM($C303:I303))),0))</f>
        <v>0</v>
      </c>
      <c r="K303" s="4">
        <f>IF($B$296=0,0,IF(K$2&gt;=$A303,IF(K$2=$A303,($B303/$B$296)*$B$293,IF(K$2&lt;=$A303+$B$296-1,$B303/$B$296,$B303-SUM($C303:J303))),0))</f>
        <v>0</v>
      </c>
      <c r="L303" s="4">
        <f>IF($B$296=0,0,IF(L$2&gt;=$A303,IF(L$2=$A303,($B303/$B$296)*$B$293,IF(L$2&lt;=$A303+$B$296-1,$B303/$B$296,$B303-SUM($C303:K303))),0))</f>
        <v>0</v>
      </c>
      <c r="M303" s="4">
        <f>IF($B$296=0,0,IF(M$2&gt;=$A303,IF(M$2=$A303,($B303/$B$296)*$B$293,IF(M$2&lt;=$A303+$B$296-1,$B303/$B$296,$B303-SUM($C303:L303))),0))</f>
        <v>0</v>
      </c>
      <c r="N303" s="4">
        <f>IF($B$296=0,0,IF(N$2&gt;=$A303,IF(N$2=$A303,($B303/$B$296)*$B$293,IF(N$2&lt;=$A303+$B$296-1,$B303/$B$296,$B303-SUM($C303:M303))),0))</f>
        <v>0</v>
      </c>
      <c r="O303" s="4">
        <f>IF($B$296=0,0,IF(O$2&gt;=$A303,IF(O$2=$A303,($B303/$B$296)*$B$293,IF(O$2&lt;=$A303+$B$296-1,$B303/$B$296,$B303-SUM($C303:N303))),0))</f>
        <v>0</v>
      </c>
      <c r="P303" s="4">
        <f>IF($B$296=0,0,IF(P$2&gt;=$A303,IF(P$2=$A303,($B303/$B$296)*$B$293,IF(P$2&lt;=$A303+$B$296-1,$B303/$B$296,$B303-SUM($C303:O303))),0))</f>
        <v>0</v>
      </c>
      <c r="Q303" s="4">
        <f>IF($B$296=0,0,IF(Q$2&gt;=$A303,IF(Q$2=$A303,($B303/$B$296)*$B$293,IF(Q$2&lt;=$A303+$B$296-1,$B303/$B$296,$B303-SUM($C303:P303))),0))</f>
        <v>0</v>
      </c>
      <c r="R303" s="4">
        <f>IF($B$296=0,0,IF(R$2&gt;=$A303,IF(R$2=$A303,($B303/$B$296)*$B$293,IF(R$2&lt;=$A303+$B$296-1,$B303/$B$296,$B303-SUM($C303:Q303))),0))</f>
        <v>0</v>
      </c>
      <c r="S303" s="4">
        <f>IF($B$296=0,0,IF(S$2&gt;=$A303,IF(S$2=$A303,($B303/$B$296)*$B$293,IF(S$2&lt;=$A303+$B$296-1,$B303/$B$296,$B303-SUM($C303:R303))),0))</f>
        <v>0</v>
      </c>
      <c r="T303" s="4">
        <f>IF($B$296=0,0,IF(T$2&gt;=$A303,IF(T$2=$A303,($B303/$B$296)*$B$293,IF(T$2&lt;=$A303+$B$296-1,$B303/$B$296,$B303-SUM($C303:S303))),0))</f>
        <v>0</v>
      </c>
      <c r="U303" s="4">
        <f>IF($B$296=0,0,IF(U$2&gt;=$A303,IF(U$2=$A303,($B303/$B$296)*$B$293,IF(U$2&lt;=$A303+$B$296-1,$B303/$B$296,$B303-SUM($C303:T303))),0))</f>
        <v>0</v>
      </c>
      <c r="V303" s="4">
        <f>IF($B$296=0,0,IF(V$2&gt;=$A303,IF(V$2=$A303,($B303/$B$296)*$B$293,IF(V$2&lt;=$A303+$B$296-1,$B303/$B$296,$B303-SUM($C303:U303))),0))</f>
        <v>0</v>
      </c>
      <c r="W303" s="4">
        <f>IF($B$296=0,0,IF(W$2&gt;=$A303,IF(W$2=$A303,($B303/$B$296)*$B$293,IF(W$2&lt;=$A303+$B$296-1,$B303/$B$296,$B303-SUM($C303:V303))),0))</f>
        <v>0</v>
      </c>
      <c r="X303" s="4">
        <f>IF($B$296=0,0,IF(X$2&gt;=$A303,IF(X$2=$A303,($B303/$B$296)*$B$293,IF(X$2&lt;=$A303+$B$296-1,$B303/$B$296,$B303-SUM($C303:W303))),0))</f>
        <v>0</v>
      </c>
      <c r="Y303" s="4">
        <f>IF($B$296=0,0,IF(Y$2&gt;=$A303,IF(Y$2=$A303,($B303/$B$296)*$B$293,IF(Y$2&lt;=$A303+$B$296-1,$B303/$B$296,$B303-SUM($C303:X303))),0))</f>
        <v>0</v>
      </c>
      <c r="Z303" s="4">
        <f>IF($B$296=0,0,IF(Z$2&gt;=$A303,IF(Z$2=$A303,($B303/$B$296)*$B$293,IF(Z$2&lt;=$A303+$B$296-1,$B303/$B$296,$B303-SUM($C303:Y303))),0))</f>
        <v>0</v>
      </c>
      <c r="AA303" s="4">
        <f>IF($B$296=0,0,IF(AA$2&gt;=$A303,IF(AA$2=$A303,($B303/$B$296)*$B$293,IF(AA$2&lt;=$A303+$B$296-1,$B303/$B$296,$B303-SUM($C303:Z303))),0))</f>
        <v>0</v>
      </c>
      <c r="AB303" s="4">
        <f>IF($B$296=0,0,IF(AB$2&gt;=$A303,IF(AB$2=$A303,($B303/$B$296)*$B$293,IF(AB$2&lt;=$A303+$B$296-1,$B303/$B$296,$B303-SUM($C303:AA303))),0))</f>
        <v>0</v>
      </c>
      <c r="AC303" s="4">
        <f>IF($B$296=0,0,IF(AC$2&gt;=$A303,IF(AC$2=$A303,($B303/$B$296)*$B$293,IF(AC$2&lt;=$A303+$B$296-1,$B303/$B$296,$B303-SUM($C303:AB303))),0))</f>
        <v>0</v>
      </c>
      <c r="AD303" s="4">
        <f>IF($B$296=0,0,IF(AD$2&gt;=$A303,IF(AD$2=$A303,($B303/$B$296)*$B$293,IF(AD$2&lt;=$A303+$B$296-1,$B303/$B$296,$B303-SUM($C303:AC303))),0))</f>
        <v>0</v>
      </c>
      <c r="AE303" s="4">
        <f>IF($B$296=0,0,IF(AE$2&gt;=$A303,IF(AE$2=$A303,($B303/$B$296)*$B$293,IF(AE$2&lt;=$A303+$B$296-1,$B303/$B$296,$B303-SUM($C303:AD303))),0))</f>
        <v>0</v>
      </c>
      <c r="AF303" s="4">
        <f>IF($B$296=0,0,IF(AF$2&gt;=$A303,IF(AF$2=$A303,($B303/$B$296)*$B$293,IF(AF$2&lt;=$A303+$B$296-1,$B303/$B$296,$B303-SUM($C303:AE303))),0))</f>
        <v>0</v>
      </c>
      <c r="AG303" s="4">
        <f t="shared" si="240"/>
        <v>0</v>
      </c>
    </row>
    <row r="304" spans="1:33">
      <c r="A304" s="6">
        <f t="shared" si="241"/>
        <v>2029</v>
      </c>
      <c r="B304" s="4">
        <f t="shared" si="239"/>
        <v>0</v>
      </c>
      <c r="C304" s="4">
        <f>IF($B$296=0,0,IF(C$2&gt;=$A304,IF(C$2=$A304,($B304/$B$296)*$B$293,IF(C$2&lt;=$A304+$B$296-1,$B304/$B$296,$B304-SUM(B304:$C304))),0))</f>
        <v>0</v>
      </c>
      <c r="D304" s="4">
        <f>IF($B$296=0,0,IF(D$2&gt;=$A304,IF(D$2=$A304,($B304/$B$296)*$B$293,IF(D$2&lt;=$A304+$B$296-1,$B304/$B$296,$B304-SUM(C304:$C304))),0))</f>
        <v>0</v>
      </c>
      <c r="E304" s="4">
        <f>IF($B$296=0,0,IF(E$2&gt;=$A304,IF(E$2=$A304,($B304/$B$296)*$B$293,IF(E$2&lt;=$A304+$B$296-1,$B304/$B$296,$B304-SUM($C304:D304))),0))</f>
        <v>0</v>
      </c>
      <c r="F304" s="4">
        <f>IF($B$296=0,0,IF(F$2&gt;=$A304,IF(F$2=$A304,($B304/$B$296)*$B$293,IF(F$2&lt;=$A304+$B$296-1,$B304/$B$296,$B304-SUM($C304:E304))),0))</f>
        <v>0</v>
      </c>
      <c r="G304" s="4">
        <f>IF($B$296=0,0,IF(G$2&gt;=$A304,IF(G$2=$A304,($B304/$B$296)*$B$293,IF(G$2&lt;=$A304+$B$296-1,$B304/$B$296,$B304-SUM($C304:F304))),0))</f>
        <v>0</v>
      </c>
      <c r="H304" s="4">
        <f>IF($B$296=0,0,IF(H$2&gt;=$A304,IF(H$2=$A304,($B304/$B$296)*$B$293,IF(H$2&lt;=$A304+$B$296-1,$B304/$B$296,$B304-SUM($C304:G304))),0))</f>
        <v>0</v>
      </c>
      <c r="I304" s="4">
        <f>IF($B$296=0,0,IF(I$2&gt;=$A304,IF(I$2=$A304,($B304/$B$296)*$B$293,IF(I$2&lt;=$A304+$B$296-1,$B304/$B$296,$B304-SUM($C304:H304))),0))</f>
        <v>0</v>
      </c>
      <c r="J304" s="4">
        <f>IF($B$296=0,0,IF(J$2&gt;=$A304,IF(J$2=$A304,($B304/$B$296)*$B$293,IF(J$2&lt;=$A304+$B$296-1,$B304/$B$296,$B304-SUM($C304:I304))),0))</f>
        <v>0</v>
      </c>
      <c r="K304" s="4">
        <f>IF($B$296=0,0,IF(K$2&gt;=$A304,IF(K$2=$A304,($B304/$B$296)*$B$293,IF(K$2&lt;=$A304+$B$296-1,$B304/$B$296,$B304-SUM($C304:J304))),0))</f>
        <v>0</v>
      </c>
      <c r="L304" s="4">
        <f>IF($B$296=0,0,IF(L$2&gt;=$A304,IF(L$2=$A304,($B304/$B$296)*$B$293,IF(L$2&lt;=$A304+$B$296-1,$B304/$B$296,$B304-SUM($C304:K304))),0))</f>
        <v>0</v>
      </c>
      <c r="M304" s="4">
        <f>IF($B$296=0,0,IF(M$2&gt;=$A304,IF(M$2=$A304,($B304/$B$296)*$B$293,IF(M$2&lt;=$A304+$B$296-1,$B304/$B$296,$B304-SUM($C304:L304))),0))</f>
        <v>0</v>
      </c>
      <c r="N304" s="4">
        <f>IF($B$296=0,0,IF(N$2&gt;=$A304,IF(N$2=$A304,($B304/$B$296)*$B$293,IF(N$2&lt;=$A304+$B$296-1,$B304/$B$296,$B304-SUM($C304:M304))),0))</f>
        <v>0</v>
      </c>
      <c r="O304" s="4">
        <f>IF($B$296=0,0,IF(O$2&gt;=$A304,IF(O$2=$A304,($B304/$B$296)*$B$293,IF(O$2&lt;=$A304+$B$296-1,$B304/$B$296,$B304-SUM($C304:N304))),0))</f>
        <v>0</v>
      </c>
      <c r="P304" s="4">
        <f>IF($B$296=0,0,IF(P$2&gt;=$A304,IF(P$2=$A304,($B304/$B$296)*$B$293,IF(P$2&lt;=$A304+$B$296-1,$B304/$B$296,$B304-SUM($C304:O304))),0))</f>
        <v>0</v>
      </c>
      <c r="Q304" s="4">
        <f>IF($B$296=0,0,IF(Q$2&gt;=$A304,IF(Q$2=$A304,($B304/$B$296)*$B$293,IF(Q$2&lt;=$A304+$B$296-1,$B304/$B$296,$B304-SUM($C304:P304))),0))</f>
        <v>0</v>
      </c>
      <c r="R304" s="4">
        <f>IF($B$296=0,0,IF(R$2&gt;=$A304,IF(R$2=$A304,($B304/$B$296)*$B$293,IF(R$2&lt;=$A304+$B$296-1,$B304/$B$296,$B304-SUM($C304:Q304))),0))</f>
        <v>0</v>
      </c>
      <c r="S304" s="4">
        <f>IF($B$296=0,0,IF(S$2&gt;=$A304,IF(S$2=$A304,($B304/$B$296)*$B$293,IF(S$2&lt;=$A304+$B$296-1,$B304/$B$296,$B304-SUM($C304:R304))),0))</f>
        <v>0</v>
      </c>
      <c r="T304" s="4">
        <f>IF($B$296=0,0,IF(T$2&gt;=$A304,IF(T$2=$A304,($B304/$B$296)*$B$293,IF(T$2&lt;=$A304+$B$296-1,$B304/$B$296,$B304-SUM($C304:S304))),0))</f>
        <v>0</v>
      </c>
      <c r="U304" s="4">
        <f>IF($B$296=0,0,IF(U$2&gt;=$A304,IF(U$2=$A304,($B304/$B$296)*$B$293,IF(U$2&lt;=$A304+$B$296-1,$B304/$B$296,$B304-SUM($C304:T304))),0))</f>
        <v>0</v>
      </c>
      <c r="V304" s="4">
        <f>IF($B$296=0,0,IF(V$2&gt;=$A304,IF(V$2=$A304,($B304/$B$296)*$B$293,IF(V$2&lt;=$A304+$B$296-1,$B304/$B$296,$B304-SUM($C304:U304))),0))</f>
        <v>0</v>
      </c>
      <c r="W304" s="4">
        <f>IF($B$296=0,0,IF(W$2&gt;=$A304,IF(W$2=$A304,($B304/$B$296)*$B$293,IF(W$2&lt;=$A304+$B$296-1,$B304/$B$296,$B304-SUM($C304:V304))),0))</f>
        <v>0</v>
      </c>
      <c r="X304" s="4">
        <f>IF($B$296=0,0,IF(X$2&gt;=$A304,IF(X$2=$A304,($B304/$B$296)*$B$293,IF(X$2&lt;=$A304+$B$296-1,$B304/$B$296,$B304-SUM($C304:W304))),0))</f>
        <v>0</v>
      </c>
      <c r="Y304" s="4">
        <f>IF($B$296=0,0,IF(Y$2&gt;=$A304,IF(Y$2=$A304,($B304/$B$296)*$B$293,IF(Y$2&lt;=$A304+$B$296-1,$B304/$B$296,$B304-SUM($C304:X304))),0))</f>
        <v>0</v>
      </c>
      <c r="Z304" s="4">
        <f>IF($B$296=0,0,IF(Z$2&gt;=$A304,IF(Z$2=$A304,($B304/$B$296)*$B$293,IF(Z$2&lt;=$A304+$B$296-1,$B304/$B$296,$B304-SUM($C304:Y304))),0))</f>
        <v>0</v>
      </c>
      <c r="AA304" s="4">
        <f>IF($B$296=0,0,IF(AA$2&gt;=$A304,IF(AA$2=$A304,($B304/$B$296)*$B$293,IF(AA$2&lt;=$A304+$B$296-1,$B304/$B$296,$B304-SUM($C304:Z304))),0))</f>
        <v>0</v>
      </c>
      <c r="AB304" s="4">
        <f>IF($B$296=0,0,IF(AB$2&gt;=$A304,IF(AB$2=$A304,($B304/$B$296)*$B$293,IF(AB$2&lt;=$A304+$B$296-1,$B304/$B$296,$B304-SUM($C304:AA304))),0))</f>
        <v>0</v>
      </c>
      <c r="AC304" s="4">
        <f>IF($B$296=0,0,IF(AC$2&gt;=$A304,IF(AC$2=$A304,($B304/$B$296)*$B$293,IF(AC$2&lt;=$A304+$B$296-1,$B304/$B$296,$B304-SUM($C304:AB304))),0))</f>
        <v>0</v>
      </c>
      <c r="AD304" s="4">
        <f>IF($B$296=0,0,IF(AD$2&gt;=$A304,IF(AD$2=$A304,($B304/$B$296)*$B$293,IF(AD$2&lt;=$A304+$B$296-1,$B304/$B$296,$B304-SUM($C304:AC304))),0))</f>
        <v>0</v>
      </c>
      <c r="AE304" s="4">
        <f>IF($B$296=0,0,IF(AE$2&gt;=$A304,IF(AE$2=$A304,($B304/$B$296)*$B$293,IF(AE$2&lt;=$A304+$B$296-1,$B304/$B$296,$B304-SUM($C304:AD304))),0))</f>
        <v>0</v>
      </c>
      <c r="AF304" s="4">
        <f>IF($B$296=0,0,IF(AF$2&gt;=$A304,IF(AF$2=$A304,($B304/$B$296)*$B$293,IF(AF$2&lt;=$A304+$B$296-1,$B304/$B$296,$B304-SUM($C304:AE304))),0))</f>
        <v>0</v>
      </c>
      <c r="AG304" s="4">
        <f t="shared" si="240"/>
        <v>0</v>
      </c>
    </row>
    <row r="305" spans="1:33">
      <c r="A305" s="6">
        <f t="shared" si="241"/>
        <v>2030</v>
      </c>
      <c r="B305" s="4">
        <f t="shared" si="239"/>
        <v>0</v>
      </c>
      <c r="C305" s="4">
        <f>IF($B$296=0,0,IF(C$2&gt;=$A305,IF(C$2=$A305,($B305/$B$296)*$B$293,IF(C$2&lt;=$A305+$B$296-1,$B305/$B$296,$B305-SUM(B305:$C305))),0))</f>
        <v>0</v>
      </c>
      <c r="D305" s="4">
        <f>IF($B$296=0,0,IF(D$2&gt;=$A305,IF(D$2=$A305,($B305/$B$296)*$B$293,IF(D$2&lt;=$A305+$B$296-1,$B305/$B$296,$B305-SUM(C305:$C305))),0))</f>
        <v>0</v>
      </c>
      <c r="E305" s="4">
        <f>IF($B$296=0,0,IF(E$2&gt;=$A305,IF(E$2=$A305,($B305/$B$296)*$B$293,IF(E$2&lt;=$A305+$B$296-1,$B305/$B$296,$B305-SUM($C305:D305))),0))</f>
        <v>0</v>
      </c>
      <c r="F305" s="4">
        <f>IF($B$296=0,0,IF(F$2&gt;=$A305,IF(F$2=$A305,($B305/$B$296)*$B$293,IF(F$2&lt;=$A305+$B$296-1,$B305/$B$296,$B305-SUM($C305:E305))),0))</f>
        <v>0</v>
      </c>
      <c r="G305" s="4">
        <f>IF($B$296=0,0,IF(G$2&gt;=$A305,IF(G$2=$A305,($B305/$B$296)*$B$293,IF(G$2&lt;=$A305+$B$296-1,$B305/$B$296,$B305-SUM($C305:F305))),0))</f>
        <v>0</v>
      </c>
      <c r="H305" s="4">
        <f>IF($B$296=0,0,IF(H$2&gt;=$A305,IF(H$2=$A305,($B305/$B$296)*$B$293,IF(H$2&lt;=$A305+$B$296-1,$B305/$B$296,$B305-SUM($C305:G305))),0))</f>
        <v>0</v>
      </c>
      <c r="I305" s="4">
        <f>IF($B$296=0,0,IF(I$2&gt;=$A305,IF(I$2=$A305,($B305/$B$296)*$B$293,IF(I$2&lt;=$A305+$B$296-1,$B305/$B$296,$B305-SUM($C305:H305))),0))</f>
        <v>0</v>
      </c>
      <c r="J305" s="4">
        <f>IF($B$296=0,0,IF(J$2&gt;=$A305,IF(J$2=$A305,($B305/$B$296)*$B$293,IF(J$2&lt;=$A305+$B$296-1,$B305/$B$296,$B305-SUM($C305:I305))),0))</f>
        <v>0</v>
      </c>
      <c r="K305" s="4">
        <f>IF($B$296=0,0,IF(K$2&gt;=$A305,IF(K$2=$A305,($B305/$B$296)*$B$293,IF(K$2&lt;=$A305+$B$296-1,$B305/$B$296,$B305-SUM($C305:J305))),0))</f>
        <v>0</v>
      </c>
      <c r="L305" s="4">
        <f>IF($B$296=0,0,IF(L$2&gt;=$A305,IF(L$2=$A305,($B305/$B$296)*$B$293,IF(L$2&lt;=$A305+$B$296-1,$B305/$B$296,$B305-SUM($C305:K305))),0))</f>
        <v>0</v>
      </c>
      <c r="M305" s="4">
        <f>IF($B$296=0,0,IF(M$2&gt;=$A305,IF(M$2=$A305,($B305/$B$296)*$B$293,IF(M$2&lt;=$A305+$B$296-1,$B305/$B$296,$B305-SUM($C305:L305))),0))</f>
        <v>0</v>
      </c>
      <c r="N305" s="4">
        <f>IF($B$296=0,0,IF(N$2&gt;=$A305,IF(N$2=$A305,($B305/$B$296)*$B$293,IF(N$2&lt;=$A305+$B$296-1,$B305/$B$296,$B305-SUM($C305:M305))),0))</f>
        <v>0</v>
      </c>
      <c r="O305" s="4">
        <f>IF($B$296=0,0,IF(O$2&gt;=$A305,IF(O$2=$A305,($B305/$B$296)*$B$293,IF(O$2&lt;=$A305+$B$296-1,$B305/$B$296,$B305-SUM($C305:N305))),0))</f>
        <v>0</v>
      </c>
      <c r="P305" s="4">
        <f>IF($B$296=0,0,IF(P$2&gt;=$A305,IF(P$2=$A305,($B305/$B$296)*$B$293,IF(P$2&lt;=$A305+$B$296-1,$B305/$B$296,$B305-SUM($C305:O305))),0))</f>
        <v>0</v>
      </c>
      <c r="Q305" s="4">
        <f>IF($B$296=0,0,IF(Q$2&gt;=$A305,IF(Q$2=$A305,($B305/$B$296)*$B$293,IF(Q$2&lt;=$A305+$B$296-1,$B305/$B$296,$B305-SUM($C305:P305))),0))</f>
        <v>0</v>
      </c>
      <c r="R305" s="4">
        <f>IF($B$296=0,0,IF(R$2&gt;=$A305,IF(R$2=$A305,($B305/$B$296)*$B$293,IF(R$2&lt;=$A305+$B$296-1,$B305/$B$296,$B305-SUM($C305:Q305))),0))</f>
        <v>0</v>
      </c>
      <c r="S305" s="4">
        <f>IF($B$296=0,0,IF(S$2&gt;=$A305,IF(S$2=$A305,($B305/$B$296)*$B$293,IF(S$2&lt;=$A305+$B$296-1,$B305/$B$296,$B305-SUM($C305:R305))),0))</f>
        <v>0</v>
      </c>
      <c r="T305" s="4">
        <f>IF($B$296=0,0,IF(T$2&gt;=$A305,IF(T$2=$A305,($B305/$B$296)*$B$293,IF(T$2&lt;=$A305+$B$296-1,$B305/$B$296,$B305-SUM($C305:S305))),0))</f>
        <v>0</v>
      </c>
      <c r="U305" s="4">
        <f>IF($B$296=0,0,IF(U$2&gt;=$A305,IF(U$2=$A305,($B305/$B$296)*$B$293,IF(U$2&lt;=$A305+$B$296-1,$B305/$B$296,$B305-SUM($C305:T305))),0))</f>
        <v>0</v>
      </c>
      <c r="V305" s="4">
        <f>IF($B$296=0,0,IF(V$2&gt;=$A305,IF(V$2=$A305,($B305/$B$296)*$B$293,IF(V$2&lt;=$A305+$B$296-1,$B305/$B$296,$B305-SUM($C305:U305))),0))</f>
        <v>0</v>
      </c>
      <c r="W305" s="4">
        <f>IF($B$296=0,0,IF(W$2&gt;=$A305,IF(W$2=$A305,($B305/$B$296)*$B$293,IF(W$2&lt;=$A305+$B$296-1,$B305/$B$296,$B305-SUM($C305:V305))),0))</f>
        <v>0</v>
      </c>
      <c r="X305" s="4">
        <f>IF($B$296=0,0,IF(X$2&gt;=$A305,IF(X$2=$A305,($B305/$B$296)*$B$293,IF(X$2&lt;=$A305+$B$296-1,$B305/$B$296,$B305-SUM($C305:W305))),0))</f>
        <v>0</v>
      </c>
      <c r="Y305" s="4">
        <f>IF($B$296=0,0,IF(Y$2&gt;=$A305,IF(Y$2=$A305,($B305/$B$296)*$B$293,IF(Y$2&lt;=$A305+$B$296-1,$B305/$B$296,$B305-SUM($C305:X305))),0))</f>
        <v>0</v>
      </c>
      <c r="Z305" s="4">
        <f>IF($B$296=0,0,IF(Z$2&gt;=$A305,IF(Z$2=$A305,($B305/$B$296)*$B$293,IF(Z$2&lt;=$A305+$B$296-1,$B305/$B$296,$B305-SUM($C305:Y305))),0))</f>
        <v>0</v>
      </c>
      <c r="AA305" s="4">
        <f>IF($B$296=0,0,IF(AA$2&gt;=$A305,IF(AA$2=$A305,($B305/$B$296)*$B$293,IF(AA$2&lt;=$A305+$B$296-1,$B305/$B$296,$B305-SUM($C305:Z305))),0))</f>
        <v>0</v>
      </c>
      <c r="AB305" s="4">
        <f>IF($B$296=0,0,IF(AB$2&gt;=$A305,IF(AB$2=$A305,($B305/$B$296)*$B$293,IF(AB$2&lt;=$A305+$B$296-1,$B305/$B$296,$B305-SUM($C305:AA305))),0))</f>
        <v>0</v>
      </c>
      <c r="AC305" s="4">
        <f>IF($B$296=0,0,IF(AC$2&gt;=$A305,IF(AC$2=$A305,($B305/$B$296)*$B$293,IF(AC$2&lt;=$A305+$B$296-1,$B305/$B$296,$B305-SUM($C305:AB305))),0))</f>
        <v>0</v>
      </c>
      <c r="AD305" s="4">
        <f>IF($B$296=0,0,IF(AD$2&gt;=$A305,IF(AD$2=$A305,($B305/$B$296)*$B$293,IF(AD$2&lt;=$A305+$B$296-1,$B305/$B$296,$B305-SUM($C305:AC305))),0))</f>
        <v>0</v>
      </c>
      <c r="AE305" s="4">
        <f>IF($B$296=0,0,IF(AE$2&gt;=$A305,IF(AE$2=$A305,($B305/$B$296)*$B$293,IF(AE$2&lt;=$A305+$B$296-1,$B305/$B$296,$B305-SUM($C305:AD305))),0))</f>
        <v>0</v>
      </c>
      <c r="AF305" s="4">
        <f>IF($B$296=0,0,IF(AF$2&gt;=$A305,IF(AF$2=$A305,($B305/$B$296)*$B$293,IF(AF$2&lt;=$A305+$B$296-1,$B305/$B$296,$B305-SUM($C305:AE305))),0))</f>
        <v>0</v>
      </c>
      <c r="AG305" s="4">
        <f t="shared" si="240"/>
        <v>0</v>
      </c>
    </row>
    <row r="306" spans="1:33">
      <c r="A306" s="6">
        <f t="shared" si="241"/>
        <v>2031</v>
      </c>
      <c r="B306" s="4">
        <f t="shared" si="239"/>
        <v>26500</v>
      </c>
      <c r="C306" s="4">
        <f>IF($B$296=0,0,IF(C$2&gt;=$A306,IF(C$2=$A306,($B306/$B$296)*$B$293,IF(C$2&lt;=$A306+$B$296-1,$B306/$B$296,$B306-SUM(B306:$C306))),0))</f>
        <v>0</v>
      </c>
      <c r="D306" s="4">
        <f>IF($B$296=0,0,IF(D$2&gt;=$A306,IF(D$2=$A306,($B306/$B$296)*$B$293,IF(D$2&lt;=$A306+$B$296-1,$B306/$B$296,$B306-SUM(C306:$C306))),0))</f>
        <v>0</v>
      </c>
      <c r="E306" s="4">
        <f>IF($B$296=0,0,IF(E$2&gt;=$A306,IF(E$2=$A306,($B306/$B$296)*$B$293,IF(E$2&lt;=$A306+$B$296-1,$B306/$B$296,$B306-SUM($C306:D306))),0))</f>
        <v>0</v>
      </c>
      <c r="F306" s="4">
        <f>IF($B$296=0,0,IF(F$2&gt;=$A306,IF(F$2=$A306,($B306/$B$296)*$B$293,IF(F$2&lt;=$A306+$B$296-1,$B306/$B$296,$B306-SUM($C306:E306))),0))</f>
        <v>0</v>
      </c>
      <c r="G306" s="4">
        <f>IF($B$296=0,0,IF(G$2&gt;=$A306,IF(G$2=$A306,($B306/$B$296)*$B$293,IF(G$2&lt;=$A306+$B$296-1,$B306/$B$296,$B306-SUM($C306:F306))),0))</f>
        <v>0</v>
      </c>
      <c r="H306" s="4">
        <f>IF($B$296=0,0,IF(H$2&gt;=$A306,IF(H$2=$A306,($B306/$B$296)*$B$293,IF(H$2&lt;=$A306+$B$296-1,$B306/$B$296,$B306-SUM($C306:G306))),0))</f>
        <v>0</v>
      </c>
      <c r="I306" s="4">
        <f>IF($B$296=0,0,IF(I$2&gt;=$A306,IF(I$2=$A306,($B306/$B$296)*$B$293,IF(I$2&lt;=$A306+$B$296-1,$B306/$B$296,$B306-SUM($C306:H306))),0))</f>
        <v>0</v>
      </c>
      <c r="J306" s="4">
        <f>IF($B$296=0,0,IF(J$2&gt;=$A306,IF(J$2=$A306,($B306/$B$296)*$B$293,IF(J$2&lt;=$A306+$B$296-1,$B306/$B$296,$B306-SUM($C306:I306))),0))</f>
        <v>0</v>
      </c>
      <c r="K306" s="4">
        <f>IF($B$296=0,0,IF(K$2&gt;=$A306,IF(K$2=$A306,($B306/$B$296)*$B$293,IF(K$2&lt;=$A306+$B$296-1,$B306/$B$296,$B306-SUM($C306:J306))),0))</f>
        <v>0</v>
      </c>
      <c r="L306" s="4">
        <f>IF($B$296=0,0,IF(L$2&gt;=$A306,IF(L$2=$A306,($B306/$B$296)*$B$293,IF(L$2&lt;=$A306+$B$296-1,$B306/$B$296,$B306-SUM($C306:K306))),0))</f>
        <v>220.83333333333334</v>
      </c>
      <c r="M306" s="4">
        <f>IF($B$296=0,0,IF(M$2&gt;=$A306,IF(M$2=$A306,($B306/$B$296)*$B$293,IF(M$2&lt;=$A306+$B$296-1,$B306/$B$296,$B306-SUM($C306:L306))),0))</f>
        <v>441.66666666666669</v>
      </c>
      <c r="N306" s="4">
        <f>IF($B$296=0,0,IF(N$2&gt;=$A306,IF(N$2=$A306,($B306/$B$296)*$B$293,IF(N$2&lt;=$A306+$B$296-1,$B306/$B$296,$B306-SUM($C306:M306))),0))</f>
        <v>441.66666666666669</v>
      </c>
      <c r="O306" s="4">
        <f>IF($B$296=0,0,IF(O$2&gt;=$A306,IF(O$2=$A306,($B306/$B$296)*$B$293,IF(O$2&lt;=$A306+$B$296-1,$B306/$B$296,$B306-SUM($C306:N306))),0))</f>
        <v>441.66666666666669</v>
      </c>
      <c r="P306" s="4">
        <f>IF($B$296=0,0,IF(P$2&gt;=$A306,IF(P$2=$A306,($B306/$B$296)*$B$293,IF(P$2&lt;=$A306+$B$296-1,$B306/$B$296,$B306-SUM($C306:O306))),0))</f>
        <v>441.66666666666669</v>
      </c>
      <c r="Q306" s="4">
        <f>IF($B$296=0,0,IF(Q$2&gt;=$A306,IF(Q$2=$A306,($B306/$B$296)*$B$293,IF(Q$2&lt;=$A306+$B$296-1,$B306/$B$296,$B306-SUM($C306:P306))),0))</f>
        <v>441.66666666666669</v>
      </c>
      <c r="R306" s="4">
        <f>IF($B$296=0,0,IF(R$2&gt;=$A306,IF(R$2=$A306,($B306/$B$296)*$B$293,IF(R$2&lt;=$A306+$B$296-1,$B306/$B$296,$B306-SUM($C306:Q306))),0))</f>
        <v>441.66666666666669</v>
      </c>
      <c r="S306" s="4">
        <f>IF($B$296=0,0,IF(S$2&gt;=$A306,IF(S$2=$A306,($B306/$B$296)*$B$293,IF(S$2&lt;=$A306+$B$296-1,$B306/$B$296,$B306-SUM($C306:R306))),0))</f>
        <v>441.66666666666669</v>
      </c>
      <c r="T306" s="4">
        <f>IF($B$296=0,0,IF(T$2&gt;=$A306,IF(T$2=$A306,($B306/$B$296)*$B$293,IF(T$2&lt;=$A306+$B$296-1,$B306/$B$296,$B306-SUM($C306:S306))),0))</f>
        <v>441.66666666666669</v>
      </c>
      <c r="U306" s="4">
        <f>IF($B$296=0,0,IF(U$2&gt;=$A306,IF(U$2=$A306,($B306/$B$296)*$B$293,IF(U$2&lt;=$A306+$B$296-1,$B306/$B$296,$B306-SUM($C306:T306))),0))</f>
        <v>441.66666666666669</v>
      </c>
      <c r="V306" s="4">
        <f>IF($B$296=0,0,IF(V$2&gt;=$A306,IF(V$2=$A306,($B306/$B$296)*$B$293,IF(V$2&lt;=$A306+$B$296-1,$B306/$B$296,$B306-SUM($C306:U306))),0))</f>
        <v>441.66666666666669</v>
      </c>
      <c r="W306" s="4">
        <f>IF($B$296=0,0,IF(W$2&gt;=$A306,IF(W$2=$A306,($B306/$B$296)*$B$293,IF(W$2&lt;=$A306+$B$296-1,$B306/$B$296,$B306-SUM($C306:V306))),0))</f>
        <v>441.66666666666669</v>
      </c>
      <c r="X306" s="4">
        <f>IF($B$296=0,0,IF(X$2&gt;=$A306,IF(X$2=$A306,($B306/$B$296)*$B$293,IF(X$2&lt;=$A306+$B$296-1,$B306/$B$296,$B306-SUM($C306:W306))),0))</f>
        <v>441.66666666666669</v>
      </c>
      <c r="Y306" s="4">
        <f>IF($B$296=0,0,IF(Y$2&gt;=$A306,IF(Y$2=$A306,($B306/$B$296)*$B$293,IF(Y$2&lt;=$A306+$B$296-1,$B306/$B$296,$B306-SUM($C306:X306))),0))</f>
        <v>441.66666666666669</v>
      </c>
      <c r="Z306" s="4">
        <f>IF($B$296=0,0,IF(Z$2&gt;=$A306,IF(Z$2=$A306,($B306/$B$296)*$B$293,IF(Z$2&lt;=$A306+$B$296-1,$B306/$B$296,$B306-SUM($C306:Y306))),0))</f>
        <v>441.66666666666669</v>
      </c>
      <c r="AA306" s="4">
        <f>IF($B$296=0,0,IF(AA$2&gt;=$A306,IF(AA$2=$A306,($B306/$B$296)*$B$293,IF(AA$2&lt;=$A306+$B$296-1,$B306/$B$296,$B306-SUM($C306:Z306))),0))</f>
        <v>441.66666666666669</v>
      </c>
      <c r="AB306" s="4">
        <f>IF($B$296=0,0,IF(AB$2&gt;=$A306,IF(AB$2=$A306,($B306/$B$296)*$B$293,IF(AB$2&lt;=$A306+$B$296-1,$B306/$B$296,$B306-SUM($C306:AA306))),0))</f>
        <v>441.66666666666669</v>
      </c>
      <c r="AC306" s="4">
        <f>IF($B$296=0,0,IF(AC$2&gt;=$A306,IF(AC$2=$A306,($B306/$B$296)*$B$293,IF(AC$2&lt;=$A306+$B$296-1,$B306/$B$296,$B306-SUM($C306:AB306))),0))</f>
        <v>441.66666666666669</v>
      </c>
      <c r="AD306" s="4">
        <f>IF($B$296=0,0,IF(AD$2&gt;=$A306,IF(AD$2=$A306,($B306/$B$296)*$B$293,IF(AD$2&lt;=$A306+$B$296-1,$B306/$B$296,$B306-SUM($C306:AC306))),0))</f>
        <v>441.66666666666669</v>
      </c>
      <c r="AE306" s="4">
        <f>IF($B$296=0,0,IF(AE$2&gt;=$A306,IF(AE$2=$A306,($B306/$B$296)*$B$293,IF(AE$2&lt;=$A306+$B$296-1,$B306/$B$296,$B306-SUM($C306:AD306))),0))</f>
        <v>441.66666666666669</v>
      </c>
      <c r="AF306" s="4">
        <f>IF($B$296=0,0,IF(AF$2&gt;=$A306,IF(AF$2=$A306,($B306/$B$296)*$B$293,IF(AF$2&lt;=$A306+$B$296-1,$B306/$B$296,$B306-SUM($C306:AE306))),0))</f>
        <v>441.66666666666669</v>
      </c>
      <c r="AG306" s="4">
        <f t="shared" si="240"/>
        <v>9054.1666666666679</v>
      </c>
    </row>
    <row r="307" spans="1:33">
      <c r="A307" s="6">
        <f t="shared" si="241"/>
        <v>2032</v>
      </c>
      <c r="B307" s="4">
        <f t="shared" si="239"/>
        <v>27295</v>
      </c>
      <c r="C307" s="4">
        <f>IF($B$296=0,0,IF(C$2&gt;=$A307,IF(C$2=$A307,($B307/$B$296)*$B$293,IF(C$2&lt;=$A307+$B$296-1,$B307/$B$296,$B307-SUM(B307:$C307))),0))</f>
        <v>0</v>
      </c>
      <c r="D307" s="4">
        <f>IF($B$296=0,0,IF(D$2&gt;=$A307,IF(D$2=$A307,($B307/$B$296)*$B$293,IF(D$2&lt;=$A307+$B$296-1,$B307/$B$296,$B307-SUM(C307:$C307))),0))</f>
        <v>0</v>
      </c>
      <c r="E307" s="4">
        <f>IF($B$296=0,0,IF(E$2&gt;=$A307,IF(E$2=$A307,($B307/$B$296)*$B$293,IF(E$2&lt;=$A307+$B$296-1,$B307/$B$296,$B307-SUM($C307:D307))),0))</f>
        <v>0</v>
      </c>
      <c r="F307" s="4">
        <f>IF($B$296=0,0,IF(F$2&gt;=$A307,IF(F$2=$A307,($B307/$B$296)*$B$293,IF(F$2&lt;=$A307+$B$296-1,$B307/$B$296,$B307-SUM($C307:E307))),0))</f>
        <v>0</v>
      </c>
      <c r="G307" s="4">
        <f>IF($B$296=0,0,IF(G$2&gt;=$A307,IF(G$2=$A307,($B307/$B$296)*$B$293,IF(G$2&lt;=$A307+$B$296-1,$B307/$B$296,$B307-SUM($C307:F307))),0))</f>
        <v>0</v>
      </c>
      <c r="H307" s="4">
        <f>IF($B$296=0,0,IF(H$2&gt;=$A307,IF(H$2=$A307,($B307/$B$296)*$B$293,IF(H$2&lt;=$A307+$B$296-1,$B307/$B$296,$B307-SUM($C307:G307))),0))</f>
        <v>0</v>
      </c>
      <c r="I307" s="4">
        <f>IF($B$296=0,0,IF(I$2&gt;=$A307,IF(I$2=$A307,($B307/$B$296)*$B$293,IF(I$2&lt;=$A307+$B$296-1,$B307/$B$296,$B307-SUM($C307:H307))),0))</f>
        <v>0</v>
      </c>
      <c r="J307" s="4">
        <f>IF($B$296=0,0,IF(J$2&gt;=$A307,IF(J$2=$A307,($B307/$B$296)*$B$293,IF(J$2&lt;=$A307+$B$296-1,$B307/$B$296,$B307-SUM($C307:I307))),0))</f>
        <v>0</v>
      </c>
      <c r="K307" s="4">
        <f>IF($B$296=0,0,IF(K$2&gt;=$A307,IF(K$2=$A307,($B307/$B$296)*$B$293,IF(K$2&lt;=$A307+$B$296-1,$B307/$B$296,$B307-SUM($C307:J307))),0))</f>
        <v>0</v>
      </c>
      <c r="L307" s="4">
        <f>IF($B$296=0,0,IF(L$2&gt;=$A307,IF(L$2=$A307,($B307/$B$296)*$B$293,IF(L$2&lt;=$A307+$B$296-1,$B307/$B$296,$B307-SUM($C307:K307))),0))</f>
        <v>0</v>
      </c>
      <c r="M307" s="4">
        <f>IF($B$296=0,0,IF(M$2&gt;=$A307,IF(M$2=$A307,($B307/$B$296)*$B$293,IF(M$2&lt;=$A307+$B$296-1,$B307/$B$296,$B307-SUM($C307:L307))),0))</f>
        <v>227.45833333333334</v>
      </c>
      <c r="N307" s="4">
        <f>IF($B$296=0,0,IF(N$2&gt;=$A307,IF(N$2=$A307,($B307/$B$296)*$B$293,IF(N$2&lt;=$A307+$B$296-1,$B307/$B$296,$B307-SUM($C307:M307))),0))</f>
        <v>454.91666666666669</v>
      </c>
      <c r="O307" s="4">
        <f>IF($B$296=0,0,IF(O$2&gt;=$A307,IF(O$2=$A307,($B307/$B$296)*$B$293,IF(O$2&lt;=$A307+$B$296-1,$B307/$B$296,$B307-SUM($C307:N307))),0))</f>
        <v>454.91666666666669</v>
      </c>
      <c r="P307" s="4">
        <f>IF($B$296=0,0,IF(P$2&gt;=$A307,IF(P$2=$A307,($B307/$B$296)*$B$293,IF(P$2&lt;=$A307+$B$296-1,$B307/$B$296,$B307-SUM($C307:O307))),0))</f>
        <v>454.91666666666669</v>
      </c>
      <c r="Q307" s="4">
        <f>IF($B$296=0,0,IF(Q$2&gt;=$A307,IF(Q$2=$A307,($B307/$B$296)*$B$293,IF(Q$2&lt;=$A307+$B$296-1,$B307/$B$296,$B307-SUM($C307:P307))),0))</f>
        <v>454.91666666666669</v>
      </c>
      <c r="R307" s="4">
        <f>IF($B$296=0,0,IF(R$2&gt;=$A307,IF(R$2=$A307,($B307/$B$296)*$B$293,IF(R$2&lt;=$A307+$B$296-1,$B307/$B$296,$B307-SUM($C307:Q307))),0))</f>
        <v>454.91666666666669</v>
      </c>
      <c r="S307" s="4">
        <f>IF($B$296=0,0,IF(S$2&gt;=$A307,IF(S$2=$A307,($B307/$B$296)*$B$293,IF(S$2&lt;=$A307+$B$296-1,$B307/$B$296,$B307-SUM($C307:R307))),0))</f>
        <v>454.91666666666669</v>
      </c>
      <c r="T307" s="4">
        <f>IF($B$296=0,0,IF(T$2&gt;=$A307,IF(T$2=$A307,($B307/$B$296)*$B$293,IF(T$2&lt;=$A307+$B$296-1,$B307/$B$296,$B307-SUM($C307:S307))),0))</f>
        <v>454.91666666666669</v>
      </c>
      <c r="U307" s="4">
        <f>IF($B$296=0,0,IF(U$2&gt;=$A307,IF(U$2=$A307,($B307/$B$296)*$B$293,IF(U$2&lt;=$A307+$B$296-1,$B307/$B$296,$B307-SUM($C307:T307))),0))</f>
        <v>454.91666666666669</v>
      </c>
      <c r="V307" s="4">
        <f>IF($B$296=0,0,IF(V$2&gt;=$A307,IF(V$2=$A307,($B307/$B$296)*$B$293,IF(V$2&lt;=$A307+$B$296-1,$B307/$B$296,$B307-SUM($C307:U307))),0))</f>
        <v>454.91666666666669</v>
      </c>
      <c r="W307" s="4">
        <f>IF($B$296=0,0,IF(W$2&gt;=$A307,IF(W$2=$A307,($B307/$B$296)*$B$293,IF(W$2&lt;=$A307+$B$296-1,$B307/$B$296,$B307-SUM($C307:V307))),0))</f>
        <v>454.91666666666669</v>
      </c>
      <c r="X307" s="4">
        <f>IF($B$296=0,0,IF(X$2&gt;=$A307,IF(X$2=$A307,($B307/$B$296)*$B$293,IF(X$2&lt;=$A307+$B$296-1,$B307/$B$296,$B307-SUM($C307:W307))),0))</f>
        <v>454.91666666666669</v>
      </c>
      <c r="Y307" s="4">
        <f>IF($B$296=0,0,IF(Y$2&gt;=$A307,IF(Y$2=$A307,($B307/$B$296)*$B$293,IF(Y$2&lt;=$A307+$B$296-1,$B307/$B$296,$B307-SUM($C307:X307))),0))</f>
        <v>454.91666666666669</v>
      </c>
      <c r="Z307" s="4">
        <f>IF($B$296=0,0,IF(Z$2&gt;=$A307,IF(Z$2=$A307,($B307/$B$296)*$B$293,IF(Z$2&lt;=$A307+$B$296-1,$B307/$B$296,$B307-SUM($C307:Y307))),0))</f>
        <v>454.91666666666669</v>
      </c>
      <c r="AA307" s="4">
        <f>IF($B$296=0,0,IF(AA$2&gt;=$A307,IF(AA$2=$A307,($B307/$B$296)*$B$293,IF(AA$2&lt;=$A307+$B$296-1,$B307/$B$296,$B307-SUM($C307:Z307))),0))</f>
        <v>454.91666666666669</v>
      </c>
      <c r="AB307" s="4">
        <f>IF($B$296=0,0,IF(AB$2&gt;=$A307,IF(AB$2=$A307,($B307/$B$296)*$B$293,IF(AB$2&lt;=$A307+$B$296-1,$B307/$B$296,$B307-SUM($C307:AA307))),0))</f>
        <v>454.91666666666669</v>
      </c>
      <c r="AC307" s="4">
        <f>IF($B$296=0,0,IF(AC$2&gt;=$A307,IF(AC$2=$A307,($B307/$B$296)*$B$293,IF(AC$2&lt;=$A307+$B$296-1,$B307/$B$296,$B307-SUM($C307:AB307))),0))</f>
        <v>454.91666666666669</v>
      </c>
      <c r="AD307" s="4">
        <f>IF($B$296=0,0,IF(AD$2&gt;=$A307,IF(AD$2=$A307,($B307/$B$296)*$B$293,IF(AD$2&lt;=$A307+$B$296-1,$B307/$B$296,$B307-SUM($C307:AC307))),0))</f>
        <v>454.91666666666669</v>
      </c>
      <c r="AE307" s="4">
        <f>IF($B$296=0,0,IF(AE$2&gt;=$A307,IF(AE$2=$A307,($B307/$B$296)*$B$293,IF(AE$2&lt;=$A307+$B$296-1,$B307/$B$296,$B307-SUM($C307:AD307))),0))</f>
        <v>454.91666666666669</v>
      </c>
      <c r="AF307" s="4">
        <f>IF($B$296=0,0,IF(AF$2&gt;=$A307,IF(AF$2=$A307,($B307/$B$296)*$B$293,IF(AF$2&lt;=$A307+$B$296-1,$B307/$B$296,$B307-SUM($C307:AE307))),0))</f>
        <v>454.91666666666669</v>
      </c>
      <c r="AG307" s="4">
        <f t="shared" si="240"/>
        <v>8870.8750000000018</v>
      </c>
    </row>
    <row r="308" spans="1:33">
      <c r="A308" s="6">
        <f t="shared" si="241"/>
        <v>2033</v>
      </c>
      <c r="B308" s="4">
        <f t="shared" si="239"/>
        <v>28364.72309090909</v>
      </c>
      <c r="C308" s="4">
        <f>IF($B$296=0,0,IF(C$2&gt;=$A308,IF(C$2=$A308,($B308/$B$296)*$B$293,IF(C$2&lt;=$A308+$B$296-1,$B308/$B$296,$B308-SUM(B308:$C308))),0))</f>
        <v>0</v>
      </c>
      <c r="D308" s="4">
        <f>IF($B$296=0,0,IF(D$2&gt;=$A308,IF(D$2=$A308,($B308/$B$296)*$B$293,IF(D$2&lt;=$A308+$B$296-1,$B308/$B$296,$B308-SUM(C308:$C308))),0))</f>
        <v>0</v>
      </c>
      <c r="E308" s="4">
        <f>IF($B$296=0,0,IF(E$2&gt;=$A308,IF(E$2=$A308,($B308/$B$296)*$B$293,IF(E$2&lt;=$A308+$B$296-1,$B308/$B$296,$B308-SUM($C308:D308))),0))</f>
        <v>0</v>
      </c>
      <c r="F308" s="4">
        <f>IF($B$296=0,0,IF(F$2&gt;=$A308,IF(F$2=$A308,($B308/$B$296)*$B$293,IF(F$2&lt;=$A308+$B$296-1,$B308/$B$296,$B308-SUM($C308:E308))),0))</f>
        <v>0</v>
      </c>
      <c r="G308" s="4">
        <f>IF($B$296=0,0,IF(G$2&gt;=$A308,IF(G$2=$A308,($B308/$B$296)*$B$293,IF(G$2&lt;=$A308+$B$296-1,$B308/$B$296,$B308-SUM($C308:F308))),0))</f>
        <v>0</v>
      </c>
      <c r="H308" s="4">
        <f>IF($B$296=0,0,IF(H$2&gt;=$A308,IF(H$2=$A308,($B308/$B$296)*$B$293,IF(H$2&lt;=$A308+$B$296-1,$B308/$B$296,$B308-SUM($C308:G308))),0))</f>
        <v>0</v>
      </c>
      <c r="I308" s="4">
        <f>IF($B$296=0,0,IF(I$2&gt;=$A308,IF(I$2=$A308,($B308/$B$296)*$B$293,IF(I$2&lt;=$A308+$B$296-1,$B308/$B$296,$B308-SUM($C308:H308))),0))</f>
        <v>0</v>
      </c>
      <c r="J308" s="4">
        <f>IF($B$296=0,0,IF(J$2&gt;=$A308,IF(J$2=$A308,($B308/$B$296)*$B$293,IF(J$2&lt;=$A308+$B$296-1,$B308/$B$296,$B308-SUM($C308:I308))),0))</f>
        <v>0</v>
      </c>
      <c r="K308" s="4">
        <f>IF($B$296=0,0,IF(K$2&gt;=$A308,IF(K$2=$A308,($B308/$B$296)*$B$293,IF(K$2&lt;=$A308+$B$296-1,$B308/$B$296,$B308-SUM($C308:J308))),0))</f>
        <v>0</v>
      </c>
      <c r="L308" s="4">
        <f>IF($B$296=0,0,IF(L$2&gt;=$A308,IF(L$2=$A308,($B308/$B$296)*$B$293,IF(L$2&lt;=$A308+$B$296-1,$B308/$B$296,$B308-SUM($C308:K308))),0))</f>
        <v>0</v>
      </c>
      <c r="M308" s="4">
        <f>IF($B$296=0,0,IF(M$2&gt;=$A308,IF(M$2=$A308,($B308/$B$296)*$B$293,IF(M$2&lt;=$A308+$B$296-1,$B308/$B$296,$B308-SUM($C308:L308))),0))</f>
        <v>0</v>
      </c>
      <c r="N308" s="4">
        <f>IF($B$296=0,0,IF(N$2&gt;=$A308,IF(N$2=$A308,($B308/$B$296)*$B$293,IF(N$2&lt;=$A308+$B$296-1,$B308/$B$296,$B308-SUM($C308:M308))),0))</f>
        <v>236.37269242424242</v>
      </c>
      <c r="O308" s="4">
        <f>IF($B$296=0,0,IF(O$2&gt;=$A308,IF(O$2=$A308,($B308/$B$296)*$B$293,IF(O$2&lt;=$A308+$B$296-1,$B308/$B$296,$B308-SUM($C308:N308))),0))</f>
        <v>472.74538484848483</v>
      </c>
      <c r="P308" s="4">
        <f>IF($B$296=0,0,IF(P$2&gt;=$A308,IF(P$2=$A308,($B308/$B$296)*$B$293,IF(P$2&lt;=$A308+$B$296-1,$B308/$B$296,$B308-SUM($C308:O308))),0))</f>
        <v>472.74538484848483</v>
      </c>
      <c r="Q308" s="4">
        <f>IF($B$296=0,0,IF(Q$2&gt;=$A308,IF(Q$2=$A308,($B308/$B$296)*$B$293,IF(Q$2&lt;=$A308+$B$296-1,$B308/$B$296,$B308-SUM($C308:P308))),0))</f>
        <v>472.74538484848483</v>
      </c>
      <c r="R308" s="4">
        <f>IF($B$296=0,0,IF(R$2&gt;=$A308,IF(R$2=$A308,($B308/$B$296)*$B$293,IF(R$2&lt;=$A308+$B$296-1,$B308/$B$296,$B308-SUM($C308:Q308))),0))</f>
        <v>472.74538484848483</v>
      </c>
      <c r="S308" s="4">
        <f>IF($B$296=0,0,IF(S$2&gt;=$A308,IF(S$2=$A308,($B308/$B$296)*$B$293,IF(S$2&lt;=$A308+$B$296-1,$B308/$B$296,$B308-SUM($C308:R308))),0))</f>
        <v>472.74538484848483</v>
      </c>
      <c r="T308" s="4">
        <f>IF($B$296=0,0,IF(T$2&gt;=$A308,IF(T$2=$A308,($B308/$B$296)*$B$293,IF(T$2&lt;=$A308+$B$296-1,$B308/$B$296,$B308-SUM($C308:S308))),0))</f>
        <v>472.74538484848483</v>
      </c>
      <c r="U308" s="4">
        <f>IF($B$296=0,0,IF(U$2&gt;=$A308,IF(U$2=$A308,($B308/$B$296)*$B$293,IF(U$2&lt;=$A308+$B$296-1,$B308/$B$296,$B308-SUM($C308:T308))),0))</f>
        <v>472.74538484848483</v>
      </c>
      <c r="V308" s="4">
        <f>IF($B$296=0,0,IF(V$2&gt;=$A308,IF(V$2=$A308,($B308/$B$296)*$B$293,IF(V$2&lt;=$A308+$B$296-1,$B308/$B$296,$B308-SUM($C308:U308))),0))</f>
        <v>472.74538484848483</v>
      </c>
      <c r="W308" s="4">
        <f>IF($B$296=0,0,IF(W$2&gt;=$A308,IF(W$2=$A308,($B308/$B$296)*$B$293,IF(W$2&lt;=$A308+$B$296-1,$B308/$B$296,$B308-SUM($C308:V308))),0))</f>
        <v>472.74538484848483</v>
      </c>
      <c r="X308" s="4">
        <f>IF($B$296=0,0,IF(X$2&gt;=$A308,IF(X$2=$A308,($B308/$B$296)*$B$293,IF(X$2&lt;=$A308+$B$296-1,$B308/$B$296,$B308-SUM($C308:W308))),0))</f>
        <v>472.74538484848483</v>
      </c>
      <c r="Y308" s="4">
        <f>IF($B$296=0,0,IF(Y$2&gt;=$A308,IF(Y$2=$A308,($B308/$B$296)*$B$293,IF(Y$2&lt;=$A308+$B$296-1,$B308/$B$296,$B308-SUM($C308:X308))),0))</f>
        <v>472.74538484848483</v>
      </c>
      <c r="Z308" s="4">
        <f>IF($B$296=0,0,IF(Z$2&gt;=$A308,IF(Z$2=$A308,($B308/$B$296)*$B$293,IF(Z$2&lt;=$A308+$B$296-1,$B308/$B$296,$B308-SUM($C308:Y308))),0))</f>
        <v>472.74538484848483</v>
      </c>
      <c r="AA308" s="4">
        <f>IF($B$296=0,0,IF(AA$2&gt;=$A308,IF(AA$2=$A308,($B308/$B$296)*$B$293,IF(AA$2&lt;=$A308+$B$296-1,$B308/$B$296,$B308-SUM($C308:Z308))),0))</f>
        <v>472.74538484848483</v>
      </c>
      <c r="AB308" s="4">
        <f>IF($B$296=0,0,IF(AB$2&gt;=$A308,IF(AB$2=$A308,($B308/$B$296)*$B$293,IF(AB$2&lt;=$A308+$B$296-1,$B308/$B$296,$B308-SUM($C308:AA308))),0))</f>
        <v>472.74538484848483</v>
      </c>
      <c r="AC308" s="4">
        <f>IF($B$296=0,0,IF(AC$2&gt;=$A308,IF(AC$2=$A308,($B308/$B$296)*$B$293,IF(AC$2&lt;=$A308+$B$296-1,$B308/$B$296,$B308-SUM($C308:AB308))),0))</f>
        <v>472.74538484848483</v>
      </c>
      <c r="AD308" s="4">
        <f>IF($B$296=0,0,IF(AD$2&gt;=$A308,IF(AD$2=$A308,($B308/$B$296)*$B$293,IF(AD$2&lt;=$A308+$B$296-1,$B308/$B$296,$B308-SUM($C308:AC308))),0))</f>
        <v>472.74538484848483</v>
      </c>
      <c r="AE308" s="4">
        <f>IF($B$296=0,0,IF(AE$2&gt;=$A308,IF(AE$2=$A308,($B308/$B$296)*$B$293,IF(AE$2&lt;=$A308+$B$296-1,$B308/$B$296,$B308-SUM($C308:AD308))),0))</f>
        <v>472.74538484848483</v>
      </c>
      <c r="AF308" s="4">
        <f>IF($B$296=0,0,IF(AF$2&gt;=$A308,IF(AF$2=$A308,($B308/$B$296)*$B$293,IF(AF$2&lt;=$A308+$B$296-1,$B308/$B$296,$B308-SUM($C308:AE308))),0))</f>
        <v>472.74538484848483</v>
      </c>
      <c r="AG308" s="4">
        <f t="shared" si="240"/>
        <v>8745.7896196969687</v>
      </c>
    </row>
    <row r="309" spans="1:33">
      <c r="A309" s="6">
        <f t="shared" si="241"/>
        <v>2034</v>
      </c>
      <c r="B309" s="4">
        <f t="shared" si="239"/>
        <v>29215.671818181818</v>
      </c>
      <c r="C309" s="4">
        <f>IF($B$296=0,0,IF(C$2&gt;=$A309,IF(C$2=$A309,($B309/$B$296)*$B$293,IF(C$2&lt;=$A309+$B$296-1,$B309/$B$296,$B309-SUM(B309:$C309))),0))</f>
        <v>0</v>
      </c>
      <c r="D309" s="4">
        <f>IF($B$296=0,0,IF(D$2&gt;=$A309,IF(D$2=$A309,($B309/$B$296)*$B$293,IF(D$2&lt;=$A309+$B$296-1,$B309/$B$296,$B309-SUM(C309:$C309))),0))</f>
        <v>0</v>
      </c>
      <c r="E309" s="4">
        <f>IF($B$296=0,0,IF(E$2&gt;=$A309,IF(E$2=$A309,($B309/$B$296)*$B$293,IF(E$2&lt;=$A309+$B$296-1,$B309/$B$296,$B309-SUM($C309:D309))),0))</f>
        <v>0</v>
      </c>
      <c r="F309" s="4">
        <f>IF($B$296=0,0,IF(F$2&gt;=$A309,IF(F$2=$A309,($B309/$B$296)*$B$293,IF(F$2&lt;=$A309+$B$296-1,$B309/$B$296,$B309-SUM($C309:E309))),0))</f>
        <v>0</v>
      </c>
      <c r="G309" s="4">
        <f>IF($B$296=0,0,IF(G$2&gt;=$A309,IF(G$2=$A309,($B309/$B$296)*$B$293,IF(G$2&lt;=$A309+$B$296-1,$B309/$B$296,$B309-SUM($C309:F309))),0))</f>
        <v>0</v>
      </c>
      <c r="H309" s="4">
        <f>IF($B$296=0,0,IF(H$2&gt;=$A309,IF(H$2=$A309,($B309/$B$296)*$B$293,IF(H$2&lt;=$A309+$B$296-1,$B309/$B$296,$B309-SUM($C309:G309))),0))</f>
        <v>0</v>
      </c>
      <c r="I309" s="4">
        <f>IF($B$296=0,0,IF(I$2&gt;=$A309,IF(I$2=$A309,($B309/$B$296)*$B$293,IF(I$2&lt;=$A309+$B$296-1,$B309/$B$296,$B309-SUM($C309:H309))),0))</f>
        <v>0</v>
      </c>
      <c r="J309" s="4">
        <f>IF($B$296=0,0,IF(J$2&gt;=$A309,IF(J$2=$A309,($B309/$B$296)*$B$293,IF(J$2&lt;=$A309+$B$296-1,$B309/$B$296,$B309-SUM($C309:I309))),0))</f>
        <v>0</v>
      </c>
      <c r="K309" s="4">
        <f>IF($B$296=0,0,IF(K$2&gt;=$A309,IF(K$2=$A309,($B309/$B$296)*$B$293,IF(K$2&lt;=$A309+$B$296-1,$B309/$B$296,$B309-SUM($C309:J309))),0))</f>
        <v>0</v>
      </c>
      <c r="L309" s="4">
        <f>IF($B$296=0,0,IF(L$2&gt;=$A309,IF(L$2=$A309,($B309/$B$296)*$B$293,IF(L$2&lt;=$A309+$B$296-1,$B309/$B$296,$B309-SUM($C309:K309))),0))</f>
        <v>0</v>
      </c>
      <c r="M309" s="4">
        <f>IF($B$296=0,0,IF(M$2&gt;=$A309,IF(M$2=$A309,($B309/$B$296)*$B$293,IF(M$2&lt;=$A309+$B$296-1,$B309/$B$296,$B309-SUM($C309:L309))),0))</f>
        <v>0</v>
      </c>
      <c r="N309" s="4">
        <f>IF($B$296=0,0,IF(N$2&gt;=$A309,IF(N$2=$A309,($B309/$B$296)*$B$293,IF(N$2&lt;=$A309+$B$296-1,$B309/$B$296,$B309-SUM($C309:M309))),0))</f>
        <v>0</v>
      </c>
      <c r="O309" s="4">
        <f>IF($B$296=0,0,IF(O$2&gt;=$A309,IF(O$2=$A309,($B309/$B$296)*$B$293,IF(O$2&lt;=$A309+$B$296-1,$B309/$B$296,$B309-SUM($C309:N309))),0))</f>
        <v>243.46393181818181</v>
      </c>
      <c r="P309" s="4">
        <f>IF($B$296=0,0,IF(P$2&gt;=$A309,IF(P$2=$A309,($B309/$B$296)*$B$293,IF(P$2&lt;=$A309+$B$296-1,$B309/$B$296,$B309-SUM($C309:O309))),0))</f>
        <v>486.92786363636361</v>
      </c>
      <c r="Q309" s="4">
        <f>IF($B$296=0,0,IF(Q$2&gt;=$A309,IF(Q$2=$A309,($B309/$B$296)*$B$293,IF(Q$2&lt;=$A309+$B$296-1,$B309/$B$296,$B309-SUM($C309:P309))),0))</f>
        <v>486.92786363636361</v>
      </c>
      <c r="R309" s="4">
        <f>IF($B$296=0,0,IF(R$2&gt;=$A309,IF(R$2=$A309,($B309/$B$296)*$B$293,IF(R$2&lt;=$A309+$B$296-1,$B309/$B$296,$B309-SUM($C309:Q309))),0))</f>
        <v>486.92786363636361</v>
      </c>
      <c r="S309" s="4">
        <f>IF($B$296=0,0,IF(S$2&gt;=$A309,IF(S$2=$A309,($B309/$B$296)*$B$293,IF(S$2&lt;=$A309+$B$296-1,$B309/$B$296,$B309-SUM($C309:R309))),0))</f>
        <v>486.92786363636361</v>
      </c>
      <c r="T309" s="4">
        <f>IF($B$296=0,0,IF(T$2&gt;=$A309,IF(T$2=$A309,($B309/$B$296)*$B$293,IF(T$2&lt;=$A309+$B$296-1,$B309/$B$296,$B309-SUM($C309:S309))),0))</f>
        <v>486.92786363636361</v>
      </c>
      <c r="U309" s="4">
        <f>IF($B$296=0,0,IF(U$2&gt;=$A309,IF(U$2=$A309,($B309/$B$296)*$B$293,IF(U$2&lt;=$A309+$B$296-1,$B309/$B$296,$B309-SUM($C309:T309))),0))</f>
        <v>486.92786363636361</v>
      </c>
      <c r="V309" s="4">
        <f>IF($B$296=0,0,IF(V$2&gt;=$A309,IF(V$2=$A309,($B309/$B$296)*$B$293,IF(V$2&lt;=$A309+$B$296-1,$B309/$B$296,$B309-SUM($C309:U309))),0))</f>
        <v>486.92786363636361</v>
      </c>
      <c r="W309" s="4">
        <f>IF($B$296=0,0,IF(W$2&gt;=$A309,IF(W$2=$A309,($B309/$B$296)*$B$293,IF(W$2&lt;=$A309+$B$296-1,$B309/$B$296,$B309-SUM($C309:V309))),0))</f>
        <v>486.92786363636361</v>
      </c>
      <c r="X309" s="4">
        <f>IF($B$296=0,0,IF(X$2&gt;=$A309,IF(X$2=$A309,($B309/$B$296)*$B$293,IF(X$2&lt;=$A309+$B$296-1,$B309/$B$296,$B309-SUM($C309:W309))),0))</f>
        <v>486.92786363636361</v>
      </c>
      <c r="Y309" s="4">
        <f>IF($B$296=0,0,IF(Y$2&gt;=$A309,IF(Y$2=$A309,($B309/$B$296)*$B$293,IF(Y$2&lt;=$A309+$B$296-1,$B309/$B$296,$B309-SUM($C309:X309))),0))</f>
        <v>486.92786363636361</v>
      </c>
      <c r="Z309" s="4">
        <f>IF($B$296=0,0,IF(Z$2&gt;=$A309,IF(Z$2=$A309,($B309/$B$296)*$B$293,IF(Z$2&lt;=$A309+$B$296-1,$B309/$B$296,$B309-SUM($C309:Y309))),0))</f>
        <v>486.92786363636361</v>
      </c>
      <c r="AA309" s="4">
        <f>IF($B$296=0,0,IF(AA$2&gt;=$A309,IF(AA$2=$A309,($B309/$B$296)*$B$293,IF(AA$2&lt;=$A309+$B$296-1,$B309/$B$296,$B309-SUM($C309:Z309))),0))</f>
        <v>486.92786363636361</v>
      </c>
      <c r="AB309" s="4">
        <f>IF($B$296=0,0,IF(AB$2&gt;=$A309,IF(AB$2=$A309,($B309/$B$296)*$B$293,IF(AB$2&lt;=$A309+$B$296-1,$B309/$B$296,$B309-SUM($C309:AA309))),0))</f>
        <v>486.92786363636361</v>
      </c>
      <c r="AC309" s="4">
        <f>IF($B$296=0,0,IF(AC$2&gt;=$A309,IF(AC$2=$A309,($B309/$B$296)*$B$293,IF(AC$2&lt;=$A309+$B$296-1,$B309/$B$296,$B309-SUM($C309:AB309))),0))</f>
        <v>486.92786363636361</v>
      </c>
      <c r="AD309" s="4">
        <f>IF($B$296=0,0,IF(AD$2&gt;=$A309,IF(AD$2=$A309,($B309/$B$296)*$B$293,IF(AD$2&lt;=$A309+$B$296-1,$B309/$B$296,$B309-SUM($C309:AC309))),0))</f>
        <v>486.92786363636361</v>
      </c>
      <c r="AE309" s="4">
        <f>IF($B$296=0,0,IF(AE$2&gt;=$A309,IF(AE$2=$A309,($B309/$B$296)*$B$293,IF(AE$2&lt;=$A309+$B$296-1,$B309/$B$296,$B309-SUM($C309:AD309))),0))</f>
        <v>486.92786363636361</v>
      </c>
      <c r="AF309" s="4">
        <f>IF($B$296=0,0,IF(AF$2&gt;=$A309,IF(AF$2=$A309,($B309/$B$296)*$B$293,IF(AF$2&lt;=$A309+$B$296-1,$B309/$B$296,$B309-SUM($C309:AE309))),0))</f>
        <v>486.92786363636361</v>
      </c>
      <c r="AG309" s="4">
        <f t="shared" si="240"/>
        <v>8521.2376136363619</v>
      </c>
    </row>
    <row r="310" spans="1:33">
      <c r="A310" s="6">
        <f t="shared" si="241"/>
        <v>2035</v>
      </c>
      <c r="B310" s="4">
        <f t="shared" si="239"/>
        <v>30092.137636363637</v>
      </c>
      <c r="C310" s="4">
        <f>IF($B$296=0,0,IF(C$2&gt;=$A310,IF(C$2=$A310,($B310/$B$296)*$B$293,IF(C$2&lt;=$A310+$B$296-1,$B310/$B$296,$B310-SUM(B310:$C310))),0))</f>
        <v>0</v>
      </c>
      <c r="D310" s="4">
        <f>IF($B$296=0,0,IF(D$2&gt;=$A310,IF(D$2=$A310,($B310/$B$296)*$B$293,IF(D$2&lt;=$A310+$B$296-1,$B310/$B$296,$B310-SUM(C310:$C310))),0))</f>
        <v>0</v>
      </c>
      <c r="E310" s="4">
        <f>IF($B$296=0,0,IF(E$2&gt;=$A310,IF(E$2=$A310,($B310/$B$296)*$B$293,IF(E$2&lt;=$A310+$B$296-1,$B310/$B$296,$B310-SUM($C310:D310))),0))</f>
        <v>0</v>
      </c>
      <c r="F310" s="4">
        <f>IF($B$296=0,0,IF(F$2&gt;=$A310,IF(F$2=$A310,($B310/$B$296)*$B$293,IF(F$2&lt;=$A310+$B$296-1,$B310/$B$296,$B310-SUM($C310:E310))),0))</f>
        <v>0</v>
      </c>
      <c r="G310" s="4">
        <f>IF($B$296=0,0,IF(G$2&gt;=$A310,IF(G$2=$A310,($B310/$B$296)*$B$293,IF(G$2&lt;=$A310+$B$296-1,$B310/$B$296,$B310-SUM($C310:F310))),0))</f>
        <v>0</v>
      </c>
      <c r="H310" s="4">
        <f>IF($B$296=0,0,IF(H$2&gt;=$A310,IF(H$2=$A310,($B310/$B$296)*$B$293,IF(H$2&lt;=$A310+$B$296-1,$B310/$B$296,$B310-SUM($C310:G310))),0))</f>
        <v>0</v>
      </c>
      <c r="I310" s="4">
        <f>IF($B$296=0,0,IF(I$2&gt;=$A310,IF(I$2=$A310,($B310/$B$296)*$B$293,IF(I$2&lt;=$A310+$B$296-1,$B310/$B$296,$B310-SUM($C310:H310))),0))</f>
        <v>0</v>
      </c>
      <c r="J310" s="4">
        <f>IF($B$296=0,0,IF(J$2&gt;=$A310,IF(J$2=$A310,($B310/$B$296)*$B$293,IF(J$2&lt;=$A310+$B$296-1,$B310/$B$296,$B310-SUM($C310:I310))),0))</f>
        <v>0</v>
      </c>
      <c r="K310" s="4">
        <f>IF($B$296=0,0,IF(K$2&gt;=$A310,IF(K$2=$A310,($B310/$B$296)*$B$293,IF(K$2&lt;=$A310+$B$296-1,$B310/$B$296,$B310-SUM($C310:J310))),0))</f>
        <v>0</v>
      </c>
      <c r="L310" s="4">
        <f>IF($B$296=0,0,IF(L$2&gt;=$A310,IF(L$2=$A310,($B310/$B$296)*$B$293,IF(L$2&lt;=$A310+$B$296-1,$B310/$B$296,$B310-SUM($C310:K310))),0))</f>
        <v>0</v>
      </c>
      <c r="M310" s="4">
        <f>IF($B$296=0,0,IF(M$2&gt;=$A310,IF(M$2=$A310,($B310/$B$296)*$B$293,IF(M$2&lt;=$A310+$B$296-1,$B310/$B$296,$B310-SUM($C310:L310))),0))</f>
        <v>0</v>
      </c>
      <c r="N310" s="4">
        <f>IF($B$296=0,0,IF(N$2&gt;=$A310,IF(N$2=$A310,($B310/$B$296)*$B$293,IF(N$2&lt;=$A310+$B$296-1,$B310/$B$296,$B310-SUM($C310:M310))),0))</f>
        <v>0</v>
      </c>
      <c r="O310" s="4">
        <f>IF($B$296=0,0,IF(O$2&gt;=$A310,IF(O$2=$A310,($B310/$B$296)*$B$293,IF(O$2&lt;=$A310+$B$296-1,$B310/$B$296,$B310-SUM($C310:N310))),0))</f>
        <v>0</v>
      </c>
      <c r="P310" s="4">
        <f>IF($B$296=0,0,IF(P$2&gt;=$A310,IF(P$2=$A310,($B310/$B$296)*$B$293,IF(P$2&lt;=$A310+$B$296-1,$B310/$B$296,$B310-SUM($C310:O310))),0))</f>
        <v>250.76781363636366</v>
      </c>
      <c r="Q310" s="4">
        <f>IF($B$296=0,0,IF(Q$2&gt;=$A310,IF(Q$2=$A310,($B310/$B$296)*$B$293,IF(Q$2&lt;=$A310+$B$296-1,$B310/$B$296,$B310-SUM($C310:P310))),0))</f>
        <v>501.53562727272731</v>
      </c>
      <c r="R310" s="4">
        <f>IF($B$296=0,0,IF(R$2&gt;=$A310,IF(R$2=$A310,($B310/$B$296)*$B$293,IF(R$2&lt;=$A310+$B$296-1,$B310/$B$296,$B310-SUM($C310:Q310))),0))</f>
        <v>501.53562727272731</v>
      </c>
      <c r="S310" s="4">
        <f>IF($B$296=0,0,IF(S$2&gt;=$A310,IF(S$2=$A310,($B310/$B$296)*$B$293,IF(S$2&lt;=$A310+$B$296-1,$B310/$B$296,$B310-SUM($C310:R310))),0))</f>
        <v>501.53562727272731</v>
      </c>
      <c r="T310" s="4">
        <f>IF($B$296=0,0,IF(T$2&gt;=$A310,IF(T$2=$A310,($B310/$B$296)*$B$293,IF(T$2&lt;=$A310+$B$296-1,$B310/$B$296,$B310-SUM($C310:S310))),0))</f>
        <v>501.53562727272731</v>
      </c>
      <c r="U310" s="4">
        <f>IF($B$296=0,0,IF(U$2&gt;=$A310,IF(U$2=$A310,($B310/$B$296)*$B$293,IF(U$2&lt;=$A310+$B$296-1,$B310/$B$296,$B310-SUM($C310:T310))),0))</f>
        <v>501.53562727272731</v>
      </c>
      <c r="V310" s="4">
        <f>IF($B$296=0,0,IF(V$2&gt;=$A310,IF(V$2=$A310,($B310/$B$296)*$B$293,IF(V$2&lt;=$A310+$B$296-1,$B310/$B$296,$B310-SUM($C310:U310))),0))</f>
        <v>501.53562727272731</v>
      </c>
      <c r="W310" s="4">
        <f>IF($B$296=0,0,IF(W$2&gt;=$A310,IF(W$2=$A310,($B310/$B$296)*$B$293,IF(W$2&lt;=$A310+$B$296-1,$B310/$B$296,$B310-SUM($C310:V310))),0))</f>
        <v>501.53562727272731</v>
      </c>
      <c r="X310" s="4">
        <f>IF($B$296=0,0,IF(X$2&gt;=$A310,IF(X$2=$A310,($B310/$B$296)*$B$293,IF(X$2&lt;=$A310+$B$296-1,$B310/$B$296,$B310-SUM($C310:W310))),0))</f>
        <v>501.53562727272731</v>
      </c>
      <c r="Y310" s="4">
        <f>IF($B$296=0,0,IF(Y$2&gt;=$A310,IF(Y$2=$A310,($B310/$B$296)*$B$293,IF(Y$2&lt;=$A310+$B$296-1,$B310/$B$296,$B310-SUM($C310:X310))),0))</f>
        <v>501.53562727272731</v>
      </c>
      <c r="Z310" s="4">
        <f>IF($B$296=0,0,IF(Z$2&gt;=$A310,IF(Z$2=$A310,($B310/$B$296)*$B$293,IF(Z$2&lt;=$A310+$B$296-1,$B310/$B$296,$B310-SUM($C310:Y310))),0))</f>
        <v>501.53562727272731</v>
      </c>
      <c r="AA310" s="4">
        <f>IF($B$296=0,0,IF(AA$2&gt;=$A310,IF(AA$2=$A310,($B310/$B$296)*$B$293,IF(AA$2&lt;=$A310+$B$296-1,$B310/$B$296,$B310-SUM($C310:Z310))),0))</f>
        <v>501.53562727272731</v>
      </c>
      <c r="AB310" s="4">
        <f>IF($B$296=0,0,IF(AB$2&gt;=$A310,IF(AB$2=$A310,($B310/$B$296)*$B$293,IF(AB$2&lt;=$A310+$B$296-1,$B310/$B$296,$B310-SUM($C310:AA310))),0))</f>
        <v>501.53562727272731</v>
      </c>
      <c r="AC310" s="4">
        <f>IF($B$296=0,0,IF(AC$2&gt;=$A310,IF(AC$2=$A310,($B310/$B$296)*$B$293,IF(AC$2&lt;=$A310+$B$296-1,$B310/$B$296,$B310-SUM($C310:AB310))),0))</f>
        <v>501.53562727272731</v>
      </c>
      <c r="AD310" s="4">
        <f>IF($B$296=0,0,IF(AD$2&gt;=$A310,IF(AD$2=$A310,($B310/$B$296)*$B$293,IF(AD$2&lt;=$A310+$B$296-1,$B310/$B$296,$B310-SUM($C310:AC310))),0))</f>
        <v>501.53562727272731</v>
      </c>
      <c r="AE310" s="4">
        <f>IF($B$296=0,0,IF(AE$2&gt;=$A310,IF(AE$2=$A310,($B310/$B$296)*$B$293,IF(AE$2&lt;=$A310+$B$296-1,$B310/$B$296,$B310-SUM($C310:AD310))),0))</f>
        <v>501.53562727272731</v>
      </c>
      <c r="AF310" s="4">
        <f>IF($B$296=0,0,IF(AF$2&gt;=$A310,IF(AF$2=$A310,($B310/$B$296)*$B$293,IF(AF$2&lt;=$A310+$B$296-1,$B310/$B$296,$B310-SUM($C310:AE310))),0))</f>
        <v>501.53562727272731</v>
      </c>
      <c r="AG310" s="4">
        <f t="shared" si="240"/>
        <v>8275.3378500000017</v>
      </c>
    </row>
    <row r="311" spans="1:33">
      <c r="A311" s="6">
        <f t="shared" si="241"/>
        <v>2036</v>
      </c>
      <c r="B311" s="4">
        <f t="shared" si="239"/>
        <v>30994.90109090909</v>
      </c>
      <c r="C311" s="4">
        <f>IF($B$296=0,0,IF(C$2&gt;=$A311,IF(C$2=$A311,($B311/$B$296)*$B$293,IF(C$2&lt;=$A311+$B$296-1,$B311/$B$296,$B311-SUM(B311:$C311))),0))</f>
        <v>0</v>
      </c>
      <c r="D311" s="4">
        <f>IF($B$296=0,0,IF(D$2&gt;=$A311,IF(D$2=$A311,($B311/$B$296)*$B$293,IF(D$2&lt;=$A311+$B$296-1,$B311/$B$296,$B311-SUM(C311:$C311))),0))</f>
        <v>0</v>
      </c>
      <c r="E311" s="4">
        <f>IF($B$296=0,0,IF(E$2&gt;=$A311,IF(E$2=$A311,($B311/$B$296)*$B$293,IF(E$2&lt;=$A311+$B$296-1,$B311/$B$296,$B311-SUM($C311:D311))),0))</f>
        <v>0</v>
      </c>
      <c r="F311" s="4">
        <f>IF($B$296=0,0,IF(F$2&gt;=$A311,IF(F$2=$A311,($B311/$B$296)*$B$293,IF(F$2&lt;=$A311+$B$296-1,$B311/$B$296,$B311-SUM($C311:E311))),0))</f>
        <v>0</v>
      </c>
      <c r="G311" s="4">
        <f>IF($B$296=0,0,IF(G$2&gt;=$A311,IF(G$2=$A311,($B311/$B$296)*$B$293,IF(G$2&lt;=$A311+$B$296-1,$B311/$B$296,$B311-SUM($C311:F311))),0))</f>
        <v>0</v>
      </c>
      <c r="H311" s="4">
        <f>IF($B$296=0,0,IF(H$2&gt;=$A311,IF(H$2=$A311,($B311/$B$296)*$B$293,IF(H$2&lt;=$A311+$B$296-1,$B311/$B$296,$B311-SUM($C311:G311))),0))</f>
        <v>0</v>
      </c>
      <c r="I311" s="4">
        <f>IF($B$296=0,0,IF(I$2&gt;=$A311,IF(I$2=$A311,($B311/$B$296)*$B$293,IF(I$2&lt;=$A311+$B$296-1,$B311/$B$296,$B311-SUM($C311:H311))),0))</f>
        <v>0</v>
      </c>
      <c r="J311" s="4">
        <f>IF($B$296=0,0,IF(J$2&gt;=$A311,IF(J$2=$A311,($B311/$B$296)*$B$293,IF(J$2&lt;=$A311+$B$296-1,$B311/$B$296,$B311-SUM($C311:I311))),0))</f>
        <v>0</v>
      </c>
      <c r="K311" s="4">
        <f>IF($B$296=0,0,IF(K$2&gt;=$A311,IF(K$2=$A311,($B311/$B$296)*$B$293,IF(K$2&lt;=$A311+$B$296-1,$B311/$B$296,$B311-SUM($C311:J311))),0))</f>
        <v>0</v>
      </c>
      <c r="L311" s="4">
        <f>IF($B$296=0,0,IF(L$2&gt;=$A311,IF(L$2=$A311,($B311/$B$296)*$B$293,IF(L$2&lt;=$A311+$B$296-1,$B311/$B$296,$B311-SUM($C311:K311))),0))</f>
        <v>0</v>
      </c>
      <c r="M311" s="4">
        <f>IF($B$296=0,0,IF(M$2&gt;=$A311,IF(M$2=$A311,($B311/$B$296)*$B$293,IF(M$2&lt;=$A311+$B$296-1,$B311/$B$296,$B311-SUM($C311:L311))),0))</f>
        <v>0</v>
      </c>
      <c r="N311" s="4">
        <f>IF($B$296=0,0,IF(N$2&gt;=$A311,IF(N$2=$A311,($B311/$B$296)*$B$293,IF(N$2&lt;=$A311+$B$296-1,$B311/$B$296,$B311-SUM($C311:M311))),0))</f>
        <v>0</v>
      </c>
      <c r="O311" s="4">
        <f>IF($B$296=0,0,IF(O$2&gt;=$A311,IF(O$2=$A311,($B311/$B$296)*$B$293,IF(O$2&lt;=$A311+$B$296-1,$B311/$B$296,$B311-SUM($C311:N311))),0))</f>
        <v>0</v>
      </c>
      <c r="P311" s="4">
        <f>IF($B$296=0,0,IF(P$2&gt;=$A311,IF(P$2=$A311,($B311/$B$296)*$B$293,IF(P$2&lt;=$A311+$B$296-1,$B311/$B$296,$B311-SUM($C311:O311))),0))</f>
        <v>0</v>
      </c>
      <c r="Q311" s="4">
        <f>IF($B$296=0,0,IF(Q$2&gt;=$A311,IF(Q$2=$A311,($B311/$B$296)*$B$293,IF(Q$2&lt;=$A311+$B$296-1,$B311/$B$296,$B311-SUM($C311:P311))),0))</f>
        <v>258.29084242424244</v>
      </c>
      <c r="R311" s="4">
        <f>IF($B$296=0,0,IF(R$2&gt;=$A311,IF(R$2=$A311,($B311/$B$296)*$B$293,IF(R$2&lt;=$A311+$B$296-1,$B311/$B$296,$B311-SUM($C311:Q311))),0))</f>
        <v>516.58168484848488</v>
      </c>
      <c r="S311" s="4">
        <f>IF($B$296=0,0,IF(S$2&gt;=$A311,IF(S$2=$A311,($B311/$B$296)*$B$293,IF(S$2&lt;=$A311+$B$296-1,$B311/$B$296,$B311-SUM($C311:R311))),0))</f>
        <v>516.58168484848488</v>
      </c>
      <c r="T311" s="4">
        <f>IF($B$296=0,0,IF(T$2&gt;=$A311,IF(T$2=$A311,($B311/$B$296)*$B$293,IF(T$2&lt;=$A311+$B$296-1,$B311/$B$296,$B311-SUM($C311:S311))),0))</f>
        <v>516.58168484848488</v>
      </c>
      <c r="U311" s="4">
        <f>IF($B$296=0,0,IF(U$2&gt;=$A311,IF(U$2=$A311,($B311/$B$296)*$B$293,IF(U$2&lt;=$A311+$B$296-1,$B311/$B$296,$B311-SUM($C311:T311))),0))</f>
        <v>516.58168484848488</v>
      </c>
      <c r="V311" s="4">
        <f>IF($B$296=0,0,IF(V$2&gt;=$A311,IF(V$2=$A311,($B311/$B$296)*$B$293,IF(V$2&lt;=$A311+$B$296-1,$B311/$B$296,$B311-SUM($C311:U311))),0))</f>
        <v>516.58168484848488</v>
      </c>
      <c r="W311" s="4">
        <f>IF($B$296=0,0,IF(W$2&gt;=$A311,IF(W$2=$A311,($B311/$B$296)*$B$293,IF(W$2&lt;=$A311+$B$296-1,$B311/$B$296,$B311-SUM($C311:V311))),0))</f>
        <v>516.58168484848488</v>
      </c>
      <c r="X311" s="4">
        <f>IF($B$296=0,0,IF(X$2&gt;=$A311,IF(X$2=$A311,($B311/$B$296)*$B$293,IF(X$2&lt;=$A311+$B$296-1,$B311/$B$296,$B311-SUM($C311:W311))),0))</f>
        <v>516.58168484848488</v>
      </c>
      <c r="Y311" s="4">
        <f>IF($B$296=0,0,IF(Y$2&gt;=$A311,IF(Y$2=$A311,($B311/$B$296)*$B$293,IF(Y$2&lt;=$A311+$B$296-1,$B311/$B$296,$B311-SUM($C311:X311))),0))</f>
        <v>516.58168484848488</v>
      </c>
      <c r="Z311" s="4">
        <f>IF($B$296=0,0,IF(Z$2&gt;=$A311,IF(Z$2=$A311,($B311/$B$296)*$B$293,IF(Z$2&lt;=$A311+$B$296-1,$B311/$B$296,$B311-SUM($C311:Y311))),0))</f>
        <v>516.58168484848488</v>
      </c>
      <c r="AA311" s="4">
        <f>IF($B$296=0,0,IF(AA$2&gt;=$A311,IF(AA$2=$A311,($B311/$B$296)*$B$293,IF(AA$2&lt;=$A311+$B$296-1,$B311/$B$296,$B311-SUM($C311:Z311))),0))</f>
        <v>516.58168484848488</v>
      </c>
      <c r="AB311" s="4">
        <f>IF($B$296=0,0,IF(AB$2&gt;=$A311,IF(AB$2=$A311,($B311/$B$296)*$B$293,IF(AB$2&lt;=$A311+$B$296-1,$B311/$B$296,$B311-SUM($C311:AA311))),0))</f>
        <v>516.58168484848488</v>
      </c>
      <c r="AC311" s="4">
        <f>IF($B$296=0,0,IF(AC$2&gt;=$A311,IF(AC$2=$A311,($B311/$B$296)*$B$293,IF(AC$2&lt;=$A311+$B$296-1,$B311/$B$296,$B311-SUM($C311:AB311))),0))</f>
        <v>516.58168484848488</v>
      </c>
      <c r="AD311" s="4">
        <f>IF($B$296=0,0,IF(AD$2&gt;=$A311,IF(AD$2=$A311,($B311/$B$296)*$B$293,IF(AD$2&lt;=$A311+$B$296-1,$B311/$B$296,$B311-SUM($C311:AC311))),0))</f>
        <v>516.58168484848488</v>
      </c>
      <c r="AE311" s="4">
        <f>IF($B$296=0,0,IF(AE$2&gt;=$A311,IF(AE$2=$A311,($B311/$B$296)*$B$293,IF(AE$2&lt;=$A311+$B$296-1,$B311/$B$296,$B311-SUM($C311:AD311))),0))</f>
        <v>516.58168484848488</v>
      </c>
      <c r="AF311" s="4">
        <f>IF($B$296=0,0,IF(AF$2&gt;=$A311,IF(AF$2=$A311,($B311/$B$296)*$B$293,IF(AF$2&lt;=$A311+$B$296-1,$B311/$B$296,$B311-SUM($C311:AE311))),0))</f>
        <v>516.58168484848488</v>
      </c>
      <c r="AG311" s="4">
        <f t="shared" si="240"/>
        <v>8007.0161151515131</v>
      </c>
    </row>
    <row r="312" spans="1:33">
      <c r="A312" s="6">
        <f t="shared" si="241"/>
        <v>2037</v>
      </c>
      <c r="B312" s="4">
        <f t="shared" si="239"/>
        <v>66841.190909090918</v>
      </c>
      <c r="C312" s="4">
        <f>IF($B$296=0,0,IF(C$2&gt;=$A312,IF(C$2=$A312,($B312/$B$296)*$B$293,IF(C$2&lt;=$A312+$B$296-1,$B312/$B$296,$B312-SUM(B312:$C312))),0))</f>
        <v>0</v>
      </c>
      <c r="D312" s="4">
        <f>IF($B$296=0,0,IF(D$2&gt;=$A312,IF(D$2=$A312,($B312/$B$296)*$B$293,IF(D$2&lt;=$A312+$B$296-1,$B312/$B$296,$B312-SUM(C312:$C312))),0))</f>
        <v>0</v>
      </c>
      <c r="E312" s="4">
        <f>IF($B$296=0,0,IF(E$2&gt;=$A312,IF(E$2=$A312,($B312/$B$296)*$B$293,IF(E$2&lt;=$A312+$B$296-1,$B312/$B$296,$B312-SUM($C312:D312))),0))</f>
        <v>0</v>
      </c>
      <c r="F312" s="4">
        <f>IF($B$296=0,0,IF(F$2&gt;=$A312,IF(F$2=$A312,($B312/$B$296)*$B$293,IF(F$2&lt;=$A312+$B$296-1,$B312/$B$296,$B312-SUM($C312:E312))),0))</f>
        <v>0</v>
      </c>
      <c r="G312" s="4">
        <f>IF($B$296=0,0,IF(G$2&gt;=$A312,IF(G$2=$A312,($B312/$B$296)*$B$293,IF(G$2&lt;=$A312+$B$296-1,$B312/$B$296,$B312-SUM($C312:F312))),0))</f>
        <v>0</v>
      </c>
      <c r="H312" s="4">
        <f>IF($B$296=0,0,IF(H$2&gt;=$A312,IF(H$2=$A312,($B312/$B$296)*$B$293,IF(H$2&lt;=$A312+$B$296-1,$B312/$B$296,$B312-SUM($C312:G312))),0))</f>
        <v>0</v>
      </c>
      <c r="I312" s="4">
        <f>IF($B$296=0,0,IF(I$2&gt;=$A312,IF(I$2=$A312,($B312/$B$296)*$B$293,IF(I$2&lt;=$A312+$B$296-1,$B312/$B$296,$B312-SUM($C312:H312))),0))</f>
        <v>0</v>
      </c>
      <c r="J312" s="4">
        <f>IF($B$296=0,0,IF(J$2&gt;=$A312,IF(J$2=$A312,($B312/$B$296)*$B$293,IF(J$2&lt;=$A312+$B$296-1,$B312/$B$296,$B312-SUM($C312:I312))),0))</f>
        <v>0</v>
      </c>
      <c r="K312" s="4">
        <f>IF($B$296=0,0,IF(K$2&gt;=$A312,IF(K$2=$A312,($B312/$B$296)*$B$293,IF(K$2&lt;=$A312+$B$296-1,$B312/$B$296,$B312-SUM($C312:J312))),0))</f>
        <v>0</v>
      </c>
      <c r="L312" s="4">
        <f>IF($B$296=0,0,IF(L$2&gt;=$A312,IF(L$2=$A312,($B312/$B$296)*$B$293,IF(L$2&lt;=$A312+$B$296-1,$B312/$B$296,$B312-SUM($C312:K312))),0))</f>
        <v>0</v>
      </c>
      <c r="M312" s="4">
        <f>IF($B$296=0,0,IF(M$2&gt;=$A312,IF(M$2=$A312,($B312/$B$296)*$B$293,IF(M$2&lt;=$A312+$B$296-1,$B312/$B$296,$B312-SUM($C312:L312))),0))</f>
        <v>0</v>
      </c>
      <c r="N312" s="4">
        <f>IF($B$296=0,0,IF(N$2&gt;=$A312,IF(N$2=$A312,($B312/$B$296)*$B$293,IF(N$2&lt;=$A312+$B$296-1,$B312/$B$296,$B312-SUM($C312:M312))),0))</f>
        <v>0</v>
      </c>
      <c r="O312" s="4">
        <f>IF($B$296=0,0,IF(O$2&gt;=$A312,IF(O$2=$A312,($B312/$B$296)*$B$293,IF(O$2&lt;=$A312+$B$296-1,$B312/$B$296,$B312-SUM($C312:N312))),0))</f>
        <v>0</v>
      </c>
      <c r="P312" s="4">
        <f>IF($B$296=0,0,IF(P$2&gt;=$A312,IF(P$2=$A312,($B312/$B$296)*$B$293,IF(P$2&lt;=$A312+$B$296-1,$B312/$B$296,$B312-SUM($C312:O312))),0))</f>
        <v>0</v>
      </c>
      <c r="Q312" s="4">
        <f>IF($B$296=0,0,IF(Q$2&gt;=$A312,IF(Q$2=$A312,($B312/$B$296)*$B$293,IF(Q$2&lt;=$A312+$B$296-1,$B312/$B$296,$B312-SUM($C312:P312))),0))</f>
        <v>0</v>
      </c>
      <c r="R312" s="4">
        <f>IF($B$296=0,0,IF(R$2&gt;=$A312,IF(R$2=$A312,($B312/$B$296)*$B$293,IF(R$2&lt;=$A312+$B$296-1,$B312/$B$296,$B312-SUM($C312:Q312))),0))</f>
        <v>557.00992424242429</v>
      </c>
      <c r="S312" s="4">
        <f>IF($B$296=0,0,IF(S$2&gt;=$A312,IF(S$2=$A312,($B312/$B$296)*$B$293,IF(S$2&lt;=$A312+$B$296-1,$B312/$B$296,$B312-SUM($C312:R312))),0))</f>
        <v>1114.0198484848486</v>
      </c>
      <c r="T312" s="4">
        <f>IF($B$296=0,0,IF(T$2&gt;=$A312,IF(T$2=$A312,($B312/$B$296)*$B$293,IF(T$2&lt;=$A312+$B$296-1,$B312/$B$296,$B312-SUM($C312:S312))),0))</f>
        <v>1114.0198484848486</v>
      </c>
      <c r="U312" s="4">
        <f>IF($B$296=0,0,IF(U$2&gt;=$A312,IF(U$2=$A312,($B312/$B$296)*$B$293,IF(U$2&lt;=$A312+$B$296-1,$B312/$B$296,$B312-SUM($C312:T312))),0))</f>
        <v>1114.0198484848486</v>
      </c>
      <c r="V312" s="4">
        <f>IF($B$296=0,0,IF(V$2&gt;=$A312,IF(V$2=$A312,($B312/$B$296)*$B$293,IF(V$2&lt;=$A312+$B$296-1,$B312/$B$296,$B312-SUM($C312:U312))),0))</f>
        <v>1114.0198484848486</v>
      </c>
      <c r="W312" s="4">
        <f>IF($B$296=0,0,IF(W$2&gt;=$A312,IF(W$2=$A312,($B312/$B$296)*$B$293,IF(W$2&lt;=$A312+$B$296-1,$B312/$B$296,$B312-SUM($C312:V312))),0))</f>
        <v>1114.0198484848486</v>
      </c>
      <c r="X312" s="4">
        <f>IF($B$296=0,0,IF(X$2&gt;=$A312,IF(X$2=$A312,($B312/$B$296)*$B$293,IF(X$2&lt;=$A312+$B$296-1,$B312/$B$296,$B312-SUM($C312:W312))),0))</f>
        <v>1114.0198484848486</v>
      </c>
      <c r="Y312" s="4">
        <f>IF($B$296=0,0,IF(Y$2&gt;=$A312,IF(Y$2=$A312,($B312/$B$296)*$B$293,IF(Y$2&lt;=$A312+$B$296-1,$B312/$B$296,$B312-SUM($C312:X312))),0))</f>
        <v>1114.0198484848486</v>
      </c>
      <c r="Z312" s="4">
        <f>IF($B$296=0,0,IF(Z$2&gt;=$A312,IF(Z$2=$A312,($B312/$B$296)*$B$293,IF(Z$2&lt;=$A312+$B$296-1,$B312/$B$296,$B312-SUM($C312:Y312))),0))</f>
        <v>1114.0198484848486</v>
      </c>
      <c r="AA312" s="4">
        <f>IF($B$296=0,0,IF(AA$2&gt;=$A312,IF(AA$2=$A312,($B312/$B$296)*$B$293,IF(AA$2&lt;=$A312+$B$296-1,$B312/$B$296,$B312-SUM($C312:Z312))),0))</f>
        <v>1114.0198484848486</v>
      </c>
      <c r="AB312" s="4">
        <f>IF($B$296=0,0,IF(AB$2&gt;=$A312,IF(AB$2=$A312,($B312/$B$296)*$B$293,IF(AB$2&lt;=$A312+$B$296-1,$B312/$B$296,$B312-SUM($C312:AA312))),0))</f>
        <v>1114.0198484848486</v>
      </c>
      <c r="AC312" s="4">
        <f>IF($B$296=0,0,IF(AC$2&gt;=$A312,IF(AC$2=$A312,($B312/$B$296)*$B$293,IF(AC$2&lt;=$A312+$B$296-1,$B312/$B$296,$B312-SUM($C312:AB312))),0))</f>
        <v>1114.0198484848486</v>
      </c>
      <c r="AD312" s="4">
        <f>IF($B$296=0,0,IF(AD$2&gt;=$A312,IF(AD$2=$A312,($B312/$B$296)*$B$293,IF(AD$2&lt;=$A312+$B$296-1,$B312/$B$296,$B312-SUM($C312:AC312))),0))</f>
        <v>1114.0198484848486</v>
      </c>
      <c r="AE312" s="4">
        <f>IF($B$296=0,0,IF(AE$2&gt;=$A312,IF(AE$2=$A312,($B312/$B$296)*$B$293,IF(AE$2&lt;=$A312+$B$296-1,$B312/$B$296,$B312-SUM($C312:AD312))),0))</f>
        <v>1114.0198484848486</v>
      </c>
      <c r="AF312" s="4">
        <f>IF($B$296=0,0,IF(AF$2&gt;=$A312,IF(AF$2=$A312,($B312/$B$296)*$B$293,IF(AF$2&lt;=$A312+$B$296-1,$B312/$B$296,$B312-SUM($C312:AE312))),0))</f>
        <v>1114.0198484848486</v>
      </c>
      <c r="AG312" s="4">
        <f t="shared" si="240"/>
        <v>16153.2878030303</v>
      </c>
    </row>
    <row r="313" spans="1:33">
      <c r="A313" s="6">
        <f t="shared" si="241"/>
        <v>2038</v>
      </c>
      <c r="B313" s="4">
        <f t="shared" si="239"/>
        <v>68846.431454545454</v>
      </c>
      <c r="C313" s="4">
        <f>IF($B$296=0,0,IF(C$2&gt;=$A313,IF(C$2=$A313,($B313/$B$296)*$B$293,IF(C$2&lt;=$A313+$B$296-1,$B313/$B$296,$B313-SUM(B313:$C313))),0))</f>
        <v>0</v>
      </c>
      <c r="D313" s="4">
        <f>IF($B$296=0,0,IF(D$2&gt;=$A313,IF(D$2=$A313,($B313/$B$296)*$B$293,IF(D$2&lt;=$A313+$B$296-1,$B313/$B$296,$B313-SUM(C313:$C313))),0))</f>
        <v>0</v>
      </c>
      <c r="E313" s="4">
        <f>IF($B$296=0,0,IF(E$2&gt;=$A313,IF(E$2=$A313,($B313/$B$296)*$B$293,IF(E$2&lt;=$A313+$B$296-1,$B313/$B$296,$B313-SUM($C313:D313))),0))</f>
        <v>0</v>
      </c>
      <c r="F313" s="4">
        <f>IF($B$296=0,0,IF(F$2&gt;=$A313,IF(F$2=$A313,($B313/$B$296)*$B$293,IF(F$2&lt;=$A313+$B$296-1,$B313/$B$296,$B313-SUM($C313:E313))),0))</f>
        <v>0</v>
      </c>
      <c r="G313" s="4">
        <f>IF($B$296=0,0,IF(G$2&gt;=$A313,IF(G$2=$A313,($B313/$B$296)*$B$293,IF(G$2&lt;=$A313+$B$296-1,$B313/$B$296,$B313-SUM($C313:F313))),0))</f>
        <v>0</v>
      </c>
      <c r="H313" s="4">
        <f>IF($B$296=0,0,IF(H$2&gt;=$A313,IF(H$2=$A313,($B313/$B$296)*$B$293,IF(H$2&lt;=$A313+$B$296-1,$B313/$B$296,$B313-SUM($C313:G313))),0))</f>
        <v>0</v>
      </c>
      <c r="I313" s="4">
        <f>IF($B$296=0,0,IF(I$2&gt;=$A313,IF(I$2=$A313,($B313/$B$296)*$B$293,IF(I$2&lt;=$A313+$B$296-1,$B313/$B$296,$B313-SUM($C313:H313))),0))</f>
        <v>0</v>
      </c>
      <c r="J313" s="4">
        <f>IF($B$296=0,0,IF(J$2&gt;=$A313,IF(J$2=$A313,($B313/$B$296)*$B$293,IF(J$2&lt;=$A313+$B$296-1,$B313/$B$296,$B313-SUM($C313:I313))),0))</f>
        <v>0</v>
      </c>
      <c r="K313" s="4">
        <f>IF($B$296=0,0,IF(K$2&gt;=$A313,IF(K$2=$A313,($B313/$B$296)*$B$293,IF(K$2&lt;=$A313+$B$296-1,$B313/$B$296,$B313-SUM($C313:J313))),0))</f>
        <v>0</v>
      </c>
      <c r="L313" s="4">
        <f>IF($B$296=0,0,IF(L$2&gt;=$A313,IF(L$2=$A313,($B313/$B$296)*$B$293,IF(L$2&lt;=$A313+$B$296-1,$B313/$B$296,$B313-SUM($C313:K313))),0))</f>
        <v>0</v>
      </c>
      <c r="M313" s="4">
        <f>IF($B$296=0,0,IF(M$2&gt;=$A313,IF(M$2=$A313,($B313/$B$296)*$B$293,IF(M$2&lt;=$A313+$B$296-1,$B313/$B$296,$B313-SUM($C313:L313))),0))</f>
        <v>0</v>
      </c>
      <c r="N313" s="4">
        <f>IF($B$296=0,0,IF(N$2&gt;=$A313,IF(N$2=$A313,($B313/$B$296)*$B$293,IF(N$2&lt;=$A313+$B$296-1,$B313/$B$296,$B313-SUM($C313:M313))),0))</f>
        <v>0</v>
      </c>
      <c r="O313" s="4">
        <f>IF($B$296=0,0,IF(O$2&gt;=$A313,IF(O$2=$A313,($B313/$B$296)*$B$293,IF(O$2&lt;=$A313+$B$296-1,$B313/$B$296,$B313-SUM($C313:N313))),0))</f>
        <v>0</v>
      </c>
      <c r="P313" s="4">
        <f>IF($B$296=0,0,IF(P$2&gt;=$A313,IF(P$2=$A313,($B313/$B$296)*$B$293,IF(P$2&lt;=$A313+$B$296-1,$B313/$B$296,$B313-SUM($C313:O313))),0))</f>
        <v>0</v>
      </c>
      <c r="Q313" s="4">
        <f>IF($B$296=0,0,IF(Q$2&gt;=$A313,IF(Q$2=$A313,($B313/$B$296)*$B$293,IF(Q$2&lt;=$A313+$B$296-1,$B313/$B$296,$B313-SUM($C313:P313))),0))</f>
        <v>0</v>
      </c>
      <c r="R313" s="4">
        <f>IF($B$296=0,0,IF(R$2&gt;=$A313,IF(R$2=$A313,($B313/$B$296)*$B$293,IF(R$2&lt;=$A313+$B$296-1,$B313/$B$296,$B313-SUM($C313:Q313))),0))</f>
        <v>0</v>
      </c>
      <c r="S313" s="4">
        <f>IF($B$296=0,0,IF(S$2&gt;=$A313,IF(S$2=$A313,($B313/$B$296)*$B$293,IF(S$2&lt;=$A313+$B$296-1,$B313/$B$296,$B313-SUM($C313:R313))),0))</f>
        <v>573.72026212121216</v>
      </c>
      <c r="T313" s="4">
        <f>IF($B$296=0,0,IF(T$2&gt;=$A313,IF(T$2=$A313,($B313/$B$296)*$B$293,IF(T$2&lt;=$A313+$B$296-1,$B313/$B$296,$B313-SUM($C313:S313))),0))</f>
        <v>1147.4405242424243</v>
      </c>
      <c r="U313" s="4">
        <f>IF($B$296=0,0,IF(U$2&gt;=$A313,IF(U$2=$A313,($B313/$B$296)*$B$293,IF(U$2&lt;=$A313+$B$296-1,$B313/$B$296,$B313-SUM($C313:T313))),0))</f>
        <v>1147.4405242424243</v>
      </c>
      <c r="V313" s="4">
        <f>IF($B$296=0,0,IF(V$2&gt;=$A313,IF(V$2=$A313,($B313/$B$296)*$B$293,IF(V$2&lt;=$A313+$B$296-1,$B313/$B$296,$B313-SUM($C313:U313))),0))</f>
        <v>1147.4405242424243</v>
      </c>
      <c r="W313" s="4">
        <f>IF($B$296=0,0,IF(W$2&gt;=$A313,IF(W$2=$A313,($B313/$B$296)*$B$293,IF(W$2&lt;=$A313+$B$296-1,$B313/$B$296,$B313-SUM($C313:V313))),0))</f>
        <v>1147.4405242424243</v>
      </c>
      <c r="X313" s="4">
        <f>IF($B$296=0,0,IF(X$2&gt;=$A313,IF(X$2=$A313,($B313/$B$296)*$B$293,IF(X$2&lt;=$A313+$B$296-1,$B313/$B$296,$B313-SUM($C313:W313))),0))</f>
        <v>1147.4405242424243</v>
      </c>
      <c r="Y313" s="4">
        <f>IF($B$296=0,0,IF(Y$2&gt;=$A313,IF(Y$2=$A313,($B313/$B$296)*$B$293,IF(Y$2&lt;=$A313+$B$296-1,$B313/$B$296,$B313-SUM($C313:X313))),0))</f>
        <v>1147.4405242424243</v>
      </c>
      <c r="Z313" s="4">
        <f>IF($B$296=0,0,IF(Z$2&gt;=$A313,IF(Z$2=$A313,($B313/$B$296)*$B$293,IF(Z$2&lt;=$A313+$B$296-1,$B313/$B$296,$B313-SUM($C313:Y313))),0))</f>
        <v>1147.4405242424243</v>
      </c>
      <c r="AA313" s="4">
        <f>IF($B$296=0,0,IF(AA$2&gt;=$A313,IF(AA$2=$A313,($B313/$B$296)*$B$293,IF(AA$2&lt;=$A313+$B$296-1,$B313/$B$296,$B313-SUM($C313:Z313))),0))</f>
        <v>1147.4405242424243</v>
      </c>
      <c r="AB313" s="4">
        <f>IF($B$296=0,0,IF(AB$2&gt;=$A313,IF(AB$2=$A313,($B313/$B$296)*$B$293,IF(AB$2&lt;=$A313+$B$296-1,$B313/$B$296,$B313-SUM($C313:AA313))),0))</f>
        <v>1147.4405242424243</v>
      </c>
      <c r="AC313" s="4">
        <f>IF($B$296=0,0,IF(AC$2&gt;=$A313,IF(AC$2=$A313,($B313/$B$296)*$B$293,IF(AC$2&lt;=$A313+$B$296-1,$B313/$B$296,$B313-SUM($C313:AB313))),0))</f>
        <v>1147.4405242424243</v>
      </c>
      <c r="AD313" s="4">
        <f>IF($B$296=0,0,IF(AD$2&gt;=$A313,IF(AD$2=$A313,($B313/$B$296)*$B$293,IF(AD$2&lt;=$A313+$B$296-1,$B313/$B$296,$B313-SUM($C313:AC313))),0))</f>
        <v>1147.4405242424243</v>
      </c>
      <c r="AE313" s="4">
        <f>IF($B$296=0,0,IF(AE$2&gt;=$A313,IF(AE$2=$A313,($B313/$B$296)*$B$293,IF(AE$2&lt;=$A313+$B$296-1,$B313/$B$296,$B313-SUM($C313:AD313))),0))</f>
        <v>1147.4405242424243</v>
      </c>
      <c r="AF313" s="4">
        <f>IF($B$296=0,0,IF(AF$2&gt;=$A313,IF(AF$2=$A313,($B313/$B$296)*$B$293,IF(AF$2&lt;=$A313+$B$296-1,$B313/$B$296,$B313-SUM($C313:AE313))),0))</f>
        <v>1147.4405242424243</v>
      </c>
      <c r="AG313" s="4">
        <f t="shared" si="240"/>
        <v>15490.447077272725</v>
      </c>
    </row>
    <row r="314" spans="1:33">
      <c r="A314" s="6">
        <f t="shared" si="241"/>
        <v>2039</v>
      </c>
      <c r="B314" s="4">
        <f t="shared" si="239"/>
        <v>70911.822181818177</v>
      </c>
      <c r="C314" s="4">
        <f>IF($B$296=0,0,IF(C$2&gt;=$A314,IF(C$2=$A314,($B314/$B$296)*$B$293,IF(C$2&lt;=$A314+$B$296-1,$B314/$B$296,$B314-SUM(B314:$C314))),0))</f>
        <v>0</v>
      </c>
      <c r="D314" s="4">
        <f>IF($B$296=0,0,IF(D$2&gt;=$A314,IF(D$2=$A314,($B314/$B$296)*$B$293,IF(D$2&lt;=$A314+$B$296-1,$B314/$B$296,$B314-SUM(C314:$C314))),0))</f>
        <v>0</v>
      </c>
      <c r="E314" s="4">
        <f>IF($B$296=0,0,IF(E$2&gt;=$A314,IF(E$2=$A314,($B314/$B$296)*$B$293,IF(E$2&lt;=$A314+$B$296-1,$B314/$B$296,$B314-SUM($C314:D314))),0))</f>
        <v>0</v>
      </c>
      <c r="F314" s="4">
        <f>IF($B$296=0,0,IF(F$2&gt;=$A314,IF(F$2=$A314,($B314/$B$296)*$B$293,IF(F$2&lt;=$A314+$B$296-1,$B314/$B$296,$B314-SUM($C314:E314))),0))</f>
        <v>0</v>
      </c>
      <c r="G314" s="4">
        <f>IF($B$296=0,0,IF(G$2&gt;=$A314,IF(G$2=$A314,($B314/$B$296)*$B$293,IF(G$2&lt;=$A314+$B$296-1,$B314/$B$296,$B314-SUM($C314:F314))),0))</f>
        <v>0</v>
      </c>
      <c r="H314" s="4">
        <f>IF($B$296=0,0,IF(H$2&gt;=$A314,IF(H$2=$A314,($B314/$B$296)*$B$293,IF(H$2&lt;=$A314+$B$296-1,$B314/$B$296,$B314-SUM($C314:G314))),0))</f>
        <v>0</v>
      </c>
      <c r="I314" s="4">
        <f>IF($B$296=0,0,IF(I$2&gt;=$A314,IF(I$2=$A314,($B314/$B$296)*$B$293,IF(I$2&lt;=$A314+$B$296-1,$B314/$B$296,$B314-SUM($C314:H314))),0))</f>
        <v>0</v>
      </c>
      <c r="J314" s="4">
        <f>IF($B$296=0,0,IF(J$2&gt;=$A314,IF(J$2=$A314,($B314/$B$296)*$B$293,IF(J$2&lt;=$A314+$B$296-1,$B314/$B$296,$B314-SUM($C314:I314))),0))</f>
        <v>0</v>
      </c>
      <c r="K314" s="4">
        <f>IF($B$296=0,0,IF(K$2&gt;=$A314,IF(K$2=$A314,($B314/$B$296)*$B$293,IF(K$2&lt;=$A314+$B$296-1,$B314/$B$296,$B314-SUM($C314:J314))),0))</f>
        <v>0</v>
      </c>
      <c r="L314" s="4">
        <f>IF($B$296=0,0,IF(L$2&gt;=$A314,IF(L$2=$A314,($B314/$B$296)*$B$293,IF(L$2&lt;=$A314+$B$296-1,$B314/$B$296,$B314-SUM($C314:K314))),0))</f>
        <v>0</v>
      </c>
      <c r="M314" s="4">
        <f>IF($B$296=0,0,IF(M$2&gt;=$A314,IF(M$2=$A314,($B314/$B$296)*$B$293,IF(M$2&lt;=$A314+$B$296-1,$B314/$B$296,$B314-SUM($C314:L314))),0))</f>
        <v>0</v>
      </c>
      <c r="N314" s="4">
        <f>IF($B$296=0,0,IF(N$2&gt;=$A314,IF(N$2=$A314,($B314/$B$296)*$B$293,IF(N$2&lt;=$A314+$B$296-1,$B314/$B$296,$B314-SUM($C314:M314))),0))</f>
        <v>0</v>
      </c>
      <c r="O314" s="4">
        <f>IF($B$296=0,0,IF(O$2&gt;=$A314,IF(O$2=$A314,($B314/$B$296)*$B$293,IF(O$2&lt;=$A314+$B$296-1,$B314/$B$296,$B314-SUM($C314:N314))),0))</f>
        <v>0</v>
      </c>
      <c r="P314" s="4">
        <f>IF($B$296=0,0,IF(P$2&gt;=$A314,IF(P$2=$A314,($B314/$B$296)*$B$293,IF(P$2&lt;=$A314+$B$296-1,$B314/$B$296,$B314-SUM($C314:O314))),0))</f>
        <v>0</v>
      </c>
      <c r="Q314" s="4">
        <f>IF($B$296=0,0,IF(Q$2&gt;=$A314,IF(Q$2=$A314,($B314/$B$296)*$B$293,IF(Q$2&lt;=$A314+$B$296-1,$B314/$B$296,$B314-SUM($C314:P314))),0))</f>
        <v>0</v>
      </c>
      <c r="R314" s="4">
        <f>IF($B$296=0,0,IF(R$2&gt;=$A314,IF(R$2=$A314,($B314/$B$296)*$B$293,IF(R$2&lt;=$A314+$B$296-1,$B314/$B$296,$B314-SUM($C314:Q314))),0))</f>
        <v>0</v>
      </c>
      <c r="S314" s="4">
        <f>IF($B$296=0,0,IF(S$2&gt;=$A314,IF(S$2=$A314,($B314/$B$296)*$B$293,IF(S$2&lt;=$A314+$B$296-1,$B314/$B$296,$B314-SUM($C314:R314))),0))</f>
        <v>0</v>
      </c>
      <c r="T314" s="4">
        <f>IF($B$296=0,0,IF(T$2&gt;=$A314,IF(T$2=$A314,($B314/$B$296)*$B$293,IF(T$2&lt;=$A314+$B$296-1,$B314/$B$296,$B314-SUM($C314:S314))),0))</f>
        <v>590.93185151515149</v>
      </c>
      <c r="U314" s="4">
        <f>IF($B$296=0,0,IF(U$2&gt;=$A314,IF(U$2=$A314,($B314/$B$296)*$B$293,IF(U$2&lt;=$A314+$B$296-1,$B314/$B$296,$B314-SUM($C314:T314))),0))</f>
        <v>1181.863703030303</v>
      </c>
      <c r="V314" s="4">
        <f>IF($B$296=0,0,IF(V$2&gt;=$A314,IF(V$2=$A314,($B314/$B$296)*$B$293,IF(V$2&lt;=$A314+$B$296-1,$B314/$B$296,$B314-SUM($C314:U314))),0))</f>
        <v>1181.863703030303</v>
      </c>
      <c r="W314" s="4">
        <f>IF($B$296=0,0,IF(W$2&gt;=$A314,IF(W$2=$A314,($B314/$B$296)*$B$293,IF(W$2&lt;=$A314+$B$296-1,$B314/$B$296,$B314-SUM($C314:V314))),0))</f>
        <v>1181.863703030303</v>
      </c>
      <c r="X314" s="4">
        <f>IF($B$296=0,0,IF(X$2&gt;=$A314,IF(X$2=$A314,($B314/$B$296)*$B$293,IF(X$2&lt;=$A314+$B$296-1,$B314/$B$296,$B314-SUM($C314:W314))),0))</f>
        <v>1181.863703030303</v>
      </c>
      <c r="Y314" s="4">
        <f>IF($B$296=0,0,IF(Y$2&gt;=$A314,IF(Y$2=$A314,($B314/$B$296)*$B$293,IF(Y$2&lt;=$A314+$B$296-1,$B314/$B$296,$B314-SUM($C314:X314))),0))</f>
        <v>1181.863703030303</v>
      </c>
      <c r="Z314" s="4">
        <f>IF($B$296=0,0,IF(Z$2&gt;=$A314,IF(Z$2=$A314,($B314/$B$296)*$B$293,IF(Z$2&lt;=$A314+$B$296-1,$B314/$B$296,$B314-SUM($C314:Y314))),0))</f>
        <v>1181.863703030303</v>
      </c>
      <c r="AA314" s="4">
        <f>IF($B$296=0,0,IF(AA$2&gt;=$A314,IF(AA$2=$A314,($B314/$B$296)*$B$293,IF(AA$2&lt;=$A314+$B$296-1,$B314/$B$296,$B314-SUM($C314:Z314))),0))</f>
        <v>1181.863703030303</v>
      </c>
      <c r="AB314" s="4">
        <f>IF($B$296=0,0,IF(AB$2&gt;=$A314,IF(AB$2=$A314,($B314/$B$296)*$B$293,IF(AB$2&lt;=$A314+$B$296-1,$B314/$B$296,$B314-SUM($C314:AA314))),0))</f>
        <v>1181.863703030303</v>
      </c>
      <c r="AC314" s="4">
        <f>IF($B$296=0,0,IF(AC$2&gt;=$A314,IF(AC$2=$A314,($B314/$B$296)*$B$293,IF(AC$2&lt;=$A314+$B$296-1,$B314/$B$296,$B314-SUM($C314:AB314))),0))</f>
        <v>1181.863703030303</v>
      </c>
      <c r="AD314" s="4">
        <f>IF($B$296=0,0,IF(AD$2&gt;=$A314,IF(AD$2=$A314,($B314/$B$296)*$B$293,IF(AD$2&lt;=$A314+$B$296-1,$B314/$B$296,$B314-SUM($C314:AC314))),0))</f>
        <v>1181.863703030303</v>
      </c>
      <c r="AE314" s="4">
        <f>IF($B$296=0,0,IF(AE$2&gt;=$A314,IF(AE$2=$A314,($B314/$B$296)*$B$293,IF(AE$2&lt;=$A314+$B$296-1,$B314/$B$296,$B314-SUM($C314:AD314))),0))</f>
        <v>1181.863703030303</v>
      </c>
      <c r="AF314" s="4">
        <f>IF($B$296=0,0,IF(AF$2&gt;=$A314,IF(AF$2=$A314,($B314/$B$296)*$B$293,IF(AF$2&lt;=$A314+$B$296-1,$B314/$B$296,$B314-SUM($C314:AE314))),0))</f>
        <v>1181.863703030303</v>
      </c>
      <c r="AG314" s="4">
        <f t="shared" si="240"/>
        <v>14773.296287878791</v>
      </c>
    </row>
    <row r="315" spans="1:33">
      <c r="A315" s="6">
        <f t="shared" si="241"/>
        <v>2040</v>
      </c>
      <c r="B315" s="4">
        <f t="shared" si="239"/>
        <v>73039.174727272723</v>
      </c>
      <c r="C315" s="4">
        <f>IF($B$296=0,0,IF(C$2&gt;=$A315,IF(C$2=$A315,($B315/$B$296)*$B$293,IF(C$2&lt;=$A315+$B$296-1,$B315/$B$296,$B315-SUM(B315:$C315))),0))</f>
        <v>0</v>
      </c>
      <c r="D315" s="4">
        <f>IF($B$296=0,0,IF(D$2&gt;=$A315,IF(D$2=$A315,($B315/$B$296)*$B$293,IF(D$2&lt;=$A315+$B$296-1,$B315/$B$296,$B315-SUM(C315:$C315))),0))</f>
        <v>0</v>
      </c>
      <c r="E315" s="4">
        <f>IF($B$296=0,0,IF(E$2&gt;=$A315,IF(E$2=$A315,($B315/$B$296)*$B$293,IF(E$2&lt;=$A315+$B$296-1,$B315/$B$296,$B315-SUM($C315:D315))),0))</f>
        <v>0</v>
      </c>
      <c r="F315" s="4">
        <f>IF($B$296=0,0,IF(F$2&gt;=$A315,IF(F$2=$A315,($B315/$B$296)*$B$293,IF(F$2&lt;=$A315+$B$296-1,$B315/$B$296,$B315-SUM($C315:E315))),0))</f>
        <v>0</v>
      </c>
      <c r="G315" s="4">
        <f>IF($B$296=0,0,IF(G$2&gt;=$A315,IF(G$2=$A315,($B315/$B$296)*$B$293,IF(G$2&lt;=$A315+$B$296-1,$B315/$B$296,$B315-SUM($C315:F315))),0))</f>
        <v>0</v>
      </c>
      <c r="H315" s="4">
        <f>IF($B$296=0,0,IF(H$2&gt;=$A315,IF(H$2=$A315,($B315/$B$296)*$B$293,IF(H$2&lt;=$A315+$B$296-1,$B315/$B$296,$B315-SUM($C315:G315))),0))</f>
        <v>0</v>
      </c>
      <c r="I315" s="4">
        <f>IF($B$296=0,0,IF(I$2&gt;=$A315,IF(I$2=$A315,($B315/$B$296)*$B$293,IF(I$2&lt;=$A315+$B$296-1,$B315/$B$296,$B315-SUM($C315:H315))),0))</f>
        <v>0</v>
      </c>
      <c r="J315" s="4">
        <f>IF($B$296=0,0,IF(J$2&gt;=$A315,IF(J$2=$A315,($B315/$B$296)*$B$293,IF(J$2&lt;=$A315+$B$296-1,$B315/$B$296,$B315-SUM($C315:I315))),0))</f>
        <v>0</v>
      </c>
      <c r="K315" s="4">
        <f>IF($B$296=0,0,IF(K$2&gt;=$A315,IF(K$2=$A315,($B315/$B$296)*$B$293,IF(K$2&lt;=$A315+$B$296-1,$B315/$B$296,$B315-SUM($C315:J315))),0))</f>
        <v>0</v>
      </c>
      <c r="L315" s="4">
        <f>IF($B$296=0,0,IF(L$2&gt;=$A315,IF(L$2=$A315,($B315/$B$296)*$B$293,IF(L$2&lt;=$A315+$B$296-1,$B315/$B$296,$B315-SUM($C315:K315))),0))</f>
        <v>0</v>
      </c>
      <c r="M315" s="4">
        <f>IF($B$296=0,0,IF(M$2&gt;=$A315,IF(M$2=$A315,($B315/$B$296)*$B$293,IF(M$2&lt;=$A315+$B$296-1,$B315/$B$296,$B315-SUM($C315:L315))),0))</f>
        <v>0</v>
      </c>
      <c r="N315" s="4">
        <f>IF($B$296=0,0,IF(N$2&gt;=$A315,IF(N$2=$A315,($B315/$B$296)*$B$293,IF(N$2&lt;=$A315+$B$296-1,$B315/$B$296,$B315-SUM($C315:M315))),0))</f>
        <v>0</v>
      </c>
      <c r="O315" s="4">
        <f>IF($B$296=0,0,IF(O$2&gt;=$A315,IF(O$2=$A315,($B315/$B$296)*$B$293,IF(O$2&lt;=$A315+$B$296-1,$B315/$B$296,$B315-SUM($C315:N315))),0))</f>
        <v>0</v>
      </c>
      <c r="P315" s="4">
        <f>IF($B$296=0,0,IF(P$2&gt;=$A315,IF(P$2=$A315,($B315/$B$296)*$B$293,IF(P$2&lt;=$A315+$B$296-1,$B315/$B$296,$B315-SUM($C315:O315))),0))</f>
        <v>0</v>
      </c>
      <c r="Q315" s="4">
        <f>IF($B$296=0,0,IF(Q$2&gt;=$A315,IF(Q$2=$A315,($B315/$B$296)*$B$293,IF(Q$2&lt;=$A315+$B$296-1,$B315/$B$296,$B315-SUM($C315:P315))),0))</f>
        <v>0</v>
      </c>
      <c r="R315" s="4">
        <f>IF($B$296=0,0,IF(R$2&gt;=$A315,IF(R$2=$A315,($B315/$B$296)*$B$293,IF(R$2&lt;=$A315+$B$296-1,$B315/$B$296,$B315-SUM($C315:Q315))),0))</f>
        <v>0</v>
      </c>
      <c r="S315" s="4">
        <f>IF($B$296=0,0,IF(S$2&gt;=$A315,IF(S$2=$A315,($B315/$B$296)*$B$293,IF(S$2&lt;=$A315+$B$296-1,$B315/$B$296,$B315-SUM($C315:R315))),0))</f>
        <v>0</v>
      </c>
      <c r="T315" s="4">
        <f>IF($B$296=0,0,IF(T$2&gt;=$A315,IF(T$2=$A315,($B315/$B$296)*$B$293,IF(T$2&lt;=$A315+$B$296-1,$B315/$B$296,$B315-SUM($C315:S315))),0))</f>
        <v>0</v>
      </c>
      <c r="U315" s="4">
        <f>IF($B$296=0,0,IF(U$2&gt;=$A315,IF(U$2=$A315,($B315/$B$296)*$B$293,IF(U$2&lt;=$A315+$B$296-1,$B315/$B$296,$B315-SUM($C315:T315))),0))</f>
        <v>608.65978939393938</v>
      </c>
      <c r="V315" s="4">
        <f>IF($B$296=0,0,IF(V$2&gt;=$A315,IF(V$2=$A315,($B315/$B$296)*$B$293,IF(V$2&lt;=$A315+$B$296-1,$B315/$B$296,$B315-SUM($C315:U315))),0))</f>
        <v>1217.3195787878788</v>
      </c>
      <c r="W315" s="4">
        <f>IF($B$296=0,0,IF(W$2&gt;=$A315,IF(W$2=$A315,($B315/$B$296)*$B$293,IF(W$2&lt;=$A315+$B$296-1,$B315/$B$296,$B315-SUM($C315:V315))),0))</f>
        <v>1217.3195787878788</v>
      </c>
      <c r="X315" s="4">
        <f>IF($B$296=0,0,IF(X$2&gt;=$A315,IF(X$2=$A315,($B315/$B$296)*$B$293,IF(X$2&lt;=$A315+$B$296-1,$B315/$B$296,$B315-SUM($C315:W315))),0))</f>
        <v>1217.3195787878788</v>
      </c>
      <c r="Y315" s="4">
        <f>IF($B$296=0,0,IF(Y$2&gt;=$A315,IF(Y$2=$A315,($B315/$B$296)*$B$293,IF(Y$2&lt;=$A315+$B$296-1,$B315/$B$296,$B315-SUM($C315:X315))),0))</f>
        <v>1217.3195787878788</v>
      </c>
      <c r="Z315" s="4">
        <f>IF($B$296=0,0,IF(Z$2&gt;=$A315,IF(Z$2=$A315,($B315/$B$296)*$B$293,IF(Z$2&lt;=$A315+$B$296-1,$B315/$B$296,$B315-SUM($C315:Y315))),0))</f>
        <v>1217.3195787878788</v>
      </c>
      <c r="AA315" s="4">
        <f>IF($B$296=0,0,IF(AA$2&gt;=$A315,IF(AA$2=$A315,($B315/$B$296)*$B$293,IF(AA$2&lt;=$A315+$B$296-1,$B315/$B$296,$B315-SUM($C315:Z315))),0))</f>
        <v>1217.3195787878788</v>
      </c>
      <c r="AB315" s="4">
        <f>IF($B$296=0,0,IF(AB$2&gt;=$A315,IF(AB$2=$A315,($B315/$B$296)*$B$293,IF(AB$2&lt;=$A315+$B$296-1,$B315/$B$296,$B315-SUM($C315:AA315))),0))</f>
        <v>1217.3195787878788</v>
      </c>
      <c r="AC315" s="4">
        <f>IF($B$296=0,0,IF(AC$2&gt;=$A315,IF(AC$2=$A315,($B315/$B$296)*$B$293,IF(AC$2&lt;=$A315+$B$296-1,$B315/$B$296,$B315-SUM($C315:AB315))),0))</f>
        <v>1217.3195787878788</v>
      </c>
      <c r="AD315" s="4">
        <f>IF($B$296=0,0,IF(AD$2&gt;=$A315,IF(AD$2=$A315,($B315/$B$296)*$B$293,IF(AD$2&lt;=$A315+$B$296-1,$B315/$B$296,$B315-SUM($C315:AC315))),0))</f>
        <v>1217.3195787878788</v>
      </c>
      <c r="AE315" s="4">
        <f>IF($B$296=0,0,IF(AE$2&gt;=$A315,IF(AE$2=$A315,($B315/$B$296)*$B$293,IF(AE$2&lt;=$A315+$B$296-1,$B315/$B$296,$B315-SUM($C315:AD315))),0))</f>
        <v>1217.3195787878788</v>
      </c>
      <c r="AF315" s="4">
        <f>IF($B$296=0,0,IF(AF$2&gt;=$A315,IF(AF$2=$A315,($B315/$B$296)*$B$293,IF(AF$2&lt;=$A315+$B$296-1,$B315/$B$296,$B315-SUM($C315:AE315))),0))</f>
        <v>1217.3195787878788</v>
      </c>
      <c r="AG315" s="4">
        <f t="shared" si="240"/>
        <v>13999.175156060608</v>
      </c>
    </row>
    <row r="316" spans="1:33">
      <c r="A316" s="6">
        <f t="shared" si="241"/>
        <v>2041</v>
      </c>
      <c r="B316" s="4">
        <f t="shared" si="239"/>
        <v>75230.348909090899</v>
      </c>
      <c r="C316" s="4">
        <f>IF($B$296=0,0,IF(C$2&gt;=$A316,IF(C$2=$A316,($B316/$B$296)*$B$293,IF(C$2&lt;=$A316+$B$296-1,$B316/$B$296,$B316-SUM(B316:$C316))),0))</f>
        <v>0</v>
      </c>
      <c r="D316" s="4">
        <f>IF($B$296=0,0,IF(D$2&gt;=$A316,IF(D$2=$A316,($B316/$B$296)*$B$293,IF(D$2&lt;=$A316+$B$296-1,$B316/$B$296,$B316-SUM(C316:$C316))),0))</f>
        <v>0</v>
      </c>
      <c r="E316" s="4">
        <f>IF($B$296=0,0,IF(E$2&gt;=$A316,IF(E$2=$A316,($B316/$B$296)*$B$293,IF(E$2&lt;=$A316+$B$296-1,$B316/$B$296,$B316-SUM($C316:D316))),0))</f>
        <v>0</v>
      </c>
      <c r="F316" s="4">
        <f>IF($B$296=0,0,IF(F$2&gt;=$A316,IF(F$2=$A316,($B316/$B$296)*$B$293,IF(F$2&lt;=$A316+$B$296-1,$B316/$B$296,$B316-SUM($C316:E316))),0))</f>
        <v>0</v>
      </c>
      <c r="G316" s="4">
        <f>IF($B$296=0,0,IF(G$2&gt;=$A316,IF(G$2=$A316,($B316/$B$296)*$B$293,IF(G$2&lt;=$A316+$B$296-1,$B316/$B$296,$B316-SUM($C316:F316))),0))</f>
        <v>0</v>
      </c>
      <c r="H316" s="4">
        <f>IF($B$296=0,0,IF(H$2&gt;=$A316,IF(H$2=$A316,($B316/$B$296)*$B$293,IF(H$2&lt;=$A316+$B$296-1,$B316/$B$296,$B316-SUM($C316:G316))),0))</f>
        <v>0</v>
      </c>
      <c r="I316" s="4">
        <f>IF($B$296=0,0,IF(I$2&gt;=$A316,IF(I$2=$A316,($B316/$B$296)*$B$293,IF(I$2&lt;=$A316+$B$296-1,$B316/$B$296,$B316-SUM($C316:H316))),0))</f>
        <v>0</v>
      </c>
      <c r="J316" s="4">
        <f>IF($B$296=0,0,IF(J$2&gt;=$A316,IF(J$2=$A316,($B316/$B$296)*$B$293,IF(J$2&lt;=$A316+$B$296-1,$B316/$B$296,$B316-SUM($C316:I316))),0))</f>
        <v>0</v>
      </c>
      <c r="K316" s="4">
        <f>IF($B$296=0,0,IF(K$2&gt;=$A316,IF(K$2=$A316,($B316/$B$296)*$B$293,IF(K$2&lt;=$A316+$B$296-1,$B316/$B$296,$B316-SUM($C316:J316))),0))</f>
        <v>0</v>
      </c>
      <c r="L316" s="4">
        <f>IF($B$296=0,0,IF(L$2&gt;=$A316,IF(L$2=$A316,($B316/$B$296)*$B$293,IF(L$2&lt;=$A316+$B$296-1,$B316/$B$296,$B316-SUM($C316:K316))),0))</f>
        <v>0</v>
      </c>
      <c r="M316" s="4">
        <f>IF($B$296=0,0,IF(M$2&gt;=$A316,IF(M$2=$A316,($B316/$B$296)*$B$293,IF(M$2&lt;=$A316+$B$296-1,$B316/$B$296,$B316-SUM($C316:L316))),0))</f>
        <v>0</v>
      </c>
      <c r="N316" s="4">
        <f>IF($B$296=0,0,IF(N$2&gt;=$A316,IF(N$2=$A316,($B316/$B$296)*$B$293,IF(N$2&lt;=$A316+$B$296-1,$B316/$B$296,$B316-SUM($C316:M316))),0))</f>
        <v>0</v>
      </c>
      <c r="O316" s="4">
        <f>IF($B$296=0,0,IF(O$2&gt;=$A316,IF(O$2=$A316,($B316/$B$296)*$B$293,IF(O$2&lt;=$A316+$B$296-1,$B316/$B$296,$B316-SUM($C316:N316))),0))</f>
        <v>0</v>
      </c>
      <c r="P316" s="4">
        <f>IF($B$296=0,0,IF(P$2&gt;=$A316,IF(P$2=$A316,($B316/$B$296)*$B$293,IF(P$2&lt;=$A316+$B$296-1,$B316/$B$296,$B316-SUM($C316:O316))),0))</f>
        <v>0</v>
      </c>
      <c r="Q316" s="4">
        <f>IF($B$296=0,0,IF(Q$2&gt;=$A316,IF(Q$2=$A316,($B316/$B$296)*$B$293,IF(Q$2&lt;=$A316+$B$296-1,$B316/$B$296,$B316-SUM($C316:P316))),0))</f>
        <v>0</v>
      </c>
      <c r="R316" s="4">
        <f>IF($B$296=0,0,IF(R$2&gt;=$A316,IF(R$2=$A316,($B316/$B$296)*$B$293,IF(R$2&lt;=$A316+$B$296-1,$B316/$B$296,$B316-SUM($C316:Q316))),0))</f>
        <v>0</v>
      </c>
      <c r="S316" s="4">
        <f>IF($B$296=0,0,IF(S$2&gt;=$A316,IF(S$2=$A316,($B316/$B$296)*$B$293,IF(S$2&lt;=$A316+$B$296-1,$B316/$B$296,$B316-SUM($C316:R316))),0))</f>
        <v>0</v>
      </c>
      <c r="T316" s="4">
        <f>IF($B$296=0,0,IF(T$2&gt;=$A316,IF(T$2=$A316,($B316/$B$296)*$B$293,IF(T$2&lt;=$A316+$B$296-1,$B316/$B$296,$B316-SUM($C316:S316))),0))</f>
        <v>0</v>
      </c>
      <c r="U316" s="4">
        <f>IF($B$296=0,0,IF(U$2&gt;=$A316,IF(U$2=$A316,($B316/$B$296)*$B$293,IF(U$2&lt;=$A316+$B$296-1,$B316/$B$296,$B316-SUM($C316:T316))),0))</f>
        <v>0</v>
      </c>
      <c r="V316" s="4">
        <f>IF($B$296=0,0,IF(V$2&gt;=$A316,IF(V$2=$A316,($B316/$B$296)*$B$293,IF(V$2&lt;=$A316+$B$296-1,$B316/$B$296,$B316-SUM($C316:U316))),0))</f>
        <v>626.91957424242412</v>
      </c>
      <c r="W316" s="4">
        <f>IF($B$296=0,0,IF(W$2&gt;=$A316,IF(W$2=$A316,($B316/$B$296)*$B$293,IF(W$2&lt;=$A316+$B$296-1,$B316/$B$296,$B316-SUM($C316:V316))),0))</f>
        <v>1253.8391484848482</v>
      </c>
      <c r="X316" s="4">
        <f>IF($B$296=0,0,IF(X$2&gt;=$A316,IF(X$2=$A316,($B316/$B$296)*$B$293,IF(X$2&lt;=$A316+$B$296-1,$B316/$B$296,$B316-SUM($C316:W316))),0))</f>
        <v>1253.8391484848482</v>
      </c>
      <c r="Y316" s="4">
        <f>IF($B$296=0,0,IF(Y$2&gt;=$A316,IF(Y$2=$A316,($B316/$B$296)*$B$293,IF(Y$2&lt;=$A316+$B$296-1,$B316/$B$296,$B316-SUM($C316:X316))),0))</f>
        <v>1253.8391484848482</v>
      </c>
      <c r="Z316" s="4">
        <f>IF($B$296=0,0,IF(Z$2&gt;=$A316,IF(Z$2=$A316,($B316/$B$296)*$B$293,IF(Z$2&lt;=$A316+$B$296-1,$B316/$B$296,$B316-SUM($C316:Y316))),0))</f>
        <v>1253.8391484848482</v>
      </c>
      <c r="AA316" s="4">
        <f>IF($B$296=0,0,IF(AA$2&gt;=$A316,IF(AA$2=$A316,($B316/$B$296)*$B$293,IF(AA$2&lt;=$A316+$B$296-1,$B316/$B$296,$B316-SUM($C316:Z316))),0))</f>
        <v>1253.8391484848482</v>
      </c>
      <c r="AB316" s="4">
        <f>IF($B$296=0,0,IF(AB$2&gt;=$A316,IF(AB$2=$A316,($B316/$B$296)*$B$293,IF(AB$2&lt;=$A316+$B$296-1,$B316/$B$296,$B316-SUM($C316:AA316))),0))</f>
        <v>1253.8391484848482</v>
      </c>
      <c r="AC316" s="4">
        <f>IF($B$296=0,0,IF(AC$2&gt;=$A316,IF(AC$2=$A316,($B316/$B$296)*$B$293,IF(AC$2&lt;=$A316+$B$296-1,$B316/$B$296,$B316-SUM($C316:AB316))),0))</f>
        <v>1253.8391484848482</v>
      </c>
      <c r="AD316" s="4">
        <f>IF($B$296=0,0,IF(AD$2&gt;=$A316,IF(AD$2=$A316,($B316/$B$296)*$B$293,IF(AD$2&lt;=$A316+$B$296-1,$B316/$B$296,$B316-SUM($C316:AC316))),0))</f>
        <v>1253.8391484848482</v>
      </c>
      <c r="AE316" s="4">
        <f>IF($B$296=0,0,IF(AE$2&gt;=$A316,IF(AE$2=$A316,($B316/$B$296)*$B$293,IF(AE$2&lt;=$A316+$B$296-1,$B316/$B$296,$B316-SUM($C316:AD316))),0))</f>
        <v>1253.8391484848482</v>
      </c>
      <c r="AF316" s="4">
        <f>IF($B$296=0,0,IF(AF$2&gt;=$A316,IF(AF$2=$A316,($B316/$B$296)*$B$293,IF(AF$2&lt;=$A316+$B$296-1,$B316/$B$296,$B316-SUM($C316:AE316))),0))</f>
        <v>1253.8391484848482</v>
      </c>
      <c r="AG316" s="4">
        <f t="shared" si="240"/>
        <v>13165.311059090907</v>
      </c>
    </row>
    <row r="317" spans="1:33">
      <c r="A317" s="6">
        <f t="shared" si="241"/>
        <v>2042</v>
      </c>
      <c r="B317" s="4">
        <f t="shared" si="239"/>
        <v>77487.262363636371</v>
      </c>
      <c r="C317" s="4">
        <f>IF($B$296=0,0,IF(C$2&gt;=$A317,IF(C$2=$A317,($B317/$B$296)*$B$293,IF(C$2&lt;=$A317+$B$296-1,$B317/$B$296,$B317-SUM(B317:$C317))),0))</f>
        <v>0</v>
      </c>
      <c r="D317" s="4">
        <f>IF($B$296=0,0,IF(D$2&gt;=$A317,IF(D$2=$A317,($B317/$B$296)*$B$293,IF(D$2&lt;=$A317+$B$296-1,$B317/$B$296,$B317-SUM(C317:$C317))),0))</f>
        <v>0</v>
      </c>
      <c r="E317" s="4">
        <f>IF($B$296=0,0,IF(E$2&gt;=$A317,IF(E$2=$A317,($B317/$B$296)*$B$293,IF(E$2&lt;=$A317+$B$296-1,$B317/$B$296,$B317-SUM($C317:D317))),0))</f>
        <v>0</v>
      </c>
      <c r="F317" s="4">
        <f>IF($B$296=0,0,IF(F$2&gt;=$A317,IF(F$2=$A317,($B317/$B$296)*$B$293,IF(F$2&lt;=$A317+$B$296-1,$B317/$B$296,$B317-SUM($C317:E317))),0))</f>
        <v>0</v>
      </c>
      <c r="G317" s="4">
        <f>IF($B$296=0,0,IF(G$2&gt;=$A317,IF(G$2=$A317,($B317/$B$296)*$B$293,IF(G$2&lt;=$A317+$B$296-1,$B317/$B$296,$B317-SUM($C317:F317))),0))</f>
        <v>0</v>
      </c>
      <c r="H317" s="4">
        <f>IF($B$296=0,0,IF(H$2&gt;=$A317,IF(H$2=$A317,($B317/$B$296)*$B$293,IF(H$2&lt;=$A317+$B$296-1,$B317/$B$296,$B317-SUM($C317:G317))),0))</f>
        <v>0</v>
      </c>
      <c r="I317" s="4">
        <f>IF($B$296=0,0,IF(I$2&gt;=$A317,IF(I$2=$A317,($B317/$B$296)*$B$293,IF(I$2&lt;=$A317+$B$296-1,$B317/$B$296,$B317-SUM($C317:H317))),0))</f>
        <v>0</v>
      </c>
      <c r="J317" s="4">
        <f>IF($B$296=0,0,IF(J$2&gt;=$A317,IF(J$2=$A317,($B317/$B$296)*$B$293,IF(J$2&lt;=$A317+$B$296-1,$B317/$B$296,$B317-SUM($C317:I317))),0))</f>
        <v>0</v>
      </c>
      <c r="K317" s="4">
        <f>IF($B$296=0,0,IF(K$2&gt;=$A317,IF(K$2=$A317,($B317/$B$296)*$B$293,IF(K$2&lt;=$A317+$B$296-1,$B317/$B$296,$B317-SUM($C317:J317))),0))</f>
        <v>0</v>
      </c>
      <c r="L317" s="4">
        <f>IF($B$296=0,0,IF(L$2&gt;=$A317,IF(L$2=$A317,($B317/$B$296)*$B$293,IF(L$2&lt;=$A317+$B$296-1,$B317/$B$296,$B317-SUM($C317:K317))),0))</f>
        <v>0</v>
      </c>
      <c r="M317" s="4">
        <f>IF($B$296=0,0,IF(M$2&gt;=$A317,IF(M$2=$A317,($B317/$B$296)*$B$293,IF(M$2&lt;=$A317+$B$296-1,$B317/$B$296,$B317-SUM($C317:L317))),0))</f>
        <v>0</v>
      </c>
      <c r="N317" s="4">
        <f>IF($B$296=0,0,IF(N$2&gt;=$A317,IF(N$2=$A317,($B317/$B$296)*$B$293,IF(N$2&lt;=$A317+$B$296-1,$B317/$B$296,$B317-SUM($C317:M317))),0))</f>
        <v>0</v>
      </c>
      <c r="O317" s="4">
        <f>IF($B$296=0,0,IF(O$2&gt;=$A317,IF(O$2=$A317,($B317/$B$296)*$B$293,IF(O$2&lt;=$A317+$B$296-1,$B317/$B$296,$B317-SUM($C317:N317))),0))</f>
        <v>0</v>
      </c>
      <c r="P317" s="4">
        <f>IF($B$296=0,0,IF(P$2&gt;=$A317,IF(P$2=$A317,($B317/$B$296)*$B$293,IF(P$2&lt;=$A317+$B$296-1,$B317/$B$296,$B317-SUM($C317:O317))),0))</f>
        <v>0</v>
      </c>
      <c r="Q317" s="4">
        <f>IF($B$296=0,0,IF(Q$2&gt;=$A317,IF(Q$2=$A317,($B317/$B$296)*$B$293,IF(Q$2&lt;=$A317+$B$296-1,$B317/$B$296,$B317-SUM($C317:P317))),0))</f>
        <v>0</v>
      </c>
      <c r="R317" s="4">
        <f>IF($B$296=0,0,IF(R$2&gt;=$A317,IF(R$2=$A317,($B317/$B$296)*$B$293,IF(R$2&lt;=$A317+$B$296-1,$B317/$B$296,$B317-SUM($C317:Q317))),0))</f>
        <v>0</v>
      </c>
      <c r="S317" s="4">
        <f>IF($B$296=0,0,IF(S$2&gt;=$A317,IF(S$2=$A317,($B317/$B$296)*$B$293,IF(S$2&lt;=$A317+$B$296-1,$B317/$B$296,$B317-SUM($C317:R317))),0))</f>
        <v>0</v>
      </c>
      <c r="T317" s="4">
        <f>IF($B$296=0,0,IF(T$2&gt;=$A317,IF(T$2=$A317,($B317/$B$296)*$B$293,IF(T$2&lt;=$A317+$B$296-1,$B317/$B$296,$B317-SUM($C317:S317))),0))</f>
        <v>0</v>
      </c>
      <c r="U317" s="4">
        <f>IF($B$296=0,0,IF(U$2&gt;=$A317,IF(U$2=$A317,($B317/$B$296)*$B$293,IF(U$2&lt;=$A317+$B$296-1,$B317/$B$296,$B317-SUM($C317:T317))),0))</f>
        <v>0</v>
      </c>
      <c r="V317" s="4">
        <f>IF($B$296=0,0,IF(V$2&gt;=$A317,IF(V$2=$A317,($B317/$B$296)*$B$293,IF(V$2&lt;=$A317+$B$296-1,$B317/$B$296,$B317-SUM($C317:U317))),0))</f>
        <v>0</v>
      </c>
      <c r="W317" s="4">
        <f>IF($B$296=0,0,IF(W$2&gt;=$A317,IF(W$2=$A317,($B317/$B$296)*$B$293,IF(W$2&lt;=$A317+$B$296-1,$B317/$B$296,$B317-SUM($C317:V317))),0))</f>
        <v>645.72718636363641</v>
      </c>
      <c r="X317" s="4">
        <f>IF($B$296=0,0,IF(X$2&gt;=$A317,IF(X$2=$A317,($B317/$B$296)*$B$293,IF(X$2&lt;=$A317+$B$296-1,$B317/$B$296,$B317-SUM($C317:W317))),0))</f>
        <v>1291.4543727272728</v>
      </c>
      <c r="Y317" s="4">
        <f>IF($B$296=0,0,IF(Y$2&gt;=$A317,IF(Y$2=$A317,($B317/$B$296)*$B$293,IF(Y$2&lt;=$A317+$B$296-1,$B317/$B$296,$B317-SUM($C317:X317))),0))</f>
        <v>1291.4543727272728</v>
      </c>
      <c r="Z317" s="4">
        <f>IF($B$296=0,0,IF(Z$2&gt;=$A317,IF(Z$2=$A317,($B317/$B$296)*$B$293,IF(Z$2&lt;=$A317+$B$296-1,$B317/$B$296,$B317-SUM($C317:Y317))),0))</f>
        <v>1291.4543727272728</v>
      </c>
      <c r="AA317" s="4">
        <f>IF($B$296=0,0,IF(AA$2&gt;=$A317,IF(AA$2=$A317,($B317/$B$296)*$B$293,IF(AA$2&lt;=$A317+$B$296-1,$B317/$B$296,$B317-SUM($C317:Z317))),0))</f>
        <v>1291.4543727272728</v>
      </c>
      <c r="AB317" s="4">
        <f>IF($B$296=0,0,IF(AB$2&gt;=$A317,IF(AB$2=$A317,($B317/$B$296)*$B$293,IF(AB$2&lt;=$A317+$B$296-1,$B317/$B$296,$B317-SUM($C317:AA317))),0))</f>
        <v>1291.4543727272728</v>
      </c>
      <c r="AC317" s="4">
        <f>IF($B$296=0,0,IF(AC$2&gt;=$A317,IF(AC$2=$A317,($B317/$B$296)*$B$293,IF(AC$2&lt;=$A317+$B$296-1,$B317/$B$296,$B317-SUM($C317:AB317))),0))</f>
        <v>1291.4543727272728</v>
      </c>
      <c r="AD317" s="4">
        <f>IF($B$296=0,0,IF(AD$2&gt;=$A317,IF(AD$2=$A317,($B317/$B$296)*$B$293,IF(AD$2&lt;=$A317+$B$296-1,$B317/$B$296,$B317-SUM($C317:AC317))),0))</f>
        <v>1291.4543727272728</v>
      </c>
      <c r="AE317" s="4">
        <f>IF($B$296=0,0,IF(AE$2&gt;=$A317,IF(AE$2=$A317,($B317/$B$296)*$B$293,IF(AE$2&lt;=$A317+$B$296-1,$B317/$B$296,$B317-SUM($C317:AD317))),0))</f>
        <v>1291.4543727272728</v>
      </c>
      <c r="AF317" s="4">
        <f>IF($B$296=0,0,IF(AF$2&gt;=$A317,IF(AF$2=$A317,($B317/$B$296)*$B$293,IF(AF$2&lt;=$A317+$B$296-1,$B317/$B$296,$B317-SUM($C317:AE317))),0))</f>
        <v>1291.4543727272728</v>
      </c>
      <c r="AG317" s="4">
        <f t="shared" si="240"/>
        <v>12268.816540909091</v>
      </c>
    </row>
    <row r="318" spans="1:33">
      <c r="A318" s="6">
        <f t="shared" si="241"/>
        <v>2043</v>
      </c>
      <c r="B318" s="4">
        <f t="shared" si="239"/>
        <v>79811.880909090905</v>
      </c>
      <c r="C318" s="4">
        <f>IF($B$296=0,0,IF(C$2&gt;=$A318,IF(C$2=$A318,($B318/$B$296)*$B$293,IF(C$2&lt;=$A318+$B$296-1,$B318/$B$296,$B318-SUM(B318:$C318))),0))</f>
        <v>0</v>
      </c>
      <c r="D318" s="4">
        <f>IF($B$296=0,0,IF(D$2&gt;=$A318,IF(D$2=$A318,($B318/$B$296)*$B$293,IF(D$2&lt;=$A318+$B$296-1,$B318/$B$296,$B318-SUM(C318:$C318))),0))</f>
        <v>0</v>
      </c>
      <c r="E318" s="4">
        <f>IF($B$296=0,0,IF(E$2&gt;=$A318,IF(E$2=$A318,($B318/$B$296)*$B$293,IF(E$2&lt;=$A318+$B$296-1,$B318/$B$296,$B318-SUM($C318:D318))),0))</f>
        <v>0</v>
      </c>
      <c r="F318" s="4">
        <f>IF($B$296=0,0,IF(F$2&gt;=$A318,IF(F$2=$A318,($B318/$B$296)*$B$293,IF(F$2&lt;=$A318+$B$296-1,$B318/$B$296,$B318-SUM($C318:E318))),0))</f>
        <v>0</v>
      </c>
      <c r="G318" s="4">
        <f>IF($B$296=0,0,IF(G$2&gt;=$A318,IF(G$2=$A318,($B318/$B$296)*$B$293,IF(G$2&lt;=$A318+$B$296-1,$B318/$B$296,$B318-SUM($C318:F318))),0))</f>
        <v>0</v>
      </c>
      <c r="H318" s="4">
        <f>IF($B$296=0,0,IF(H$2&gt;=$A318,IF(H$2=$A318,($B318/$B$296)*$B$293,IF(H$2&lt;=$A318+$B$296-1,$B318/$B$296,$B318-SUM($C318:G318))),0))</f>
        <v>0</v>
      </c>
      <c r="I318" s="4">
        <f>IF($B$296=0,0,IF(I$2&gt;=$A318,IF(I$2=$A318,($B318/$B$296)*$B$293,IF(I$2&lt;=$A318+$B$296-1,$B318/$B$296,$B318-SUM($C318:H318))),0))</f>
        <v>0</v>
      </c>
      <c r="J318" s="4">
        <f>IF($B$296=0,0,IF(J$2&gt;=$A318,IF(J$2=$A318,($B318/$B$296)*$B$293,IF(J$2&lt;=$A318+$B$296-1,$B318/$B$296,$B318-SUM($C318:I318))),0))</f>
        <v>0</v>
      </c>
      <c r="K318" s="4">
        <f>IF($B$296=0,0,IF(K$2&gt;=$A318,IF(K$2=$A318,($B318/$B$296)*$B$293,IF(K$2&lt;=$A318+$B$296-1,$B318/$B$296,$B318-SUM($C318:J318))),0))</f>
        <v>0</v>
      </c>
      <c r="L318" s="4">
        <f>IF($B$296=0,0,IF(L$2&gt;=$A318,IF(L$2=$A318,($B318/$B$296)*$B$293,IF(L$2&lt;=$A318+$B$296-1,$B318/$B$296,$B318-SUM($C318:K318))),0))</f>
        <v>0</v>
      </c>
      <c r="M318" s="4">
        <f>IF($B$296=0,0,IF(M$2&gt;=$A318,IF(M$2=$A318,($B318/$B$296)*$B$293,IF(M$2&lt;=$A318+$B$296-1,$B318/$B$296,$B318-SUM($C318:L318))),0))</f>
        <v>0</v>
      </c>
      <c r="N318" s="4">
        <f>IF($B$296=0,0,IF(N$2&gt;=$A318,IF(N$2=$A318,($B318/$B$296)*$B$293,IF(N$2&lt;=$A318+$B$296-1,$B318/$B$296,$B318-SUM($C318:M318))),0))</f>
        <v>0</v>
      </c>
      <c r="O318" s="4">
        <f>IF($B$296=0,0,IF(O$2&gt;=$A318,IF(O$2=$A318,($B318/$B$296)*$B$293,IF(O$2&lt;=$A318+$B$296-1,$B318/$B$296,$B318-SUM($C318:N318))),0))</f>
        <v>0</v>
      </c>
      <c r="P318" s="4">
        <f>IF($B$296=0,0,IF(P$2&gt;=$A318,IF(P$2=$A318,($B318/$B$296)*$B$293,IF(P$2&lt;=$A318+$B$296-1,$B318/$B$296,$B318-SUM($C318:O318))),0))</f>
        <v>0</v>
      </c>
      <c r="Q318" s="4">
        <f>IF($B$296=0,0,IF(Q$2&gt;=$A318,IF(Q$2=$A318,($B318/$B$296)*$B$293,IF(Q$2&lt;=$A318+$B$296-1,$B318/$B$296,$B318-SUM($C318:P318))),0))</f>
        <v>0</v>
      </c>
      <c r="R318" s="4">
        <f>IF($B$296=0,0,IF(R$2&gt;=$A318,IF(R$2=$A318,($B318/$B$296)*$B$293,IF(R$2&lt;=$A318+$B$296-1,$B318/$B$296,$B318-SUM($C318:Q318))),0))</f>
        <v>0</v>
      </c>
      <c r="S318" s="4">
        <f>IF($B$296=0,0,IF(S$2&gt;=$A318,IF(S$2=$A318,($B318/$B$296)*$B$293,IF(S$2&lt;=$A318+$B$296-1,$B318/$B$296,$B318-SUM($C318:R318))),0))</f>
        <v>0</v>
      </c>
      <c r="T318" s="4">
        <f>IF($B$296=0,0,IF(T$2&gt;=$A318,IF(T$2=$A318,($B318/$B$296)*$B$293,IF(T$2&lt;=$A318+$B$296-1,$B318/$B$296,$B318-SUM($C318:S318))),0))</f>
        <v>0</v>
      </c>
      <c r="U318" s="4">
        <f>IF($B$296=0,0,IF(U$2&gt;=$A318,IF(U$2=$A318,($B318/$B$296)*$B$293,IF(U$2&lt;=$A318+$B$296-1,$B318/$B$296,$B318-SUM($C318:T318))),0))</f>
        <v>0</v>
      </c>
      <c r="V318" s="4">
        <f>IF($B$296=0,0,IF(V$2&gt;=$A318,IF(V$2=$A318,($B318/$B$296)*$B$293,IF(V$2&lt;=$A318+$B$296-1,$B318/$B$296,$B318-SUM($C318:U318))),0))</f>
        <v>0</v>
      </c>
      <c r="W318" s="4">
        <f>IF($B$296=0,0,IF(W$2&gt;=$A318,IF(W$2=$A318,($B318/$B$296)*$B$293,IF(W$2&lt;=$A318+$B$296-1,$B318/$B$296,$B318-SUM($C318:V318))),0))</f>
        <v>0</v>
      </c>
      <c r="X318" s="4">
        <f>IF($B$296=0,0,IF(X$2&gt;=$A318,IF(X$2=$A318,($B318/$B$296)*$B$293,IF(X$2&lt;=$A318+$B$296-1,$B318/$B$296,$B318-SUM($C318:W318))),0))</f>
        <v>665.09900757575758</v>
      </c>
      <c r="Y318" s="4">
        <f>IF($B$296=0,0,IF(Y$2&gt;=$A318,IF(Y$2=$A318,($B318/$B$296)*$B$293,IF(Y$2&lt;=$A318+$B$296-1,$B318/$B$296,$B318-SUM($C318:X318))),0))</f>
        <v>1330.1980151515152</v>
      </c>
      <c r="Z318" s="4">
        <f>IF($B$296=0,0,IF(Z$2&gt;=$A318,IF(Z$2=$A318,($B318/$B$296)*$B$293,IF(Z$2&lt;=$A318+$B$296-1,$B318/$B$296,$B318-SUM($C318:Y318))),0))</f>
        <v>1330.1980151515152</v>
      </c>
      <c r="AA318" s="4">
        <f>IF($B$296=0,0,IF(AA$2&gt;=$A318,IF(AA$2=$A318,($B318/$B$296)*$B$293,IF(AA$2&lt;=$A318+$B$296-1,$B318/$B$296,$B318-SUM($C318:Z318))),0))</f>
        <v>1330.1980151515152</v>
      </c>
      <c r="AB318" s="4">
        <f>IF($B$296=0,0,IF(AB$2&gt;=$A318,IF(AB$2=$A318,($B318/$B$296)*$B$293,IF(AB$2&lt;=$A318+$B$296-1,$B318/$B$296,$B318-SUM($C318:AA318))),0))</f>
        <v>1330.1980151515152</v>
      </c>
      <c r="AC318" s="4">
        <f>IF($B$296=0,0,IF(AC$2&gt;=$A318,IF(AC$2=$A318,($B318/$B$296)*$B$293,IF(AC$2&lt;=$A318+$B$296-1,$B318/$B$296,$B318-SUM($C318:AB318))),0))</f>
        <v>1330.1980151515152</v>
      </c>
      <c r="AD318" s="4">
        <f>IF($B$296=0,0,IF(AD$2&gt;=$A318,IF(AD$2=$A318,($B318/$B$296)*$B$293,IF(AD$2&lt;=$A318+$B$296-1,$B318/$B$296,$B318-SUM($C318:AC318))),0))</f>
        <v>1330.1980151515152</v>
      </c>
      <c r="AE318" s="4">
        <f>IF($B$296=0,0,IF(AE$2&gt;=$A318,IF(AE$2=$A318,($B318/$B$296)*$B$293,IF(AE$2&lt;=$A318+$B$296-1,$B318/$B$296,$B318-SUM($C318:AD318))),0))</f>
        <v>1330.1980151515152</v>
      </c>
      <c r="AF318" s="4">
        <f>IF($B$296=0,0,IF(AF$2&gt;=$A318,IF(AF$2=$A318,($B318/$B$296)*$B$293,IF(AF$2&lt;=$A318+$B$296-1,$B318/$B$296,$B318-SUM($C318:AE318))),0))</f>
        <v>1330.1980151515152</v>
      </c>
      <c r="AG318" s="4">
        <f t="shared" si="240"/>
        <v>11306.683128787878</v>
      </c>
    </row>
    <row r="319" spans="1:33">
      <c r="A319" s="6">
        <f t="shared" si="241"/>
        <v>2044</v>
      </c>
      <c r="B319" s="4">
        <f t="shared" si="239"/>
        <v>82206.23781818182</v>
      </c>
      <c r="C319" s="4">
        <f>IF($B$296=0,0,IF(C$2&gt;=$A319,IF(C$2=$A319,($B319/$B$296)*$B$293,IF(C$2&lt;=$A319+$B$296-1,$B319/$B$296,$B319-SUM(B319:$C319))),0))</f>
        <v>0</v>
      </c>
      <c r="D319" s="4">
        <f>IF($B$296=0,0,IF(D$2&gt;=$A319,IF(D$2=$A319,($B319/$B$296)*$B$293,IF(D$2&lt;=$A319+$B$296-1,$B319/$B$296,$B319-SUM(C319:$C319))),0))</f>
        <v>0</v>
      </c>
      <c r="E319" s="4">
        <f>IF($B$296=0,0,IF(E$2&gt;=$A319,IF(E$2=$A319,($B319/$B$296)*$B$293,IF(E$2&lt;=$A319+$B$296-1,$B319/$B$296,$B319-SUM($C319:D319))),0))</f>
        <v>0</v>
      </c>
      <c r="F319" s="4">
        <f>IF($B$296=0,0,IF(F$2&gt;=$A319,IF(F$2=$A319,($B319/$B$296)*$B$293,IF(F$2&lt;=$A319+$B$296-1,$B319/$B$296,$B319-SUM($C319:E319))),0))</f>
        <v>0</v>
      </c>
      <c r="G319" s="4">
        <f>IF($B$296=0,0,IF(G$2&gt;=$A319,IF(G$2=$A319,($B319/$B$296)*$B$293,IF(G$2&lt;=$A319+$B$296-1,$B319/$B$296,$B319-SUM($C319:F319))),0))</f>
        <v>0</v>
      </c>
      <c r="H319" s="4">
        <f>IF($B$296=0,0,IF(H$2&gt;=$A319,IF(H$2=$A319,($B319/$B$296)*$B$293,IF(H$2&lt;=$A319+$B$296-1,$B319/$B$296,$B319-SUM($C319:G319))),0))</f>
        <v>0</v>
      </c>
      <c r="I319" s="4">
        <f>IF($B$296=0,0,IF(I$2&gt;=$A319,IF(I$2=$A319,($B319/$B$296)*$B$293,IF(I$2&lt;=$A319+$B$296-1,$B319/$B$296,$B319-SUM($C319:H319))),0))</f>
        <v>0</v>
      </c>
      <c r="J319" s="4">
        <f>IF($B$296=0,0,IF(J$2&gt;=$A319,IF(J$2=$A319,($B319/$B$296)*$B$293,IF(J$2&lt;=$A319+$B$296-1,$B319/$B$296,$B319-SUM($C319:I319))),0))</f>
        <v>0</v>
      </c>
      <c r="K319" s="4">
        <f>IF($B$296=0,0,IF(K$2&gt;=$A319,IF(K$2=$A319,($B319/$B$296)*$B$293,IF(K$2&lt;=$A319+$B$296-1,$B319/$B$296,$B319-SUM($C319:J319))),0))</f>
        <v>0</v>
      </c>
      <c r="L319" s="4">
        <f>IF($B$296=0,0,IF(L$2&gt;=$A319,IF(L$2=$A319,($B319/$B$296)*$B$293,IF(L$2&lt;=$A319+$B$296-1,$B319/$B$296,$B319-SUM($C319:K319))),0))</f>
        <v>0</v>
      </c>
      <c r="M319" s="4">
        <f>IF($B$296=0,0,IF(M$2&gt;=$A319,IF(M$2=$A319,($B319/$B$296)*$B$293,IF(M$2&lt;=$A319+$B$296-1,$B319/$B$296,$B319-SUM($C319:L319))),0))</f>
        <v>0</v>
      </c>
      <c r="N319" s="4">
        <f>IF($B$296=0,0,IF(N$2&gt;=$A319,IF(N$2=$A319,($B319/$B$296)*$B$293,IF(N$2&lt;=$A319+$B$296-1,$B319/$B$296,$B319-SUM($C319:M319))),0))</f>
        <v>0</v>
      </c>
      <c r="O319" s="4">
        <f>IF($B$296=0,0,IF(O$2&gt;=$A319,IF(O$2=$A319,($B319/$B$296)*$B$293,IF(O$2&lt;=$A319+$B$296-1,$B319/$B$296,$B319-SUM($C319:N319))),0))</f>
        <v>0</v>
      </c>
      <c r="P319" s="4">
        <f>IF($B$296=0,0,IF(P$2&gt;=$A319,IF(P$2=$A319,($B319/$B$296)*$B$293,IF(P$2&lt;=$A319+$B$296-1,$B319/$B$296,$B319-SUM($C319:O319))),0))</f>
        <v>0</v>
      </c>
      <c r="Q319" s="4">
        <f>IF($B$296=0,0,IF(Q$2&gt;=$A319,IF(Q$2=$A319,($B319/$B$296)*$B$293,IF(Q$2&lt;=$A319+$B$296-1,$B319/$B$296,$B319-SUM($C319:P319))),0))</f>
        <v>0</v>
      </c>
      <c r="R319" s="4">
        <f>IF($B$296=0,0,IF(R$2&gt;=$A319,IF(R$2=$A319,($B319/$B$296)*$B$293,IF(R$2&lt;=$A319+$B$296-1,$B319/$B$296,$B319-SUM($C319:Q319))),0))</f>
        <v>0</v>
      </c>
      <c r="S319" s="4">
        <f>IF($B$296=0,0,IF(S$2&gt;=$A319,IF(S$2=$A319,($B319/$B$296)*$B$293,IF(S$2&lt;=$A319+$B$296-1,$B319/$B$296,$B319-SUM($C319:R319))),0))</f>
        <v>0</v>
      </c>
      <c r="T319" s="4">
        <f>IF($B$296=0,0,IF(T$2&gt;=$A319,IF(T$2=$A319,($B319/$B$296)*$B$293,IF(T$2&lt;=$A319+$B$296-1,$B319/$B$296,$B319-SUM($C319:S319))),0))</f>
        <v>0</v>
      </c>
      <c r="U319" s="4">
        <f>IF($B$296=0,0,IF(U$2&gt;=$A319,IF(U$2=$A319,($B319/$B$296)*$B$293,IF(U$2&lt;=$A319+$B$296-1,$B319/$B$296,$B319-SUM($C319:T319))),0))</f>
        <v>0</v>
      </c>
      <c r="V319" s="4">
        <f>IF($B$296=0,0,IF(V$2&gt;=$A319,IF(V$2=$A319,($B319/$B$296)*$B$293,IF(V$2&lt;=$A319+$B$296-1,$B319/$B$296,$B319-SUM($C319:U319))),0))</f>
        <v>0</v>
      </c>
      <c r="W319" s="4">
        <f>IF($B$296=0,0,IF(W$2&gt;=$A319,IF(W$2=$A319,($B319/$B$296)*$B$293,IF(W$2&lt;=$A319+$B$296-1,$B319/$B$296,$B319-SUM($C319:V319))),0))</f>
        <v>0</v>
      </c>
      <c r="X319" s="4">
        <f>IF($B$296=0,0,IF(X$2&gt;=$A319,IF(X$2=$A319,($B319/$B$296)*$B$293,IF(X$2&lt;=$A319+$B$296-1,$B319/$B$296,$B319-SUM($C319:W319))),0))</f>
        <v>0</v>
      </c>
      <c r="Y319" s="4">
        <f>IF($B$296=0,0,IF(Y$2&gt;=$A319,IF(Y$2=$A319,($B319/$B$296)*$B$293,IF(Y$2&lt;=$A319+$B$296-1,$B319/$B$296,$B319-SUM($C319:X319))),0))</f>
        <v>685.05198181818184</v>
      </c>
      <c r="Z319" s="4">
        <f>IF($B$296=0,0,IF(Z$2&gt;=$A319,IF(Z$2=$A319,($B319/$B$296)*$B$293,IF(Z$2&lt;=$A319+$B$296-1,$B319/$B$296,$B319-SUM($C319:Y319))),0))</f>
        <v>1370.1039636363637</v>
      </c>
      <c r="AA319" s="4">
        <f>IF($B$296=0,0,IF(AA$2&gt;=$A319,IF(AA$2=$A319,($B319/$B$296)*$B$293,IF(AA$2&lt;=$A319+$B$296-1,$B319/$B$296,$B319-SUM($C319:Z319))),0))</f>
        <v>1370.1039636363637</v>
      </c>
      <c r="AB319" s="4">
        <f>IF($B$296=0,0,IF(AB$2&gt;=$A319,IF(AB$2=$A319,($B319/$B$296)*$B$293,IF(AB$2&lt;=$A319+$B$296-1,$B319/$B$296,$B319-SUM($C319:AA319))),0))</f>
        <v>1370.1039636363637</v>
      </c>
      <c r="AC319" s="4">
        <f>IF($B$296=0,0,IF(AC$2&gt;=$A319,IF(AC$2=$A319,($B319/$B$296)*$B$293,IF(AC$2&lt;=$A319+$B$296-1,$B319/$B$296,$B319-SUM($C319:AB319))),0))</f>
        <v>1370.1039636363637</v>
      </c>
      <c r="AD319" s="4">
        <f>IF($B$296=0,0,IF(AD$2&gt;=$A319,IF(AD$2=$A319,($B319/$B$296)*$B$293,IF(AD$2&lt;=$A319+$B$296-1,$B319/$B$296,$B319-SUM($C319:AC319))),0))</f>
        <v>1370.1039636363637</v>
      </c>
      <c r="AE319" s="4">
        <f>IF($B$296=0,0,IF(AE$2&gt;=$A319,IF(AE$2=$A319,($B319/$B$296)*$B$293,IF(AE$2&lt;=$A319+$B$296-1,$B319/$B$296,$B319-SUM($C319:AD319))),0))</f>
        <v>1370.1039636363637</v>
      </c>
      <c r="AF319" s="4">
        <f>IF($B$296=0,0,IF(AF$2&gt;=$A319,IF(AF$2=$A319,($B319/$B$296)*$B$293,IF(AF$2&lt;=$A319+$B$296-1,$B319/$B$296,$B319-SUM($C319:AE319))),0))</f>
        <v>1370.1039636363637</v>
      </c>
      <c r="AG319" s="4">
        <f t="shared" si="240"/>
        <v>10275.779727272728</v>
      </c>
    </row>
    <row r="320" spans="1:33">
      <c r="A320" s="6">
        <f t="shared" si="241"/>
        <v>2045</v>
      </c>
      <c r="B320" s="4">
        <f t="shared" si="239"/>
        <v>84672.424181818176</v>
      </c>
      <c r="C320" s="4">
        <f>IF($B$296=0,0,IF(C$2&gt;=$A320,IF(C$2=$A320,($B320/$B$296)*$B$293,IF(C$2&lt;=$A320+$B$296-1,$B320/$B$296,$B320-SUM(B320:$C320))),0))</f>
        <v>0</v>
      </c>
      <c r="D320" s="4">
        <f>IF($B$296=0,0,IF(D$2&gt;=$A320,IF(D$2=$A320,($B320/$B$296)*$B$293,IF(D$2&lt;=$A320+$B$296-1,$B320/$B$296,$B320-SUM(C320:$C320))),0))</f>
        <v>0</v>
      </c>
      <c r="E320" s="4">
        <f>IF($B$296=0,0,IF(E$2&gt;=$A320,IF(E$2=$A320,($B320/$B$296)*$B$293,IF(E$2&lt;=$A320+$B$296-1,$B320/$B$296,$B320-SUM($C320:D320))),0))</f>
        <v>0</v>
      </c>
      <c r="F320" s="4">
        <f>IF($B$296=0,0,IF(F$2&gt;=$A320,IF(F$2=$A320,($B320/$B$296)*$B$293,IF(F$2&lt;=$A320+$B$296-1,$B320/$B$296,$B320-SUM($C320:E320))),0))</f>
        <v>0</v>
      </c>
      <c r="G320" s="4">
        <f>IF($B$296=0,0,IF(G$2&gt;=$A320,IF(G$2=$A320,($B320/$B$296)*$B$293,IF(G$2&lt;=$A320+$B$296-1,$B320/$B$296,$B320-SUM($C320:F320))),0))</f>
        <v>0</v>
      </c>
      <c r="H320" s="4">
        <f>IF($B$296=0,0,IF(H$2&gt;=$A320,IF(H$2=$A320,($B320/$B$296)*$B$293,IF(H$2&lt;=$A320+$B$296-1,$B320/$B$296,$B320-SUM($C320:G320))),0))</f>
        <v>0</v>
      </c>
      <c r="I320" s="4">
        <f>IF($B$296=0,0,IF(I$2&gt;=$A320,IF(I$2=$A320,($B320/$B$296)*$B$293,IF(I$2&lt;=$A320+$B$296-1,$B320/$B$296,$B320-SUM($C320:H320))),0))</f>
        <v>0</v>
      </c>
      <c r="J320" s="4">
        <f>IF($B$296=0,0,IF(J$2&gt;=$A320,IF(J$2=$A320,($B320/$B$296)*$B$293,IF(J$2&lt;=$A320+$B$296-1,$B320/$B$296,$B320-SUM($C320:I320))),0))</f>
        <v>0</v>
      </c>
      <c r="K320" s="4">
        <f>IF($B$296=0,0,IF(K$2&gt;=$A320,IF(K$2=$A320,($B320/$B$296)*$B$293,IF(K$2&lt;=$A320+$B$296-1,$B320/$B$296,$B320-SUM($C320:J320))),0))</f>
        <v>0</v>
      </c>
      <c r="L320" s="4">
        <f>IF($B$296=0,0,IF(L$2&gt;=$A320,IF(L$2=$A320,($B320/$B$296)*$B$293,IF(L$2&lt;=$A320+$B$296-1,$B320/$B$296,$B320-SUM($C320:K320))),0))</f>
        <v>0</v>
      </c>
      <c r="M320" s="4">
        <f>IF($B$296=0,0,IF(M$2&gt;=$A320,IF(M$2=$A320,($B320/$B$296)*$B$293,IF(M$2&lt;=$A320+$B$296-1,$B320/$B$296,$B320-SUM($C320:L320))),0))</f>
        <v>0</v>
      </c>
      <c r="N320" s="4">
        <f>IF($B$296=0,0,IF(N$2&gt;=$A320,IF(N$2=$A320,($B320/$B$296)*$B$293,IF(N$2&lt;=$A320+$B$296-1,$B320/$B$296,$B320-SUM($C320:M320))),0))</f>
        <v>0</v>
      </c>
      <c r="O320" s="4">
        <f>IF($B$296=0,0,IF(O$2&gt;=$A320,IF(O$2=$A320,($B320/$B$296)*$B$293,IF(O$2&lt;=$A320+$B$296-1,$B320/$B$296,$B320-SUM($C320:N320))),0))</f>
        <v>0</v>
      </c>
      <c r="P320" s="4">
        <f>IF($B$296=0,0,IF(P$2&gt;=$A320,IF(P$2=$A320,($B320/$B$296)*$B$293,IF(P$2&lt;=$A320+$B$296-1,$B320/$B$296,$B320-SUM($C320:O320))),0))</f>
        <v>0</v>
      </c>
      <c r="Q320" s="4">
        <f>IF($B$296=0,0,IF(Q$2&gt;=$A320,IF(Q$2=$A320,($B320/$B$296)*$B$293,IF(Q$2&lt;=$A320+$B$296-1,$B320/$B$296,$B320-SUM($C320:P320))),0))</f>
        <v>0</v>
      </c>
      <c r="R320" s="4">
        <f>IF($B$296=0,0,IF(R$2&gt;=$A320,IF(R$2=$A320,($B320/$B$296)*$B$293,IF(R$2&lt;=$A320+$B$296-1,$B320/$B$296,$B320-SUM($C320:Q320))),0))</f>
        <v>0</v>
      </c>
      <c r="S320" s="4">
        <f>IF($B$296=0,0,IF(S$2&gt;=$A320,IF(S$2=$A320,($B320/$B$296)*$B$293,IF(S$2&lt;=$A320+$B$296-1,$B320/$B$296,$B320-SUM($C320:R320))),0))</f>
        <v>0</v>
      </c>
      <c r="T320" s="4">
        <f>IF($B$296=0,0,IF(T$2&gt;=$A320,IF(T$2=$A320,($B320/$B$296)*$B$293,IF(T$2&lt;=$A320+$B$296-1,$B320/$B$296,$B320-SUM($C320:S320))),0))</f>
        <v>0</v>
      </c>
      <c r="U320" s="4">
        <f>IF($B$296=0,0,IF(U$2&gt;=$A320,IF(U$2=$A320,($B320/$B$296)*$B$293,IF(U$2&lt;=$A320+$B$296-1,$B320/$B$296,$B320-SUM($C320:T320))),0))</f>
        <v>0</v>
      </c>
      <c r="V320" s="4">
        <f>IF($B$296=0,0,IF(V$2&gt;=$A320,IF(V$2=$A320,($B320/$B$296)*$B$293,IF(V$2&lt;=$A320+$B$296-1,$B320/$B$296,$B320-SUM($C320:U320))),0))</f>
        <v>0</v>
      </c>
      <c r="W320" s="4">
        <f>IF($B$296=0,0,IF(W$2&gt;=$A320,IF(W$2=$A320,($B320/$B$296)*$B$293,IF(W$2&lt;=$A320+$B$296-1,$B320/$B$296,$B320-SUM($C320:V320))),0))</f>
        <v>0</v>
      </c>
      <c r="X320" s="4">
        <f>IF($B$296=0,0,IF(X$2&gt;=$A320,IF(X$2=$A320,($B320/$B$296)*$B$293,IF(X$2&lt;=$A320+$B$296-1,$B320/$B$296,$B320-SUM($C320:W320))),0))</f>
        <v>0</v>
      </c>
      <c r="Y320" s="4">
        <f>IF($B$296=0,0,IF(Y$2&gt;=$A320,IF(Y$2=$A320,($B320/$B$296)*$B$293,IF(Y$2&lt;=$A320+$B$296-1,$B320/$B$296,$B320-SUM($C320:X320))),0))</f>
        <v>0</v>
      </c>
      <c r="Z320" s="4">
        <f>IF($B$296=0,0,IF(Z$2&gt;=$A320,IF(Z$2=$A320,($B320/$B$296)*$B$293,IF(Z$2&lt;=$A320+$B$296-1,$B320/$B$296,$B320-SUM($C320:Y320))),0))</f>
        <v>705.60353484848486</v>
      </c>
      <c r="AA320" s="4">
        <f>IF($B$296=0,0,IF(AA$2&gt;=$A320,IF(AA$2=$A320,($B320/$B$296)*$B$293,IF(AA$2&lt;=$A320+$B$296-1,$B320/$B$296,$B320-SUM($C320:Z320))),0))</f>
        <v>1411.2070696969697</v>
      </c>
      <c r="AB320" s="4">
        <f>IF($B$296=0,0,IF(AB$2&gt;=$A320,IF(AB$2=$A320,($B320/$B$296)*$B$293,IF(AB$2&lt;=$A320+$B$296-1,$B320/$B$296,$B320-SUM($C320:AA320))),0))</f>
        <v>1411.2070696969697</v>
      </c>
      <c r="AC320" s="4">
        <f>IF($B$296=0,0,IF(AC$2&gt;=$A320,IF(AC$2=$A320,($B320/$B$296)*$B$293,IF(AC$2&lt;=$A320+$B$296-1,$B320/$B$296,$B320-SUM($C320:AB320))),0))</f>
        <v>1411.2070696969697</v>
      </c>
      <c r="AD320" s="4">
        <f>IF($B$296=0,0,IF(AD$2&gt;=$A320,IF(AD$2=$A320,($B320/$B$296)*$B$293,IF(AD$2&lt;=$A320+$B$296-1,$B320/$B$296,$B320-SUM($C320:AC320))),0))</f>
        <v>1411.2070696969697</v>
      </c>
      <c r="AE320" s="4">
        <f>IF($B$296=0,0,IF(AE$2&gt;=$A320,IF(AE$2=$A320,($B320/$B$296)*$B$293,IF(AE$2&lt;=$A320+$B$296-1,$B320/$B$296,$B320-SUM($C320:AD320))),0))</f>
        <v>1411.2070696969697</v>
      </c>
      <c r="AF320" s="4">
        <f>IF($B$296=0,0,IF(AF$2&gt;=$A320,IF(AF$2=$A320,($B320/$B$296)*$B$293,IF(AF$2&lt;=$A320+$B$296-1,$B320/$B$296,$B320-SUM($C320:AE320))),0))</f>
        <v>1411.2070696969697</v>
      </c>
      <c r="AG320" s="4">
        <f t="shared" si="240"/>
        <v>9172.8459530303026</v>
      </c>
    </row>
    <row r="321" spans="1:33">
      <c r="A321" s="6">
        <f t="shared" si="241"/>
        <v>2046</v>
      </c>
      <c r="B321" s="4">
        <f t="shared" si="239"/>
        <v>87212.588909090904</v>
      </c>
      <c r="C321" s="4">
        <f>IF($B$296=0,0,IF(C$2&gt;=$A321,IF(C$2=$A321,($B321/$B$296)*$B$293,IF(C$2&lt;=$A321+$B$296-1,$B321/$B$296,$B321-SUM(B321:$C321))),0))</f>
        <v>0</v>
      </c>
      <c r="D321" s="4">
        <f>IF($B$296=0,0,IF(D$2&gt;=$A321,IF(D$2=$A321,($B321/$B$296)*$B$293,IF(D$2&lt;=$A321+$B$296-1,$B321/$B$296,$B321-SUM(C321:$C321))),0))</f>
        <v>0</v>
      </c>
      <c r="E321" s="4">
        <f>IF($B$296=0,0,IF(E$2&gt;=$A321,IF(E$2=$A321,($B321/$B$296)*$B$293,IF(E$2&lt;=$A321+$B$296-1,$B321/$B$296,$B321-SUM($C321:D321))),0))</f>
        <v>0</v>
      </c>
      <c r="F321" s="4">
        <f>IF($B$296=0,0,IF(F$2&gt;=$A321,IF(F$2=$A321,($B321/$B$296)*$B$293,IF(F$2&lt;=$A321+$B$296-1,$B321/$B$296,$B321-SUM($C321:E321))),0))</f>
        <v>0</v>
      </c>
      <c r="G321" s="4">
        <f>IF($B$296=0,0,IF(G$2&gt;=$A321,IF(G$2=$A321,($B321/$B$296)*$B$293,IF(G$2&lt;=$A321+$B$296-1,$B321/$B$296,$B321-SUM($C321:F321))),0))</f>
        <v>0</v>
      </c>
      <c r="H321" s="4">
        <f>IF($B$296=0,0,IF(H$2&gt;=$A321,IF(H$2=$A321,($B321/$B$296)*$B$293,IF(H$2&lt;=$A321+$B$296-1,$B321/$B$296,$B321-SUM($C321:G321))),0))</f>
        <v>0</v>
      </c>
      <c r="I321" s="4">
        <f>IF($B$296=0,0,IF(I$2&gt;=$A321,IF(I$2=$A321,($B321/$B$296)*$B$293,IF(I$2&lt;=$A321+$B$296-1,$B321/$B$296,$B321-SUM($C321:H321))),0))</f>
        <v>0</v>
      </c>
      <c r="J321" s="4">
        <f>IF($B$296=0,0,IF(J$2&gt;=$A321,IF(J$2=$A321,($B321/$B$296)*$B$293,IF(J$2&lt;=$A321+$B$296-1,$B321/$B$296,$B321-SUM($C321:I321))),0))</f>
        <v>0</v>
      </c>
      <c r="K321" s="4">
        <f>IF($B$296=0,0,IF(K$2&gt;=$A321,IF(K$2=$A321,($B321/$B$296)*$B$293,IF(K$2&lt;=$A321+$B$296-1,$B321/$B$296,$B321-SUM($C321:J321))),0))</f>
        <v>0</v>
      </c>
      <c r="L321" s="4">
        <f>IF($B$296=0,0,IF(L$2&gt;=$A321,IF(L$2=$A321,($B321/$B$296)*$B$293,IF(L$2&lt;=$A321+$B$296-1,$B321/$B$296,$B321-SUM($C321:K321))),0))</f>
        <v>0</v>
      </c>
      <c r="M321" s="4">
        <f>IF($B$296=0,0,IF(M$2&gt;=$A321,IF(M$2=$A321,($B321/$B$296)*$B$293,IF(M$2&lt;=$A321+$B$296-1,$B321/$B$296,$B321-SUM($C321:L321))),0))</f>
        <v>0</v>
      </c>
      <c r="N321" s="4">
        <f>IF($B$296=0,0,IF(N$2&gt;=$A321,IF(N$2=$A321,($B321/$B$296)*$B$293,IF(N$2&lt;=$A321+$B$296-1,$B321/$B$296,$B321-SUM($C321:M321))),0))</f>
        <v>0</v>
      </c>
      <c r="O321" s="4">
        <f>IF($B$296=0,0,IF(O$2&gt;=$A321,IF(O$2=$A321,($B321/$B$296)*$B$293,IF(O$2&lt;=$A321+$B$296-1,$B321/$B$296,$B321-SUM($C321:N321))),0))</f>
        <v>0</v>
      </c>
      <c r="P321" s="4">
        <f>IF($B$296=0,0,IF(P$2&gt;=$A321,IF(P$2=$A321,($B321/$B$296)*$B$293,IF(P$2&lt;=$A321+$B$296-1,$B321/$B$296,$B321-SUM($C321:O321))),0))</f>
        <v>0</v>
      </c>
      <c r="Q321" s="4">
        <f>IF($B$296=0,0,IF(Q$2&gt;=$A321,IF(Q$2=$A321,($B321/$B$296)*$B$293,IF(Q$2&lt;=$A321+$B$296-1,$B321/$B$296,$B321-SUM($C321:P321))),0))</f>
        <v>0</v>
      </c>
      <c r="R321" s="4">
        <f>IF($B$296=0,0,IF(R$2&gt;=$A321,IF(R$2=$A321,($B321/$B$296)*$B$293,IF(R$2&lt;=$A321+$B$296-1,$B321/$B$296,$B321-SUM($C321:Q321))),0))</f>
        <v>0</v>
      </c>
      <c r="S321" s="4">
        <f>IF($B$296=0,0,IF(S$2&gt;=$A321,IF(S$2=$A321,($B321/$B$296)*$B$293,IF(S$2&lt;=$A321+$B$296-1,$B321/$B$296,$B321-SUM($C321:R321))),0))</f>
        <v>0</v>
      </c>
      <c r="T321" s="4">
        <f>IF($B$296=0,0,IF(T$2&gt;=$A321,IF(T$2=$A321,($B321/$B$296)*$B$293,IF(T$2&lt;=$A321+$B$296-1,$B321/$B$296,$B321-SUM($C321:S321))),0))</f>
        <v>0</v>
      </c>
      <c r="U321" s="4">
        <f>IF($B$296=0,0,IF(U$2&gt;=$A321,IF(U$2=$A321,($B321/$B$296)*$B$293,IF(U$2&lt;=$A321+$B$296-1,$B321/$B$296,$B321-SUM($C321:T321))),0))</f>
        <v>0</v>
      </c>
      <c r="V321" s="4">
        <f>IF($B$296=0,0,IF(V$2&gt;=$A321,IF(V$2=$A321,($B321/$B$296)*$B$293,IF(V$2&lt;=$A321+$B$296-1,$B321/$B$296,$B321-SUM($C321:U321))),0))</f>
        <v>0</v>
      </c>
      <c r="W321" s="4">
        <f>IF($B$296=0,0,IF(W$2&gt;=$A321,IF(W$2=$A321,($B321/$B$296)*$B$293,IF(W$2&lt;=$A321+$B$296-1,$B321/$B$296,$B321-SUM($C321:V321))),0))</f>
        <v>0</v>
      </c>
      <c r="X321" s="4">
        <f>IF($B$296=0,0,IF(X$2&gt;=$A321,IF(X$2=$A321,($B321/$B$296)*$B$293,IF(X$2&lt;=$A321+$B$296-1,$B321/$B$296,$B321-SUM($C321:W321))),0))</f>
        <v>0</v>
      </c>
      <c r="Y321" s="4">
        <f>IF($B$296=0,0,IF(Y$2&gt;=$A321,IF(Y$2=$A321,($B321/$B$296)*$B$293,IF(Y$2&lt;=$A321+$B$296-1,$B321/$B$296,$B321-SUM($C321:X321))),0))</f>
        <v>0</v>
      </c>
      <c r="Z321" s="4">
        <f>IF($B$296=0,0,IF(Z$2&gt;=$A321,IF(Z$2=$A321,($B321/$B$296)*$B$293,IF(Z$2&lt;=$A321+$B$296-1,$B321/$B$296,$B321-SUM($C321:Y321))),0))</f>
        <v>0</v>
      </c>
      <c r="AA321" s="4">
        <f>IF($B$296=0,0,IF(AA$2&gt;=$A321,IF(AA$2=$A321,($B321/$B$296)*$B$293,IF(AA$2&lt;=$A321+$B$296-1,$B321/$B$296,$B321-SUM($C321:Z321))),0))</f>
        <v>726.77157424242421</v>
      </c>
      <c r="AB321" s="4">
        <f>IF($B$296=0,0,IF(AB$2&gt;=$A321,IF(AB$2=$A321,($B321/$B$296)*$B$293,IF(AB$2&lt;=$A321+$B$296-1,$B321/$B$296,$B321-SUM($C321:AA321))),0))</f>
        <v>1453.5431484848484</v>
      </c>
      <c r="AC321" s="4">
        <f>IF($B$296=0,0,IF(AC$2&gt;=$A321,IF(AC$2=$A321,($B321/$B$296)*$B$293,IF(AC$2&lt;=$A321+$B$296-1,$B321/$B$296,$B321-SUM($C321:AB321))),0))</f>
        <v>1453.5431484848484</v>
      </c>
      <c r="AD321" s="4">
        <f>IF($B$296=0,0,IF(AD$2&gt;=$A321,IF(AD$2=$A321,($B321/$B$296)*$B$293,IF(AD$2&lt;=$A321+$B$296-1,$B321/$B$296,$B321-SUM($C321:AC321))),0))</f>
        <v>1453.5431484848484</v>
      </c>
      <c r="AE321" s="4">
        <f>IF($B$296=0,0,IF(AE$2&gt;=$A321,IF(AE$2=$A321,($B321/$B$296)*$B$293,IF(AE$2&lt;=$A321+$B$296-1,$B321/$B$296,$B321-SUM($C321:AD321))),0))</f>
        <v>1453.5431484848484</v>
      </c>
      <c r="AF321" s="4">
        <f>IF($B$296=0,0,IF(AF$2&gt;=$A321,IF(AF$2=$A321,($B321/$B$296)*$B$293,IF(AF$2&lt;=$A321+$B$296-1,$B321/$B$296,$B321-SUM($C321:AE321))),0))</f>
        <v>1453.5431484848484</v>
      </c>
      <c r="AG321" s="4">
        <f t="shared" si="240"/>
        <v>7994.4873166666666</v>
      </c>
    </row>
    <row r="322" spans="1:33">
      <c r="A322" s="6">
        <f t="shared" si="241"/>
        <v>2047</v>
      </c>
      <c r="B322" s="4">
        <f t="shared" si="239"/>
        <v>89828.967636363639</v>
      </c>
      <c r="C322" s="4">
        <f>IF($B$296=0,0,IF(C$2&gt;=$A322,IF(C$2=$A322,($B322/$B$296)*$B$293,IF(C$2&lt;=$A322+$B$296-1,$B322/$B$296,$B322-SUM(B322:$C322))),0))</f>
        <v>0</v>
      </c>
      <c r="D322" s="4">
        <f>IF($B$296=0,0,IF(D$2&gt;=$A322,IF(D$2=$A322,($B322/$B$296)*$B$293,IF(D$2&lt;=$A322+$B$296-1,$B322/$B$296,$B322-SUM(C322:$C322))),0))</f>
        <v>0</v>
      </c>
      <c r="E322" s="4">
        <f>IF($B$296=0,0,IF(E$2&gt;=$A322,IF(E$2=$A322,($B322/$B$296)*$B$293,IF(E$2&lt;=$A322+$B$296-1,$B322/$B$296,$B322-SUM($C322:D322))),0))</f>
        <v>0</v>
      </c>
      <c r="F322" s="4">
        <f>IF($B$296=0,0,IF(F$2&gt;=$A322,IF(F$2=$A322,($B322/$B$296)*$B$293,IF(F$2&lt;=$A322+$B$296-1,$B322/$B$296,$B322-SUM($C322:E322))),0))</f>
        <v>0</v>
      </c>
      <c r="G322" s="4">
        <f>IF($B$296=0,0,IF(G$2&gt;=$A322,IF(G$2=$A322,($B322/$B$296)*$B$293,IF(G$2&lt;=$A322+$B$296-1,$B322/$B$296,$B322-SUM($C322:F322))),0))</f>
        <v>0</v>
      </c>
      <c r="H322" s="4">
        <f>IF($B$296=0,0,IF(H$2&gt;=$A322,IF(H$2=$A322,($B322/$B$296)*$B$293,IF(H$2&lt;=$A322+$B$296-1,$B322/$B$296,$B322-SUM($C322:G322))),0))</f>
        <v>0</v>
      </c>
      <c r="I322" s="4">
        <f>IF($B$296=0,0,IF(I$2&gt;=$A322,IF(I$2=$A322,($B322/$B$296)*$B$293,IF(I$2&lt;=$A322+$B$296-1,$B322/$B$296,$B322-SUM($C322:H322))),0))</f>
        <v>0</v>
      </c>
      <c r="J322" s="4">
        <f>IF($B$296=0,0,IF(J$2&gt;=$A322,IF(J$2=$A322,($B322/$B$296)*$B$293,IF(J$2&lt;=$A322+$B$296-1,$B322/$B$296,$B322-SUM($C322:I322))),0))</f>
        <v>0</v>
      </c>
      <c r="K322" s="4">
        <f>IF($B$296=0,0,IF(K$2&gt;=$A322,IF(K$2=$A322,($B322/$B$296)*$B$293,IF(K$2&lt;=$A322+$B$296-1,$B322/$B$296,$B322-SUM($C322:J322))),0))</f>
        <v>0</v>
      </c>
      <c r="L322" s="4">
        <f>IF($B$296=0,0,IF(L$2&gt;=$A322,IF(L$2=$A322,($B322/$B$296)*$B$293,IF(L$2&lt;=$A322+$B$296-1,$B322/$B$296,$B322-SUM($C322:K322))),0))</f>
        <v>0</v>
      </c>
      <c r="M322" s="4">
        <f>IF($B$296=0,0,IF(M$2&gt;=$A322,IF(M$2=$A322,($B322/$B$296)*$B$293,IF(M$2&lt;=$A322+$B$296-1,$B322/$B$296,$B322-SUM($C322:L322))),0))</f>
        <v>0</v>
      </c>
      <c r="N322" s="4">
        <f>IF($B$296=0,0,IF(N$2&gt;=$A322,IF(N$2=$A322,($B322/$B$296)*$B$293,IF(N$2&lt;=$A322+$B$296-1,$B322/$B$296,$B322-SUM($C322:M322))),0))</f>
        <v>0</v>
      </c>
      <c r="O322" s="4">
        <f>IF($B$296=0,0,IF(O$2&gt;=$A322,IF(O$2=$A322,($B322/$B$296)*$B$293,IF(O$2&lt;=$A322+$B$296-1,$B322/$B$296,$B322-SUM($C322:N322))),0))</f>
        <v>0</v>
      </c>
      <c r="P322" s="4">
        <f>IF($B$296=0,0,IF(P$2&gt;=$A322,IF(P$2=$A322,($B322/$B$296)*$B$293,IF(P$2&lt;=$A322+$B$296-1,$B322/$B$296,$B322-SUM($C322:O322))),0))</f>
        <v>0</v>
      </c>
      <c r="Q322" s="4">
        <f>IF($B$296=0,0,IF(Q$2&gt;=$A322,IF(Q$2=$A322,($B322/$B$296)*$B$293,IF(Q$2&lt;=$A322+$B$296-1,$B322/$B$296,$B322-SUM($C322:P322))),0))</f>
        <v>0</v>
      </c>
      <c r="R322" s="4">
        <f>IF($B$296=0,0,IF(R$2&gt;=$A322,IF(R$2=$A322,($B322/$B$296)*$B$293,IF(R$2&lt;=$A322+$B$296-1,$B322/$B$296,$B322-SUM($C322:Q322))),0))</f>
        <v>0</v>
      </c>
      <c r="S322" s="4">
        <f>IF($B$296=0,0,IF(S$2&gt;=$A322,IF(S$2=$A322,($B322/$B$296)*$B$293,IF(S$2&lt;=$A322+$B$296-1,$B322/$B$296,$B322-SUM($C322:R322))),0))</f>
        <v>0</v>
      </c>
      <c r="T322" s="4">
        <f>IF($B$296=0,0,IF(T$2&gt;=$A322,IF(T$2=$A322,($B322/$B$296)*$B$293,IF(T$2&lt;=$A322+$B$296-1,$B322/$B$296,$B322-SUM($C322:S322))),0))</f>
        <v>0</v>
      </c>
      <c r="U322" s="4">
        <f>IF($B$296=0,0,IF(U$2&gt;=$A322,IF(U$2=$A322,($B322/$B$296)*$B$293,IF(U$2&lt;=$A322+$B$296-1,$B322/$B$296,$B322-SUM($C322:T322))),0))</f>
        <v>0</v>
      </c>
      <c r="V322" s="4">
        <f>IF($B$296=0,0,IF(V$2&gt;=$A322,IF(V$2=$A322,($B322/$B$296)*$B$293,IF(V$2&lt;=$A322+$B$296-1,$B322/$B$296,$B322-SUM($C322:U322))),0))</f>
        <v>0</v>
      </c>
      <c r="W322" s="4">
        <f>IF($B$296=0,0,IF(W$2&gt;=$A322,IF(W$2=$A322,($B322/$B$296)*$B$293,IF(W$2&lt;=$A322+$B$296-1,$B322/$B$296,$B322-SUM($C322:V322))),0))</f>
        <v>0</v>
      </c>
      <c r="X322" s="4">
        <f>IF($B$296=0,0,IF(X$2&gt;=$A322,IF(X$2=$A322,($B322/$B$296)*$B$293,IF(X$2&lt;=$A322+$B$296-1,$B322/$B$296,$B322-SUM($C322:W322))),0))</f>
        <v>0</v>
      </c>
      <c r="Y322" s="4">
        <f>IF($B$296=0,0,IF(Y$2&gt;=$A322,IF(Y$2=$A322,($B322/$B$296)*$B$293,IF(Y$2&lt;=$A322+$B$296-1,$B322/$B$296,$B322-SUM($C322:X322))),0))</f>
        <v>0</v>
      </c>
      <c r="Z322" s="4">
        <f>IF($B$296=0,0,IF(Z$2&gt;=$A322,IF(Z$2=$A322,($B322/$B$296)*$B$293,IF(Z$2&lt;=$A322+$B$296-1,$B322/$B$296,$B322-SUM($C322:Y322))),0))</f>
        <v>0</v>
      </c>
      <c r="AA322" s="4">
        <f>IF($B$296=0,0,IF(AA$2&gt;=$A322,IF(AA$2=$A322,($B322/$B$296)*$B$293,IF(AA$2&lt;=$A322+$B$296-1,$B322/$B$296,$B322-SUM($C322:Z322))),0))</f>
        <v>0</v>
      </c>
      <c r="AB322" s="4">
        <f>IF($B$296=0,0,IF(AB$2&gt;=$A322,IF(AB$2=$A322,($B322/$B$296)*$B$293,IF(AB$2&lt;=$A322+$B$296-1,$B322/$B$296,$B322-SUM($C322:AA322))),0))</f>
        <v>748.57473030303038</v>
      </c>
      <c r="AC322" s="4">
        <f>IF($B$296=0,0,IF(AC$2&gt;=$A322,IF(AC$2=$A322,($B322/$B$296)*$B$293,IF(AC$2&lt;=$A322+$B$296-1,$B322/$B$296,$B322-SUM($C322:AB322))),0))</f>
        <v>1497.1494606060608</v>
      </c>
      <c r="AD322" s="4">
        <f>IF($B$296=0,0,IF(AD$2&gt;=$A322,IF(AD$2=$A322,($B322/$B$296)*$B$293,IF(AD$2&lt;=$A322+$B$296-1,$B322/$B$296,$B322-SUM($C322:AC322))),0))</f>
        <v>1497.1494606060608</v>
      </c>
      <c r="AE322" s="4">
        <f>IF($B$296=0,0,IF(AE$2&gt;=$A322,IF(AE$2=$A322,($B322/$B$296)*$B$293,IF(AE$2&lt;=$A322+$B$296-1,$B322/$B$296,$B322-SUM($C322:AD322))),0))</f>
        <v>1497.1494606060608</v>
      </c>
      <c r="AF322" s="4">
        <f>IF($B$296=0,0,IF(AF$2&gt;=$A322,IF(AF$2=$A322,($B322/$B$296)*$B$293,IF(AF$2&lt;=$A322+$B$296-1,$B322/$B$296,$B322-SUM($C322:AE322))),0))</f>
        <v>1497.1494606060608</v>
      </c>
      <c r="AG322" s="4">
        <f t="shared" ref="AG322:AG326" si="242">SUM(C322:AF322)</f>
        <v>6737.1725727272733</v>
      </c>
    </row>
    <row r="323" spans="1:33">
      <c r="A323" s="6">
        <f t="shared" si="241"/>
        <v>2048</v>
      </c>
      <c r="B323" s="4">
        <f t="shared" si="239"/>
        <v>92523.844181818175</v>
      </c>
      <c r="C323" s="4">
        <f>IF($B$296=0,0,IF(C$2&gt;=$A323,IF(C$2=$A323,($B323/$B$296)*$B$293,IF(C$2&lt;=$A323+$B$296-1,$B323/$B$296,$B323-SUM(B323:$C323))),0))</f>
        <v>0</v>
      </c>
      <c r="D323" s="4">
        <f>IF($B$296=0,0,IF(D$2&gt;=$A323,IF(D$2=$A323,($B323/$B$296)*$B$293,IF(D$2&lt;=$A323+$B$296-1,$B323/$B$296,$B323-SUM(C323:$C323))),0))</f>
        <v>0</v>
      </c>
      <c r="E323" s="4">
        <f>IF($B$296=0,0,IF(E$2&gt;=$A323,IF(E$2=$A323,($B323/$B$296)*$B$293,IF(E$2&lt;=$A323+$B$296-1,$B323/$B$296,$B323-SUM($C323:D323))),0))</f>
        <v>0</v>
      </c>
      <c r="F323" s="4">
        <f>IF($B$296=0,0,IF(F$2&gt;=$A323,IF(F$2=$A323,($B323/$B$296)*$B$293,IF(F$2&lt;=$A323+$B$296-1,$B323/$B$296,$B323-SUM($C323:E323))),0))</f>
        <v>0</v>
      </c>
      <c r="G323" s="4">
        <f>IF($B$296=0,0,IF(G$2&gt;=$A323,IF(G$2=$A323,($B323/$B$296)*$B$293,IF(G$2&lt;=$A323+$B$296-1,$B323/$B$296,$B323-SUM($C323:F323))),0))</f>
        <v>0</v>
      </c>
      <c r="H323" s="4">
        <f>IF($B$296=0,0,IF(H$2&gt;=$A323,IF(H$2=$A323,($B323/$B$296)*$B$293,IF(H$2&lt;=$A323+$B$296-1,$B323/$B$296,$B323-SUM($C323:G323))),0))</f>
        <v>0</v>
      </c>
      <c r="I323" s="4">
        <f>IF($B$296=0,0,IF(I$2&gt;=$A323,IF(I$2=$A323,($B323/$B$296)*$B$293,IF(I$2&lt;=$A323+$B$296-1,$B323/$B$296,$B323-SUM($C323:H323))),0))</f>
        <v>0</v>
      </c>
      <c r="J323" s="4">
        <f>IF($B$296=0,0,IF(J$2&gt;=$A323,IF(J$2=$A323,($B323/$B$296)*$B$293,IF(J$2&lt;=$A323+$B$296-1,$B323/$B$296,$B323-SUM($C323:I323))),0))</f>
        <v>0</v>
      </c>
      <c r="K323" s="4">
        <f>IF($B$296=0,0,IF(K$2&gt;=$A323,IF(K$2=$A323,($B323/$B$296)*$B$293,IF(K$2&lt;=$A323+$B$296-1,$B323/$B$296,$B323-SUM($C323:J323))),0))</f>
        <v>0</v>
      </c>
      <c r="L323" s="4">
        <f>IF($B$296=0,0,IF(L$2&gt;=$A323,IF(L$2=$A323,($B323/$B$296)*$B$293,IF(L$2&lt;=$A323+$B$296-1,$B323/$B$296,$B323-SUM($C323:K323))),0))</f>
        <v>0</v>
      </c>
      <c r="M323" s="4">
        <f>IF($B$296=0,0,IF(M$2&gt;=$A323,IF(M$2=$A323,($B323/$B$296)*$B$293,IF(M$2&lt;=$A323+$B$296-1,$B323/$B$296,$B323-SUM($C323:L323))),0))</f>
        <v>0</v>
      </c>
      <c r="N323" s="4">
        <f>IF($B$296=0,0,IF(N$2&gt;=$A323,IF(N$2=$A323,($B323/$B$296)*$B$293,IF(N$2&lt;=$A323+$B$296-1,$B323/$B$296,$B323-SUM($C323:M323))),0))</f>
        <v>0</v>
      </c>
      <c r="O323" s="4">
        <f>IF($B$296=0,0,IF(O$2&gt;=$A323,IF(O$2=$A323,($B323/$B$296)*$B$293,IF(O$2&lt;=$A323+$B$296-1,$B323/$B$296,$B323-SUM($C323:N323))),0))</f>
        <v>0</v>
      </c>
      <c r="P323" s="4">
        <f>IF($B$296=0,0,IF(P$2&gt;=$A323,IF(P$2=$A323,($B323/$B$296)*$B$293,IF(P$2&lt;=$A323+$B$296-1,$B323/$B$296,$B323-SUM($C323:O323))),0))</f>
        <v>0</v>
      </c>
      <c r="Q323" s="4">
        <f>IF($B$296=0,0,IF(Q$2&gt;=$A323,IF(Q$2=$A323,($B323/$B$296)*$B$293,IF(Q$2&lt;=$A323+$B$296-1,$B323/$B$296,$B323-SUM($C323:P323))),0))</f>
        <v>0</v>
      </c>
      <c r="R323" s="4">
        <f>IF($B$296=0,0,IF(R$2&gt;=$A323,IF(R$2=$A323,($B323/$B$296)*$B$293,IF(R$2&lt;=$A323+$B$296-1,$B323/$B$296,$B323-SUM($C323:Q323))),0))</f>
        <v>0</v>
      </c>
      <c r="S323" s="4">
        <f>IF($B$296=0,0,IF(S$2&gt;=$A323,IF(S$2=$A323,($B323/$B$296)*$B$293,IF(S$2&lt;=$A323+$B$296-1,$B323/$B$296,$B323-SUM($C323:R323))),0))</f>
        <v>0</v>
      </c>
      <c r="T323" s="4">
        <f>IF($B$296=0,0,IF(T$2&gt;=$A323,IF(T$2=$A323,($B323/$B$296)*$B$293,IF(T$2&lt;=$A323+$B$296-1,$B323/$B$296,$B323-SUM($C323:S323))),0))</f>
        <v>0</v>
      </c>
      <c r="U323" s="4">
        <f>IF($B$296=0,0,IF(U$2&gt;=$A323,IF(U$2=$A323,($B323/$B$296)*$B$293,IF(U$2&lt;=$A323+$B$296-1,$B323/$B$296,$B323-SUM($C323:T323))),0))</f>
        <v>0</v>
      </c>
      <c r="V323" s="4">
        <f>IF($B$296=0,0,IF(V$2&gt;=$A323,IF(V$2=$A323,($B323/$B$296)*$B$293,IF(V$2&lt;=$A323+$B$296-1,$B323/$B$296,$B323-SUM($C323:U323))),0))</f>
        <v>0</v>
      </c>
      <c r="W323" s="4">
        <f>IF($B$296=0,0,IF(W$2&gt;=$A323,IF(W$2=$A323,($B323/$B$296)*$B$293,IF(W$2&lt;=$A323+$B$296-1,$B323/$B$296,$B323-SUM($C323:V323))),0))</f>
        <v>0</v>
      </c>
      <c r="X323" s="4">
        <f>IF($B$296=0,0,IF(X$2&gt;=$A323,IF(X$2=$A323,($B323/$B$296)*$B$293,IF(X$2&lt;=$A323+$B$296-1,$B323/$B$296,$B323-SUM($C323:W323))),0))</f>
        <v>0</v>
      </c>
      <c r="Y323" s="4">
        <f>IF($B$296=0,0,IF(Y$2&gt;=$A323,IF(Y$2=$A323,($B323/$B$296)*$B$293,IF(Y$2&lt;=$A323+$B$296-1,$B323/$B$296,$B323-SUM($C323:X323))),0))</f>
        <v>0</v>
      </c>
      <c r="Z323" s="4">
        <f>IF($B$296=0,0,IF(Z$2&gt;=$A323,IF(Z$2=$A323,($B323/$B$296)*$B$293,IF(Z$2&lt;=$A323+$B$296-1,$B323/$B$296,$B323-SUM($C323:Y323))),0))</f>
        <v>0</v>
      </c>
      <c r="AA323" s="4">
        <f>IF($B$296=0,0,IF(AA$2&gt;=$A323,IF(AA$2=$A323,($B323/$B$296)*$B$293,IF(AA$2&lt;=$A323+$B$296-1,$B323/$B$296,$B323-SUM($C323:Z323))),0))</f>
        <v>0</v>
      </c>
      <c r="AB323" s="4">
        <f>IF($B$296=0,0,IF(AB$2&gt;=$A323,IF(AB$2=$A323,($B323/$B$296)*$B$293,IF(AB$2&lt;=$A323+$B$296-1,$B323/$B$296,$B323-SUM($C323:AA323))),0))</f>
        <v>0</v>
      </c>
      <c r="AC323" s="4">
        <f>IF($B$296=0,0,IF(AC$2&gt;=$A323,IF(AC$2=$A323,($B323/$B$296)*$B$293,IF(AC$2&lt;=$A323+$B$296-1,$B323/$B$296,$B323-SUM($C323:AB323))),0))</f>
        <v>771.03203484848484</v>
      </c>
      <c r="AD323" s="4">
        <f>IF($B$296=0,0,IF(AD$2&gt;=$A323,IF(AD$2=$A323,($B323/$B$296)*$B$293,IF(AD$2&lt;=$A323+$B$296-1,$B323/$B$296,$B323-SUM($C323:AC323))),0))</f>
        <v>1542.0640696969697</v>
      </c>
      <c r="AE323" s="4">
        <f>IF($B$296=0,0,IF(AE$2&gt;=$A323,IF(AE$2=$A323,($B323/$B$296)*$B$293,IF(AE$2&lt;=$A323+$B$296-1,$B323/$B$296,$B323-SUM($C323:AD323))),0))</f>
        <v>1542.0640696969697</v>
      </c>
      <c r="AF323" s="4">
        <f>IF($B$296=0,0,IF(AF$2&gt;=$A323,IF(AF$2=$A323,($B323/$B$296)*$B$293,IF(AF$2&lt;=$A323+$B$296-1,$B323/$B$296,$B323-SUM($C323:AE323))),0))</f>
        <v>1542.0640696969697</v>
      </c>
      <c r="AG323" s="4">
        <f t="shared" si="242"/>
        <v>5397.224243939394</v>
      </c>
    </row>
    <row r="324" spans="1:33">
      <c r="A324" s="6">
        <f t="shared" si="241"/>
        <v>2049</v>
      </c>
      <c r="B324" s="4">
        <f t="shared" si="239"/>
        <v>95299.560181818175</v>
      </c>
      <c r="C324" s="4">
        <f>IF($B$296=0,0,IF(C$2&gt;=$A324,IF(C$2=$A324,($B324/$B$296)*$B$293,IF(C$2&lt;=$A324+$B$296-1,$B324/$B$296,$B324-SUM(B324:$C324))),0))</f>
        <v>0</v>
      </c>
      <c r="D324" s="4">
        <f>IF($B$296=0,0,IF(D$2&gt;=$A324,IF(D$2=$A324,($B324/$B$296)*$B$293,IF(D$2&lt;=$A324+$B$296-1,$B324/$B$296,$B324-SUM(C324:$C324))),0))</f>
        <v>0</v>
      </c>
      <c r="E324" s="4">
        <f>IF($B$296=0,0,IF(E$2&gt;=$A324,IF(E$2=$A324,($B324/$B$296)*$B$293,IF(E$2&lt;=$A324+$B$296-1,$B324/$B$296,$B324-SUM($C324:D324))),0))</f>
        <v>0</v>
      </c>
      <c r="F324" s="4">
        <f>IF($B$296=0,0,IF(F$2&gt;=$A324,IF(F$2=$A324,($B324/$B$296)*$B$293,IF(F$2&lt;=$A324+$B$296-1,$B324/$B$296,$B324-SUM($C324:E324))),0))</f>
        <v>0</v>
      </c>
      <c r="G324" s="4">
        <f>IF($B$296=0,0,IF(G$2&gt;=$A324,IF(G$2=$A324,($B324/$B$296)*$B$293,IF(G$2&lt;=$A324+$B$296-1,$B324/$B$296,$B324-SUM($C324:F324))),0))</f>
        <v>0</v>
      </c>
      <c r="H324" s="4">
        <f>IF($B$296=0,0,IF(H$2&gt;=$A324,IF(H$2=$A324,($B324/$B$296)*$B$293,IF(H$2&lt;=$A324+$B$296-1,$B324/$B$296,$B324-SUM($C324:G324))),0))</f>
        <v>0</v>
      </c>
      <c r="I324" s="4">
        <f>IF($B$296=0,0,IF(I$2&gt;=$A324,IF(I$2=$A324,($B324/$B$296)*$B$293,IF(I$2&lt;=$A324+$B$296-1,$B324/$B$296,$B324-SUM($C324:H324))),0))</f>
        <v>0</v>
      </c>
      <c r="J324" s="4">
        <f>IF($B$296=0,0,IF(J$2&gt;=$A324,IF(J$2=$A324,($B324/$B$296)*$B$293,IF(J$2&lt;=$A324+$B$296-1,$B324/$B$296,$B324-SUM($C324:I324))),0))</f>
        <v>0</v>
      </c>
      <c r="K324" s="4">
        <f>IF($B$296=0,0,IF(K$2&gt;=$A324,IF(K$2=$A324,($B324/$B$296)*$B$293,IF(K$2&lt;=$A324+$B$296-1,$B324/$B$296,$B324-SUM($C324:J324))),0))</f>
        <v>0</v>
      </c>
      <c r="L324" s="4">
        <f>IF($B$296=0,0,IF(L$2&gt;=$A324,IF(L$2=$A324,($B324/$B$296)*$B$293,IF(L$2&lt;=$A324+$B$296-1,$B324/$B$296,$B324-SUM($C324:K324))),0))</f>
        <v>0</v>
      </c>
      <c r="M324" s="4">
        <f>IF($B$296=0,0,IF(M$2&gt;=$A324,IF(M$2=$A324,($B324/$B$296)*$B$293,IF(M$2&lt;=$A324+$B$296-1,$B324/$B$296,$B324-SUM($C324:L324))),0))</f>
        <v>0</v>
      </c>
      <c r="N324" s="4">
        <f>IF($B$296=0,0,IF(N$2&gt;=$A324,IF(N$2=$A324,($B324/$B$296)*$B$293,IF(N$2&lt;=$A324+$B$296-1,$B324/$B$296,$B324-SUM($C324:M324))),0))</f>
        <v>0</v>
      </c>
      <c r="O324" s="4">
        <f>IF($B$296=0,0,IF(O$2&gt;=$A324,IF(O$2=$A324,($B324/$B$296)*$B$293,IF(O$2&lt;=$A324+$B$296-1,$B324/$B$296,$B324-SUM($C324:N324))),0))</f>
        <v>0</v>
      </c>
      <c r="P324" s="4">
        <f>IF($B$296=0,0,IF(P$2&gt;=$A324,IF(P$2=$A324,($B324/$B$296)*$B$293,IF(P$2&lt;=$A324+$B$296-1,$B324/$B$296,$B324-SUM($C324:O324))),0))</f>
        <v>0</v>
      </c>
      <c r="Q324" s="4">
        <f>IF($B$296=0,0,IF(Q$2&gt;=$A324,IF(Q$2=$A324,($B324/$B$296)*$B$293,IF(Q$2&lt;=$A324+$B$296-1,$B324/$B$296,$B324-SUM($C324:P324))),0))</f>
        <v>0</v>
      </c>
      <c r="R324" s="4">
        <f>IF($B$296=0,0,IF(R$2&gt;=$A324,IF(R$2=$A324,($B324/$B$296)*$B$293,IF(R$2&lt;=$A324+$B$296-1,$B324/$B$296,$B324-SUM($C324:Q324))),0))</f>
        <v>0</v>
      </c>
      <c r="S324" s="4">
        <f>IF($B$296=0,0,IF(S$2&gt;=$A324,IF(S$2=$A324,($B324/$B$296)*$B$293,IF(S$2&lt;=$A324+$B$296-1,$B324/$B$296,$B324-SUM($C324:R324))),0))</f>
        <v>0</v>
      </c>
      <c r="T324" s="4">
        <f>IF($B$296=0,0,IF(T$2&gt;=$A324,IF(T$2=$A324,($B324/$B$296)*$B$293,IF(T$2&lt;=$A324+$B$296-1,$B324/$B$296,$B324-SUM($C324:S324))),0))</f>
        <v>0</v>
      </c>
      <c r="U324" s="4">
        <f>IF($B$296=0,0,IF(U$2&gt;=$A324,IF(U$2=$A324,($B324/$B$296)*$B$293,IF(U$2&lt;=$A324+$B$296-1,$B324/$B$296,$B324-SUM($C324:T324))),0))</f>
        <v>0</v>
      </c>
      <c r="V324" s="4">
        <f>IF($B$296=0,0,IF(V$2&gt;=$A324,IF(V$2=$A324,($B324/$B$296)*$B$293,IF(V$2&lt;=$A324+$B$296-1,$B324/$B$296,$B324-SUM($C324:U324))),0))</f>
        <v>0</v>
      </c>
      <c r="W324" s="4">
        <f>IF($B$296=0,0,IF(W$2&gt;=$A324,IF(W$2=$A324,($B324/$B$296)*$B$293,IF(W$2&lt;=$A324+$B$296-1,$B324/$B$296,$B324-SUM($C324:V324))),0))</f>
        <v>0</v>
      </c>
      <c r="X324" s="4">
        <f>IF($B$296=0,0,IF(X$2&gt;=$A324,IF(X$2=$A324,($B324/$B$296)*$B$293,IF(X$2&lt;=$A324+$B$296-1,$B324/$B$296,$B324-SUM($C324:W324))),0))</f>
        <v>0</v>
      </c>
      <c r="Y324" s="4">
        <f>IF($B$296=0,0,IF(Y$2&gt;=$A324,IF(Y$2=$A324,($B324/$B$296)*$B$293,IF(Y$2&lt;=$A324+$B$296-1,$B324/$B$296,$B324-SUM($C324:X324))),0))</f>
        <v>0</v>
      </c>
      <c r="Z324" s="4">
        <f>IF($B$296=0,0,IF(Z$2&gt;=$A324,IF(Z$2=$A324,($B324/$B$296)*$B$293,IF(Z$2&lt;=$A324+$B$296-1,$B324/$B$296,$B324-SUM($C324:Y324))),0))</f>
        <v>0</v>
      </c>
      <c r="AA324" s="4">
        <f>IF($B$296=0,0,IF(AA$2&gt;=$A324,IF(AA$2=$A324,($B324/$B$296)*$B$293,IF(AA$2&lt;=$A324+$B$296-1,$B324/$B$296,$B324-SUM($C324:Z324))),0))</f>
        <v>0</v>
      </c>
      <c r="AB324" s="4">
        <f>IF($B$296=0,0,IF(AB$2&gt;=$A324,IF(AB$2=$A324,($B324/$B$296)*$B$293,IF(AB$2&lt;=$A324+$B$296-1,$B324/$B$296,$B324-SUM($C324:AA324))),0))</f>
        <v>0</v>
      </c>
      <c r="AC324" s="4">
        <f>IF($B$296=0,0,IF(AC$2&gt;=$A324,IF(AC$2=$A324,($B324/$B$296)*$B$293,IF(AC$2&lt;=$A324+$B$296-1,$B324/$B$296,$B324-SUM($C324:AB324))),0))</f>
        <v>0</v>
      </c>
      <c r="AD324" s="4">
        <f>IF($B$296=0,0,IF(AD$2&gt;=$A324,IF(AD$2=$A324,($B324/$B$296)*$B$293,IF(AD$2&lt;=$A324+$B$296-1,$B324/$B$296,$B324-SUM($C324:AC324))),0))</f>
        <v>794.16300151515145</v>
      </c>
      <c r="AE324" s="4">
        <f>IF($B$296=0,0,IF(AE$2&gt;=$A324,IF(AE$2=$A324,($B324/$B$296)*$B$293,IF(AE$2&lt;=$A324+$B$296-1,$B324/$B$296,$B324-SUM($C324:AD324))),0))</f>
        <v>1588.3260030303029</v>
      </c>
      <c r="AF324" s="4">
        <f>IF($B$296=0,0,IF(AF$2&gt;=$A324,IF(AF$2=$A324,($B324/$B$296)*$B$293,IF(AF$2&lt;=$A324+$B$296-1,$B324/$B$296,$B324-SUM($C324:AE324))),0))</f>
        <v>1588.3260030303029</v>
      </c>
      <c r="AG324" s="4">
        <f t="shared" si="242"/>
        <v>3970.8150075757576</v>
      </c>
    </row>
    <row r="325" spans="1:33">
      <c r="A325" s="6">
        <f t="shared" si="241"/>
        <v>2050</v>
      </c>
      <c r="B325" s="4">
        <f t="shared" si="239"/>
        <v>98158.543999999994</v>
      </c>
      <c r="C325" s="4">
        <f>IF($B$296=0,0,IF(C$2&gt;=$A325,IF(C$2=$A325,($B325/$B$296)*$B$293,IF(C$2&lt;=$A325+$B$296-1,$B325/$B$296,$B325-SUM(B325:$C325))),0))</f>
        <v>0</v>
      </c>
      <c r="D325" s="4">
        <f>IF($B$296=0,0,IF(D$2&gt;=$A325,IF(D$2=$A325,($B325/$B$296)*$B$293,IF(D$2&lt;=$A325+$B$296-1,$B325/$B$296,$B325-SUM(C325:$C325))),0))</f>
        <v>0</v>
      </c>
      <c r="E325" s="4">
        <f>IF($B$296=0,0,IF(E$2&gt;=$A325,IF(E$2=$A325,($B325/$B$296)*$B$293,IF(E$2&lt;=$A325+$B$296-1,$B325/$B$296,$B325-SUM($C325:D325))),0))</f>
        <v>0</v>
      </c>
      <c r="F325" s="4">
        <f>IF($B$296=0,0,IF(F$2&gt;=$A325,IF(F$2=$A325,($B325/$B$296)*$B$293,IF(F$2&lt;=$A325+$B$296-1,$B325/$B$296,$B325-SUM($C325:E325))),0))</f>
        <v>0</v>
      </c>
      <c r="G325" s="4">
        <f>IF($B$296=0,0,IF(G$2&gt;=$A325,IF(G$2=$A325,($B325/$B$296)*$B$293,IF(G$2&lt;=$A325+$B$296-1,$B325/$B$296,$B325-SUM($C325:F325))),0))</f>
        <v>0</v>
      </c>
      <c r="H325" s="4">
        <f>IF($B$296=0,0,IF(H$2&gt;=$A325,IF(H$2=$A325,($B325/$B$296)*$B$293,IF(H$2&lt;=$A325+$B$296-1,$B325/$B$296,$B325-SUM($C325:G325))),0))</f>
        <v>0</v>
      </c>
      <c r="I325" s="4">
        <f>IF($B$296=0,0,IF(I$2&gt;=$A325,IF(I$2=$A325,($B325/$B$296)*$B$293,IF(I$2&lt;=$A325+$B$296-1,$B325/$B$296,$B325-SUM($C325:H325))),0))</f>
        <v>0</v>
      </c>
      <c r="J325" s="4">
        <f>IF($B$296=0,0,IF(J$2&gt;=$A325,IF(J$2=$A325,($B325/$B$296)*$B$293,IF(J$2&lt;=$A325+$B$296-1,$B325/$B$296,$B325-SUM($C325:I325))),0))</f>
        <v>0</v>
      </c>
      <c r="K325" s="4">
        <f>IF($B$296=0,0,IF(K$2&gt;=$A325,IF(K$2=$A325,($B325/$B$296)*$B$293,IF(K$2&lt;=$A325+$B$296-1,$B325/$B$296,$B325-SUM($C325:J325))),0))</f>
        <v>0</v>
      </c>
      <c r="L325" s="4">
        <f>IF($B$296=0,0,IF(L$2&gt;=$A325,IF(L$2=$A325,($B325/$B$296)*$B$293,IF(L$2&lt;=$A325+$B$296-1,$B325/$B$296,$B325-SUM($C325:K325))),0))</f>
        <v>0</v>
      </c>
      <c r="M325" s="4">
        <f>IF($B$296=0,0,IF(M$2&gt;=$A325,IF(M$2=$A325,($B325/$B$296)*$B$293,IF(M$2&lt;=$A325+$B$296-1,$B325/$B$296,$B325-SUM($C325:L325))),0))</f>
        <v>0</v>
      </c>
      <c r="N325" s="4">
        <f>IF($B$296=0,0,IF(N$2&gt;=$A325,IF(N$2=$A325,($B325/$B$296)*$B$293,IF(N$2&lt;=$A325+$B$296-1,$B325/$B$296,$B325-SUM($C325:M325))),0))</f>
        <v>0</v>
      </c>
      <c r="O325" s="4">
        <f>IF($B$296=0,0,IF(O$2&gt;=$A325,IF(O$2=$A325,($B325/$B$296)*$B$293,IF(O$2&lt;=$A325+$B$296-1,$B325/$B$296,$B325-SUM($C325:N325))),0))</f>
        <v>0</v>
      </c>
      <c r="P325" s="4">
        <f>IF($B$296=0,0,IF(P$2&gt;=$A325,IF(P$2=$A325,($B325/$B$296)*$B$293,IF(P$2&lt;=$A325+$B$296-1,$B325/$B$296,$B325-SUM($C325:O325))),0))</f>
        <v>0</v>
      </c>
      <c r="Q325" s="4">
        <f>IF($B$296=0,0,IF(Q$2&gt;=$A325,IF(Q$2=$A325,($B325/$B$296)*$B$293,IF(Q$2&lt;=$A325+$B$296-1,$B325/$B$296,$B325-SUM($C325:P325))),0))</f>
        <v>0</v>
      </c>
      <c r="R325" s="4">
        <f>IF($B$296=0,0,IF(R$2&gt;=$A325,IF(R$2=$A325,($B325/$B$296)*$B$293,IF(R$2&lt;=$A325+$B$296-1,$B325/$B$296,$B325-SUM($C325:Q325))),0))</f>
        <v>0</v>
      </c>
      <c r="S325" s="4">
        <f>IF($B$296=0,0,IF(S$2&gt;=$A325,IF(S$2=$A325,($B325/$B$296)*$B$293,IF(S$2&lt;=$A325+$B$296-1,$B325/$B$296,$B325-SUM($C325:R325))),0))</f>
        <v>0</v>
      </c>
      <c r="T325" s="4">
        <f>IF($B$296=0,0,IF(T$2&gt;=$A325,IF(T$2=$A325,($B325/$B$296)*$B$293,IF(T$2&lt;=$A325+$B$296-1,$B325/$B$296,$B325-SUM($C325:S325))),0))</f>
        <v>0</v>
      </c>
      <c r="U325" s="4">
        <f>IF($B$296=0,0,IF(U$2&gt;=$A325,IF(U$2=$A325,($B325/$B$296)*$B$293,IF(U$2&lt;=$A325+$B$296-1,$B325/$B$296,$B325-SUM($C325:T325))),0))</f>
        <v>0</v>
      </c>
      <c r="V325" s="4">
        <f>IF($B$296=0,0,IF(V$2&gt;=$A325,IF(V$2=$A325,($B325/$B$296)*$B$293,IF(V$2&lt;=$A325+$B$296-1,$B325/$B$296,$B325-SUM($C325:U325))),0))</f>
        <v>0</v>
      </c>
      <c r="W325" s="4">
        <f>IF($B$296=0,0,IF(W$2&gt;=$A325,IF(W$2=$A325,($B325/$B$296)*$B$293,IF(W$2&lt;=$A325+$B$296-1,$B325/$B$296,$B325-SUM($C325:V325))),0))</f>
        <v>0</v>
      </c>
      <c r="X325" s="4">
        <f>IF($B$296=0,0,IF(X$2&gt;=$A325,IF(X$2=$A325,($B325/$B$296)*$B$293,IF(X$2&lt;=$A325+$B$296-1,$B325/$B$296,$B325-SUM($C325:W325))),0))</f>
        <v>0</v>
      </c>
      <c r="Y325" s="4">
        <f>IF($B$296=0,0,IF(Y$2&gt;=$A325,IF(Y$2=$A325,($B325/$B$296)*$B$293,IF(Y$2&lt;=$A325+$B$296-1,$B325/$B$296,$B325-SUM($C325:X325))),0))</f>
        <v>0</v>
      </c>
      <c r="Z325" s="4">
        <f>IF($B$296=0,0,IF(Z$2&gt;=$A325,IF(Z$2=$A325,($B325/$B$296)*$B$293,IF(Z$2&lt;=$A325+$B$296-1,$B325/$B$296,$B325-SUM($C325:Y325))),0))</f>
        <v>0</v>
      </c>
      <c r="AA325" s="4">
        <f>IF($B$296=0,0,IF(AA$2&gt;=$A325,IF(AA$2=$A325,($B325/$B$296)*$B$293,IF(AA$2&lt;=$A325+$B$296-1,$B325/$B$296,$B325-SUM($C325:Z325))),0))</f>
        <v>0</v>
      </c>
      <c r="AB325" s="4">
        <f>IF($B$296=0,0,IF(AB$2&gt;=$A325,IF(AB$2=$A325,($B325/$B$296)*$B$293,IF(AB$2&lt;=$A325+$B$296-1,$B325/$B$296,$B325-SUM($C325:AA325))),0))</f>
        <v>0</v>
      </c>
      <c r="AC325" s="4">
        <f>IF($B$296=0,0,IF(AC$2&gt;=$A325,IF(AC$2=$A325,($B325/$B$296)*$B$293,IF(AC$2&lt;=$A325+$B$296-1,$B325/$B$296,$B325-SUM($C325:AB325))),0))</f>
        <v>0</v>
      </c>
      <c r="AD325" s="4">
        <f>IF($B$296=0,0,IF(AD$2&gt;=$A325,IF(AD$2=$A325,($B325/$B$296)*$B$293,IF(AD$2&lt;=$A325+$B$296-1,$B325/$B$296,$B325-SUM($C325:AC325))),0))</f>
        <v>0</v>
      </c>
      <c r="AE325" s="4">
        <f>IF($B$296=0,0,IF(AE$2&gt;=$A325,IF(AE$2=$A325,($B325/$B$296)*$B$293,IF(AE$2&lt;=$A325+$B$296-1,$B325/$B$296,$B325-SUM($C325:AD325))),0))</f>
        <v>817.9878666666666</v>
      </c>
      <c r="AF325" s="4">
        <f>IF($B$296=0,0,IF(AF$2&gt;=$A325,IF(AF$2=$A325,($B325/$B$296)*$B$293,IF(AF$2&lt;=$A325+$B$296-1,$B325/$B$296,$B325-SUM($C325:AE325))),0))</f>
        <v>1635.9757333333332</v>
      </c>
      <c r="AG325" s="4">
        <f t="shared" si="242"/>
        <v>2453.9636</v>
      </c>
    </row>
    <row r="326" spans="1:33">
      <c r="A326" s="6">
        <f t="shared" si="241"/>
        <v>2051</v>
      </c>
      <c r="B326" s="4">
        <f t="shared" si="239"/>
        <v>101103.3010909091</v>
      </c>
      <c r="C326" s="4">
        <f>IF($B$296=0,0,IF(C$2&gt;=$A326,IF(C$2=$A326,($B326/$B$296)*$B$293,IF(C$2&lt;=$A326+$B$296-1,$B326/$B$296,$B326-SUM(B326:$C326))),0))</f>
        <v>0</v>
      </c>
      <c r="D326" s="4">
        <f>IF($B$296=0,0,IF(D$2&gt;=$A326,IF(D$2=$A326,($B326/$B$296)*$B$293,IF(D$2&lt;=$A326+$B$296-1,$B326/$B$296,$B326-SUM(C326:$C326))),0))</f>
        <v>0</v>
      </c>
      <c r="E326" s="4">
        <f>IF($B$296=0,0,IF(E$2&gt;=$A326,IF(E$2=$A326,($B326/$B$296)*$B$293,IF(E$2&lt;=$A326+$B$296-1,$B326/$B$296,$B326-SUM($C326:D326))),0))</f>
        <v>0</v>
      </c>
      <c r="F326" s="4">
        <f>IF($B$296=0,0,IF(F$2&gt;=$A326,IF(F$2=$A326,($B326/$B$296)*$B$293,IF(F$2&lt;=$A326+$B$296-1,$B326/$B$296,$B326-SUM($C326:E326))),0))</f>
        <v>0</v>
      </c>
      <c r="G326" s="4">
        <f>IF($B$296=0,0,IF(G$2&gt;=$A326,IF(G$2=$A326,($B326/$B$296)*$B$293,IF(G$2&lt;=$A326+$B$296-1,$B326/$B$296,$B326-SUM($C326:F326))),0))</f>
        <v>0</v>
      </c>
      <c r="H326" s="4">
        <f>IF($B$296=0,0,IF(H$2&gt;=$A326,IF(H$2=$A326,($B326/$B$296)*$B$293,IF(H$2&lt;=$A326+$B$296-1,$B326/$B$296,$B326-SUM($C326:G326))),0))</f>
        <v>0</v>
      </c>
      <c r="I326" s="4">
        <f>IF($B$296=0,0,IF(I$2&gt;=$A326,IF(I$2=$A326,($B326/$B$296)*$B$293,IF(I$2&lt;=$A326+$B$296-1,$B326/$B$296,$B326-SUM($C326:H326))),0))</f>
        <v>0</v>
      </c>
      <c r="J326" s="4">
        <f>IF($B$296=0,0,IF(J$2&gt;=$A326,IF(J$2=$A326,($B326/$B$296)*$B$293,IF(J$2&lt;=$A326+$B$296-1,$B326/$B$296,$B326-SUM($C326:I326))),0))</f>
        <v>0</v>
      </c>
      <c r="K326" s="4">
        <f>IF($B$296=0,0,IF(K$2&gt;=$A326,IF(K$2=$A326,($B326/$B$296)*$B$293,IF(K$2&lt;=$A326+$B$296-1,$B326/$B$296,$B326-SUM($C326:J326))),0))</f>
        <v>0</v>
      </c>
      <c r="L326" s="4">
        <f>IF($B$296=0,0,IF(L$2&gt;=$A326,IF(L$2=$A326,($B326/$B$296)*$B$293,IF(L$2&lt;=$A326+$B$296-1,$B326/$B$296,$B326-SUM($C326:K326))),0))</f>
        <v>0</v>
      </c>
      <c r="M326" s="4">
        <f>IF($B$296=0,0,IF(M$2&gt;=$A326,IF(M$2=$A326,($B326/$B$296)*$B$293,IF(M$2&lt;=$A326+$B$296-1,$B326/$B$296,$B326-SUM($C326:L326))),0))</f>
        <v>0</v>
      </c>
      <c r="N326" s="4">
        <f>IF($B$296=0,0,IF(N$2&gt;=$A326,IF(N$2=$A326,($B326/$B$296)*$B$293,IF(N$2&lt;=$A326+$B$296-1,$B326/$B$296,$B326-SUM($C326:M326))),0))</f>
        <v>0</v>
      </c>
      <c r="O326" s="4">
        <f>IF($B$296=0,0,IF(O$2&gt;=$A326,IF(O$2=$A326,($B326/$B$296)*$B$293,IF(O$2&lt;=$A326+$B$296-1,$B326/$B$296,$B326-SUM($C326:N326))),0))</f>
        <v>0</v>
      </c>
      <c r="P326" s="4">
        <f>IF($B$296=0,0,IF(P$2&gt;=$A326,IF(P$2=$A326,($B326/$B$296)*$B$293,IF(P$2&lt;=$A326+$B$296-1,$B326/$B$296,$B326-SUM($C326:O326))),0))</f>
        <v>0</v>
      </c>
      <c r="Q326" s="4">
        <f>IF($B$296=0,0,IF(Q$2&gt;=$A326,IF(Q$2=$A326,($B326/$B$296)*$B$293,IF(Q$2&lt;=$A326+$B$296-1,$B326/$B$296,$B326-SUM($C326:P326))),0))</f>
        <v>0</v>
      </c>
      <c r="R326" s="4">
        <f>IF($B$296=0,0,IF(R$2&gt;=$A326,IF(R$2=$A326,($B326/$B$296)*$B$293,IF(R$2&lt;=$A326+$B$296-1,$B326/$B$296,$B326-SUM($C326:Q326))),0))</f>
        <v>0</v>
      </c>
      <c r="S326" s="4">
        <f>IF($B$296=0,0,IF(S$2&gt;=$A326,IF(S$2=$A326,($B326/$B$296)*$B$293,IF(S$2&lt;=$A326+$B$296-1,$B326/$B$296,$B326-SUM($C326:R326))),0))</f>
        <v>0</v>
      </c>
      <c r="T326" s="4">
        <f>IF($B$296=0,0,IF(T$2&gt;=$A326,IF(T$2=$A326,($B326/$B$296)*$B$293,IF(T$2&lt;=$A326+$B$296-1,$B326/$B$296,$B326-SUM($C326:S326))),0))</f>
        <v>0</v>
      </c>
      <c r="U326" s="4">
        <f>IF($B$296=0,0,IF(U$2&gt;=$A326,IF(U$2=$A326,($B326/$B$296)*$B$293,IF(U$2&lt;=$A326+$B$296-1,$B326/$B$296,$B326-SUM($C326:T326))),0))</f>
        <v>0</v>
      </c>
      <c r="V326" s="4">
        <f>IF($B$296=0,0,IF(V$2&gt;=$A326,IF(V$2=$A326,($B326/$B$296)*$B$293,IF(V$2&lt;=$A326+$B$296-1,$B326/$B$296,$B326-SUM($C326:U326))),0))</f>
        <v>0</v>
      </c>
      <c r="W326" s="4">
        <f>IF($B$296=0,0,IF(W$2&gt;=$A326,IF(W$2=$A326,($B326/$B$296)*$B$293,IF(W$2&lt;=$A326+$B$296-1,$B326/$B$296,$B326-SUM($C326:V326))),0))</f>
        <v>0</v>
      </c>
      <c r="X326" s="4">
        <f>IF($B$296=0,0,IF(X$2&gt;=$A326,IF(X$2=$A326,($B326/$B$296)*$B$293,IF(X$2&lt;=$A326+$B$296-1,$B326/$B$296,$B326-SUM($C326:W326))),0))</f>
        <v>0</v>
      </c>
      <c r="Y326" s="4">
        <f>IF($B$296=0,0,IF(Y$2&gt;=$A326,IF(Y$2=$A326,($B326/$B$296)*$B$293,IF(Y$2&lt;=$A326+$B$296-1,$B326/$B$296,$B326-SUM($C326:X326))),0))</f>
        <v>0</v>
      </c>
      <c r="Z326" s="4">
        <f>IF($B$296=0,0,IF(Z$2&gt;=$A326,IF(Z$2=$A326,($B326/$B$296)*$B$293,IF(Z$2&lt;=$A326+$B$296-1,$B326/$B$296,$B326-SUM($C326:Y326))),0))</f>
        <v>0</v>
      </c>
      <c r="AA326" s="4">
        <f>IF($B$296=0,0,IF(AA$2&gt;=$A326,IF(AA$2=$A326,($B326/$B$296)*$B$293,IF(AA$2&lt;=$A326+$B$296-1,$B326/$B$296,$B326-SUM($C326:Z326))),0))</f>
        <v>0</v>
      </c>
      <c r="AB326" s="4">
        <f>IF($B$296=0,0,IF(AB$2&gt;=$A326,IF(AB$2=$A326,($B326/$B$296)*$B$293,IF(AB$2&lt;=$A326+$B$296-1,$B326/$B$296,$B326-SUM($C326:AA326))),0))</f>
        <v>0</v>
      </c>
      <c r="AC326" s="4">
        <f>IF($B$296=0,0,IF(AC$2&gt;=$A326,IF(AC$2=$A326,($B326/$B$296)*$B$293,IF(AC$2&lt;=$A326+$B$296-1,$B326/$B$296,$B326-SUM($C326:AB326))),0))</f>
        <v>0</v>
      </c>
      <c r="AD326" s="4">
        <f>IF($B$296=0,0,IF(AD$2&gt;=$A326,IF(AD$2=$A326,($B326/$B$296)*$B$293,IF(AD$2&lt;=$A326+$B$296-1,$B326/$B$296,$B326-SUM($C326:AC326))),0))</f>
        <v>0</v>
      </c>
      <c r="AE326" s="4">
        <f>IF($B$296=0,0,IF(AE$2&gt;=$A326,IF(AE$2=$A326,($B326/$B$296)*$B$293,IF(AE$2&lt;=$A326+$B$296-1,$B326/$B$296,$B326-SUM($C326:AD326))),0))</f>
        <v>0</v>
      </c>
      <c r="AF326" s="4">
        <f>IF($B$296=0,0,IF(AF$2&gt;=$A326,IF(AF$2=$A326,($B326/$B$296)*$B$293,IF(AF$2&lt;=$A326+$B$296-1,$B326/$B$296,$B326-SUM($C326:AE326))),0))</f>
        <v>842.52750909090912</v>
      </c>
      <c r="AG326" s="4">
        <f t="shared" si="242"/>
        <v>842.52750909090912</v>
      </c>
    </row>
    <row r="327" spans="1:33" ht="15" thickBot="1">
      <c r="A327" s="6" t="str">
        <f>"Total Depreciation - "&amp;A293</f>
        <v>Total Depreciation - Maintenance Capital</v>
      </c>
      <c r="B327" s="43">
        <f>SUM(B297:B326)</f>
        <v>1415636.013090909</v>
      </c>
      <c r="C327" s="43">
        <f>SUM(C297:C326)</f>
        <v>0</v>
      </c>
      <c r="D327" s="43">
        <f t="shared" ref="D327:AF327" si="243">SUM(D297:D326)</f>
        <v>0</v>
      </c>
      <c r="E327" s="43">
        <f t="shared" si="243"/>
        <v>0</v>
      </c>
      <c r="F327" s="43">
        <f t="shared" si="243"/>
        <v>0</v>
      </c>
      <c r="G327" s="43">
        <f t="shared" si="243"/>
        <v>0</v>
      </c>
      <c r="H327" s="43">
        <f t="shared" si="243"/>
        <v>0</v>
      </c>
      <c r="I327" s="43">
        <f t="shared" si="243"/>
        <v>0</v>
      </c>
      <c r="J327" s="43">
        <f t="shared" si="243"/>
        <v>0</v>
      </c>
      <c r="K327" s="43">
        <f t="shared" si="243"/>
        <v>0</v>
      </c>
      <c r="L327" s="43">
        <f t="shared" si="243"/>
        <v>220.83333333333334</v>
      </c>
      <c r="M327" s="43">
        <f t="shared" si="243"/>
        <v>669.125</v>
      </c>
      <c r="N327" s="43">
        <f t="shared" si="243"/>
        <v>1132.9560257575758</v>
      </c>
      <c r="O327" s="43">
        <f t="shared" si="243"/>
        <v>1612.7926500000001</v>
      </c>
      <c r="P327" s="43">
        <f t="shared" si="243"/>
        <v>2107.0243954545454</v>
      </c>
      <c r="Q327" s="43">
        <f t="shared" si="243"/>
        <v>2616.0830515151515</v>
      </c>
      <c r="R327" s="43">
        <f t="shared" si="243"/>
        <v>3431.3838181818187</v>
      </c>
      <c r="S327" s="43">
        <f t="shared" si="243"/>
        <v>4562.1140045454549</v>
      </c>
      <c r="T327" s="43">
        <f t="shared" si="243"/>
        <v>5726.7661181818194</v>
      </c>
      <c r="U327" s="43">
        <f t="shared" si="243"/>
        <v>6926.3577590909099</v>
      </c>
      <c r="V327" s="43">
        <f t="shared" si="243"/>
        <v>8161.9371227272732</v>
      </c>
      <c r="W327" s="43">
        <f t="shared" si="243"/>
        <v>9434.5838833333328</v>
      </c>
      <c r="X327" s="43">
        <f t="shared" si="243"/>
        <v>10745.410077272727</v>
      </c>
      <c r="Y327" s="43">
        <f t="shared" si="243"/>
        <v>12095.561066666665</v>
      </c>
      <c r="Z327" s="43">
        <f t="shared" si="243"/>
        <v>13486.216583333333</v>
      </c>
      <c r="AA327" s="43">
        <f t="shared" si="243"/>
        <v>14918.591692424241</v>
      </c>
      <c r="AB327" s="43">
        <f t="shared" si="243"/>
        <v>16393.937996969697</v>
      </c>
      <c r="AC327" s="43">
        <f t="shared" si="243"/>
        <v>17913.544762121212</v>
      </c>
      <c r="AD327" s="43">
        <f t="shared" si="243"/>
        <v>19478.73979848485</v>
      </c>
      <c r="AE327" s="43">
        <f t="shared" si="243"/>
        <v>21090.890666666666</v>
      </c>
      <c r="AF327" s="43">
        <f t="shared" si="243"/>
        <v>22751.406042424242</v>
      </c>
      <c r="AG327" s="43">
        <f>SUM(C327:AF327)</f>
        <v>195476.25584848484</v>
      </c>
    </row>
    <row r="329" spans="1:33">
      <c r="A329" s="302">
        <f>+Capex!$A$15</f>
        <v>0</v>
      </c>
      <c r="B329" s="324">
        <f>+Capex!$C$15/12</f>
        <v>0</v>
      </c>
    </row>
    <row r="330" spans="1:33">
      <c r="A330" s="6" t="s">
        <v>399</v>
      </c>
      <c r="C330" s="40">
        <f>IF(Capex!$B$15=0,Capex!G$15,IF(Capex!$B$15=Capex!G$4,Capex!$AK$15,0))+IF(Capex!$B$15=0,Capex!G$29,IF(Capex!$B$15=Capex!G$4,Capex!$AK$29,0))</f>
        <v>0</v>
      </c>
      <c r="D330" s="40">
        <f>IF(Capex!$B$15=0,Capex!H$15,IF(Capex!$B$15=Capex!H$4,Capex!$AK$15,0))+IF(Capex!$B$15=0,Capex!H$29,IF(Capex!$B$15=Capex!H$4,Capex!$AK$29,0))</f>
        <v>0</v>
      </c>
      <c r="E330" s="40">
        <f>IF(Capex!$B$15=0,Capex!I$15,IF(Capex!$B$15=Capex!I$4,Capex!$AK$15,0))+IF(Capex!$B$15=0,Capex!I$29,IF(Capex!$B$15=Capex!I$4,Capex!$AK$29,0))</f>
        <v>0</v>
      </c>
      <c r="F330" s="40">
        <f>IF(Capex!$B$15=0,Capex!J$15,IF(Capex!$B$15=Capex!J$4,Capex!$AK$15,0))+IF(Capex!$B$15=0,Capex!J$29,IF(Capex!$B$15=Capex!J$4,Capex!$AK$29,0))</f>
        <v>0</v>
      </c>
      <c r="G330" s="40">
        <f>IF(Capex!$B$15=0,Capex!K$15,IF(Capex!$B$15=Capex!K$4,Capex!$AK$15,0))+IF(Capex!$B$15=0,Capex!K$29,IF(Capex!$B$15=Capex!K$4,Capex!$AK$29,0))</f>
        <v>0</v>
      </c>
      <c r="H330" s="40">
        <f>IF(Capex!$B$15=0,Capex!L$15,IF(Capex!$B$15=Capex!L$4,Capex!$AK$15,0))+IF(Capex!$B$15=0,Capex!L$29,IF(Capex!$B$15=Capex!L$4,Capex!$AK$29,0))</f>
        <v>0</v>
      </c>
      <c r="I330" s="40">
        <f>IF(Capex!$B$15=0,Capex!M$15,IF(Capex!$B$15=Capex!M$4,Capex!$AK$15,0))+IF(Capex!$B$15=0,Capex!M$29,IF(Capex!$B$15=Capex!M$4,Capex!$AK$29,0))</f>
        <v>0</v>
      </c>
      <c r="J330" s="40">
        <f>IF(Capex!$B$15=0,Capex!N$15,IF(Capex!$B$15=Capex!N$4,Capex!$AK$15,0))+IF(Capex!$B$15=0,Capex!N$29,IF(Capex!$B$15=Capex!N$4,Capex!$AK$29,0))</f>
        <v>0</v>
      </c>
      <c r="K330" s="40">
        <f>IF(Capex!$B$15=0,Capex!O$15,IF(Capex!$B$15=Capex!O$4,Capex!$AK$15,0))+IF(Capex!$B$15=0,Capex!O$29,IF(Capex!$B$15=Capex!O$4,Capex!$AK$29,0))</f>
        <v>0</v>
      </c>
      <c r="L330" s="40">
        <f>IF(Capex!$B$15=0,Capex!P$15,IF(Capex!$B$15=Capex!P$4,Capex!$AK$15,0))+IF(Capex!$B$15=0,Capex!P$29,IF(Capex!$B$15=Capex!P$4,Capex!$AK$29,0))</f>
        <v>0</v>
      </c>
      <c r="M330" s="40">
        <f>IF(Capex!$B$15=0,Capex!Q$15,IF(Capex!$B$15=Capex!Q$4,Capex!$AK$15,0))+IF(Capex!$B$15=0,Capex!Q$29,IF(Capex!$B$15=Capex!Q$4,Capex!$AK$29,0))</f>
        <v>0</v>
      </c>
      <c r="N330" s="40">
        <f>IF(Capex!$B$15=0,Capex!R$15,IF(Capex!$B$15=Capex!R$4,Capex!$AK$15,0))+IF(Capex!$B$15=0,Capex!R$29,IF(Capex!$B$15=Capex!R$4,Capex!$AK$29,0))</f>
        <v>0</v>
      </c>
      <c r="O330" s="40">
        <f>IF(Capex!$B$15=0,Capex!S$15,IF(Capex!$B$15=Capex!S$4,Capex!$AK$15,0))+IF(Capex!$B$15=0,Capex!S$29,IF(Capex!$B$15=Capex!S$4,Capex!$AK$29,0))</f>
        <v>0</v>
      </c>
      <c r="P330" s="40">
        <f>IF(Capex!$B$15=0,Capex!T$15,IF(Capex!$B$15=Capex!T$4,Capex!$AK$15,0))+IF(Capex!$B$15=0,Capex!T$29,IF(Capex!$B$15=Capex!T$4,Capex!$AK$29,0))</f>
        <v>0</v>
      </c>
      <c r="Q330" s="40">
        <f>IF(Capex!$B$15=0,Capex!U$15,IF(Capex!$B$15=Capex!U$4,Capex!$AK$15,0))+IF(Capex!$B$15=0,Capex!U$29,IF(Capex!$B$15=Capex!U$4,Capex!$AK$29,0))</f>
        <v>0</v>
      </c>
      <c r="R330" s="40">
        <f>IF(Capex!$B$15=0,Capex!V$15,IF(Capex!$B$15=Capex!V$4,Capex!$AK$15,0))+IF(Capex!$B$15=0,Capex!V$29,IF(Capex!$B$15=Capex!V$4,Capex!$AK$29,0))</f>
        <v>0</v>
      </c>
      <c r="S330" s="40">
        <f>IF(Capex!$B$15=0,Capex!W$15,IF(Capex!$B$15=Capex!W$4,Capex!$AK$15,0))+IF(Capex!$B$15=0,Capex!W$29,IF(Capex!$B$15=Capex!W$4,Capex!$AK$29,0))</f>
        <v>0</v>
      </c>
      <c r="T330" s="40">
        <f>IF(Capex!$B$15=0,Capex!X$15,IF(Capex!$B$15=Capex!X$4,Capex!$AK$15,0))+IF(Capex!$B$15=0,Capex!X$29,IF(Capex!$B$15=Capex!X$4,Capex!$AK$29,0))</f>
        <v>0</v>
      </c>
      <c r="U330" s="40">
        <f>IF(Capex!$B$15=0,Capex!Y$15,IF(Capex!$B$15=Capex!Y$4,Capex!$AK$15,0))+IF(Capex!$B$15=0,Capex!Y$29,IF(Capex!$B$15=Capex!Y$4,Capex!$AK$29,0))</f>
        <v>0</v>
      </c>
      <c r="V330" s="40">
        <f>IF(Capex!$B$15=0,Capex!Z$15,IF(Capex!$B$15=Capex!Z$4,Capex!$AK$15,0))+IF(Capex!$B$15=0,Capex!Z$29,IF(Capex!$B$15=Capex!Z$4,Capex!$AK$29,0))</f>
        <v>0</v>
      </c>
      <c r="W330" s="40">
        <f>IF(Capex!$B$15=0,Capex!AA$15,IF(Capex!$B$15=Capex!AA$4,Capex!$AK$15,0))+IF(Capex!$B$15=0,Capex!AA$29,IF(Capex!$B$15=Capex!AA$4,Capex!$AK$29,0))</f>
        <v>0</v>
      </c>
      <c r="X330" s="40">
        <f>IF(Capex!$B$15=0,Capex!AB$15,IF(Capex!$B$15=Capex!AB$4,Capex!$AK$15,0))+IF(Capex!$B$15=0,Capex!AB$29,IF(Capex!$B$15=Capex!AB$4,Capex!$AK$29,0))</f>
        <v>0</v>
      </c>
      <c r="Y330" s="40">
        <f>IF(Capex!$B$15=0,Capex!AC$15,IF(Capex!$B$15=Capex!AC$4,Capex!$AK$15,0))+IF(Capex!$B$15=0,Capex!AC$29,IF(Capex!$B$15=Capex!AC$4,Capex!$AK$29,0))</f>
        <v>0</v>
      </c>
      <c r="Z330" s="40">
        <f>IF(Capex!$B$15=0,Capex!AD$15,IF(Capex!$B$15=Capex!AD$4,Capex!$AK$15,0))+IF(Capex!$B$15=0,Capex!AD$29,IF(Capex!$B$15=Capex!AD$4,Capex!$AK$29,0))</f>
        <v>0</v>
      </c>
      <c r="AA330" s="40">
        <f>IF(Capex!$B$15=0,Capex!AE$15,IF(Capex!$B$15=Capex!AE$4,Capex!$AK$15,0))+IF(Capex!$B$15=0,Capex!AE$29,IF(Capex!$B$15=Capex!AE$4,Capex!$AK$29,0))</f>
        <v>0</v>
      </c>
      <c r="AB330" s="40">
        <f>IF(Capex!$B$15=0,Capex!AF$15,IF(Capex!$B$15=Capex!AF$4,Capex!$AK$15,0))+IF(Capex!$B$15=0,Capex!AF$29,IF(Capex!$B$15=Capex!AF$4,Capex!$AK$29,0))</f>
        <v>0</v>
      </c>
      <c r="AC330" s="40">
        <f>IF(Capex!$B$15=0,Capex!AG$15,IF(Capex!$B$15=Capex!AG$4,Capex!$AK$15,0))+IF(Capex!$B$15=0,Capex!AG$29,IF(Capex!$B$15=Capex!AG$4,Capex!$AK$29,0))</f>
        <v>0</v>
      </c>
      <c r="AD330" s="40">
        <f>IF(Capex!$B$15=0,Capex!AH$15,IF(Capex!$B$15=Capex!AH$4,Capex!$AK$15,0))+IF(Capex!$B$15=0,Capex!AH$29,IF(Capex!$B$15=Capex!AH$4,Capex!$AK$29,0))</f>
        <v>0</v>
      </c>
      <c r="AE330" s="40">
        <f>IF(Capex!$B$15=0,Capex!AI$15,IF(Capex!$B$15=Capex!AI$4,Capex!$AK$15,0))+IF(Capex!$B$15=0,Capex!AI$29,IF(Capex!$B$15=Capex!AI$4,Capex!$AK$29,0))</f>
        <v>0</v>
      </c>
      <c r="AF330" s="40">
        <f>IF(Capex!$B$15=0,Capex!AJ$15,IF(Capex!$B$15=Capex!AJ$4,Capex!$AK$15,0))+IF(Capex!$B$15=0,Capex!AJ$29,IF(Capex!$B$15=Capex!AJ$4,Capex!$AK$29,0))</f>
        <v>0</v>
      </c>
    </row>
    <row r="331" spans="1:33">
      <c r="A331" s="6" t="s">
        <v>400</v>
      </c>
      <c r="B331" s="299"/>
      <c r="C331" s="49">
        <f>+C330</f>
        <v>0</v>
      </c>
      <c r="D331" s="49">
        <f t="shared" ref="D331" si="244">+D330+C331</f>
        <v>0</v>
      </c>
      <c r="E331" s="49">
        <f t="shared" ref="E331" si="245">+E330+D331</f>
        <v>0</v>
      </c>
      <c r="F331" s="49">
        <f t="shared" ref="F331" si="246">+F330+E331</f>
        <v>0</v>
      </c>
      <c r="G331" s="49">
        <f t="shared" ref="G331" si="247">+G330+F331</f>
        <v>0</v>
      </c>
      <c r="H331" s="49">
        <f t="shared" ref="H331" si="248">+H330+G331</f>
        <v>0</v>
      </c>
      <c r="I331" s="49">
        <f t="shared" ref="I331" si="249">+I330+H331</f>
        <v>0</v>
      </c>
      <c r="J331" s="49">
        <f t="shared" ref="J331" si="250">+J330+I331</f>
        <v>0</v>
      </c>
      <c r="K331" s="49">
        <f t="shared" ref="K331" si="251">+K330+J331</f>
        <v>0</v>
      </c>
      <c r="L331" s="49">
        <f t="shared" ref="L331" si="252">+L330+K331</f>
        <v>0</v>
      </c>
      <c r="M331" s="49">
        <f t="shared" ref="M331" si="253">+M330+L331</f>
        <v>0</v>
      </c>
      <c r="N331" s="49">
        <f t="shared" ref="N331" si="254">+N330+M331</f>
        <v>0</v>
      </c>
      <c r="O331" s="49">
        <f t="shared" ref="O331" si="255">+O330+N331</f>
        <v>0</v>
      </c>
      <c r="P331" s="49">
        <f t="shared" ref="P331" si="256">+P330+O331</f>
        <v>0</v>
      </c>
      <c r="Q331" s="49">
        <f t="shared" ref="Q331" si="257">+Q330+P331</f>
        <v>0</v>
      </c>
      <c r="R331" s="49">
        <f t="shared" ref="R331" si="258">+R330+Q331</f>
        <v>0</v>
      </c>
      <c r="S331" s="49">
        <f t="shared" ref="S331" si="259">+S330+R331</f>
        <v>0</v>
      </c>
      <c r="T331" s="49">
        <f t="shared" ref="T331" si="260">+T330+S331</f>
        <v>0</v>
      </c>
      <c r="U331" s="49">
        <f t="shared" ref="U331" si="261">+U330+T331</f>
        <v>0</v>
      </c>
      <c r="V331" s="49">
        <f t="shared" ref="V331" si="262">+V330+U331</f>
        <v>0</v>
      </c>
      <c r="W331" s="49">
        <f t="shared" ref="W331" si="263">+W330+V331</f>
        <v>0</v>
      </c>
      <c r="X331" s="49">
        <f t="shared" ref="X331" si="264">+X330+W331</f>
        <v>0</v>
      </c>
      <c r="Y331" s="49">
        <f t="shared" ref="Y331" si="265">+Y330+X331</f>
        <v>0</v>
      </c>
      <c r="Z331" s="49">
        <f t="shared" ref="Z331" si="266">+Z330+Y331</f>
        <v>0</v>
      </c>
      <c r="AA331" s="49">
        <f t="shared" ref="AA331" si="267">+AA330+Z331</f>
        <v>0</v>
      </c>
      <c r="AB331" s="49">
        <f t="shared" ref="AB331" si="268">+AB330+AA331</f>
        <v>0</v>
      </c>
      <c r="AC331" s="49">
        <f t="shared" ref="AC331" si="269">+AC330+AB331</f>
        <v>0</v>
      </c>
      <c r="AD331" s="49">
        <f t="shared" ref="AD331" si="270">+AD330+AC331</f>
        <v>0</v>
      </c>
      <c r="AE331" s="49">
        <f t="shared" ref="AE331" si="271">+AE330+AD331</f>
        <v>0</v>
      </c>
      <c r="AF331" s="49">
        <f t="shared" ref="AF331" si="272">+AF330+AE331</f>
        <v>0</v>
      </c>
    </row>
    <row r="332" spans="1:33" ht="16.2">
      <c r="A332" s="6" t="s">
        <v>401</v>
      </c>
      <c r="B332" s="88">
        <f>+Capex!$D$15</f>
        <v>0</v>
      </c>
      <c r="AG332" s="462"/>
    </row>
    <row r="333" spans="1:33">
      <c r="A333" s="6">
        <f>+A153</f>
        <v>2022</v>
      </c>
      <c r="B333" s="4">
        <f t="shared" ref="B333:B362" si="273">SUMIF($C$2:$AF$2,A333,$C$330:$AF$330)</f>
        <v>0</v>
      </c>
      <c r="C333" s="4">
        <f>IF($B$332=0,0,IF(C$2&gt;=$A333,IF(C$2=$A333,($B333/$B$332)*$B$329,IF(C$2&lt;=$A333+$B$332-1,$B333/$B$332,$B333-SUM(B333:$C333))),0))</f>
        <v>0</v>
      </c>
      <c r="D333" s="4">
        <f>IF($B$332=0,0,IF(D$2&gt;=$A333,IF(D$2=$A333,($B333/$B$332)*$B$329,IF(D$2&lt;=$A333+$B$332-1,$B333/$B$332,$B333-SUM(C333:$C333))),0))</f>
        <v>0</v>
      </c>
      <c r="E333" s="4">
        <f>IF($B$332=0,0,IF(E$2&gt;=$A333,IF(E$2=$A333,($B333/$B$332)*$B$329,IF(E$2&lt;=$A333+$B$332-1,$B333/$B$332,$B333-SUM($C333:D333))),0))</f>
        <v>0</v>
      </c>
      <c r="F333" s="4">
        <f>IF($B$332=0,0,IF(F$2&gt;=$A333,IF(F$2=$A333,($B333/$B$332)*$B$329,IF(F$2&lt;=$A333+$B$332-1,$B333/$B$332,$B333-SUM($C333:E333))),0))</f>
        <v>0</v>
      </c>
      <c r="G333" s="4">
        <f>IF($B$332=0,0,IF(G$2&gt;=$A333,IF(G$2=$A333,($B333/$B$332)*$B$329,IF(G$2&lt;=$A333+$B$332-1,$B333/$B$332,$B333-SUM($C333:F333))),0))</f>
        <v>0</v>
      </c>
      <c r="H333" s="4">
        <f>IF($B$332=0,0,IF(H$2&gt;=$A333,IF(H$2=$A333,($B333/$B$332)*$B$329,IF(H$2&lt;=$A333+$B$332-1,$B333/$B$332,$B333-SUM($C333:G333))),0))</f>
        <v>0</v>
      </c>
      <c r="I333" s="4">
        <f>IF($B$332=0,0,IF(I$2&gt;=$A333,IF(I$2=$A333,($B333/$B$332)*$B$329,IF(I$2&lt;=$A333+$B$332-1,$B333/$B$332,$B333-SUM($C333:H333))),0))</f>
        <v>0</v>
      </c>
      <c r="J333" s="4">
        <f>IF($B$332=0,0,IF(J$2&gt;=$A333,IF(J$2=$A333,($B333/$B$332)*$B$329,IF(J$2&lt;=$A333+$B$332-1,$B333/$B$332,$B333-SUM($C333:I333))),0))</f>
        <v>0</v>
      </c>
      <c r="K333" s="4">
        <f>IF($B$332=0,0,IF(K$2&gt;=$A333,IF(K$2=$A333,($B333/$B$332)*$B$329,IF(K$2&lt;=$A333+$B$332-1,$B333/$B$332,$B333-SUM($C333:J333))),0))</f>
        <v>0</v>
      </c>
      <c r="L333" s="4">
        <f>IF($B$332=0,0,IF(L$2&gt;=$A333,IF(L$2=$A333,($B333/$B$332)*$B$329,IF(L$2&lt;=$A333+$B$332-1,$B333/$B$332,$B333-SUM($C333:K333))),0))</f>
        <v>0</v>
      </c>
      <c r="M333" s="4">
        <f>IF($B$332=0,0,IF(M$2&gt;=$A333,IF(M$2=$A333,($B333/$B$332)*$B$329,IF(M$2&lt;=$A333+$B$332-1,$B333/$B$332,$B333-SUM($C333:L333))),0))</f>
        <v>0</v>
      </c>
      <c r="N333" s="4">
        <f>IF($B$332=0,0,IF(N$2&gt;=$A333,IF(N$2=$A333,($B333/$B$332)*$B$329,IF(N$2&lt;=$A333+$B$332-1,$B333/$B$332,$B333-SUM($C333:M333))),0))</f>
        <v>0</v>
      </c>
      <c r="O333" s="4">
        <f>IF($B$332=0,0,IF(O$2&gt;=$A333,IF(O$2=$A333,($B333/$B$332)*$B$329,IF(O$2&lt;=$A333+$B$332-1,$B333/$B$332,$B333-SUM($C333:N333))),0))</f>
        <v>0</v>
      </c>
      <c r="P333" s="4">
        <f>IF($B$332=0,0,IF(P$2&gt;=$A333,IF(P$2=$A333,($B333/$B$332)*$B$329,IF(P$2&lt;=$A333+$B$332-1,$B333/$B$332,$B333-SUM($C333:O333))),0))</f>
        <v>0</v>
      </c>
      <c r="Q333" s="4">
        <f>IF($B$332=0,0,IF(Q$2&gt;=$A333,IF(Q$2=$A333,($B333/$B$332)*$B$329,IF(Q$2&lt;=$A333+$B$332-1,$B333/$B$332,$B333-SUM($C333:P333))),0))</f>
        <v>0</v>
      </c>
      <c r="R333" s="4">
        <f>IF($B$332=0,0,IF(R$2&gt;=$A333,IF(R$2=$A333,($B333/$B$332)*$B$329,IF(R$2&lt;=$A333+$B$332-1,$B333/$B$332,$B333-SUM($C333:Q333))),0))</f>
        <v>0</v>
      </c>
      <c r="S333" s="4">
        <f>IF($B$332=0,0,IF(S$2&gt;=$A333,IF(S$2=$A333,($B333/$B$332)*$B$329,IF(S$2&lt;=$A333+$B$332-1,$B333/$B$332,$B333-SUM($C333:R333))),0))</f>
        <v>0</v>
      </c>
      <c r="T333" s="4">
        <f>IF($B$332=0,0,IF(T$2&gt;=$A333,IF(T$2=$A333,($B333/$B$332)*$B$329,IF(T$2&lt;=$A333+$B$332-1,$B333/$B$332,$B333-SUM($C333:S333))),0))</f>
        <v>0</v>
      </c>
      <c r="U333" s="4">
        <f>IF($B$332=0,0,IF(U$2&gt;=$A333,IF(U$2=$A333,($B333/$B$332)*$B$329,IF(U$2&lt;=$A333+$B$332-1,$B333/$B$332,$B333-SUM($C333:T333))),0))</f>
        <v>0</v>
      </c>
      <c r="V333" s="4">
        <f>IF($B$332=0,0,IF(V$2&gt;=$A333,IF(V$2=$A333,($B333/$B$332)*$B$329,IF(V$2&lt;=$A333+$B$332-1,$B333/$B$332,$B333-SUM($C333:U333))),0))</f>
        <v>0</v>
      </c>
      <c r="W333" s="4">
        <f>IF($B$332=0,0,IF(W$2&gt;=$A333,IF(W$2=$A333,($B333/$B$332)*$B$329,IF(W$2&lt;=$A333+$B$332-1,$B333/$B$332,$B333-SUM($C333:V333))),0))</f>
        <v>0</v>
      </c>
      <c r="X333" s="4">
        <f>IF($B$332=0,0,IF(X$2&gt;=$A333,IF(X$2=$A333,($B333/$B$332)*$B$329,IF(X$2&lt;=$A333+$B$332-1,$B333/$B$332,$B333-SUM($C333:W333))),0))</f>
        <v>0</v>
      </c>
      <c r="Y333" s="4">
        <f>IF($B$332=0,0,IF(Y$2&gt;=$A333,IF(Y$2=$A333,($B333/$B$332)*$B$329,IF(Y$2&lt;=$A333+$B$332-1,$B333/$B$332,$B333-SUM($C333:X333))),0))</f>
        <v>0</v>
      </c>
      <c r="Z333" s="4">
        <f>IF($B$332=0,0,IF(Z$2&gt;=$A333,IF(Z$2=$A333,($B333/$B$332)*$B$329,IF(Z$2&lt;=$A333+$B$332-1,$B333/$B$332,$B333-SUM($C333:Y333))),0))</f>
        <v>0</v>
      </c>
      <c r="AA333" s="4">
        <f>IF($B$332=0,0,IF(AA$2&gt;=$A333,IF(AA$2=$A333,($B333/$B$332)*$B$329,IF(AA$2&lt;=$A333+$B$332-1,$B333/$B$332,$B333-SUM($C333:Z333))),0))</f>
        <v>0</v>
      </c>
      <c r="AB333" s="4">
        <f>IF($B$332=0,0,IF(AB$2&gt;=$A333,IF(AB$2=$A333,($B333/$B$332)*$B$329,IF(AB$2&lt;=$A333+$B$332-1,$B333/$B$332,$B333-SUM($C333:AA333))),0))</f>
        <v>0</v>
      </c>
      <c r="AC333" s="4">
        <f>IF($B$332=0,0,IF(AC$2&gt;=$A333,IF(AC$2=$A333,($B333/$B$332)*$B$329,IF(AC$2&lt;=$A333+$B$332-1,$B333/$B$332,$B333-SUM($C333:AB333))),0))</f>
        <v>0</v>
      </c>
      <c r="AD333" s="4">
        <f>IF($B$332=0,0,IF(AD$2&gt;=$A333,IF(AD$2=$A333,($B333/$B$332)*$B$329,IF(AD$2&lt;=$A333+$B$332-1,$B333/$B$332,$B333-SUM($C333:AC333))),0))</f>
        <v>0</v>
      </c>
      <c r="AE333" s="4">
        <f>IF($B$332=0,0,IF(AE$2&gt;=$A333,IF(AE$2=$A333,($B333/$B$332)*$B$329,IF(AE$2&lt;=$A333+$B$332-1,$B333/$B$332,$B333-SUM($C333:AD333))),0))</f>
        <v>0</v>
      </c>
      <c r="AF333" s="4">
        <f>IF($B$332=0,0,IF(AF$2&gt;=$A333,IF(AF$2=$A333,($B333/$B$332)*$B$329,IF(AF$2&lt;=$A333+$B$332-1,$B333/$B$332,$B333-SUM($C333:AE333))),0))</f>
        <v>0</v>
      </c>
      <c r="AG333" s="4">
        <f t="shared" ref="AG333:AG357" si="274">SUM(C333:AF333)</f>
        <v>0</v>
      </c>
    </row>
    <row r="334" spans="1:33">
      <c r="A334" s="6">
        <f>+A333+1</f>
        <v>2023</v>
      </c>
      <c r="B334" s="4">
        <f t="shared" si="273"/>
        <v>0</v>
      </c>
      <c r="C334" s="4">
        <f>IF($B$332=0,0,IF(C$2&gt;=$A334,IF(C$2=$A334,($B334/$B$332)*$B$329,IF(C$2&lt;=$A334+$B$332-1,$B334/$B$332,$B334-SUM(B334:$C334))),0))</f>
        <v>0</v>
      </c>
      <c r="D334" s="4">
        <f>IF($B$332=0,0,IF(D$2&gt;=$A334,IF(D$2=$A334,($B334/$B$332)*$B$329,IF(D$2&lt;=$A334+$B$332-1,$B334/$B$332,$B334-SUM(C334:$C334))),0))</f>
        <v>0</v>
      </c>
      <c r="E334" s="4">
        <f>IF($B$332=0,0,IF(E$2&gt;=$A334,IF(E$2=$A334,($B334/$B$332)*$B$329,IF(E$2&lt;=$A334+$B$332-1,$B334/$B$332,$B334-SUM($C334:D334))),0))</f>
        <v>0</v>
      </c>
      <c r="F334" s="4">
        <f>IF($B$332=0,0,IF(F$2&gt;=$A334,IF(F$2=$A334,($B334/$B$332)*$B$329,IF(F$2&lt;=$A334+$B$332-1,$B334/$B$332,$B334-SUM($C334:E334))),0))</f>
        <v>0</v>
      </c>
      <c r="G334" s="4">
        <f>IF($B$332=0,0,IF(G$2&gt;=$A334,IF(G$2=$A334,($B334/$B$332)*$B$329,IF(G$2&lt;=$A334+$B$332-1,$B334/$B$332,$B334-SUM($C334:F334))),0))</f>
        <v>0</v>
      </c>
      <c r="H334" s="4">
        <f>IF($B$332=0,0,IF(H$2&gt;=$A334,IF(H$2=$A334,($B334/$B$332)*$B$329,IF(H$2&lt;=$A334+$B$332-1,$B334/$B$332,$B334-SUM($C334:G334))),0))</f>
        <v>0</v>
      </c>
      <c r="I334" s="4">
        <f>IF($B$332=0,0,IF(I$2&gt;=$A334,IF(I$2=$A334,($B334/$B$332)*$B$329,IF(I$2&lt;=$A334+$B$332-1,$B334/$B$332,$B334-SUM($C334:H334))),0))</f>
        <v>0</v>
      </c>
      <c r="J334" s="4">
        <f>IF($B$332=0,0,IF(J$2&gt;=$A334,IF(J$2=$A334,($B334/$B$332)*$B$329,IF(J$2&lt;=$A334+$B$332-1,$B334/$B$332,$B334-SUM($C334:I334))),0))</f>
        <v>0</v>
      </c>
      <c r="K334" s="4">
        <f>IF($B$332=0,0,IF(K$2&gt;=$A334,IF(K$2=$A334,($B334/$B$332)*$B$329,IF(K$2&lt;=$A334+$B$332-1,$B334/$B$332,$B334-SUM($C334:J334))),0))</f>
        <v>0</v>
      </c>
      <c r="L334" s="4">
        <f>IF($B$332=0,0,IF(L$2&gt;=$A334,IF(L$2=$A334,($B334/$B$332)*$B$329,IF(L$2&lt;=$A334+$B$332-1,$B334/$B$332,$B334-SUM($C334:K334))),0))</f>
        <v>0</v>
      </c>
      <c r="M334" s="4">
        <f>IF($B$332=0,0,IF(M$2&gt;=$A334,IF(M$2=$A334,($B334/$B$332)*$B$329,IF(M$2&lt;=$A334+$B$332-1,$B334/$B$332,$B334-SUM($C334:L334))),0))</f>
        <v>0</v>
      </c>
      <c r="N334" s="4">
        <f>IF($B$332=0,0,IF(N$2&gt;=$A334,IF(N$2=$A334,($B334/$B$332)*$B$329,IF(N$2&lt;=$A334+$B$332-1,$B334/$B$332,$B334-SUM($C334:M334))),0))</f>
        <v>0</v>
      </c>
      <c r="O334" s="4">
        <f>IF($B$332=0,0,IF(O$2&gt;=$A334,IF(O$2=$A334,($B334/$B$332)*$B$329,IF(O$2&lt;=$A334+$B$332-1,$B334/$B$332,$B334-SUM($C334:N334))),0))</f>
        <v>0</v>
      </c>
      <c r="P334" s="4">
        <f>IF($B$332=0,0,IF(P$2&gt;=$A334,IF(P$2=$A334,($B334/$B$332)*$B$329,IF(P$2&lt;=$A334+$B$332-1,$B334/$B$332,$B334-SUM($C334:O334))),0))</f>
        <v>0</v>
      </c>
      <c r="Q334" s="4">
        <f>IF($B$332=0,0,IF(Q$2&gt;=$A334,IF(Q$2=$A334,($B334/$B$332)*$B$329,IF(Q$2&lt;=$A334+$B$332-1,$B334/$B$332,$B334-SUM($C334:P334))),0))</f>
        <v>0</v>
      </c>
      <c r="R334" s="4">
        <f>IF($B$332=0,0,IF(R$2&gt;=$A334,IF(R$2=$A334,($B334/$B$332)*$B$329,IF(R$2&lt;=$A334+$B$332-1,$B334/$B$332,$B334-SUM($C334:Q334))),0))</f>
        <v>0</v>
      </c>
      <c r="S334" s="4">
        <f>IF($B$332=0,0,IF(S$2&gt;=$A334,IF(S$2=$A334,($B334/$B$332)*$B$329,IF(S$2&lt;=$A334+$B$332-1,$B334/$B$332,$B334-SUM($C334:R334))),0))</f>
        <v>0</v>
      </c>
      <c r="T334" s="4">
        <f>IF($B$332=0,0,IF(T$2&gt;=$A334,IF(T$2=$A334,($B334/$B$332)*$B$329,IF(T$2&lt;=$A334+$B$332-1,$B334/$B$332,$B334-SUM($C334:S334))),0))</f>
        <v>0</v>
      </c>
      <c r="U334" s="4">
        <f>IF($B$332=0,0,IF(U$2&gt;=$A334,IF(U$2=$A334,($B334/$B$332)*$B$329,IF(U$2&lt;=$A334+$B$332-1,$B334/$B$332,$B334-SUM($C334:T334))),0))</f>
        <v>0</v>
      </c>
      <c r="V334" s="4">
        <f>IF($B$332=0,0,IF(V$2&gt;=$A334,IF(V$2=$A334,($B334/$B$332)*$B$329,IF(V$2&lt;=$A334+$B$332-1,$B334/$B$332,$B334-SUM($C334:U334))),0))</f>
        <v>0</v>
      </c>
      <c r="W334" s="4">
        <f>IF($B$332=0,0,IF(W$2&gt;=$A334,IF(W$2=$A334,($B334/$B$332)*$B$329,IF(W$2&lt;=$A334+$B$332-1,$B334/$B$332,$B334-SUM($C334:V334))),0))</f>
        <v>0</v>
      </c>
      <c r="X334" s="4">
        <f>IF($B$332=0,0,IF(X$2&gt;=$A334,IF(X$2=$A334,($B334/$B$332)*$B$329,IF(X$2&lt;=$A334+$B$332-1,$B334/$B$332,$B334-SUM($C334:W334))),0))</f>
        <v>0</v>
      </c>
      <c r="Y334" s="4">
        <f>IF($B$332=0,0,IF(Y$2&gt;=$A334,IF(Y$2=$A334,($B334/$B$332)*$B$329,IF(Y$2&lt;=$A334+$B$332-1,$B334/$B$332,$B334-SUM($C334:X334))),0))</f>
        <v>0</v>
      </c>
      <c r="Z334" s="4">
        <f>IF($B$332=0,0,IF(Z$2&gt;=$A334,IF(Z$2=$A334,($B334/$B$332)*$B$329,IF(Z$2&lt;=$A334+$B$332-1,$B334/$B$332,$B334-SUM($C334:Y334))),0))</f>
        <v>0</v>
      </c>
      <c r="AA334" s="4">
        <f>IF($B$332=0,0,IF(AA$2&gt;=$A334,IF(AA$2=$A334,($B334/$B$332)*$B$329,IF(AA$2&lt;=$A334+$B$332-1,$B334/$B$332,$B334-SUM($C334:Z334))),0))</f>
        <v>0</v>
      </c>
      <c r="AB334" s="4">
        <f>IF($B$332=0,0,IF(AB$2&gt;=$A334,IF(AB$2=$A334,($B334/$B$332)*$B$329,IF(AB$2&lt;=$A334+$B$332-1,$B334/$B$332,$B334-SUM($C334:AA334))),0))</f>
        <v>0</v>
      </c>
      <c r="AC334" s="4">
        <f>IF($B$332=0,0,IF(AC$2&gt;=$A334,IF(AC$2=$A334,($B334/$B$332)*$B$329,IF(AC$2&lt;=$A334+$B$332-1,$B334/$B$332,$B334-SUM($C334:AB334))),0))</f>
        <v>0</v>
      </c>
      <c r="AD334" s="4">
        <f>IF($B$332=0,0,IF(AD$2&gt;=$A334,IF(AD$2=$A334,($B334/$B$332)*$B$329,IF(AD$2&lt;=$A334+$B$332-1,$B334/$B$332,$B334-SUM($C334:AC334))),0))</f>
        <v>0</v>
      </c>
      <c r="AE334" s="4">
        <f>IF($B$332=0,0,IF(AE$2&gt;=$A334,IF(AE$2=$A334,($B334/$B$332)*$B$329,IF(AE$2&lt;=$A334+$B$332-1,$B334/$B$332,$B334-SUM($C334:AD334))),0))</f>
        <v>0</v>
      </c>
      <c r="AF334" s="4">
        <f>IF($B$332=0,0,IF(AF$2&gt;=$A334,IF(AF$2=$A334,($B334/$B$332)*$B$329,IF(AF$2&lt;=$A334+$B$332-1,$B334/$B$332,$B334-SUM($C334:AE334))),0))</f>
        <v>0</v>
      </c>
      <c r="AG334" s="4">
        <f t="shared" si="274"/>
        <v>0</v>
      </c>
    </row>
    <row r="335" spans="1:33">
      <c r="A335" s="6">
        <f t="shared" ref="A335:A362" si="275">+A334+1</f>
        <v>2024</v>
      </c>
      <c r="B335" s="4">
        <f t="shared" si="273"/>
        <v>0</v>
      </c>
      <c r="C335" s="4">
        <f>IF($B$332=0,0,IF(C$2&gt;=$A335,IF(C$2=$A335,($B335/$B$332)*$B$329,IF(C$2&lt;=$A335+$B$332-1,$B335/$B$332,$B335-SUM(B335:$C335))),0))</f>
        <v>0</v>
      </c>
      <c r="D335" s="4">
        <f>IF($B$332=0,0,IF(D$2&gt;=$A335,IF(D$2=$A335,($B335/$B$332)*$B$329,IF(D$2&lt;=$A335+$B$332-1,$B335/$B$332,$B335-SUM(C335:$C335))),0))</f>
        <v>0</v>
      </c>
      <c r="E335" s="4">
        <f>IF($B$332=0,0,IF(E$2&gt;=$A335,IF(E$2=$A335,($B335/$B$332)*$B$329,IF(E$2&lt;=$A335+$B$332-1,$B335/$B$332,$B335-SUM($C335:D335))),0))</f>
        <v>0</v>
      </c>
      <c r="F335" s="4">
        <f>IF($B$332=0,0,IF(F$2&gt;=$A335,IF(F$2=$A335,($B335/$B$332)*$B$329,IF(F$2&lt;=$A335+$B$332-1,$B335/$B$332,$B335-SUM($C335:E335))),0))</f>
        <v>0</v>
      </c>
      <c r="G335" s="4">
        <f>IF($B$332=0,0,IF(G$2&gt;=$A335,IF(G$2=$A335,($B335/$B$332)*$B$329,IF(G$2&lt;=$A335+$B$332-1,$B335/$B$332,$B335-SUM($C335:F335))),0))</f>
        <v>0</v>
      </c>
      <c r="H335" s="4">
        <f>IF($B$332=0,0,IF(H$2&gt;=$A335,IF(H$2=$A335,($B335/$B$332)*$B$329,IF(H$2&lt;=$A335+$B$332-1,$B335/$B$332,$B335-SUM($C335:G335))),0))</f>
        <v>0</v>
      </c>
      <c r="I335" s="4">
        <f>IF($B$332=0,0,IF(I$2&gt;=$A335,IF(I$2=$A335,($B335/$B$332)*$B$329,IF(I$2&lt;=$A335+$B$332-1,$B335/$B$332,$B335-SUM($C335:H335))),0))</f>
        <v>0</v>
      </c>
      <c r="J335" s="4">
        <f>IF($B$332=0,0,IF(J$2&gt;=$A335,IF(J$2=$A335,($B335/$B$332)*$B$329,IF(J$2&lt;=$A335+$B$332-1,$B335/$B$332,$B335-SUM($C335:I335))),0))</f>
        <v>0</v>
      </c>
      <c r="K335" s="4">
        <f>IF($B$332=0,0,IF(K$2&gt;=$A335,IF(K$2=$A335,($B335/$B$332)*$B$329,IF(K$2&lt;=$A335+$B$332-1,$B335/$B$332,$B335-SUM($C335:J335))),0))</f>
        <v>0</v>
      </c>
      <c r="L335" s="4">
        <f>IF($B$332=0,0,IF(L$2&gt;=$A335,IF(L$2=$A335,($B335/$B$332)*$B$329,IF(L$2&lt;=$A335+$B$332-1,$B335/$B$332,$B335-SUM($C335:K335))),0))</f>
        <v>0</v>
      </c>
      <c r="M335" s="4">
        <f>IF($B$332=0,0,IF(M$2&gt;=$A335,IF(M$2=$A335,($B335/$B$332)*$B$329,IF(M$2&lt;=$A335+$B$332-1,$B335/$B$332,$B335-SUM($C335:L335))),0))</f>
        <v>0</v>
      </c>
      <c r="N335" s="4">
        <f>IF($B$332=0,0,IF(N$2&gt;=$A335,IF(N$2=$A335,($B335/$B$332)*$B$329,IF(N$2&lt;=$A335+$B$332-1,$B335/$B$332,$B335-SUM($C335:M335))),0))</f>
        <v>0</v>
      </c>
      <c r="O335" s="4">
        <f>IF($B$332=0,0,IF(O$2&gt;=$A335,IF(O$2=$A335,($B335/$B$332)*$B$329,IF(O$2&lt;=$A335+$B$332-1,$B335/$B$332,$B335-SUM($C335:N335))),0))</f>
        <v>0</v>
      </c>
      <c r="P335" s="4">
        <f>IF($B$332=0,0,IF(P$2&gt;=$A335,IF(P$2=$A335,($B335/$B$332)*$B$329,IF(P$2&lt;=$A335+$B$332-1,$B335/$B$332,$B335-SUM($C335:O335))),0))</f>
        <v>0</v>
      </c>
      <c r="Q335" s="4">
        <f>IF($B$332=0,0,IF(Q$2&gt;=$A335,IF(Q$2=$A335,($B335/$B$332)*$B$329,IF(Q$2&lt;=$A335+$B$332-1,$B335/$B$332,$B335-SUM($C335:P335))),0))</f>
        <v>0</v>
      </c>
      <c r="R335" s="4">
        <f>IF($B$332=0,0,IF(R$2&gt;=$A335,IF(R$2=$A335,($B335/$B$332)*$B$329,IF(R$2&lt;=$A335+$B$332-1,$B335/$B$332,$B335-SUM($C335:Q335))),0))</f>
        <v>0</v>
      </c>
      <c r="S335" s="4">
        <f>IF($B$332=0,0,IF(S$2&gt;=$A335,IF(S$2=$A335,($B335/$B$332)*$B$329,IF(S$2&lt;=$A335+$B$332-1,$B335/$B$332,$B335-SUM($C335:R335))),0))</f>
        <v>0</v>
      </c>
      <c r="T335" s="4">
        <f>IF($B$332=0,0,IF(T$2&gt;=$A335,IF(T$2=$A335,($B335/$B$332)*$B$329,IF(T$2&lt;=$A335+$B$332-1,$B335/$B$332,$B335-SUM($C335:S335))),0))</f>
        <v>0</v>
      </c>
      <c r="U335" s="4">
        <f>IF($B$332=0,0,IF(U$2&gt;=$A335,IF(U$2=$A335,($B335/$B$332)*$B$329,IF(U$2&lt;=$A335+$B$332-1,$B335/$B$332,$B335-SUM($C335:T335))),0))</f>
        <v>0</v>
      </c>
      <c r="V335" s="4">
        <f>IF($B$332=0,0,IF(V$2&gt;=$A335,IF(V$2=$A335,($B335/$B$332)*$B$329,IF(V$2&lt;=$A335+$B$332-1,$B335/$B$332,$B335-SUM($C335:U335))),0))</f>
        <v>0</v>
      </c>
      <c r="W335" s="4">
        <f>IF($B$332=0,0,IF(W$2&gt;=$A335,IF(W$2=$A335,($B335/$B$332)*$B$329,IF(W$2&lt;=$A335+$B$332-1,$B335/$B$332,$B335-SUM($C335:V335))),0))</f>
        <v>0</v>
      </c>
      <c r="X335" s="4">
        <f>IF($B$332=0,0,IF(X$2&gt;=$A335,IF(X$2=$A335,($B335/$B$332)*$B$329,IF(X$2&lt;=$A335+$B$332-1,$B335/$B$332,$B335-SUM($C335:W335))),0))</f>
        <v>0</v>
      </c>
      <c r="Y335" s="4">
        <f>IF($B$332=0,0,IF(Y$2&gt;=$A335,IF(Y$2=$A335,($B335/$B$332)*$B$329,IF(Y$2&lt;=$A335+$B$332-1,$B335/$B$332,$B335-SUM($C335:X335))),0))</f>
        <v>0</v>
      </c>
      <c r="Z335" s="4">
        <f>IF($B$332=0,0,IF(Z$2&gt;=$A335,IF(Z$2=$A335,($B335/$B$332)*$B$329,IF(Z$2&lt;=$A335+$B$332-1,$B335/$B$332,$B335-SUM($C335:Y335))),0))</f>
        <v>0</v>
      </c>
      <c r="AA335" s="4">
        <f>IF($B$332=0,0,IF(AA$2&gt;=$A335,IF(AA$2=$A335,($B335/$B$332)*$B$329,IF(AA$2&lt;=$A335+$B$332-1,$B335/$B$332,$B335-SUM($C335:Z335))),0))</f>
        <v>0</v>
      </c>
      <c r="AB335" s="4">
        <f>IF($B$332=0,0,IF(AB$2&gt;=$A335,IF(AB$2=$A335,($B335/$B$332)*$B$329,IF(AB$2&lt;=$A335+$B$332-1,$B335/$B$332,$B335-SUM($C335:AA335))),0))</f>
        <v>0</v>
      </c>
      <c r="AC335" s="4">
        <f>IF($B$332=0,0,IF(AC$2&gt;=$A335,IF(AC$2=$A335,($B335/$B$332)*$B$329,IF(AC$2&lt;=$A335+$B$332-1,$B335/$B$332,$B335-SUM($C335:AB335))),0))</f>
        <v>0</v>
      </c>
      <c r="AD335" s="4">
        <f>IF($B$332=0,0,IF(AD$2&gt;=$A335,IF(AD$2=$A335,($B335/$B$332)*$B$329,IF(AD$2&lt;=$A335+$B$332-1,$B335/$B$332,$B335-SUM($C335:AC335))),0))</f>
        <v>0</v>
      </c>
      <c r="AE335" s="4">
        <f>IF($B$332=0,0,IF(AE$2&gt;=$A335,IF(AE$2=$A335,($B335/$B$332)*$B$329,IF(AE$2&lt;=$A335+$B$332-1,$B335/$B$332,$B335-SUM($C335:AD335))),0))</f>
        <v>0</v>
      </c>
      <c r="AF335" s="4">
        <f>IF($B$332=0,0,IF(AF$2&gt;=$A335,IF(AF$2=$A335,($B335/$B$332)*$B$329,IF(AF$2&lt;=$A335+$B$332-1,$B335/$B$332,$B335-SUM($C335:AE335))),0))</f>
        <v>0</v>
      </c>
      <c r="AG335" s="4">
        <f t="shared" si="274"/>
        <v>0</v>
      </c>
    </row>
    <row r="336" spans="1:33">
      <c r="A336" s="6">
        <f t="shared" si="275"/>
        <v>2025</v>
      </c>
      <c r="B336" s="4">
        <f t="shared" si="273"/>
        <v>0</v>
      </c>
      <c r="C336" s="4">
        <f>IF($B$332=0,0,IF(C$2&gt;=$A336,IF(C$2=$A336,($B336/$B$332)*$B$329,IF(C$2&lt;=$A336+$B$332-1,$B336/$B$332,$B336-SUM(B336:$C336))),0))</f>
        <v>0</v>
      </c>
      <c r="D336" s="4">
        <f>IF($B$332=0,0,IF(D$2&gt;=$A336,IF(D$2=$A336,($B336/$B$332)*$B$329,IF(D$2&lt;=$A336+$B$332-1,$B336/$B$332,$B336-SUM(C336:$C336))),0))</f>
        <v>0</v>
      </c>
      <c r="E336" s="4">
        <f>IF($B$332=0,0,IF(E$2&gt;=$A336,IF(E$2=$A336,($B336/$B$332)*$B$329,IF(E$2&lt;=$A336+$B$332-1,$B336/$B$332,$B336-SUM($C336:D336))),0))</f>
        <v>0</v>
      </c>
      <c r="F336" s="4">
        <f>IF($B$332=0,0,IF(F$2&gt;=$A336,IF(F$2=$A336,($B336/$B$332)*$B$329,IF(F$2&lt;=$A336+$B$332-1,$B336/$B$332,$B336-SUM($C336:E336))),0))</f>
        <v>0</v>
      </c>
      <c r="G336" s="4">
        <f>IF($B$332=0,0,IF(G$2&gt;=$A336,IF(G$2=$A336,($B336/$B$332)*$B$329,IF(G$2&lt;=$A336+$B$332-1,$B336/$B$332,$B336-SUM($C336:F336))),0))</f>
        <v>0</v>
      </c>
      <c r="H336" s="4">
        <f>IF($B$332=0,0,IF(H$2&gt;=$A336,IF(H$2=$A336,($B336/$B$332)*$B$329,IF(H$2&lt;=$A336+$B$332-1,$B336/$B$332,$B336-SUM($C336:G336))),0))</f>
        <v>0</v>
      </c>
      <c r="I336" s="4">
        <f>IF($B$332=0,0,IF(I$2&gt;=$A336,IF(I$2=$A336,($B336/$B$332)*$B$329,IF(I$2&lt;=$A336+$B$332-1,$B336/$B$332,$B336-SUM($C336:H336))),0))</f>
        <v>0</v>
      </c>
      <c r="J336" s="4">
        <f>IF($B$332=0,0,IF(J$2&gt;=$A336,IF(J$2=$A336,($B336/$B$332)*$B$329,IF(J$2&lt;=$A336+$B$332-1,$B336/$B$332,$B336-SUM($C336:I336))),0))</f>
        <v>0</v>
      </c>
      <c r="K336" s="4">
        <f>IF($B$332=0,0,IF(K$2&gt;=$A336,IF(K$2=$A336,($B336/$B$332)*$B$329,IF(K$2&lt;=$A336+$B$332-1,$B336/$B$332,$B336-SUM($C336:J336))),0))</f>
        <v>0</v>
      </c>
      <c r="L336" s="4">
        <f>IF($B$332=0,0,IF(L$2&gt;=$A336,IF(L$2=$A336,($B336/$B$332)*$B$329,IF(L$2&lt;=$A336+$B$332-1,$B336/$B$332,$B336-SUM($C336:K336))),0))</f>
        <v>0</v>
      </c>
      <c r="M336" s="4">
        <f>IF($B$332=0,0,IF(M$2&gt;=$A336,IF(M$2=$A336,($B336/$B$332)*$B$329,IF(M$2&lt;=$A336+$B$332-1,$B336/$B$332,$B336-SUM($C336:L336))),0))</f>
        <v>0</v>
      </c>
      <c r="N336" s="4">
        <f>IF($B$332=0,0,IF(N$2&gt;=$A336,IF(N$2=$A336,($B336/$B$332)*$B$329,IF(N$2&lt;=$A336+$B$332-1,$B336/$B$332,$B336-SUM($C336:M336))),0))</f>
        <v>0</v>
      </c>
      <c r="O336" s="4">
        <f>IF($B$332=0,0,IF(O$2&gt;=$A336,IF(O$2=$A336,($B336/$B$332)*$B$329,IF(O$2&lt;=$A336+$B$332-1,$B336/$B$332,$B336-SUM($C336:N336))),0))</f>
        <v>0</v>
      </c>
      <c r="P336" s="4">
        <f>IF($B$332=0,0,IF(P$2&gt;=$A336,IF(P$2=$A336,($B336/$B$332)*$B$329,IF(P$2&lt;=$A336+$B$332-1,$B336/$B$332,$B336-SUM($C336:O336))),0))</f>
        <v>0</v>
      </c>
      <c r="Q336" s="4">
        <f>IF($B$332=0,0,IF(Q$2&gt;=$A336,IF(Q$2=$A336,($B336/$B$332)*$B$329,IF(Q$2&lt;=$A336+$B$332-1,$B336/$B$332,$B336-SUM($C336:P336))),0))</f>
        <v>0</v>
      </c>
      <c r="R336" s="4">
        <f>IF($B$332=0,0,IF(R$2&gt;=$A336,IF(R$2=$A336,($B336/$B$332)*$B$329,IF(R$2&lt;=$A336+$B$332-1,$B336/$B$332,$B336-SUM($C336:Q336))),0))</f>
        <v>0</v>
      </c>
      <c r="S336" s="4">
        <f>IF($B$332=0,0,IF(S$2&gt;=$A336,IF(S$2=$A336,($B336/$B$332)*$B$329,IF(S$2&lt;=$A336+$B$332-1,$B336/$B$332,$B336-SUM($C336:R336))),0))</f>
        <v>0</v>
      </c>
      <c r="T336" s="4">
        <f>IF($B$332=0,0,IF(T$2&gt;=$A336,IF(T$2=$A336,($B336/$B$332)*$B$329,IF(T$2&lt;=$A336+$B$332-1,$B336/$B$332,$B336-SUM($C336:S336))),0))</f>
        <v>0</v>
      </c>
      <c r="U336" s="4">
        <f>IF($B$332=0,0,IF(U$2&gt;=$A336,IF(U$2=$A336,($B336/$B$332)*$B$329,IF(U$2&lt;=$A336+$B$332-1,$B336/$B$332,$B336-SUM($C336:T336))),0))</f>
        <v>0</v>
      </c>
      <c r="V336" s="4">
        <f>IF($B$332=0,0,IF(V$2&gt;=$A336,IF(V$2=$A336,($B336/$B$332)*$B$329,IF(V$2&lt;=$A336+$B$332-1,$B336/$B$332,$B336-SUM($C336:U336))),0))</f>
        <v>0</v>
      </c>
      <c r="W336" s="4">
        <f>IF($B$332=0,0,IF(W$2&gt;=$A336,IF(W$2=$A336,($B336/$B$332)*$B$329,IF(W$2&lt;=$A336+$B$332-1,$B336/$B$332,$B336-SUM($C336:V336))),0))</f>
        <v>0</v>
      </c>
      <c r="X336" s="4">
        <f>IF($B$332=0,0,IF(X$2&gt;=$A336,IF(X$2=$A336,($B336/$B$332)*$B$329,IF(X$2&lt;=$A336+$B$332-1,$B336/$B$332,$B336-SUM($C336:W336))),0))</f>
        <v>0</v>
      </c>
      <c r="Y336" s="4">
        <f>IF($B$332=0,0,IF(Y$2&gt;=$A336,IF(Y$2=$A336,($B336/$B$332)*$B$329,IF(Y$2&lt;=$A336+$B$332-1,$B336/$B$332,$B336-SUM($C336:X336))),0))</f>
        <v>0</v>
      </c>
      <c r="Z336" s="4">
        <f>IF($B$332=0,0,IF(Z$2&gt;=$A336,IF(Z$2=$A336,($B336/$B$332)*$B$329,IF(Z$2&lt;=$A336+$B$332-1,$B336/$B$332,$B336-SUM($C336:Y336))),0))</f>
        <v>0</v>
      </c>
      <c r="AA336" s="4">
        <f>IF($B$332=0,0,IF(AA$2&gt;=$A336,IF(AA$2=$A336,($B336/$B$332)*$B$329,IF(AA$2&lt;=$A336+$B$332-1,$B336/$B$332,$B336-SUM($C336:Z336))),0))</f>
        <v>0</v>
      </c>
      <c r="AB336" s="4">
        <f>IF($B$332=0,0,IF(AB$2&gt;=$A336,IF(AB$2=$A336,($B336/$B$332)*$B$329,IF(AB$2&lt;=$A336+$B$332-1,$B336/$B$332,$B336-SUM($C336:AA336))),0))</f>
        <v>0</v>
      </c>
      <c r="AC336" s="4">
        <f>IF($B$332=0,0,IF(AC$2&gt;=$A336,IF(AC$2=$A336,($B336/$B$332)*$B$329,IF(AC$2&lt;=$A336+$B$332-1,$B336/$B$332,$B336-SUM($C336:AB336))),0))</f>
        <v>0</v>
      </c>
      <c r="AD336" s="4">
        <f>IF($B$332=0,0,IF(AD$2&gt;=$A336,IF(AD$2=$A336,($B336/$B$332)*$B$329,IF(AD$2&lt;=$A336+$B$332-1,$B336/$B$332,$B336-SUM($C336:AC336))),0))</f>
        <v>0</v>
      </c>
      <c r="AE336" s="4">
        <f>IF($B$332=0,0,IF(AE$2&gt;=$A336,IF(AE$2=$A336,($B336/$B$332)*$B$329,IF(AE$2&lt;=$A336+$B$332-1,$B336/$B$332,$B336-SUM($C336:AD336))),0))</f>
        <v>0</v>
      </c>
      <c r="AF336" s="4">
        <f>IF($B$332=0,0,IF(AF$2&gt;=$A336,IF(AF$2=$A336,($B336/$B$332)*$B$329,IF(AF$2&lt;=$A336+$B$332-1,$B336/$B$332,$B336-SUM($C336:AE336))),0))</f>
        <v>0</v>
      </c>
      <c r="AG336" s="4">
        <f t="shared" si="274"/>
        <v>0</v>
      </c>
    </row>
    <row r="337" spans="1:33">
      <c r="A337" s="6">
        <f t="shared" si="275"/>
        <v>2026</v>
      </c>
      <c r="B337" s="4">
        <f t="shared" si="273"/>
        <v>0</v>
      </c>
      <c r="C337" s="4">
        <f>IF($B$332=0,0,IF(C$2&gt;=$A337,IF(C$2=$A337,($B337/$B$332)*$B$329,IF(C$2&lt;=$A337+$B$332-1,$B337/$B$332,$B337-SUM(B337:$C337))),0))</f>
        <v>0</v>
      </c>
      <c r="D337" s="4">
        <f>IF($B$332=0,0,IF(D$2&gt;=$A337,IF(D$2=$A337,($B337/$B$332)*$B$329,IF(D$2&lt;=$A337+$B$332-1,$B337/$B$332,$B337-SUM(C337:$C337))),0))</f>
        <v>0</v>
      </c>
      <c r="E337" s="4">
        <f>IF($B$332=0,0,IF(E$2&gt;=$A337,IF(E$2=$A337,($B337/$B$332)*$B$329,IF(E$2&lt;=$A337+$B$332-1,$B337/$B$332,$B337-SUM($C337:D337))),0))</f>
        <v>0</v>
      </c>
      <c r="F337" s="4">
        <f>IF($B$332=0,0,IF(F$2&gt;=$A337,IF(F$2=$A337,($B337/$B$332)*$B$329,IF(F$2&lt;=$A337+$B$332-1,$B337/$B$332,$B337-SUM($C337:E337))),0))</f>
        <v>0</v>
      </c>
      <c r="G337" s="4">
        <f>IF($B$332=0,0,IF(G$2&gt;=$A337,IF(G$2=$A337,($B337/$B$332)*$B$329,IF(G$2&lt;=$A337+$B$332-1,$B337/$B$332,$B337-SUM($C337:F337))),0))</f>
        <v>0</v>
      </c>
      <c r="H337" s="4">
        <f>IF($B$332=0,0,IF(H$2&gt;=$A337,IF(H$2=$A337,($B337/$B$332)*$B$329,IF(H$2&lt;=$A337+$B$332-1,$B337/$B$332,$B337-SUM($C337:G337))),0))</f>
        <v>0</v>
      </c>
      <c r="I337" s="4">
        <f>IF($B$332=0,0,IF(I$2&gt;=$A337,IF(I$2=$A337,($B337/$B$332)*$B$329,IF(I$2&lt;=$A337+$B$332-1,$B337/$B$332,$B337-SUM($C337:H337))),0))</f>
        <v>0</v>
      </c>
      <c r="J337" s="4">
        <f>IF($B$332=0,0,IF(J$2&gt;=$A337,IF(J$2=$A337,($B337/$B$332)*$B$329,IF(J$2&lt;=$A337+$B$332-1,$B337/$B$332,$B337-SUM($C337:I337))),0))</f>
        <v>0</v>
      </c>
      <c r="K337" s="4">
        <f>IF($B$332=0,0,IF(K$2&gt;=$A337,IF(K$2=$A337,($B337/$B$332)*$B$329,IF(K$2&lt;=$A337+$B$332-1,$B337/$B$332,$B337-SUM($C337:J337))),0))</f>
        <v>0</v>
      </c>
      <c r="L337" s="4">
        <f>IF($B$332=0,0,IF(L$2&gt;=$A337,IF(L$2=$A337,($B337/$B$332)*$B$329,IF(L$2&lt;=$A337+$B$332-1,$B337/$B$332,$B337-SUM($C337:K337))),0))</f>
        <v>0</v>
      </c>
      <c r="M337" s="4">
        <f>IF($B$332=0,0,IF(M$2&gt;=$A337,IF(M$2=$A337,($B337/$B$332)*$B$329,IF(M$2&lt;=$A337+$B$332-1,$B337/$B$332,$B337-SUM($C337:L337))),0))</f>
        <v>0</v>
      </c>
      <c r="N337" s="4">
        <f>IF($B$332=0,0,IF(N$2&gt;=$A337,IF(N$2=$A337,($B337/$B$332)*$B$329,IF(N$2&lt;=$A337+$B$332-1,$B337/$B$332,$B337-SUM($C337:M337))),0))</f>
        <v>0</v>
      </c>
      <c r="O337" s="4">
        <f>IF($B$332=0,0,IF(O$2&gt;=$A337,IF(O$2=$A337,($B337/$B$332)*$B$329,IF(O$2&lt;=$A337+$B$332-1,$B337/$B$332,$B337-SUM($C337:N337))),0))</f>
        <v>0</v>
      </c>
      <c r="P337" s="4">
        <f>IF($B$332=0,0,IF(P$2&gt;=$A337,IF(P$2=$A337,($B337/$B$332)*$B$329,IF(P$2&lt;=$A337+$B$332-1,$B337/$B$332,$B337-SUM($C337:O337))),0))</f>
        <v>0</v>
      </c>
      <c r="Q337" s="4">
        <f>IF($B$332=0,0,IF(Q$2&gt;=$A337,IF(Q$2=$A337,($B337/$B$332)*$B$329,IF(Q$2&lt;=$A337+$B$332-1,$B337/$B$332,$B337-SUM($C337:P337))),0))</f>
        <v>0</v>
      </c>
      <c r="R337" s="4">
        <f>IF($B$332=0,0,IF(R$2&gt;=$A337,IF(R$2=$A337,($B337/$B$332)*$B$329,IF(R$2&lt;=$A337+$B$332-1,$B337/$B$332,$B337-SUM($C337:Q337))),0))</f>
        <v>0</v>
      </c>
      <c r="S337" s="4">
        <f>IF($B$332=0,0,IF(S$2&gt;=$A337,IF(S$2=$A337,($B337/$B$332)*$B$329,IF(S$2&lt;=$A337+$B$332-1,$B337/$B$332,$B337-SUM($C337:R337))),0))</f>
        <v>0</v>
      </c>
      <c r="T337" s="4">
        <f>IF($B$332=0,0,IF(T$2&gt;=$A337,IF(T$2=$A337,($B337/$B$332)*$B$329,IF(T$2&lt;=$A337+$B$332-1,$B337/$B$332,$B337-SUM($C337:S337))),0))</f>
        <v>0</v>
      </c>
      <c r="U337" s="4">
        <f>IF($B$332=0,0,IF(U$2&gt;=$A337,IF(U$2=$A337,($B337/$B$332)*$B$329,IF(U$2&lt;=$A337+$B$332-1,$B337/$B$332,$B337-SUM($C337:T337))),0))</f>
        <v>0</v>
      </c>
      <c r="V337" s="4">
        <f>IF($B$332=0,0,IF(V$2&gt;=$A337,IF(V$2=$A337,($B337/$B$332)*$B$329,IF(V$2&lt;=$A337+$B$332-1,$B337/$B$332,$B337-SUM($C337:U337))),0))</f>
        <v>0</v>
      </c>
      <c r="W337" s="4">
        <f>IF($B$332=0,0,IF(W$2&gt;=$A337,IF(W$2=$A337,($B337/$B$332)*$B$329,IF(W$2&lt;=$A337+$B$332-1,$B337/$B$332,$B337-SUM($C337:V337))),0))</f>
        <v>0</v>
      </c>
      <c r="X337" s="4">
        <f>IF($B$332=0,0,IF(X$2&gt;=$A337,IF(X$2=$A337,($B337/$B$332)*$B$329,IF(X$2&lt;=$A337+$B$332-1,$B337/$B$332,$B337-SUM($C337:W337))),0))</f>
        <v>0</v>
      </c>
      <c r="Y337" s="4">
        <f>IF($B$332=0,0,IF(Y$2&gt;=$A337,IF(Y$2=$A337,($B337/$B$332)*$B$329,IF(Y$2&lt;=$A337+$B$332-1,$B337/$B$332,$B337-SUM($C337:X337))),0))</f>
        <v>0</v>
      </c>
      <c r="Z337" s="4">
        <f>IF($B$332=0,0,IF(Z$2&gt;=$A337,IF(Z$2=$A337,($B337/$B$332)*$B$329,IF(Z$2&lt;=$A337+$B$332-1,$B337/$B$332,$B337-SUM($C337:Y337))),0))</f>
        <v>0</v>
      </c>
      <c r="AA337" s="4">
        <f>IF($B$332=0,0,IF(AA$2&gt;=$A337,IF(AA$2=$A337,($B337/$B$332)*$B$329,IF(AA$2&lt;=$A337+$B$332-1,$B337/$B$332,$B337-SUM($C337:Z337))),0))</f>
        <v>0</v>
      </c>
      <c r="AB337" s="4">
        <f>IF($B$332=0,0,IF(AB$2&gt;=$A337,IF(AB$2=$A337,($B337/$B$332)*$B$329,IF(AB$2&lt;=$A337+$B$332-1,$B337/$B$332,$B337-SUM($C337:AA337))),0))</f>
        <v>0</v>
      </c>
      <c r="AC337" s="4">
        <f>IF($B$332=0,0,IF(AC$2&gt;=$A337,IF(AC$2=$A337,($B337/$B$332)*$B$329,IF(AC$2&lt;=$A337+$B$332-1,$B337/$B$332,$B337-SUM($C337:AB337))),0))</f>
        <v>0</v>
      </c>
      <c r="AD337" s="4">
        <f>IF($B$332=0,0,IF(AD$2&gt;=$A337,IF(AD$2=$A337,($B337/$B$332)*$B$329,IF(AD$2&lt;=$A337+$B$332-1,$B337/$B$332,$B337-SUM($C337:AC337))),0))</f>
        <v>0</v>
      </c>
      <c r="AE337" s="4">
        <f>IF($B$332=0,0,IF(AE$2&gt;=$A337,IF(AE$2=$A337,($B337/$B$332)*$B$329,IF(AE$2&lt;=$A337+$B$332-1,$B337/$B$332,$B337-SUM($C337:AD337))),0))</f>
        <v>0</v>
      </c>
      <c r="AF337" s="4">
        <f>IF($B$332=0,0,IF(AF$2&gt;=$A337,IF(AF$2=$A337,($B337/$B$332)*$B$329,IF(AF$2&lt;=$A337+$B$332-1,$B337/$B$332,$B337-SUM($C337:AE337))),0))</f>
        <v>0</v>
      </c>
      <c r="AG337" s="4">
        <f t="shared" si="274"/>
        <v>0</v>
      </c>
    </row>
    <row r="338" spans="1:33">
      <c r="A338" s="6">
        <f t="shared" si="275"/>
        <v>2027</v>
      </c>
      <c r="B338" s="4">
        <f t="shared" si="273"/>
        <v>0</v>
      </c>
      <c r="C338" s="4">
        <f>IF($B$332=0,0,IF(C$2&gt;=$A338,IF(C$2=$A338,($B338/$B$332)*$B$329,IF(C$2&lt;=$A338+$B$332-1,$B338/$B$332,$B338-SUM(B338:$C338))),0))</f>
        <v>0</v>
      </c>
      <c r="D338" s="4">
        <f>IF($B$332=0,0,IF(D$2&gt;=$A338,IF(D$2=$A338,($B338/$B$332)*$B$329,IF(D$2&lt;=$A338+$B$332-1,$B338/$B$332,$B338-SUM(C338:$C338))),0))</f>
        <v>0</v>
      </c>
      <c r="E338" s="4">
        <f>IF($B$332=0,0,IF(E$2&gt;=$A338,IF(E$2=$A338,($B338/$B$332)*$B$329,IF(E$2&lt;=$A338+$B$332-1,$B338/$B$332,$B338-SUM($C338:D338))),0))</f>
        <v>0</v>
      </c>
      <c r="F338" s="4">
        <f>IF($B$332=0,0,IF(F$2&gt;=$A338,IF(F$2=$A338,($B338/$B$332)*$B$329,IF(F$2&lt;=$A338+$B$332-1,$B338/$B$332,$B338-SUM($C338:E338))),0))</f>
        <v>0</v>
      </c>
      <c r="G338" s="4">
        <f>IF($B$332=0,0,IF(G$2&gt;=$A338,IF(G$2=$A338,($B338/$B$332)*$B$329,IF(G$2&lt;=$A338+$B$332-1,$B338/$B$332,$B338-SUM($C338:F338))),0))</f>
        <v>0</v>
      </c>
      <c r="H338" s="4">
        <f>IF($B$332=0,0,IF(H$2&gt;=$A338,IF(H$2=$A338,($B338/$B$332)*$B$329,IF(H$2&lt;=$A338+$B$332-1,$B338/$B$332,$B338-SUM($C338:G338))),0))</f>
        <v>0</v>
      </c>
      <c r="I338" s="4">
        <f>IF($B$332=0,0,IF(I$2&gt;=$A338,IF(I$2=$A338,($B338/$B$332)*$B$329,IF(I$2&lt;=$A338+$B$332-1,$B338/$B$332,$B338-SUM($C338:H338))),0))</f>
        <v>0</v>
      </c>
      <c r="J338" s="4">
        <f>IF($B$332=0,0,IF(J$2&gt;=$A338,IF(J$2=$A338,($B338/$B$332)*$B$329,IF(J$2&lt;=$A338+$B$332-1,$B338/$B$332,$B338-SUM($C338:I338))),0))</f>
        <v>0</v>
      </c>
      <c r="K338" s="4">
        <f>IF($B$332=0,0,IF(K$2&gt;=$A338,IF(K$2=$A338,($B338/$B$332)*$B$329,IF(K$2&lt;=$A338+$B$332-1,$B338/$B$332,$B338-SUM($C338:J338))),0))</f>
        <v>0</v>
      </c>
      <c r="L338" s="4">
        <f>IF($B$332=0,0,IF(L$2&gt;=$A338,IF(L$2=$A338,($B338/$B$332)*$B$329,IF(L$2&lt;=$A338+$B$332-1,$B338/$B$332,$B338-SUM($C338:K338))),0))</f>
        <v>0</v>
      </c>
      <c r="M338" s="4">
        <f>IF($B$332=0,0,IF(M$2&gt;=$A338,IF(M$2=$A338,($B338/$B$332)*$B$329,IF(M$2&lt;=$A338+$B$332-1,$B338/$B$332,$B338-SUM($C338:L338))),0))</f>
        <v>0</v>
      </c>
      <c r="N338" s="4">
        <f>IF($B$332=0,0,IF(N$2&gt;=$A338,IF(N$2=$A338,($B338/$B$332)*$B$329,IF(N$2&lt;=$A338+$B$332-1,$B338/$B$332,$B338-SUM($C338:M338))),0))</f>
        <v>0</v>
      </c>
      <c r="O338" s="4">
        <f>IF($B$332=0,0,IF(O$2&gt;=$A338,IF(O$2=$A338,($B338/$B$332)*$B$329,IF(O$2&lt;=$A338+$B$332-1,$B338/$B$332,$B338-SUM($C338:N338))),0))</f>
        <v>0</v>
      </c>
      <c r="P338" s="4">
        <f>IF($B$332=0,0,IF(P$2&gt;=$A338,IF(P$2=$A338,($B338/$B$332)*$B$329,IF(P$2&lt;=$A338+$B$332-1,$B338/$B$332,$B338-SUM($C338:O338))),0))</f>
        <v>0</v>
      </c>
      <c r="Q338" s="4">
        <f>IF($B$332=0,0,IF(Q$2&gt;=$A338,IF(Q$2=$A338,($B338/$B$332)*$B$329,IF(Q$2&lt;=$A338+$B$332-1,$B338/$B$332,$B338-SUM($C338:P338))),0))</f>
        <v>0</v>
      </c>
      <c r="R338" s="4">
        <f>IF($B$332=0,0,IF(R$2&gt;=$A338,IF(R$2=$A338,($B338/$B$332)*$B$329,IF(R$2&lt;=$A338+$B$332-1,$B338/$B$332,$B338-SUM($C338:Q338))),0))</f>
        <v>0</v>
      </c>
      <c r="S338" s="4">
        <f>IF($B$332=0,0,IF(S$2&gt;=$A338,IF(S$2=$A338,($B338/$B$332)*$B$329,IF(S$2&lt;=$A338+$B$332-1,$B338/$B$332,$B338-SUM($C338:R338))),0))</f>
        <v>0</v>
      </c>
      <c r="T338" s="4">
        <f>IF($B$332=0,0,IF(T$2&gt;=$A338,IF(T$2=$A338,($B338/$B$332)*$B$329,IF(T$2&lt;=$A338+$B$332-1,$B338/$B$332,$B338-SUM($C338:S338))),0))</f>
        <v>0</v>
      </c>
      <c r="U338" s="4">
        <f>IF($B$332=0,0,IF(U$2&gt;=$A338,IF(U$2=$A338,($B338/$B$332)*$B$329,IF(U$2&lt;=$A338+$B$332-1,$B338/$B$332,$B338-SUM($C338:T338))),0))</f>
        <v>0</v>
      </c>
      <c r="V338" s="4">
        <f>IF($B$332=0,0,IF(V$2&gt;=$A338,IF(V$2=$A338,($B338/$B$332)*$B$329,IF(V$2&lt;=$A338+$B$332-1,$B338/$B$332,$B338-SUM($C338:U338))),0))</f>
        <v>0</v>
      </c>
      <c r="W338" s="4">
        <f>IF($B$332=0,0,IF(W$2&gt;=$A338,IF(W$2=$A338,($B338/$B$332)*$B$329,IF(W$2&lt;=$A338+$B$332-1,$B338/$B$332,$B338-SUM($C338:V338))),0))</f>
        <v>0</v>
      </c>
      <c r="X338" s="4">
        <f>IF($B$332=0,0,IF(X$2&gt;=$A338,IF(X$2=$A338,($B338/$B$332)*$B$329,IF(X$2&lt;=$A338+$B$332-1,$B338/$B$332,$B338-SUM($C338:W338))),0))</f>
        <v>0</v>
      </c>
      <c r="Y338" s="4">
        <f>IF($B$332=0,0,IF(Y$2&gt;=$A338,IF(Y$2=$A338,($B338/$B$332)*$B$329,IF(Y$2&lt;=$A338+$B$332-1,$B338/$B$332,$B338-SUM($C338:X338))),0))</f>
        <v>0</v>
      </c>
      <c r="Z338" s="4">
        <f>IF($B$332=0,0,IF(Z$2&gt;=$A338,IF(Z$2=$A338,($B338/$B$332)*$B$329,IF(Z$2&lt;=$A338+$B$332-1,$B338/$B$332,$B338-SUM($C338:Y338))),0))</f>
        <v>0</v>
      </c>
      <c r="AA338" s="4">
        <f>IF($B$332=0,0,IF(AA$2&gt;=$A338,IF(AA$2=$A338,($B338/$B$332)*$B$329,IF(AA$2&lt;=$A338+$B$332-1,$B338/$B$332,$B338-SUM($C338:Z338))),0))</f>
        <v>0</v>
      </c>
      <c r="AB338" s="4">
        <f>IF($B$332=0,0,IF(AB$2&gt;=$A338,IF(AB$2=$A338,($B338/$B$332)*$B$329,IF(AB$2&lt;=$A338+$B$332-1,$B338/$B$332,$B338-SUM($C338:AA338))),0))</f>
        <v>0</v>
      </c>
      <c r="AC338" s="4">
        <f>IF($B$332=0,0,IF(AC$2&gt;=$A338,IF(AC$2=$A338,($B338/$B$332)*$B$329,IF(AC$2&lt;=$A338+$B$332-1,$B338/$B$332,$B338-SUM($C338:AB338))),0))</f>
        <v>0</v>
      </c>
      <c r="AD338" s="4">
        <f>IF($B$332=0,0,IF(AD$2&gt;=$A338,IF(AD$2=$A338,($B338/$B$332)*$B$329,IF(AD$2&lt;=$A338+$B$332-1,$B338/$B$332,$B338-SUM($C338:AC338))),0))</f>
        <v>0</v>
      </c>
      <c r="AE338" s="4">
        <f>IF($B$332=0,0,IF(AE$2&gt;=$A338,IF(AE$2=$A338,($B338/$B$332)*$B$329,IF(AE$2&lt;=$A338+$B$332-1,$B338/$B$332,$B338-SUM($C338:AD338))),0))</f>
        <v>0</v>
      </c>
      <c r="AF338" s="4">
        <f>IF($B$332=0,0,IF(AF$2&gt;=$A338,IF(AF$2=$A338,($B338/$B$332)*$B$329,IF(AF$2&lt;=$A338+$B$332-1,$B338/$B$332,$B338-SUM($C338:AE338))),0))</f>
        <v>0</v>
      </c>
      <c r="AG338" s="4">
        <f t="shared" si="274"/>
        <v>0</v>
      </c>
    </row>
    <row r="339" spans="1:33">
      <c r="A339" s="6">
        <f t="shared" si="275"/>
        <v>2028</v>
      </c>
      <c r="B339" s="4">
        <f t="shared" si="273"/>
        <v>0</v>
      </c>
      <c r="C339" s="4">
        <f>IF($B$332=0,0,IF(C$2&gt;=$A339,IF(C$2=$A339,($B339/$B$332)*$B$329,IF(C$2&lt;=$A339+$B$332-1,$B339/$B$332,$B339-SUM(B339:$C339))),0))</f>
        <v>0</v>
      </c>
      <c r="D339" s="4">
        <f>IF($B$332=0,0,IF(D$2&gt;=$A339,IF(D$2=$A339,($B339/$B$332)*$B$329,IF(D$2&lt;=$A339+$B$332-1,$B339/$B$332,$B339-SUM(C339:$C339))),0))</f>
        <v>0</v>
      </c>
      <c r="E339" s="4">
        <f>IF($B$332=0,0,IF(E$2&gt;=$A339,IF(E$2=$A339,($B339/$B$332)*$B$329,IF(E$2&lt;=$A339+$B$332-1,$B339/$B$332,$B339-SUM($C339:D339))),0))</f>
        <v>0</v>
      </c>
      <c r="F339" s="4">
        <f>IF($B$332=0,0,IF(F$2&gt;=$A339,IF(F$2=$A339,($B339/$B$332)*$B$329,IF(F$2&lt;=$A339+$B$332-1,$B339/$B$332,$B339-SUM($C339:E339))),0))</f>
        <v>0</v>
      </c>
      <c r="G339" s="4">
        <f>IF($B$332=0,0,IF(G$2&gt;=$A339,IF(G$2=$A339,($B339/$B$332)*$B$329,IF(G$2&lt;=$A339+$B$332-1,$B339/$B$332,$B339-SUM($C339:F339))),0))</f>
        <v>0</v>
      </c>
      <c r="H339" s="4">
        <f>IF($B$332=0,0,IF(H$2&gt;=$A339,IF(H$2=$A339,($B339/$B$332)*$B$329,IF(H$2&lt;=$A339+$B$332-1,$B339/$B$332,$B339-SUM($C339:G339))),0))</f>
        <v>0</v>
      </c>
      <c r="I339" s="4">
        <f>IF($B$332=0,0,IF(I$2&gt;=$A339,IF(I$2=$A339,($B339/$B$332)*$B$329,IF(I$2&lt;=$A339+$B$332-1,$B339/$B$332,$B339-SUM($C339:H339))),0))</f>
        <v>0</v>
      </c>
      <c r="J339" s="4">
        <f>IF($B$332=0,0,IF(J$2&gt;=$A339,IF(J$2=$A339,($B339/$B$332)*$B$329,IF(J$2&lt;=$A339+$B$332-1,$B339/$B$332,$B339-SUM($C339:I339))),0))</f>
        <v>0</v>
      </c>
      <c r="K339" s="4">
        <f>IF($B$332=0,0,IF(K$2&gt;=$A339,IF(K$2=$A339,($B339/$B$332)*$B$329,IF(K$2&lt;=$A339+$B$332-1,$B339/$B$332,$B339-SUM($C339:J339))),0))</f>
        <v>0</v>
      </c>
      <c r="L339" s="4">
        <f>IF($B$332=0,0,IF(L$2&gt;=$A339,IF(L$2=$A339,($B339/$B$332)*$B$329,IF(L$2&lt;=$A339+$B$332-1,$B339/$B$332,$B339-SUM($C339:K339))),0))</f>
        <v>0</v>
      </c>
      <c r="M339" s="4">
        <f>IF($B$332=0,0,IF(M$2&gt;=$A339,IF(M$2=$A339,($B339/$B$332)*$B$329,IF(M$2&lt;=$A339+$B$332-1,$B339/$B$332,$B339-SUM($C339:L339))),0))</f>
        <v>0</v>
      </c>
      <c r="N339" s="4">
        <f>IF($B$332=0,0,IF(N$2&gt;=$A339,IF(N$2=$A339,($B339/$B$332)*$B$329,IF(N$2&lt;=$A339+$B$332-1,$B339/$B$332,$B339-SUM($C339:M339))),0))</f>
        <v>0</v>
      </c>
      <c r="O339" s="4">
        <f>IF($B$332=0,0,IF(O$2&gt;=$A339,IF(O$2=$A339,($B339/$B$332)*$B$329,IF(O$2&lt;=$A339+$B$332-1,$B339/$B$332,$B339-SUM($C339:N339))),0))</f>
        <v>0</v>
      </c>
      <c r="P339" s="4">
        <f>IF($B$332=0,0,IF(P$2&gt;=$A339,IF(P$2=$A339,($B339/$B$332)*$B$329,IF(P$2&lt;=$A339+$B$332-1,$B339/$B$332,$B339-SUM($C339:O339))),0))</f>
        <v>0</v>
      </c>
      <c r="Q339" s="4">
        <f>IF($B$332=0,0,IF(Q$2&gt;=$A339,IF(Q$2=$A339,($B339/$B$332)*$B$329,IF(Q$2&lt;=$A339+$B$332-1,$B339/$B$332,$B339-SUM($C339:P339))),0))</f>
        <v>0</v>
      </c>
      <c r="R339" s="4">
        <f>IF($B$332=0,0,IF(R$2&gt;=$A339,IF(R$2=$A339,($B339/$B$332)*$B$329,IF(R$2&lt;=$A339+$B$332-1,$B339/$B$332,$B339-SUM($C339:Q339))),0))</f>
        <v>0</v>
      </c>
      <c r="S339" s="4">
        <f>IF($B$332=0,0,IF(S$2&gt;=$A339,IF(S$2=$A339,($B339/$B$332)*$B$329,IF(S$2&lt;=$A339+$B$332-1,$B339/$B$332,$B339-SUM($C339:R339))),0))</f>
        <v>0</v>
      </c>
      <c r="T339" s="4">
        <f>IF($B$332=0,0,IF(T$2&gt;=$A339,IF(T$2=$A339,($B339/$B$332)*$B$329,IF(T$2&lt;=$A339+$B$332-1,$B339/$B$332,$B339-SUM($C339:S339))),0))</f>
        <v>0</v>
      </c>
      <c r="U339" s="4">
        <f>IF($B$332=0,0,IF(U$2&gt;=$A339,IF(U$2=$A339,($B339/$B$332)*$B$329,IF(U$2&lt;=$A339+$B$332-1,$B339/$B$332,$B339-SUM($C339:T339))),0))</f>
        <v>0</v>
      </c>
      <c r="V339" s="4">
        <f>IF($B$332=0,0,IF(V$2&gt;=$A339,IF(V$2=$A339,($B339/$B$332)*$B$329,IF(V$2&lt;=$A339+$B$332-1,$B339/$B$332,$B339-SUM($C339:U339))),0))</f>
        <v>0</v>
      </c>
      <c r="W339" s="4">
        <f>IF($B$332=0,0,IF(W$2&gt;=$A339,IF(W$2=$A339,($B339/$B$332)*$B$329,IF(W$2&lt;=$A339+$B$332-1,$B339/$B$332,$B339-SUM($C339:V339))),0))</f>
        <v>0</v>
      </c>
      <c r="X339" s="4">
        <f>IF($B$332=0,0,IF(X$2&gt;=$A339,IF(X$2=$A339,($B339/$B$332)*$B$329,IF(X$2&lt;=$A339+$B$332-1,$B339/$B$332,$B339-SUM($C339:W339))),0))</f>
        <v>0</v>
      </c>
      <c r="Y339" s="4">
        <f>IF($B$332=0,0,IF(Y$2&gt;=$A339,IF(Y$2=$A339,($B339/$B$332)*$B$329,IF(Y$2&lt;=$A339+$B$332-1,$B339/$B$332,$B339-SUM($C339:X339))),0))</f>
        <v>0</v>
      </c>
      <c r="Z339" s="4">
        <f>IF($B$332=0,0,IF(Z$2&gt;=$A339,IF(Z$2=$A339,($B339/$B$332)*$B$329,IF(Z$2&lt;=$A339+$B$332-1,$B339/$B$332,$B339-SUM($C339:Y339))),0))</f>
        <v>0</v>
      </c>
      <c r="AA339" s="4">
        <f>IF($B$332=0,0,IF(AA$2&gt;=$A339,IF(AA$2=$A339,($B339/$B$332)*$B$329,IF(AA$2&lt;=$A339+$B$332-1,$B339/$B$332,$B339-SUM($C339:Z339))),0))</f>
        <v>0</v>
      </c>
      <c r="AB339" s="4">
        <f>IF($B$332=0,0,IF(AB$2&gt;=$A339,IF(AB$2=$A339,($B339/$B$332)*$B$329,IF(AB$2&lt;=$A339+$B$332-1,$B339/$B$332,$B339-SUM($C339:AA339))),0))</f>
        <v>0</v>
      </c>
      <c r="AC339" s="4">
        <f>IF($B$332=0,0,IF(AC$2&gt;=$A339,IF(AC$2=$A339,($B339/$B$332)*$B$329,IF(AC$2&lt;=$A339+$B$332-1,$B339/$B$332,$B339-SUM($C339:AB339))),0))</f>
        <v>0</v>
      </c>
      <c r="AD339" s="4">
        <f>IF($B$332=0,0,IF(AD$2&gt;=$A339,IF(AD$2=$A339,($B339/$B$332)*$B$329,IF(AD$2&lt;=$A339+$B$332-1,$B339/$B$332,$B339-SUM($C339:AC339))),0))</f>
        <v>0</v>
      </c>
      <c r="AE339" s="4">
        <f>IF($B$332=0,0,IF(AE$2&gt;=$A339,IF(AE$2=$A339,($B339/$B$332)*$B$329,IF(AE$2&lt;=$A339+$B$332-1,$B339/$B$332,$B339-SUM($C339:AD339))),0))</f>
        <v>0</v>
      </c>
      <c r="AF339" s="4">
        <f>IF($B$332=0,0,IF(AF$2&gt;=$A339,IF(AF$2=$A339,($B339/$B$332)*$B$329,IF(AF$2&lt;=$A339+$B$332-1,$B339/$B$332,$B339-SUM($C339:AE339))),0))</f>
        <v>0</v>
      </c>
      <c r="AG339" s="4">
        <f t="shared" si="274"/>
        <v>0</v>
      </c>
    </row>
    <row r="340" spans="1:33">
      <c r="A340" s="6">
        <f t="shared" si="275"/>
        <v>2029</v>
      </c>
      <c r="B340" s="4">
        <f t="shared" si="273"/>
        <v>0</v>
      </c>
      <c r="C340" s="4">
        <f>IF($B$332=0,0,IF(C$2&gt;=$A340,IF(C$2=$A340,($B340/$B$332)*$B$329,IF(C$2&lt;=$A340+$B$332-1,$B340/$B$332,$B340-SUM(B340:$C340))),0))</f>
        <v>0</v>
      </c>
      <c r="D340" s="4">
        <f>IF($B$332=0,0,IF(D$2&gt;=$A340,IF(D$2=$A340,($B340/$B$332)*$B$329,IF(D$2&lt;=$A340+$B$332-1,$B340/$B$332,$B340-SUM(C340:$C340))),0))</f>
        <v>0</v>
      </c>
      <c r="E340" s="4">
        <f>IF($B$332=0,0,IF(E$2&gt;=$A340,IF(E$2=$A340,($B340/$B$332)*$B$329,IF(E$2&lt;=$A340+$B$332-1,$B340/$B$332,$B340-SUM($C340:D340))),0))</f>
        <v>0</v>
      </c>
      <c r="F340" s="4">
        <f>IF($B$332=0,0,IF(F$2&gt;=$A340,IF(F$2=$A340,($B340/$B$332)*$B$329,IF(F$2&lt;=$A340+$B$332-1,$B340/$B$332,$B340-SUM($C340:E340))),0))</f>
        <v>0</v>
      </c>
      <c r="G340" s="4">
        <f>IF($B$332=0,0,IF(G$2&gt;=$A340,IF(G$2=$A340,($B340/$B$332)*$B$329,IF(G$2&lt;=$A340+$B$332-1,$B340/$B$332,$B340-SUM($C340:F340))),0))</f>
        <v>0</v>
      </c>
      <c r="H340" s="4">
        <f>IF($B$332=0,0,IF(H$2&gt;=$A340,IF(H$2=$A340,($B340/$B$332)*$B$329,IF(H$2&lt;=$A340+$B$332-1,$B340/$B$332,$B340-SUM($C340:G340))),0))</f>
        <v>0</v>
      </c>
      <c r="I340" s="4">
        <f>IF($B$332=0,0,IF(I$2&gt;=$A340,IF(I$2=$A340,($B340/$B$332)*$B$329,IF(I$2&lt;=$A340+$B$332-1,$B340/$B$332,$B340-SUM($C340:H340))),0))</f>
        <v>0</v>
      </c>
      <c r="J340" s="4">
        <f>IF($B$332=0,0,IF(J$2&gt;=$A340,IF(J$2=$A340,($B340/$B$332)*$B$329,IF(J$2&lt;=$A340+$B$332-1,$B340/$B$332,$B340-SUM($C340:I340))),0))</f>
        <v>0</v>
      </c>
      <c r="K340" s="4">
        <f>IF($B$332=0,0,IF(K$2&gt;=$A340,IF(K$2=$A340,($B340/$B$332)*$B$329,IF(K$2&lt;=$A340+$B$332-1,$B340/$B$332,$B340-SUM($C340:J340))),0))</f>
        <v>0</v>
      </c>
      <c r="L340" s="4">
        <f>IF($B$332=0,0,IF(L$2&gt;=$A340,IF(L$2=$A340,($B340/$B$332)*$B$329,IF(L$2&lt;=$A340+$B$332-1,$B340/$B$332,$B340-SUM($C340:K340))),0))</f>
        <v>0</v>
      </c>
      <c r="M340" s="4">
        <f>IF($B$332=0,0,IF(M$2&gt;=$A340,IF(M$2=$A340,($B340/$B$332)*$B$329,IF(M$2&lt;=$A340+$B$332-1,$B340/$B$332,$B340-SUM($C340:L340))),0))</f>
        <v>0</v>
      </c>
      <c r="N340" s="4">
        <f>IF($B$332=0,0,IF(N$2&gt;=$A340,IF(N$2=$A340,($B340/$B$332)*$B$329,IF(N$2&lt;=$A340+$B$332-1,$B340/$B$332,$B340-SUM($C340:M340))),0))</f>
        <v>0</v>
      </c>
      <c r="O340" s="4">
        <f>IF($B$332=0,0,IF(O$2&gt;=$A340,IF(O$2=$A340,($B340/$B$332)*$B$329,IF(O$2&lt;=$A340+$B$332-1,$B340/$B$332,$B340-SUM($C340:N340))),0))</f>
        <v>0</v>
      </c>
      <c r="P340" s="4">
        <f>IF($B$332=0,0,IF(P$2&gt;=$A340,IF(P$2=$A340,($B340/$B$332)*$B$329,IF(P$2&lt;=$A340+$B$332-1,$B340/$B$332,$B340-SUM($C340:O340))),0))</f>
        <v>0</v>
      </c>
      <c r="Q340" s="4">
        <f>IF($B$332=0,0,IF(Q$2&gt;=$A340,IF(Q$2=$A340,($B340/$B$332)*$B$329,IF(Q$2&lt;=$A340+$B$332-1,$B340/$B$332,$B340-SUM($C340:P340))),0))</f>
        <v>0</v>
      </c>
      <c r="R340" s="4">
        <f>IF($B$332=0,0,IF(R$2&gt;=$A340,IF(R$2=$A340,($B340/$B$332)*$B$329,IF(R$2&lt;=$A340+$B$332-1,$B340/$B$332,$B340-SUM($C340:Q340))),0))</f>
        <v>0</v>
      </c>
      <c r="S340" s="4">
        <f>IF($B$332=0,0,IF(S$2&gt;=$A340,IF(S$2=$A340,($B340/$B$332)*$B$329,IF(S$2&lt;=$A340+$B$332-1,$B340/$B$332,$B340-SUM($C340:R340))),0))</f>
        <v>0</v>
      </c>
      <c r="T340" s="4">
        <f>IF($B$332=0,0,IF(T$2&gt;=$A340,IF(T$2=$A340,($B340/$B$332)*$B$329,IF(T$2&lt;=$A340+$B$332-1,$B340/$B$332,$B340-SUM($C340:S340))),0))</f>
        <v>0</v>
      </c>
      <c r="U340" s="4">
        <f>IF($B$332=0,0,IF(U$2&gt;=$A340,IF(U$2=$A340,($B340/$B$332)*$B$329,IF(U$2&lt;=$A340+$B$332-1,$B340/$B$332,$B340-SUM($C340:T340))),0))</f>
        <v>0</v>
      </c>
      <c r="V340" s="4">
        <f>IF($B$332=0,0,IF(V$2&gt;=$A340,IF(V$2=$A340,($B340/$B$332)*$B$329,IF(V$2&lt;=$A340+$B$332-1,$B340/$B$332,$B340-SUM($C340:U340))),0))</f>
        <v>0</v>
      </c>
      <c r="W340" s="4">
        <f>IF($B$332=0,0,IF(W$2&gt;=$A340,IF(W$2=$A340,($B340/$B$332)*$B$329,IF(W$2&lt;=$A340+$B$332-1,$B340/$B$332,$B340-SUM($C340:V340))),0))</f>
        <v>0</v>
      </c>
      <c r="X340" s="4">
        <f>IF($B$332=0,0,IF(X$2&gt;=$A340,IF(X$2=$A340,($B340/$B$332)*$B$329,IF(X$2&lt;=$A340+$B$332-1,$B340/$B$332,$B340-SUM($C340:W340))),0))</f>
        <v>0</v>
      </c>
      <c r="Y340" s="4">
        <f>IF($B$332=0,0,IF(Y$2&gt;=$A340,IF(Y$2=$A340,($B340/$B$332)*$B$329,IF(Y$2&lt;=$A340+$B$332-1,$B340/$B$332,$B340-SUM($C340:X340))),0))</f>
        <v>0</v>
      </c>
      <c r="Z340" s="4">
        <f>IF($B$332=0,0,IF(Z$2&gt;=$A340,IF(Z$2=$A340,($B340/$B$332)*$B$329,IF(Z$2&lt;=$A340+$B$332-1,$B340/$B$332,$B340-SUM($C340:Y340))),0))</f>
        <v>0</v>
      </c>
      <c r="AA340" s="4">
        <f>IF($B$332=0,0,IF(AA$2&gt;=$A340,IF(AA$2=$A340,($B340/$B$332)*$B$329,IF(AA$2&lt;=$A340+$B$332-1,$B340/$B$332,$B340-SUM($C340:Z340))),0))</f>
        <v>0</v>
      </c>
      <c r="AB340" s="4">
        <f>IF($B$332=0,0,IF(AB$2&gt;=$A340,IF(AB$2=$A340,($B340/$B$332)*$B$329,IF(AB$2&lt;=$A340+$B$332-1,$B340/$B$332,$B340-SUM($C340:AA340))),0))</f>
        <v>0</v>
      </c>
      <c r="AC340" s="4">
        <f>IF($B$332=0,0,IF(AC$2&gt;=$A340,IF(AC$2=$A340,($B340/$B$332)*$B$329,IF(AC$2&lt;=$A340+$B$332-1,$B340/$B$332,$B340-SUM($C340:AB340))),0))</f>
        <v>0</v>
      </c>
      <c r="AD340" s="4">
        <f>IF($B$332=0,0,IF(AD$2&gt;=$A340,IF(AD$2=$A340,($B340/$B$332)*$B$329,IF(AD$2&lt;=$A340+$B$332-1,$B340/$B$332,$B340-SUM($C340:AC340))),0))</f>
        <v>0</v>
      </c>
      <c r="AE340" s="4">
        <f>IF($B$332=0,0,IF(AE$2&gt;=$A340,IF(AE$2=$A340,($B340/$B$332)*$B$329,IF(AE$2&lt;=$A340+$B$332-1,$B340/$B$332,$B340-SUM($C340:AD340))),0))</f>
        <v>0</v>
      </c>
      <c r="AF340" s="4">
        <f>IF($B$332=0,0,IF(AF$2&gt;=$A340,IF(AF$2=$A340,($B340/$B$332)*$B$329,IF(AF$2&lt;=$A340+$B$332-1,$B340/$B$332,$B340-SUM($C340:AE340))),0))</f>
        <v>0</v>
      </c>
      <c r="AG340" s="4">
        <f t="shared" si="274"/>
        <v>0</v>
      </c>
    </row>
    <row r="341" spans="1:33">
      <c r="A341" s="6">
        <f t="shared" si="275"/>
        <v>2030</v>
      </c>
      <c r="B341" s="4">
        <f t="shared" si="273"/>
        <v>0</v>
      </c>
      <c r="C341" s="4">
        <f>IF($B$332=0,0,IF(C$2&gt;=$A341,IF(C$2=$A341,($B341/$B$332)*$B$329,IF(C$2&lt;=$A341+$B$332-1,$B341/$B$332,$B341-SUM(B341:$C341))),0))</f>
        <v>0</v>
      </c>
      <c r="D341" s="4">
        <f>IF($B$332=0,0,IF(D$2&gt;=$A341,IF(D$2=$A341,($B341/$B$332)*$B$329,IF(D$2&lt;=$A341+$B$332-1,$B341/$B$332,$B341-SUM(C341:$C341))),0))</f>
        <v>0</v>
      </c>
      <c r="E341" s="4">
        <f>IF($B$332=0,0,IF(E$2&gt;=$A341,IF(E$2=$A341,($B341/$B$332)*$B$329,IF(E$2&lt;=$A341+$B$332-1,$B341/$B$332,$B341-SUM($C341:D341))),0))</f>
        <v>0</v>
      </c>
      <c r="F341" s="4">
        <f>IF($B$332=0,0,IF(F$2&gt;=$A341,IF(F$2=$A341,($B341/$B$332)*$B$329,IF(F$2&lt;=$A341+$B$332-1,$B341/$B$332,$B341-SUM($C341:E341))),0))</f>
        <v>0</v>
      </c>
      <c r="G341" s="4">
        <f>IF($B$332=0,0,IF(G$2&gt;=$A341,IF(G$2=$A341,($B341/$B$332)*$B$329,IF(G$2&lt;=$A341+$B$332-1,$B341/$B$332,$B341-SUM($C341:F341))),0))</f>
        <v>0</v>
      </c>
      <c r="H341" s="4">
        <f>IF($B$332=0,0,IF(H$2&gt;=$A341,IF(H$2=$A341,($B341/$B$332)*$B$329,IF(H$2&lt;=$A341+$B$332-1,$B341/$B$332,$B341-SUM($C341:G341))),0))</f>
        <v>0</v>
      </c>
      <c r="I341" s="4">
        <f>IF($B$332=0,0,IF(I$2&gt;=$A341,IF(I$2=$A341,($B341/$B$332)*$B$329,IF(I$2&lt;=$A341+$B$332-1,$B341/$B$332,$B341-SUM($C341:H341))),0))</f>
        <v>0</v>
      </c>
      <c r="J341" s="4">
        <f>IF($B$332=0,0,IF(J$2&gt;=$A341,IF(J$2=$A341,($B341/$B$332)*$B$329,IF(J$2&lt;=$A341+$B$332-1,$B341/$B$332,$B341-SUM($C341:I341))),0))</f>
        <v>0</v>
      </c>
      <c r="K341" s="4">
        <f>IF($B$332=0,0,IF(K$2&gt;=$A341,IF(K$2=$A341,($B341/$B$332)*$B$329,IF(K$2&lt;=$A341+$B$332-1,$B341/$B$332,$B341-SUM($C341:J341))),0))</f>
        <v>0</v>
      </c>
      <c r="L341" s="4">
        <f>IF($B$332=0,0,IF(L$2&gt;=$A341,IF(L$2=$A341,($B341/$B$332)*$B$329,IF(L$2&lt;=$A341+$B$332-1,$B341/$B$332,$B341-SUM($C341:K341))),0))</f>
        <v>0</v>
      </c>
      <c r="M341" s="4">
        <f>IF($B$332=0,0,IF(M$2&gt;=$A341,IF(M$2=$A341,($B341/$B$332)*$B$329,IF(M$2&lt;=$A341+$B$332-1,$B341/$B$332,$B341-SUM($C341:L341))),0))</f>
        <v>0</v>
      </c>
      <c r="N341" s="4">
        <f>IF($B$332=0,0,IF(N$2&gt;=$A341,IF(N$2=$A341,($B341/$B$332)*$B$329,IF(N$2&lt;=$A341+$B$332-1,$B341/$B$332,$B341-SUM($C341:M341))),0))</f>
        <v>0</v>
      </c>
      <c r="O341" s="4">
        <f>IF($B$332=0,0,IF(O$2&gt;=$A341,IF(O$2=$A341,($B341/$B$332)*$B$329,IF(O$2&lt;=$A341+$B$332-1,$B341/$B$332,$B341-SUM($C341:N341))),0))</f>
        <v>0</v>
      </c>
      <c r="P341" s="4">
        <f>IF($B$332=0,0,IF(P$2&gt;=$A341,IF(P$2=$A341,($B341/$B$332)*$B$329,IF(P$2&lt;=$A341+$B$332-1,$B341/$B$332,$B341-SUM($C341:O341))),0))</f>
        <v>0</v>
      </c>
      <c r="Q341" s="4">
        <f>IF($B$332=0,0,IF(Q$2&gt;=$A341,IF(Q$2=$A341,($B341/$B$332)*$B$329,IF(Q$2&lt;=$A341+$B$332-1,$B341/$B$332,$B341-SUM($C341:P341))),0))</f>
        <v>0</v>
      </c>
      <c r="R341" s="4">
        <f>IF($B$332=0,0,IF(R$2&gt;=$A341,IF(R$2=$A341,($B341/$B$332)*$B$329,IF(R$2&lt;=$A341+$B$332-1,$B341/$B$332,$B341-SUM($C341:Q341))),0))</f>
        <v>0</v>
      </c>
      <c r="S341" s="4">
        <f>IF($B$332=0,0,IF(S$2&gt;=$A341,IF(S$2=$A341,($B341/$B$332)*$B$329,IF(S$2&lt;=$A341+$B$332-1,$B341/$B$332,$B341-SUM($C341:R341))),0))</f>
        <v>0</v>
      </c>
      <c r="T341" s="4">
        <f>IF($B$332=0,0,IF(T$2&gt;=$A341,IF(T$2=$A341,($B341/$B$332)*$B$329,IF(T$2&lt;=$A341+$B$332-1,$B341/$B$332,$B341-SUM($C341:S341))),0))</f>
        <v>0</v>
      </c>
      <c r="U341" s="4">
        <f>IF($B$332=0,0,IF(U$2&gt;=$A341,IF(U$2=$A341,($B341/$B$332)*$B$329,IF(U$2&lt;=$A341+$B$332-1,$B341/$B$332,$B341-SUM($C341:T341))),0))</f>
        <v>0</v>
      </c>
      <c r="V341" s="4">
        <f>IF($B$332=0,0,IF(V$2&gt;=$A341,IF(V$2=$A341,($B341/$B$332)*$B$329,IF(V$2&lt;=$A341+$B$332-1,$B341/$B$332,$B341-SUM($C341:U341))),0))</f>
        <v>0</v>
      </c>
      <c r="W341" s="4">
        <f>IF($B$332=0,0,IF(W$2&gt;=$A341,IF(W$2=$A341,($B341/$B$332)*$B$329,IF(W$2&lt;=$A341+$B$332-1,$B341/$B$332,$B341-SUM($C341:V341))),0))</f>
        <v>0</v>
      </c>
      <c r="X341" s="4">
        <f>IF($B$332=0,0,IF(X$2&gt;=$A341,IF(X$2=$A341,($B341/$B$332)*$B$329,IF(X$2&lt;=$A341+$B$332-1,$B341/$B$332,$B341-SUM($C341:W341))),0))</f>
        <v>0</v>
      </c>
      <c r="Y341" s="4">
        <f>IF($B$332=0,0,IF(Y$2&gt;=$A341,IF(Y$2=$A341,($B341/$B$332)*$B$329,IF(Y$2&lt;=$A341+$B$332-1,$B341/$B$332,$B341-SUM($C341:X341))),0))</f>
        <v>0</v>
      </c>
      <c r="Z341" s="4">
        <f>IF($B$332=0,0,IF(Z$2&gt;=$A341,IF(Z$2=$A341,($B341/$B$332)*$B$329,IF(Z$2&lt;=$A341+$B$332-1,$B341/$B$332,$B341-SUM($C341:Y341))),0))</f>
        <v>0</v>
      </c>
      <c r="AA341" s="4">
        <f>IF($B$332=0,0,IF(AA$2&gt;=$A341,IF(AA$2=$A341,($B341/$B$332)*$B$329,IF(AA$2&lt;=$A341+$B$332-1,$B341/$B$332,$B341-SUM($C341:Z341))),0))</f>
        <v>0</v>
      </c>
      <c r="AB341" s="4">
        <f>IF($B$332=0,0,IF(AB$2&gt;=$A341,IF(AB$2=$A341,($B341/$B$332)*$B$329,IF(AB$2&lt;=$A341+$B$332-1,$B341/$B$332,$B341-SUM($C341:AA341))),0))</f>
        <v>0</v>
      </c>
      <c r="AC341" s="4">
        <f>IF($B$332=0,0,IF(AC$2&gt;=$A341,IF(AC$2=$A341,($B341/$B$332)*$B$329,IF(AC$2&lt;=$A341+$B$332-1,$B341/$B$332,$B341-SUM($C341:AB341))),0))</f>
        <v>0</v>
      </c>
      <c r="AD341" s="4">
        <f>IF($B$332=0,0,IF(AD$2&gt;=$A341,IF(AD$2=$A341,($B341/$B$332)*$B$329,IF(AD$2&lt;=$A341+$B$332-1,$B341/$B$332,$B341-SUM($C341:AC341))),0))</f>
        <v>0</v>
      </c>
      <c r="AE341" s="4">
        <f>IF($B$332=0,0,IF(AE$2&gt;=$A341,IF(AE$2=$A341,($B341/$B$332)*$B$329,IF(AE$2&lt;=$A341+$B$332-1,$B341/$B$332,$B341-SUM($C341:AD341))),0))</f>
        <v>0</v>
      </c>
      <c r="AF341" s="4">
        <f>IF($B$332=0,0,IF(AF$2&gt;=$A341,IF(AF$2=$A341,($B341/$B$332)*$B$329,IF(AF$2&lt;=$A341+$B$332-1,$B341/$B$332,$B341-SUM($C341:AE341))),0))</f>
        <v>0</v>
      </c>
      <c r="AG341" s="4">
        <f t="shared" si="274"/>
        <v>0</v>
      </c>
    </row>
    <row r="342" spans="1:33">
      <c r="A342" s="6">
        <f t="shared" si="275"/>
        <v>2031</v>
      </c>
      <c r="B342" s="4">
        <f t="shared" si="273"/>
        <v>0</v>
      </c>
      <c r="C342" s="4">
        <f>IF($B$332=0,0,IF(C$2&gt;=$A342,IF(C$2=$A342,($B342/$B$332)*$B$329,IF(C$2&lt;=$A342+$B$332-1,$B342/$B$332,$B342-SUM(B342:$C342))),0))</f>
        <v>0</v>
      </c>
      <c r="D342" s="4">
        <f>IF($B$332=0,0,IF(D$2&gt;=$A342,IF(D$2=$A342,($B342/$B$332)*$B$329,IF(D$2&lt;=$A342+$B$332-1,$B342/$B$332,$B342-SUM(C342:$C342))),0))</f>
        <v>0</v>
      </c>
      <c r="E342" s="4">
        <f>IF($B$332=0,0,IF(E$2&gt;=$A342,IF(E$2=$A342,($B342/$B$332)*$B$329,IF(E$2&lt;=$A342+$B$332-1,$B342/$B$332,$B342-SUM($C342:D342))),0))</f>
        <v>0</v>
      </c>
      <c r="F342" s="4">
        <f>IF($B$332=0,0,IF(F$2&gt;=$A342,IF(F$2=$A342,($B342/$B$332)*$B$329,IF(F$2&lt;=$A342+$B$332-1,$B342/$B$332,$B342-SUM($C342:E342))),0))</f>
        <v>0</v>
      </c>
      <c r="G342" s="4">
        <f>IF($B$332=0,0,IF(G$2&gt;=$A342,IF(G$2=$A342,($B342/$B$332)*$B$329,IF(G$2&lt;=$A342+$B$332-1,$B342/$B$332,$B342-SUM($C342:F342))),0))</f>
        <v>0</v>
      </c>
      <c r="H342" s="4">
        <f>IF($B$332=0,0,IF(H$2&gt;=$A342,IF(H$2=$A342,($B342/$B$332)*$B$329,IF(H$2&lt;=$A342+$B$332-1,$B342/$B$332,$B342-SUM($C342:G342))),0))</f>
        <v>0</v>
      </c>
      <c r="I342" s="4">
        <f>IF($B$332=0,0,IF(I$2&gt;=$A342,IF(I$2=$A342,($B342/$B$332)*$B$329,IF(I$2&lt;=$A342+$B$332-1,$B342/$B$332,$B342-SUM($C342:H342))),0))</f>
        <v>0</v>
      </c>
      <c r="J342" s="4">
        <f>IF($B$332=0,0,IF(J$2&gt;=$A342,IF(J$2=$A342,($B342/$B$332)*$B$329,IF(J$2&lt;=$A342+$B$332-1,$B342/$B$332,$B342-SUM($C342:I342))),0))</f>
        <v>0</v>
      </c>
      <c r="K342" s="4">
        <f>IF($B$332=0,0,IF(K$2&gt;=$A342,IF(K$2=$A342,($B342/$B$332)*$B$329,IF(K$2&lt;=$A342+$B$332-1,$B342/$B$332,$B342-SUM($C342:J342))),0))</f>
        <v>0</v>
      </c>
      <c r="L342" s="4">
        <f>IF($B$332=0,0,IF(L$2&gt;=$A342,IF(L$2=$A342,($B342/$B$332)*$B$329,IF(L$2&lt;=$A342+$B$332-1,$B342/$B$332,$B342-SUM($C342:K342))),0))</f>
        <v>0</v>
      </c>
      <c r="M342" s="4">
        <f>IF($B$332=0,0,IF(M$2&gt;=$A342,IF(M$2=$A342,($B342/$B$332)*$B$329,IF(M$2&lt;=$A342+$B$332-1,$B342/$B$332,$B342-SUM($C342:L342))),0))</f>
        <v>0</v>
      </c>
      <c r="N342" s="4">
        <f>IF($B$332=0,0,IF(N$2&gt;=$A342,IF(N$2=$A342,($B342/$B$332)*$B$329,IF(N$2&lt;=$A342+$B$332-1,$B342/$B$332,$B342-SUM($C342:M342))),0))</f>
        <v>0</v>
      </c>
      <c r="O342" s="4">
        <f>IF($B$332=0,0,IF(O$2&gt;=$A342,IF(O$2=$A342,($B342/$B$332)*$B$329,IF(O$2&lt;=$A342+$B$332-1,$B342/$B$332,$B342-SUM($C342:N342))),0))</f>
        <v>0</v>
      </c>
      <c r="P342" s="4">
        <f>IF($B$332=0,0,IF(P$2&gt;=$A342,IF(P$2=$A342,($B342/$B$332)*$B$329,IF(P$2&lt;=$A342+$B$332-1,$B342/$B$332,$B342-SUM($C342:O342))),0))</f>
        <v>0</v>
      </c>
      <c r="Q342" s="4">
        <f>IF($B$332=0,0,IF(Q$2&gt;=$A342,IF(Q$2=$A342,($B342/$B$332)*$B$329,IF(Q$2&lt;=$A342+$B$332-1,$B342/$B$332,$B342-SUM($C342:P342))),0))</f>
        <v>0</v>
      </c>
      <c r="R342" s="4">
        <f>IF($B$332=0,0,IF(R$2&gt;=$A342,IF(R$2=$A342,($B342/$B$332)*$B$329,IF(R$2&lt;=$A342+$B$332-1,$B342/$B$332,$B342-SUM($C342:Q342))),0))</f>
        <v>0</v>
      </c>
      <c r="S342" s="4">
        <f>IF($B$332=0,0,IF(S$2&gt;=$A342,IF(S$2=$A342,($B342/$B$332)*$B$329,IF(S$2&lt;=$A342+$B$332-1,$B342/$B$332,$B342-SUM($C342:R342))),0))</f>
        <v>0</v>
      </c>
      <c r="T342" s="4">
        <f>IF($B$332=0,0,IF(T$2&gt;=$A342,IF(T$2=$A342,($B342/$B$332)*$B$329,IF(T$2&lt;=$A342+$B$332-1,$B342/$B$332,$B342-SUM($C342:S342))),0))</f>
        <v>0</v>
      </c>
      <c r="U342" s="4">
        <f>IF($B$332=0,0,IF(U$2&gt;=$A342,IF(U$2=$A342,($B342/$B$332)*$B$329,IF(U$2&lt;=$A342+$B$332-1,$B342/$B$332,$B342-SUM($C342:T342))),0))</f>
        <v>0</v>
      </c>
      <c r="V342" s="4">
        <f>IF($B$332=0,0,IF(V$2&gt;=$A342,IF(V$2=$A342,($B342/$B$332)*$B$329,IF(V$2&lt;=$A342+$B$332-1,$B342/$B$332,$B342-SUM($C342:U342))),0))</f>
        <v>0</v>
      </c>
      <c r="W342" s="4">
        <f>IF($B$332=0,0,IF(W$2&gt;=$A342,IF(W$2=$A342,($B342/$B$332)*$B$329,IF(W$2&lt;=$A342+$B$332-1,$B342/$B$332,$B342-SUM($C342:V342))),0))</f>
        <v>0</v>
      </c>
      <c r="X342" s="4">
        <f>IF($B$332=0,0,IF(X$2&gt;=$A342,IF(X$2=$A342,($B342/$B$332)*$B$329,IF(X$2&lt;=$A342+$B$332-1,$B342/$B$332,$B342-SUM($C342:W342))),0))</f>
        <v>0</v>
      </c>
      <c r="Y342" s="4">
        <f>IF($B$332=0,0,IF(Y$2&gt;=$A342,IF(Y$2=$A342,($B342/$B$332)*$B$329,IF(Y$2&lt;=$A342+$B$332-1,$B342/$B$332,$B342-SUM($C342:X342))),0))</f>
        <v>0</v>
      </c>
      <c r="Z342" s="4">
        <f>IF($B$332=0,0,IF(Z$2&gt;=$A342,IF(Z$2=$A342,($B342/$B$332)*$B$329,IF(Z$2&lt;=$A342+$B$332-1,$B342/$B$332,$B342-SUM($C342:Y342))),0))</f>
        <v>0</v>
      </c>
      <c r="AA342" s="4">
        <f>IF($B$332=0,0,IF(AA$2&gt;=$A342,IF(AA$2=$A342,($B342/$B$332)*$B$329,IF(AA$2&lt;=$A342+$B$332-1,$B342/$B$332,$B342-SUM($C342:Z342))),0))</f>
        <v>0</v>
      </c>
      <c r="AB342" s="4">
        <f>IF($B$332=0,0,IF(AB$2&gt;=$A342,IF(AB$2=$A342,($B342/$B$332)*$B$329,IF(AB$2&lt;=$A342+$B$332-1,$B342/$B$332,$B342-SUM($C342:AA342))),0))</f>
        <v>0</v>
      </c>
      <c r="AC342" s="4">
        <f>IF($B$332=0,0,IF(AC$2&gt;=$A342,IF(AC$2=$A342,($B342/$B$332)*$B$329,IF(AC$2&lt;=$A342+$B$332-1,$B342/$B$332,$B342-SUM($C342:AB342))),0))</f>
        <v>0</v>
      </c>
      <c r="AD342" s="4">
        <f>IF($B$332=0,0,IF(AD$2&gt;=$A342,IF(AD$2=$A342,($B342/$B$332)*$B$329,IF(AD$2&lt;=$A342+$B$332-1,$B342/$B$332,$B342-SUM($C342:AC342))),0))</f>
        <v>0</v>
      </c>
      <c r="AE342" s="4">
        <f>IF($B$332=0,0,IF(AE$2&gt;=$A342,IF(AE$2=$A342,($B342/$B$332)*$B$329,IF(AE$2&lt;=$A342+$B$332-1,$B342/$B$332,$B342-SUM($C342:AD342))),0))</f>
        <v>0</v>
      </c>
      <c r="AF342" s="4">
        <f>IF($B$332=0,0,IF(AF$2&gt;=$A342,IF(AF$2=$A342,($B342/$B$332)*$B$329,IF(AF$2&lt;=$A342+$B$332-1,$B342/$B$332,$B342-SUM($C342:AE342))),0))</f>
        <v>0</v>
      </c>
      <c r="AG342" s="4">
        <f t="shared" si="274"/>
        <v>0</v>
      </c>
    </row>
    <row r="343" spans="1:33">
      <c r="A343" s="6">
        <f t="shared" si="275"/>
        <v>2032</v>
      </c>
      <c r="B343" s="4">
        <f t="shared" si="273"/>
        <v>0</v>
      </c>
      <c r="C343" s="4">
        <f>IF($B$332=0,0,IF(C$2&gt;=$A343,IF(C$2=$A343,($B343/$B$332)*$B$329,IF(C$2&lt;=$A343+$B$332-1,$B343/$B$332,$B343-SUM(B343:$C343))),0))</f>
        <v>0</v>
      </c>
      <c r="D343" s="4">
        <f>IF($B$332=0,0,IF(D$2&gt;=$A343,IF(D$2=$A343,($B343/$B$332)*$B$329,IF(D$2&lt;=$A343+$B$332-1,$B343/$B$332,$B343-SUM(C343:$C343))),0))</f>
        <v>0</v>
      </c>
      <c r="E343" s="4">
        <f>IF($B$332=0,0,IF(E$2&gt;=$A343,IF(E$2=$A343,($B343/$B$332)*$B$329,IF(E$2&lt;=$A343+$B$332-1,$B343/$B$332,$B343-SUM($C343:D343))),0))</f>
        <v>0</v>
      </c>
      <c r="F343" s="4">
        <f>IF($B$332=0,0,IF(F$2&gt;=$A343,IF(F$2=$A343,($B343/$B$332)*$B$329,IF(F$2&lt;=$A343+$B$332-1,$B343/$B$332,$B343-SUM($C343:E343))),0))</f>
        <v>0</v>
      </c>
      <c r="G343" s="4">
        <f>IF($B$332=0,0,IF(G$2&gt;=$A343,IF(G$2=$A343,($B343/$B$332)*$B$329,IF(G$2&lt;=$A343+$B$332-1,$B343/$B$332,$B343-SUM($C343:F343))),0))</f>
        <v>0</v>
      </c>
      <c r="H343" s="4">
        <f>IF($B$332=0,0,IF(H$2&gt;=$A343,IF(H$2=$A343,($B343/$B$332)*$B$329,IF(H$2&lt;=$A343+$B$332-1,$B343/$B$332,$B343-SUM($C343:G343))),0))</f>
        <v>0</v>
      </c>
      <c r="I343" s="4">
        <f>IF($B$332=0,0,IF(I$2&gt;=$A343,IF(I$2=$A343,($B343/$B$332)*$B$329,IF(I$2&lt;=$A343+$B$332-1,$B343/$B$332,$B343-SUM($C343:H343))),0))</f>
        <v>0</v>
      </c>
      <c r="J343" s="4">
        <f>IF($B$332=0,0,IF(J$2&gt;=$A343,IF(J$2=$A343,($B343/$B$332)*$B$329,IF(J$2&lt;=$A343+$B$332-1,$B343/$B$332,$B343-SUM($C343:I343))),0))</f>
        <v>0</v>
      </c>
      <c r="K343" s="4">
        <f>IF($B$332=0,0,IF(K$2&gt;=$A343,IF(K$2=$A343,($B343/$B$332)*$B$329,IF(K$2&lt;=$A343+$B$332-1,$B343/$B$332,$B343-SUM($C343:J343))),0))</f>
        <v>0</v>
      </c>
      <c r="L343" s="4">
        <f>IF($B$332=0,0,IF(L$2&gt;=$A343,IF(L$2=$A343,($B343/$B$332)*$B$329,IF(L$2&lt;=$A343+$B$332-1,$B343/$B$332,$B343-SUM($C343:K343))),0))</f>
        <v>0</v>
      </c>
      <c r="M343" s="4">
        <f>IF($B$332=0,0,IF(M$2&gt;=$A343,IF(M$2=$A343,($B343/$B$332)*$B$329,IF(M$2&lt;=$A343+$B$332-1,$B343/$B$332,$B343-SUM($C343:L343))),0))</f>
        <v>0</v>
      </c>
      <c r="N343" s="4">
        <f>IF($B$332=0,0,IF(N$2&gt;=$A343,IF(N$2=$A343,($B343/$B$332)*$B$329,IF(N$2&lt;=$A343+$B$332-1,$B343/$B$332,$B343-SUM($C343:M343))),0))</f>
        <v>0</v>
      </c>
      <c r="O343" s="4">
        <f>IF($B$332=0,0,IF(O$2&gt;=$A343,IF(O$2=$A343,($B343/$B$332)*$B$329,IF(O$2&lt;=$A343+$B$332-1,$B343/$B$332,$B343-SUM($C343:N343))),0))</f>
        <v>0</v>
      </c>
      <c r="P343" s="4">
        <f>IF($B$332=0,0,IF(P$2&gt;=$A343,IF(P$2=$A343,($B343/$B$332)*$B$329,IF(P$2&lt;=$A343+$B$332-1,$B343/$B$332,$B343-SUM($C343:O343))),0))</f>
        <v>0</v>
      </c>
      <c r="Q343" s="4">
        <f>IF($B$332=0,0,IF(Q$2&gt;=$A343,IF(Q$2=$A343,($B343/$B$332)*$B$329,IF(Q$2&lt;=$A343+$B$332-1,$B343/$B$332,$B343-SUM($C343:P343))),0))</f>
        <v>0</v>
      </c>
      <c r="R343" s="4">
        <f>IF($B$332=0,0,IF(R$2&gt;=$A343,IF(R$2=$A343,($B343/$B$332)*$B$329,IF(R$2&lt;=$A343+$B$332-1,$B343/$B$332,$B343-SUM($C343:Q343))),0))</f>
        <v>0</v>
      </c>
      <c r="S343" s="4">
        <f>IF($B$332=0,0,IF(S$2&gt;=$A343,IF(S$2=$A343,($B343/$B$332)*$B$329,IF(S$2&lt;=$A343+$B$332-1,$B343/$B$332,$B343-SUM($C343:R343))),0))</f>
        <v>0</v>
      </c>
      <c r="T343" s="4">
        <f>IF($B$332=0,0,IF(T$2&gt;=$A343,IF(T$2=$A343,($B343/$B$332)*$B$329,IF(T$2&lt;=$A343+$B$332-1,$B343/$B$332,$B343-SUM($C343:S343))),0))</f>
        <v>0</v>
      </c>
      <c r="U343" s="4">
        <f>IF($B$332=0,0,IF(U$2&gt;=$A343,IF(U$2=$A343,($B343/$B$332)*$B$329,IF(U$2&lt;=$A343+$B$332-1,$B343/$B$332,$B343-SUM($C343:T343))),0))</f>
        <v>0</v>
      </c>
      <c r="V343" s="4">
        <f>IF($B$332=0,0,IF(V$2&gt;=$A343,IF(V$2=$A343,($B343/$B$332)*$B$329,IF(V$2&lt;=$A343+$B$332-1,$B343/$B$332,$B343-SUM($C343:U343))),0))</f>
        <v>0</v>
      </c>
      <c r="W343" s="4">
        <f>IF($B$332=0,0,IF(W$2&gt;=$A343,IF(W$2=$A343,($B343/$B$332)*$B$329,IF(W$2&lt;=$A343+$B$332-1,$B343/$B$332,$B343-SUM($C343:V343))),0))</f>
        <v>0</v>
      </c>
      <c r="X343" s="4">
        <f>IF($B$332=0,0,IF(X$2&gt;=$A343,IF(X$2=$A343,($B343/$B$332)*$B$329,IF(X$2&lt;=$A343+$B$332-1,$B343/$B$332,$B343-SUM($C343:W343))),0))</f>
        <v>0</v>
      </c>
      <c r="Y343" s="4">
        <f>IF($B$332=0,0,IF(Y$2&gt;=$A343,IF(Y$2=$A343,($B343/$B$332)*$B$329,IF(Y$2&lt;=$A343+$B$332-1,$B343/$B$332,$B343-SUM($C343:X343))),0))</f>
        <v>0</v>
      </c>
      <c r="Z343" s="4">
        <f>IF($B$332=0,0,IF(Z$2&gt;=$A343,IF(Z$2=$A343,($B343/$B$332)*$B$329,IF(Z$2&lt;=$A343+$B$332-1,$B343/$B$332,$B343-SUM($C343:Y343))),0))</f>
        <v>0</v>
      </c>
      <c r="AA343" s="4">
        <f>IF($B$332=0,0,IF(AA$2&gt;=$A343,IF(AA$2=$A343,($B343/$B$332)*$B$329,IF(AA$2&lt;=$A343+$B$332-1,$B343/$B$332,$B343-SUM($C343:Z343))),0))</f>
        <v>0</v>
      </c>
      <c r="AB343" s="4">
        <f>IF($B$332=0,0,IF(AB$2&gt;=$A343,IF(AB$2=$A343,($B343/$B$332)*$B$329,IF(AB$2&lt;=$A343+$B$332-1,$B343/$B$332,$B343-SUM($C343:AA343))),0))</f>
        <v>0</v>
      </c>
      <c r="AC343" s="4">
        <f>IF($B$332=0,0,IF(AC$2&gt;=$A343,IF(AC$2=$A343,($B343/$B$332)*$B$329,IF(AC$2&lt;=$A343+$B$332-1,$B343/$B$332,$B343-SUM($C343:AB343))),0))</f>
        <v>0</v>
      </c>
      <c r="AD343" s="4">
        <f>IF($B$332=0,0,IF(AD$2&gt;=$A343,IF(AD$2=$A343,($B343/$B$332)*$B$329,IF(AD$2&lt;=$A343+$B$332-1,$B343/$B$332,$B343-SUM($C343:AC343))),0))</f>
        <v>0</v>
      </c>
      <c r="AE343" s="4">
        <f>IF($B$332=0,0,IF(AE$2&gt;=$A343,IF(AE$2=$A343,($B343/$B$332)*$B$329,IF(AE$2&lt;=$A343+$B$332-1,$B343/$B$332,$B343-SUM($C343:AD343))),0))</f>
        <v>0</v>
      </c>
      <c r="AF343" s="4">
        <f>IF($B$332=0,0,IF(AF$2&gt;=$A343,IF(AF$2=$A343,($B343/$B$332)*$B$329,IF(AF$2&lt;=$A343+$B$332-1,$B343/$B$332,$B343-SUM($C343:AE343))),0))</f>
        <v>0</v>
      </c>
      <c r="AG343" s="4">
        <f t="shared" si="274"/>
        <v>0</v>
      </c>
    </row>
    <row r="344" spans="1:33">
      <c r="A344" s="6">
        <f t="shared" si="275"/>
        <v>2033</v>
      </c>
      <c r="B344" s="4">
        <f t="shared" si="273"/>
        <v>0</v>
      </c>
      <c r="C344" s="4">
        <f>IF($B$332=0,0,IF(C$2&gt;=$A344,IF(C$2=$A344,($B344/$B$332)*$B$329,IF(C$2&lt;=$A344+$B$332-1,$B344/$B$332,$B344-SUM(B344:$C344))),0))</f>
        <v>0</v>
      </c>
      <c r="D344" s="4">
        <f>IF($B$332=0,0,IF(D$2&gt;=$A344,IF(D$2=$A344,($B344/$B$332)*$B$329,IF(D$2&lt;=$A344+$B$332-1,$B344/$B$332,$B344-SUM(C344:$C344))),0))</f>
        <v>0</v>
      </c>
      <c r="E344" s="4">
        <f>IF($B$332=0,0,IF(E$2&gt;=$A344,IF(E$2=$A344,($B344/$B$332)*$B$329,IF(E$2&lt;=$A344+$B$332-1,$B344/$B$332,$B344-SUM($C344:D344))),0))</f>
        <v>0</v>
      </c>
      <c r="F344" s="4">
        <f>IF($B$332=0,0,IF(F$2&gt;=$A344,IF(F$2=$A344,($B344/$B$332)*$B$329,IF(F$2&lt;=$A344+$B$332-1,$B344/$B$332,$B344-SUM($C344:E344))),0))</f>
        <v>0</v>
      </c>
      <c r="G344" s="4">
        <f>IF($B$332=0,0,IF(G$2&gt;=$A344,IF(G$2=$A344,($B344/$B$332)*$B$329,IF(G$2&lt;=$A344+$B$332-1,$B344/$B$332,$B344-SUM($C344:F344))),0))</f>
        <v>0</v>
      </c>
      <c r="H344" s="4">
        <f>IF($B$332=0,0,IF(H$2&gt;=$A344,IF(H$2=$A344,($B344/$B$332)*$B$329,IF(H$2&lt;=$A344+$B$332-1,$B344/$B$332,$B344-SUM($C344:G344))),0))</f>
        <v>0</v>
      </c>
      <c r="I344" s="4">
        <f>IF($B$332=0,0,IF(I$2&gt;=$A344,IF(I$2=$A344,($B344/$B$332)*$B$329,IF(I$2&lt;=$A344+$B$332-1,$B344/$B$332,$B344-SUM($C344:H344))),0))</f>
        <v>0</v>
      </c>
      <c r="J344" s="4">
        <f>IF($B$332=0,0,IF(J$2&gt;=$A344,IF(J$2=$A344,($B344/$B$332)*$B$329,IF(J$2&lt;=$A344+$B$332-1,$B344/$B$332,$B344-SUM($C344:I344))),0))</f>
        <v>0</v>
      </c>
      <c r="K344" s="4">
        <f>IF($B$332=0,0,IF(K$2&gt;=$A344,IF(K$2=$A344,($B344/$B$332)*$B$329,IF(K$2&lt;=$A344+$B$332-1,$B344/$B$332,$B344-SUM($C344:J344))),0))</f>
        <v>0</v>
      </c>
      <c r="L344" s="4">
        <f>IF($B$332=0,0,IF(L$2&gt;=$A344,IF(L$2=$A344,($B344/$B$332)*$B$329,IF(L$2&lt;=$A344+$B$332-1,$B344/$B$332,$B344-SUM($C344:K344))),0))</f>
        <v>0</v>
      </c>
      <c r="M344" s="4">
        <f>IF($B$332=0,0,IF(M$2&gt;=$A344,IF(M$2=$A344,($B344/$B$332)*$B$329,IF(M$2&lt;=$A344+$B$332-1,$B344/$B$332,$B344-SUM($C344:L344))),0))</f>
        <v>0</v>
      </c>
      <c r="N344" s="4">
        <f>IF($B$332=0,0,IF(N$2&gt;=$A344,IF(N$2=$A344,($B344/$B$332)*$B$329,IF(N$2&lt;=$A344+$B$332-1,$B344/$B$332,$B344-SUM($C344:M344))),0))</f>
        <v>0</v>
      </c>
      <c r="O344" s="4">
        <f>IF($B$332=0,0,IF(O$2&gt;=$A344,IF(O$2=$A344,($B344/$B$332)*$B$329,IF(O$2&lt;=$A344+$B$332-1,$B344/$B$332,$B344-SUM($C344:N344))),0))</f>
        <v>0</v>
      </c>
      <c r="P344" s="4">
        <f>IF($B$332=0,0,IF(P$2&gt;=$A344,IF(P$2=$A344,($B344/$B$332)*$B$329,IF(P$2&lt;=$A344+$B$332-1,$B344/$B$332,$B344-SUM($C344:O344))),0))</f>
        <v>0</v>
      </c>
      <c r="Q344" s="4">
        <f>IF($B$332=0,0,IF(Q$2&gt;=$A344,IF(Q$2=$A344,($B344/$B$332)*$B$329,IF(Q$2&lt;=$A344+$B$332-1,$B344/$B$332,$B344-SUM($C344:P344))),0))</f>
        <v>0</v>
      </c>
      <c r="R344" s="4">
        <f>IF($B$332=0,0,IF(R$2&gt;=$A344,IF(R$2=$A344,($B344/$B$332)*$B$329,IF(R$2&lt;=$A344+$B$332-1,$B344/$B$332,$B344-SUM($C344:Q344))),0))</f>
        <v>0</v>
      </c>
      <c r="S344" s="4">
        <f>IF($B$332=0,0,IF(S$2&gt;=$A344,IF(S$2=$A344,($B344/$B$332)*$B$329,IF(S$2&lt;=$A344+$B$332-1,$B344/$B$332,$B344-SUM($C344:R344))),0))</f>
        <v>0</v>
      </c>
      <c r="T344" s="4">
        <f>IF($B$332=0,0,IF(T$2&gt;=$A344,IF(T$2=$A344,($B344/$B$332)*$B$329,IF(T$2&lt;=$A344+$B$332-1,$B344/$B$332,$B344-SUM($C344:S344))),0))</f>
        <v>0</v>
      </c>
      <c r="U344" s="4">
        <f>IF($B$332=0,0,IF(U$2&gt;=$A344,IF(U$2=$A344,($B344/$B$332)*$B$329,IF(U$2&lt;=$A344+$B$332-1,$B344/$B$332,$B344-SUM($C344:T344))),0))</f>
        <v>0</v>
      </c>
      <c r="V344" s="4">
        <f>IF($B$332=0,0,IF(V$2&gt;=$A344,IF(V$2=$A344,($B344/$B$332)*$B$329,IF(V$2&lt;=$A344+$B$332-1,$B344/$B$332,$B344-SUM($C344:U344))),0))</f>
        <v>0</v>
      </c>
      <c r="W344" s="4">
        <f>IF($B$332=0,0,IF(W$2&gt;=$A344,IF(W$2=$A344,($B344/$B$332)*$B$329,IF(W$2&lt;=$A344+$B$332-1,$B344/$B$332,$B344-SUM($C344:V344))),0))</f>
        <v>0</v>
      </c>
      <c r="X344" s="4">
        <f>IF($B$332=0,0,IF(X$2&gt;=$A344,IF(X$2=$A344,($B344/$B$332)*$B$329,IF(X$2&lt;=$A344+$B$332-1,$B344/$B$332,$B344-SUM($C344:W344))),0))</f>
        <v>0</v>
      </c>
      <c r="Y344" s="4">
        <f>IF($B$332=0,0,IF(Y$2&gt;=$A344,IF(Y$2=$A344,($B344/$B$332)*$B$329,IF(Y$2&lt;=$A344+$B$332-1,$B344/$B$332,$B344-SUM($C344:X344))),0))</f>
        <v>0</v>
      </c>
      <c r="Z344" s="4">
        <f>IF($B$332=0,0,IF(Z$2&gt;=$A344,IF(Z$2=$A344,($B344/$B$332)*$B$329,IF(Z$2&lt;=$A344+$B$332-1,$B344/$B$332,$B344-SUM($C344:Y344))),0))</f>
        <v>0</v>
      </c>
      <c r="AA344" s="4">
        <f>IF($B$332=0,0,IF(AA$2&gt;=$A344,IF(AA$2=$A344,($B344/$B$332)*$B$329,IF(AA$2&lt;=$A344+$B$332-1,$B344/$B$332,$B344-SUM($C344:Z344))),0))</f>
        <v>0</v>
      </c>
      <c r="AB344" s="4">
        <f>IF($B$332=0,0,IF(AB$2&gt;=$A344,IF(AB$2=$A344,($B344/$B$332)*$B$329,IF(AB$2&lt;=$A344+$B$332-1,$B344/$B$332,$B344-SUM($C344:AA344))),0))</f>
        <v>0</v>
      </c>
      <c r="AC344" s="4">
        <f>IF($B$332=0,0,IF(AC$2&gt;=$A344,IF(AC$2=$A344,($B344/$B$332)*$B$329,IF(AC$2&lt;=$A344+$B$332-1,$B344/$B$332,$B344-SUM($C344:AB344))),0))</f>
        <v>0</v>
      </c>
      <c r="AD344" s="4">
        <f>IF($B$332=0,0,IF(AD$2&gt;=$A344,IF(AD$2=$A344,($B344/$B$332)*$B$329,IF(AD$2&lt;=$A344+$B$332-1,$B344/$B$332,$B344-SUM($C344:AC344))),0))</f>
        <v>0</v>
      </c>
      <c r="AE344" s="4">
        <f>IF($B$332=0,0,IF(AE$2&gt;=$A344,IF(AE$2=$A344,($B344/$B$332)*$B$329,IF(AE$2&lt;=$A344+$B$332-1,$B344/$B$332,$B344-SUM($C344:AD344))),0))</f>
        <v>0</v>
      </c>
      <c r="AF344" s="4">
        <f>IF($B$332=0,0,IF(AF$2&gt;=$A344,IF(AF$2=$A344,($B344/$B$332)*$B$329,IF(AF$2&lt;=$A344+$B$332-1,$B344/$B$332,$B344-SUM($C344:AE344))),0))</f>
        <v>0</v>
      </c>
      <c r="AG344" s="4">
        <f t="shared" si="274"/>
        <v>0</v>
      </c>
    </row>
    <row r="345" spans="1:33">
      <c r="A345" s="6">
        <f t="shared" si="275"/>
        <v>2034</v>
      </c>
      <c r="B345" s="4">
        <f t="shared" si="273"/>
        <v>0</v>
      </c>
      <c r="C345" s="4">
        <f>IF($B$332=0,0,IF(C$2&gt;=$A345,IF(C$2=$A345,($B345/$B$332)*$B$329,IF(C$2&lt;=$A345+$B$332-1,$B345/$B$332,$B345-SUM(B345:$C345))),0))</f>
        <v>0</v>
      </c>
      <c r="D345" s="4">
        <f>IF($B$332=0,0,IF(D$2&gt;=$A345,IF(D$2=$A345,($B345/$B$332)*$B$329,IF(D$2&lt;=$A345+$B$332-1,$B345/$B$332,$B345-SUM(C345:$C345))),0))</f>
        <v>0</v>
      </c>
      <c r="E345" s="4">
        <f>IF($B$332=0,0,IF(E$2&gt;=$A345,IF(E$2=$A345,($B345/$B$332)*$B$329,IF(E$2&lt;=$A345+$B$332-1,$B345/$B$332,$B345-SUM($C345:D345))),0))</f>
        <v>0</v>
      </c>
      <c r="F345" s="4">
        <f>IF($B$332=0,0,IF(F$2&gt;=$A345,IF(F$2=$A345,($B345/$B$332)*$B$329,IF(F$2&lt;=$A345+$B$332-1,$B345/$B$332,$B345-SUM($C345:E345))),0))</f>
        <v>0</v>
      </c>
      <c r="G345" s="4">
        <f>IF($B$332=0,0,IF(G$2&gt;=$A345,IF(G$2=$A345,($B345/$B$332)*$B$329,IF(G$2&lt;=$A345+$B$332-1,$B345/$B$332,$B345-SUM($C345:F345))),0))</f>
        <v>0</v>
      </c>
      <c r="H345" s="4">
        <f>IF($B$332=0,0,IF(H$2&gt;=$A345,IF(H$2=$A345,($B345/$B$332)*$B$329,IF(H$2&lt;=$A345+$B$332-1,$B345/$B$332,$B345-SUM($C345:G345))),0))</f>
        <v>0</v>
      </c>
      <c r="I345" s="4">
        <f>IF($B$332=0,0,IF(I$2&gt;=$A345,IF(I$2=$A345,($B345/$B$332)*$B$329,IF(I$2&lt;=$A345+$B$332-1,$B345/$B$332,$B345-SUM($C345:H345))),0))</f>
        <v>0</v>
      </c>
      <c r="J345" s="4">
        <f>IF($B$332=0,0,IF(J$2&gt;=$A345,IF(J$2=$A345,($B345/$B$332)*$B$329,IF(J$2&lt;=$A345+$B$332-1,$B345/$B$332,$B345-SUM($C345:I345))),0))</f>
        <v>0</v>
      </c>
      <c r="K345" s="4">
        <f>IF($B$332=0,0,IF(K$2&gt;=$A345,IF(K$2=$A345,($B345/$B$332)*$B$329,IF(K$2&lt;=$A345+$B$332-1,$B345/$B$332,$B345-SUM($C345:J345))),0))</f>
        <v>0</v>
      </c>
      <c r="L345" s="4">
        <f>IF($B$332=0,0,IF(L$2&gt;=$A345,IF(L$2=$A345,($B345/$B$332)*$B$329,IF(L$2&lt;=$A345+$B$332-1,$B345/$B$332,$B345-SUM($C345:K345))),0))</f>
        <v>0</v>
      </c>
      <c r="M345" s="4">
        <f>IF($B$332=0,0,IF(M$2&gt;=$A345,IF(M$2=$A345,($B345/$B$332)*$B$329,IF(M$2&lt;=$A345+$B$332-1,$B345/$B$332,$B345-SUM($C345:L345))),0))</f>
        <v>0</v>
      </c>
      <c r="N345" s="4">
        <f>IF($B$332=0,0,IF(N$2&gt;=$A345,IF(N$2=$A345,($B345/$B$332)*$B$329,IF(N$2&lt;=$A345+$B$332-1,$B345/$B$332,$B345-SUM($C345:M345))),0))</f>
        <v>0</v>
      </c>
      <c r="O345" s="4">
        <f>IF($B$332=0,0,IF(O$2&gt;=$A345,IF(O$2=$A345,($B345/$B$332)*$B$329,IF(O$2&lt;=$A345+$B$332-1,$B345/$B$332,$B345-SUM($C345:N345))),0))</f>
        <v>0</v>
      </c>
      <c r="P345" s="4">
        <f>IF($B$332=0,0,IF(P$2&gt;=$A345,IF(P$2=$A345,($B345/$B$332)*$B$329,IF(P$2&lt;=$A345+$B$332-1,$B345/$B$332,$B345-SUM($C345:O345))),0))</f>
        <v>0</v>
      </c>
      <c r="Q345" s="4">
        <f>IF($B$332=0,0,IF(Q$2&gt;=$A345,IF(Q$2=$A345,($B345/$B$332)*$B$329,IF(Q$2&lt;=$A345+$B$332-1,$B345/$B$332,$B345-SUM($C345:P345))),0))</f>
        <v>0</v>
      </c>
      <c r="R345" s="4">
        <f>IF($B$332=0,0,IF(R$2&gt;=$A345,IF(R$2=$A345,($B345/$B$332)*$B$329,IF(R$2&lt;=$A345+$B$332-1,$B345/$B$332,$B345-SUM($C345:Q345))),0))</f>
        <v>0</v>
      </c>
      <c r="S345" s="4">
        <f>IF($B$332=0,0,IF(S$2&gt;=$A345,IF(S$2=$A345,($B345/$B$332)*$B$329,IF(S$2&lt;=$A345+$B$332-1,$B345/$B$332,$B345-SUM($C345:R345))),0))</f>
        <v>0</v>
      </c>
      <c r="T345" s="4">
        <f>IF($B$332=0,0,IF(T$2&gt;=$A345,IF(T$2=$A345,($B345/$B$332)*$B$329,IF(T$2&lt;=$A345+$B$332-1,$B345/$B$332,$B345-SUM($C345:S345))),0))</f>
        <v>0</v>
      </c>
      <c r="U345" s="4">
        <f>IF($B$332=0,0,IF(U$2&gt;=$A345,IF(U$2=$A345,($B345/$B$332)*$B$329,IF(U$2&lt;=$A345+$B$332-1,$B345/$B$332,$B345-SUM($C345:T345))),0))</f>
        <v>0</v>
      </c>
      <c r="V345" s="4">
        <f>IF($B$332=0,0,IF(V$2&gt;=$A345,IF(V$2=$A345,($B345/$B$332)*$B$329,IF(V$2&lt;=$A345+$B$332-1,$B345/$B$332,$B345-SUM($C345:U345))),0))</f>
        <v>0</v>
      </c>
      <c r="W345" s="4">
        <f>IF($B$332=0,0,IF(W$2&gt;=$A345,IF(W$2=$A345,($B345/$B$332)*$B$329,IF(W$2&lt;=$A345+$B$332-1,$B345/$B$332,$B345-SUM($C345:V345))),0))</f>
        <v>0</v>
      </c>
      <c r="X345" s="4">
        <f>IF($B$332=0,0,IF(X$2&gt;=$A345,IF(X$2=$A345,($B345/$B$332)*$B$329,IF(X$2&lt;=$A345+$B$332-1,$B345/$B$332,$B345-SUM($C345:W345))),0))</f>
        <v>0</v>
      </c>
      <c r="Y345" s="4">
        <f>IF($B$332=0,0,IF(Y$2&gt;=$A345,IF(Y$2=$A345,($B345/$B$332)*$B$329,IF(Y$2&lt;=$A345+$B$332-1,$B345/$B$332,$B345-SUM($C345:X345))),0))</f>
        <v>0</v>
      </c>
      <c r="Z345" s="4">
        <f>IF($B$332=0,0,IF(Z$2&gt;=$A345,IF(Z$2=$A345,($B345/$B$332)*$B$329,IF(Z$2&lt;=$A345+$B$332-1,$B345/$B$332,$B345-SUM($C345:Y345))),0))</f>
        <v>0</v>
      </c>
      <c r="AA345" s="4">
        <f>IF($B$332=0,0,IF(AA$2&gt;=$A345,IF(AA$2=$A345,($B345/$B$332)*$B$329,IF(AA$2&lt;=$A345+$B$332-1,$B345/$B$332,$B345-SUM($C345:Z345))),0))</f>
        <v>0</v>
      </c>
      <c r="AB345" s="4">
        <f>IF($B$332=0,0,IF(AB$2&gt;=$A345,IF(AB$2=$A345,($B345/$B$332)*$B$329,IF(AB$2&lt;=$A345+$B$332-1,$B345/$B$332,$B345-SUM($C345:AA345))),0))</f>
        <v>0</v>
      </c>
      <c r="AC345" s="4">
        <f>IF($B$332=0,0,IF(AC$2&gt;=$A345,IF(AC$2=$A345,($B345/$B$332)*$B$329,IF(AC$2&lt;=$A345+$B$332-1,$B345/$B$332,$B345-SUM($C345:AB345))),0))</f>
        <v>0</v>
      </c>
      <c r="AD345" s="4">
        <f>IF($B$332=0,0,IF(AD$2&gt;=$A345,IF(AD$2=$A345,($B345/$B$332)*$B$329,IF(AD$2&lt;=$A345+$B$332-1,$B345/$B$332,$B345-SUM($C345:AC345))),0))</f>
        <v>0</v>
      </c>
      <c r="AE345" s="4">
        <f>IF($B$332=0,0,IF(AE$2&gt;=$A345,IF(AE$2=$A345,($B345/$B$332)*$B$329,IF(AE$2&lt;=$A345+$B$332-1,$B345/$B$332,$B345-SUM($C345:AD345))),0))</f>
        <v>0</v>
      </c>
      <c r="AF345" s="4">
        <f>IF($B$332=0,0,IF(AF$2&gt;=$A345,IF(AF$2=$A345,($B345/$B$332)*$B$329,IF(AF$2&lt;=$A345+$B$332-1,$B345/$B$332,$B345-SUM($C345:AE345))),0))</f>
        <v>0</v>
      </c>
      <c r="AG345" s="4">
        <f t="shared" si="274"/>
        <v>0</v>
      </c>
    </row>
    <row r="346" spans="1:33">
      <c r="A346" s="6">
        <f t="shared" si="275"/>
        <v>2035</v>
      </c>
      <c r="B346" s="4">
        <f t="shared" si="273"/>
        <v>0</v>
      </c>
      <c r="C346" s="4">
        <f>IF($B$332=0,0,IF(C$2&gt;=$A346,IF(C$2=$A346,($B346/$B$332)*$B$329,IF(C$2&lt;=$A346+$B$332-1,$B346/$B$332,$B346-SUM(B346:$C346))),0))</f>
        <v>0</v>
      </c>
      <c r="D346" s="4">
        <f>IF($B$332=0,0,IF(D$2&gt;=$A346,IF(D$2=$A346,($B346/$B$332)*$B$329,IF(D$2&lt;=$A346+$B$332-1,$B346/$B$332,$B346-SUM(C346:$C346))),0))</f>
        <v>0</v>
      </c>
      <c r="E346" s="4">
        <f>IF($B$332=0,0,IF(E$2&gt;=$A346,IF(E$2=$A346,($B346/$B$332)*$B$329,IF(E$2&lt;=$A346+$B$332-1,$B346/$B$332,$B346-SUM($C346:D346))),0))</f>
        <v>0</v>
      </c>
      <c r="F346" s="4">
        <f>IF($B$332=0,0,IF(F$2&gt;=$A346,IF(F$2=$A346,($B346/$B$332)*$B$329,IF(F$2&lt;=$A346+$B$332-1,$B346/$B$332,$B346-SUM($C346:E346))),0))</f>
        <v>0</v>
      </c>
      <c r="G346" s="4">
        <f>IF($B$332=0,0,IF(G$2&gt;=$A346,IF(G$2=$A346,($B346/$B$332)*$B$329,IF(G$2&lt;=$A346+$B$332-1,$B346/$B$332,$B346-SUM($C346:F346))),0))</f>
        <v>0</v>
      </c>
      <c r="H346" s="4">
        <f>IF($B$332=0,0,IF(H$2&gt;=$A346,IF(H$2=$A346,($B346/$B$332)*$B$329,IF(H$2&lt;=$A346+$B$332-1,$B346/$B$332,$B346-SUM($C346:G346))),0))</f>
        <v>0</v>
      </c>
      <c r="I346" s="4">
        <f>IF($B$332=0,0,IF(I$2&gt;=$A346,IF(I$2=$A346,($B346/$B$332)*$B$329,IF(I$2&lt;=$A346+$B$332-1,$B346/$B$332,$B346-SUM($C346:H346))),0))</f>
        <v>0</v>
      </c>
      <c r="J346" s="4">
        <f>IF($B$332=0,0,IF(J$2&gt;=$A346,IF(J$2=$A346,($B346/$B$332)*$B$329,IF(J$2&lt;=$A346+$B$332-1,$B346/$B$332,$B346-SUM($C346:I346))),0))</f>
        <v>0</v>
      </c>
      <c r="K346" s="4">
        <f>IF($B$332=0,0,IF(K$2&gt;=$A346,IF(K$2=$A346,($B346/$B$332)*$B$329,IF(K$2&lt;=$A346+$B$332-1,$B346/$B$332,$B346-SUM($C346:J346))),0))</f>
        <v>0</v>
      </c>
      <c r="L346" s="4">
        <f>IF($B$332=0,0,IF(L$2&gt;=$A346,IF(L$2=$A346,($B346/$B$332)*$B$329,IF(L$2&lt;=$A346+$B$332-1,$B346/$B$332,$B346-SUM($C346:K346))),0))</f>
        <v>0</v>
      </c>
      <c r="M346" s="4">
        <f>IF($B$332=0,0,IF(M$2&gt;=$A346,IF(M$2=$A346,($B346/$B$332)*$B$329,IF(M$2&lt;=$A346+$B$332-1,$B346/$B$332,$B346-SUM($C346:L346))),0))</f>
        <v>0</v>
      </c>
      <c r="N346" s="4">
        <f>IF($B$332=0,0,IF(N$2&gt;=$A346,IF(N$2=$A346,($B346/$B$332)*$B$329,IF(N$2&lt;=$A346+$B$332-1,$B346/$B$332,$B346-SUM($C346:M346))),0))</f>
        <v>0</v>
      </c>
      <c r="O346" s="4">
        <f>IF($B$332=0,0,IF(O$2&gt;=$A346,IF(O$2=$A346,($B346/$B$332)*$B$329,IF(O$2&lt;=$A346+$B$332-1,$B346/$B$332,$B346-SUM($C346:N346))),0))</f>
        <v>0</v>
      </c>
      <c r="P346" s="4">
        <f>IF($B$332=0,0,IF(P$2&gt;=$A346,IF(P$2=$A346,($B346/$B$332)*$B$329,IF(P$2&lt;=$A346+$B$332-1,$B346/$B$332,$B346-SUM($C346:O346))),0))</f>
        <v>0</v>
      </c>
      <c r="Q346" s="4">
        <f>IF($B$332=0,0,IF(Q$2&gt;=$A346,IF(Q$2=$A346,($B346/$B$332)*$B$329,IF(Q$2&lt;=$A346+$B$332-1,$B346/$B$332,$B346-SUM($C346:P346))),0))</f>
        <v>0</v>
      </c>
      <c r="R346" s="4">
        <f>IF($B$332=0,0,IF(R$2&gt;=$A346,IF(R$2=$A346,($B346/$B$332)*$B$329,IF(R$2&lt;=$A346+$B$332-1,$B346/$B$332,$B346-SUM($C346:Q346))),0))</f>
        <v>0</v>
      </c>
      <c r="S346" s="4">
        <f>IF($B$332=0,0,IF(S$2&gt;=$A346,IF(S$2=$A346,($B346/$B$332)*$B$329,IF(S$2&lt;=$A346+$B$332-1,$B346/$B$332,$B346-SUM($C346:R346))),0))</f>
        <v>0</v>
      </c>
      <c r="T346" s="4">
        <f>IF($B$332=0,0,IF(T$2&gt;=$A346,IF(T$2=$A346,($B346/$B$332)*$B$329,IF(T$2&lt;=$A346+$B$332-1,$B346/$B$332,$B346-SUM($C346:S346))),0))</f>
        <v>0</v>
      </c>
      <c r="U346" s="4">
        <f>IF($B$332=0,0,IF(U$2&gt;=$A346,IF(U$2=$A346,($B346/$B$332)*$B$329,IF(U$2&lt;=$A346+$B$332-1,$B346/$B$332,$B346-SUM($C346:T346))),0))</f>
        <v>0</v>
      </c>
      <c r="V346" s="4">
        <f>IF($B$332=0,0,IF(V$2&gt;=$A346,IF(V$2=$A346,($B346/$B$332)*$B$329,IF(V$2&lt;=$A346+$B$332-1,$B346/$B$332,$B346-SUM($C346:U346))),0))</f>
        <v>0</v>
      </c>
      <c r="W346" s="4">
        <f>IF($B$332=0,0,IF(W$2&gt;=$A346,IF(W$2=$A346,($B346/$B$332)*$B$329,IF(W$2&lt;=$A346+$B$332-1,$B346/$B$332,$B346-SUM($C346:V346))),0))</f>
        <v>0</v>
      </c>
      <c r="X346" s="4">
        <f>IF($B$332=0,0,IF(X$2&gt;=$A346,IF(X$2=$A346,($B346/$B$332)*$B$329,IF(X$2&lt;=$A346+$B$332-1,$B346/$B$332,$B346-SUM($C346:W346))),0))</f>
        <v>0</v>
      </c>
      <c r="Y346" s="4">
        <f>IF($B$332=0,0,IF(Y$2&gt;=$A346,IF(Y$2=$A346,($B346/$B$332)*$B$329,IF(Y$2&lt;=$A346+$B$332-1,$B346/$B$332,$B346-SUM($C346:X346))),0))</f>
        <v>0</v>
      </c>
      <c r="Z346" s="4">
        <f>IF($B$332=0,0,IF(Z$2&gt;=$A346,IF(Z$2=$A346,($B346/$B$332)*$B$329,IF(Z$2&lt;=$A346+$B$332-1,$B346/$B$332,$B346-SUM($C346:Y346))),0))</f>
        <v>0</v>
      </c>
      <c r="AA346" s="4">
        <f>IF($B$332=0,0,IF(AA$2&gt;=$A346,IF(AA$2=$A346,($B346/$B$332)*$B$329,IF(AA$2&lt;=$A346+$B$332-1,$B346/$B$332,$B346-SUM($C346:Z346))),0))</f>
        <v>0</v>
      </c>
      <c r="AB346" s="4">
        <f>IF($B$332=0,0,IF(AB$2&gt;=$A346,IF(AB$2=$A346,($B346/$B$332)*$B$329,IF(AB$2&lt;=$A346+$B$332-1,$B346/$B$332,$B346-SUM($C346:AA346))),0))</f>
        <v>0</v>
      </c>
      <c r="AC346" s="4">
        <f>IF($B$332=0,0,IF(AC$2&gt;=$A346,IF(AC$2=$A346,($B346/$B$332)*$B$329,IF(AC$2&lt;=$A346+$B$332-1,$B346/$B$332,$B346-SUM($C346:AB346))),0))</f>
        <v>0</v>
      </c>
      <c r="AD346" s="4">
        <f>IF($B$332=0,0,IF(AD$2&gt;=$A346,IF(AD$2=$A346,($B346/$B$332)*$B$329,IF(AD$2&lt;=$A346+$B$332-1,$B346/$B$332,$B346-SUM($C346:AC346))),0))</f>
        <v>0</v>
      </c>
      <c r="AE346" s="4">
        <f>IF($B$332=0,0,IF(AE$2&gt;=$A346,IF(AE$2=$A346,($B346/$B$332)*$B$329,IF(AE$2&lt;=$A346+$B$332-1,$B346/$B$332,$B346-SUM($C346:AD346))),0))</f>
        <v>0</v>
      </c>
      <c r="AF346" s="4">
        <f>IF($B$332=0,0,IF(AF$2&gt;=$A346,IF(AF$2=$A346,($B346/$B$332)*$B$329,IF(AF$2&lt;=$A346+$B$332-1,$B346/$B$332,$B346-SUM($C346:AE346))),0))</f>
        <v>0</v>
      </c>
      <c r="AG346" s="4">
        <f t="shared" si="274"/>
        <v>0</v>
      </c>
    </row>
    <row r="347" spans="1:33">
      <c r="A347" s="6">
        <f t="shared" si="275"/>
        <v>2036</v>
      </c>
      <c r="B347" s="4">
        <f t="shared" si="273"/>
        <v>0</v>
      </c>
      <c r="C347" s="4">
        <f>IF($B$332=0,0,IF(C$2&gt;=$A347,IF(C$2=$A347,($B347/$B$332)*$B$329,IF(C$2&lt;=$A347+$B$332-1,$B347/$B$332,$B347-SUM(B347:$C347))),0))</f>
        <v>0</v>
      </c>
      <c r="D347" s="4">
        <f>IF($B$332=0,0,IF(D$2&gt;=$A347,IF(D$2=$A347,($B347/$B$332)*$B$329,IF(D$2&lt;=$A347+$B$332-1,$B347/$B$332,$B347-SUM(C347:$C347))),0))</f>
        <v>0</v>
      </c>
      <c r="E347" s="4">
        <f>IF($B$332=0,0,IF(E$2&gt;=$A347,IF(E$2=$A347,($B347/$B$332)*$B$329,IF(E$2&lt;=$A347+$B$332-1,$B347/$B$332,$B347-SUM($C347:D347))),0))</f>
        <v>0</v>
      </c>
      <c r="F347" s="4">
        <f>IF($B$332=0,0,IF(F$2&gt;=$A347,IF(F$2=$A347,($B347/$B$332)*$B$329,IF(F$2&lt;=$A347+$B$332-1,$B347/$B$332,$B347-SUM($C347:E347))),0))</f>
        <v>0</v>
      </c>
      <c r="G347" s="4">
        <f>IF($B$332=0,0,IF(G$2&gt;=$A347,IF(G$2=$A347,($B347/$B$332)*$B$329,IF(G$2&lt;=$A347+$B$332-1,$B347/$B$332,$B347-SUM($C347:F347))),0))</f>
        <v>0</v>
      </c>
      <c r="H347" s="4">
        <f>IF($B$332=0,0,IF(H$2&gt;=$A347,IF(H$2=$A347,($B347/$B$332)*$B$329,IF(H$2&lt;=$A347+$B$332-1,$B347/$B$332,$B347-SUM($C347:G347))),0))</f>
        <v>0</v>
      </c>
      <c r="I347" s="4">
        <f>IF($B$332=0,0,IF(I$2&gt;=$A347,IF(I$2=$A347,($B347/$B$332)*$B$329,IF(I$2&lt;=$A347+$B$332-1,$B347/$B$332,$B347-SUM($C347:H347))),0))</f>
        <v>0</v>
      </c>
      <c r="J347" s="4">
        <f>IF($B$332=0,0,IF(J$2&gt;=$A347,IF(J$2=$A347,($B347/$B$332)*$B$329,IF(J$2&lt;=$A347+$B$332-1,$B347/$B$332,$B347-SUM($C347:I347))),0))</f>
        <v>0</v>
      </c>
      <c r="K347" s="4">
        <f>IF($B$332=0,0,IF(K$2&gt;=$A347,IF(K$2=$A347,($B347/$B$332)*$B$329,IF(K$2&lt;=$A347+$B$332-1,$B347/$B$332,$B347-SUM($C347:J347))),0))</f>
        <v>0</v>
      </c>
      <c r="L347" s="4">
        <f>IF($B$332=0,0,IF(L$2&gt;=$A347,IF(L$2=$A347,($B347/$B$332)*$B$329,IF(L$2&lt;=$A347+$B$332-1,$B347/$B$332,$B347-SUM($C347:K347))),0))</f>
        <v>0</v>
      </c>
      <c r="M347" s="4">
        <f>IF($B$332=0,0,IF(M$2&gt;=$A347,IF(M$2=$A347,($B347/$B$332)*$B$329,IF(M$2&lt;=$A347+$B$332-1,$B347/$B$332,$B347-SUM($C347:L347))),0))</f>
        <v>0</v>
      </c>
      <c r="N347" s="4">
        <f>IF($B$332=0,0,IF(N$2&gt;=$A347,IF(N$2=$A347,($B347/$B$332)*$B$329,IF(N$2&lt;=$A347+$B$332-1,$B347/$B$332,$B347-SUM($C347:M347))),0))</f>
        <v>0</v>
      </c>
      <c r="O347" s="4">
        <f>IF($B$332=0,0,IF(O$2&gt;=$A347,IF(O$2=$A347,($B347/$B$332)*$B$329,IF(O$2&lt;=$A347+$B$332-1,$B347/$B$332,$B347-SUM($C347:N347))),0))</f>
        <v>0</v>
      </c>
      <c r="P347" s="4">
        <f>IF($B$332=0,0,IF(P$2&gt;=$A347,IF(P$2=$A347,($B347/$B$332)*$B$329,IF(P$2&lt;=$A347+$B$332-1,$B347/$B$332,$B347-SUM($C347:O347))),0))</f>
        <v>0</v>
      </c>
      <c r="Q347" s="4">
        <f>IF($B$332=0,0,IF(Q$2&gt;=$A347,IF(Q$2=$A347,($B347/$B$332)*$B$329,IF(Q$2&lt;=$A347+$B$332-1,$B347/$B$332,$B347-SUM($C347:P347))),0))</f>
        <v>0</v>
      </c>
      <c r="R347" s="4">
        <f>IF($B$332=0,0,IF(R$2&gt;=$A347,IF(R$2=$A347,($B347/$B$332)*$B$329,IF(R$2&lt;=$A347+$B$332-1,$B347/$B$332,$B347-SUM($C347:Q347))),0))</f>
        <v>0</v>
      </c>
      <c r="S347" s="4">
        <f>IF($B$332=0,0,IF(S$2&gt;=$A347,IF(S$2=$A347,($B347/$B$332)*$B$329,IF(S$2&lt;=$A347+$B$332-1,$B347/$B$332,$B347-SUM($C347:R347))),0))</f>
        <v>0</v>
      </c>
      <c r="T347" s="4">
        <f>IF($B$332=0,0,IF(T$2&gt;=$A347,IF(T$2=$A347,($B347/$B$332)*$B$329,IF(T$2&lt;=$A347+$B$332-1,$B347/$B$332,$B347-SUM($C347:S347))),0))</f>
        <v>0</v>
      </c>
      <c r="U347" s="4">
        <f>IF($B$332=0,0,IF(U$2&gt;=$A347,IF(U$2=$A347,($B347/$B$332)*$B$329,IF(U$2&lt;=$A347+$B$332-1,$B347/$B$332,$B347-SUM($C347:T347))),0))</f>
        <v>0</v>
      </c>
      <c r="V347" s="4">
        <f>IF($B$332=0,0,IF(V$2&gt;=$A347,IF(V$2=$A347,($B347/$B$332)*$B$329,IF(V$2&lt;=$A347+$B$332-1,$B347/$B$332,$B347-SUM($C347:U347))),0))</f>
        <v>0</v>
      </c>
      <c r="W347" s="4">
        <f>IF($B$332=0,0,IF(W$2&gt;=$A347,IF(W$2=$A347,($B347/$B$332)*$B$329,IF(W$2&lt;=$A347+$B$332-1,$B347/$B$332,$B347-SUM($C347:V347))),0))</f>
        <v>0</v>
      </c>
      <c r="X347" s="4">
        <f>IF($B$332=0,0,IF(X$2&gt;=$A347,IF(X$2=$A347,($B347/$B$332)*$B$329,IF(X$2&lt;=$A347+$B$332-1,$B347/$B$332,$B347-SUM($C347:W347))),0))</f>
        <v>0</v>
      </c>
      <c r="Y347" s="4">
        <f>IF($B$332=0,0,IF(Y$2&gt;=$A347,IF(Y$2=$A347,($B347/$B$332)*$B$329,IF(Y$2&lt;=$A347+$B$332-1,$B347/$B$332,$B347-SUM($C347:X347))),0))</f>
        <v>0</v>
      </c>
      <c r="Z347" s="4">
        <f>IF($B$332=0,0,IF(Z$2&gt;=$A347,IF(Z$2=$A347,($B347/$B$332)*$B$329,IF(Z$2&lt;=$A347+$B$332-1,$B347/$B$332,$B347-SUM($C347:Y347))),0))</f>
        <v>0</v>
      </c>
      <c r="AA347" s="4">
        <f>IF($B$332=0,0,IF(AA$2&gt;=$A347,IF(AA$2=$A347,($B347/$B$332)*$B$329,IF(AA$2&lt;=$A347+$B$332-1,$B347/$B$332,$B347-SUM($C347:Z347))),0))</f>
        <v>0</v>
      </c>
      <c r="AB347" s="4">
        <f>IF($B$332=0,0,IF(AB$2&gt;=$A347,IF(AB$2=$A347,($B347/$B$332)*$B$329,IF(AB$2&lt;=$A347+$B$332-1,$B347/$B$332,$B347-SUM($C347:AA347))),0))</f>
        <v>0</v>
      </c>
      <c r="AC347" s="4">
        <f>IF($B$332=0,0,IF(AC$2&gt;=$A347,IF(AC$2=$A347,($B347/$B$332)*$B$329,IF(AC$2&lt;=$A347+$B$332-1,$B347/$B$332,$B347-SUM($C347:AB347))),0))</f>
        <v>0</v>
      </c>
      <c r="AD347" s="4">
        <f>IF($B$332=0,0,IF(AD$2&gt;=$A347,IF(AD$2=$A347,($B347/$B$332)*$B$329,IF(AD$2&lt;=$A347+$B$332-1,$B347/$B$332,$B347-SUM($C347:AC347))),0))</f>
        <v>0</v>
      </c>
      <c r="AE347" s="4">
        <f>IF($B$332=0,0,IF(AE$2&gt;=$A347,IF(AE$2=$A347,($B347/$B$332)*$B$329,IF(AE$2&lt;=$A347+$B$332-1,$B347/$B$332,$B347-SUM($C347:AD347))),0))</f>
        <v>0</v>
      </c>
      <c r="AF347" s="4">
        <f>IF($B$332=0,0,IF(AF$2&gt;=$A347,IF(AF$2=$A347,($B347/$B$332)*$B$329,IF(AF$2&lt;=$A347+$B$332-1,$B347/$B$332,$B347-SUM($C347:AE347))),0))</f>
        <v>0</v>
      </c>
      <c r="AG347" s="4">
        <f t="shared" si="274"/>
        <v>0</v>
      </c>
    </row>
    <row r="348" spans="1:33">
      <c r="A348" s="6">
        <f t="shared" si="275"/>
        <v>2037</v>
      </c>
      <c r="B348" s="4">
        <f t="shared" si="273"/>
        <v>0</v>
      </c>
      <c r="C348" s="4">
        <f>IF($B$332=0,0,IF(C$2&gt;=$A348,IF(C$2=$A348,($B348/$B$332)*$B$329,IF(C$2&lt;=$A348+$B$332-1,$B348/$B$332,$B348-SUM(B348:$C348))),0))</f>
        <v>0</v>
      </c>
      <c r="D348" s="4">
        <f>IF($B$332=0,0,IF(D$2&gt;=$A348,IF(D$2=$A348,($B348/$B$332)*$B$329,IF(D$2&lt;=$A348+$B$332-1,$B348/$B$332,$B348-SUM(C348:$C348))),0))</f>
        <v>0</v>
      </c>
      <c r="E348" s="4">
        <f>IF($B$332=0,0,IF(E$2&gt;=$A348,IF(E$2=$A348,($B348/$B$332)*$B$329,IF(E$2&lt;=$A348+$B$332-1,$B348/$B$332,$B348-SUM($C348:D348))),0))</f>
        <v>0</v>
      </c>
      <c r="F348" s="4">
        <f>IF($B$332=0,0,IF(F$2&gt;=$A348,IF(F$2=$A348,($B348/$B$332)*$B$329,IF(F$2&lt;=$A348+$B$332-1,$B348/$B$332,$B348-SUM($C348:E348))),0))</f>
        <v>0</v>
      </c>
      <c r="G348" s="4">
        <f>IF($B$332=0,0,IF(G$2&gt;=$A348,IF(G$2=$A348,($B348/$B$332)*$B$329,IF(G$2&lt;=$A348+$B$332-1,$B348/$B$332,$B348-SUM($C348:F348))),0))</f>
        <v>0</v>
      </c>
      <c r="H348" s="4">
        <f>IF($B$332=0,0,IF(H$2&gt;=$A348,IF(H$2=$A348,($B348/$B$332)*$B$329,IF(H$2&lt;=$A348+$B$332-1,$B348/$B$332,$B348-SUM($C348:G348))),0))</f>
        <v>0</v>
      </c>
      <c r="I348" s="4">
        <f>IF($B$332=0,0,IF(I$2&gt;=$A348,IF(I$2=$A348,($B348/$B$332)*$B$329,IF(I$2&lt;=$A348+$B$332-1,$B348/$B$332,$B348-SUM($C348:H348))),0))</f>
        <v>0</v>
      </c>
      <c r="J348" s="4">
        <f>IF($B$332=0,0,IF(J$2&gt;=$A348,IF(J$2=$A348,($B348/$B$332)*$B$329,IF(J$2&lt;=$A348+$B$332-1,$B348/$B$332,$B348-SUM($C348:I348))),0))</f>
        <v>0</v>
      </c>
      <c r="K348" s="4">
        <f>IF($B$332=0,0,IF(K$2&gt;=$A348,IF(K$2=$A348,($B348/$B$332)*$B$329,IF(K$2&lt;=$A348+$B$332-1,$B348/$B$332,$B348-SUM($C348:J348))),0))</f>
        <v>0</v>
      </c>
      <c r="L348" s="4">
        <f>IF($B$332=0,0,IF(L$2&gt;=$A348,IF(L$2=$A348,($B348/$B$332)*$B$329,IF(L$2&lt;=$A348+$B$332-1,$B348/$B$332,$B348-SUM($C348:K348))),0))</f>
        <v>0</v>
      </c>
      <c r="M348" s="4">
        <f>IF($B$332=0,0,IF(M$2&gt;=$A348,IF(M$2=$A348,($B348/$B$332)*$B$329,IF(M$2&lt;=$A348+$B$332-1,$B348/$B$332,$B348-SUM($C348:L348))),0))</f>
        <v>0</v>
      </c>
      <c r="N348" s="4">
        <f>IF($B$332=0,0,IF(N$2&gt;=$A348,IF(N$2=$A348,($B348/$B$332)*$B$329,IF(N$2&lt;=$A348+$B$332-1,$B348/$B$332,$B348-SUM($C348:M348))),0))</f>
        <v>0</v>
      </c>
      <c r="O348" s="4">
        <f>IF($B$332=0,0,IF(O$2&gt;=$A348,IF(O$2=$A348,($B348/$B$332)*$B$329,IF(O$2&lt;=$A348+$B$332-1,$B348/$B$332,$B348-SUM($C348:N348))),0))</f>
        <v>0</v>
      </c>
      <c r="P348" s="4">
        <f>IF($B$332=0,0,IF(P$2&gt;=$A348,IF(P$2=$A348,($B348/$B$332)*$B$329,IF(P$2&lt;=$A348+$B$332-1,$B348/$B$332,$B348-SUM($C348:O348))),0))</f>
        <v>0</v>
      </c>
      <c r="Q348" s="4">
        <f>IF($B$332=0,0,IF(Q$2&gt;=$A348,IF(Q$2=$A348,($B348/$B$332)*$B$329,IF(Q$2&lt;=$A348+$B$332-1,$B348/$B$332,$B348-SUM($C348:P348))),0))</f>
        <v>0</v>
      </c>
      <c r="R348" s="4">
        <f>IF($B$332=0,0,IF(R$2&gt;=$A348,IF(R$2=$A348,($B348/$B$332)*$B$329,IF(R$2&lt;=$A348+$B$332-1,$B348/$B$332,$B348-SUM($C348:Q348))),0))</f>
        <v>0</v>
      </c>
      <c r="S348" s="4">
        <f>IF($B$332=0,0,IF(S$2&gt;=$A348,IF(S$2=$A348,($B348/$B$332)*$B$329,IF(S$2&lt;=$A348+$B$332-1,$B348/$B$332,$B348-SUM($C348:R348))),0))</f>
        <v>0</v>
      </c>
      <c r="T348" s="4">
        <f>IF($B$332=0,0,IF(T$2&gt;=$A348,IF(T$2=$A348,($B348/$B$332)*$B$329,IF(T$2&lt;=$A348+$B$332-1,$B348/$B$332,$B348-SUM($C348:S348))),0))</f>
        <v>0</v>
      </c>
      <c r="U348" s="4">
        <f>IF($B$332=0,0,IF(U$2&gt;=$A348,IF(U$2=$A348,($B348/$B$332)*$B$329,IF(U$2&lt;=$A348+$B$332-1,$B348/$B$332,$B348-SUM($C348:T348))),0))</f>
        <v>0</v>
      </c>
      <c r="V348" s="4">
        <f>IF($B$332=0,0,IF(V$2&gt;=$A348,IF(V$2=$A348,($B348/$B$332)*$B$329,IF(V$2&lt;=$A348+$B$332-1,$B348/$B$332,$B348-SUM($C348:U348))),0))</f>
        <v>0</v>
      </c>
      <c r="W348" s="4">
        <f>IF($B$332=0,0,IF(W$2&gt;=$A348,IF(W$2=$A348,($B348/$B$332)*$B$329,IF(W$2&lt;=$A348+$B$332-1,$B348/$B$332,$B348-SUM($C348:V348))),0))</f>
        <v>0</v>
      </c>
      <c r="X348" s="4">
        <f>IF($B$332=0,0,IF(X$2&gt;=$A348,IF(X$2=$A348,($B348/$B$332)*$B$329,IF(X$2&lt;=$A348+$B$332-1,$B348/$B$332,$B348-SUM($C348:W348))),0))</f>
        <v>0</v>
      </c>
      <c r="Y348" s="4">
        <f>IF($B$332=0,0,IF(Y$2&gt;=$A348,IF(Y$2=$A348,($B348/$B$332)*$B$329,IF(Y$2&lt;=$A348+$B$332-1,$B348/$B$332,$B348-SUM($C348:X348))),0))</f>
        <v>0</v>
      </c>
      <c r="Z348" s="4">
        <f>IF($B$332=0,0,IF(Z$2&gt;=$A348,IF(Z$2=$A348,($B348/$B$332)*$B$329,IF(Z$2&lt;=$A348+$B$332-1,$B348/$B$332,$B348-SUM($C348:Y348))),0))</f>
        <v>0</v>
      </c>
      <c r="AA348" s="4">
        <f>IF($B$332=0,0,IF(AA$2&gt;=$A348,IF(AA$2=$A348,($B348/$B$332)*$B$329,IF(AA$2&lt;=$A348+$B$332-1,$B348/$B$332,$B348-SUM($C348:Z348))),0))</f>
        <v>0</v>
      </c>
      <c r="AB348" s="4">
        <f>IF($B$332=0,0,IF(AB$2&gt;=$A348,IF(AB$2=$A348,($B348/$B$332)*$B$329,IF(AB$2&lt;=$A348+$B$332-1,$B348/$B$332,$B348-SUM($C348:AA348))),0))</f>
        <v>0</v>
      </c>
      <c r="AC348" s="4">
        <f>IF($B$332=0,0,IF(AC$2&gt;=$A348,IF(AC$2=$A348,($B348/$B$332)*$B$329,IF(AC$2&lt;=$A348+$B$332-1,$B348/$B$332,$B348-SUM($C348:AB348))),0))</f>
        <v>0</v>
      </c>
      <c r="AD348" s="4">
        <f>IF($B$332=0,0,IF(AD$2&gt;=$A348,IF(AD$2=$A348,($B348/$B$332)*$B$329,IF(AD$2&lt;=$A348+$B$332-1,$B348/$B$332,$B348-SUM($C348:AC348))),0))</f>
        <v>0</v>
      </c>
      <c r="AE348" s="4">
        <f>IF($B$332=0,0,IF(AE$2&gt;=$A348,IF(AE$2=$A348,($B348/$B$332)*$B$329,IF(AE$2&lt;=$A348+$B$332-1,$B348/$B$332,$B348-SUM($C348:AD348))),0))</f>
        <v>0</v>
      </c>
      <c r="AF348" s="4">
        <f>IF($B$332=0,0,IF(AF$2&gt;=$A348,IF(AF$2=$A348,($B348/$B$332)*$B$329,IF(AF$2&lt;=$A348+$B$332-1,$B348/$B$332,$B348-SUM($C348:AE348))),0))</f>
        <v>0</v>
      </c>
      <c r="AG348" s="4">
        <f t="shared" si="274"/>
        <v>0</v>
      </c>
    </row>
    <row r="349" spans="1:33">
      <c r="A349" s="6">
        <f t="shared" si="275"/>
        <v>2038</v>
      </c>
      <c r="B349" s="4">
        <f t="shared" si="273"/>
        <v>0</v>
      </c>
      <c r="C349" s="4">
        <f>IF($B$332=0,0,IF(C$2&gt;=$A349,IF(C$2=$A349,($B349/$B$332)*$B$329,IF(C$2&lt;=$A349+$B$332-1,$B349/$B$332,$B349-SUM(B349:$C349))),0))</f>
        <v>0</v>
      </c>
      <c r="D349" s="4">
        <f>IF($B$332=0,0,IF(D$2&gt;=$A349,IF(D$2=$A349,($B349/$B$332)*$B$329,IF(D$2&lt;=$A349+$B$332-1,$B349/$B$332,$B349-SUM(C349:$C349))),0))</f>
        <v>0</v>
      </c>
      <c r="E349" s="4">
        <f>IF($B$332=0,0,IF(E$2&gt;=$A349,IF(E$2=$A349,($B349/$B$332)*$B$329,IF(E$2&lt;=$A349+$B$332-1,$B349/$B$332,$B349-SUM($C349:D349))),0))</f>
        <v>0</v>
      </c>
      <c r="F349" s="4">
        <f>IF($B$332=0,0,IF(F$2&gt;=$A349,IF(F$2=$A349,($B349/$B$332)*$B$329,IF(F$2&lt;=$A349+$B$332-1,$B349/$B$332,$B349-SUM($C349:E349))),0))</f>
        <v>0</v>
      </c>
      <c r="G349" s="4">
        <f>IF($B$332=0,0,IF(G$2&gt;=$A349,IF(G$2=$A349,($B349/$B$332)*$B$329,IF(G$2&lt;=$A349+$B$332-1,$B349/$B$332,$B349-SUM($C349:F349))),0))</f>
        <v>0</v>
      </c>
      <c r="H349" s="4">
        <f>IF($B$332=0,0,IF(H$2&gt;=$A349,IF(H$2=$A349,($B349/$B$332)*$B$329,IF(H$2&lt;=$A349+$B$332-1,$B349/$B$332,$B349-SUM($C349:G349))),0))</f>
        <v>0</v>
      </c>
      <c r="I349" s="4">
        <f>IF($B$332=0,0,IF(I$2&gt;=$A349,IF(I$2=$A349,($B349/$B$332)*$B$329,IF(I$2&lt;=$A349+$B$332-1,$B349/$B$332,$B349-SUM($C349:H349))),0))</f>
        <v>0</v>
      </c>
      <c r="J349" s="4">
        <f>IF($B$332=0,0,IF(J$2&gt;=$A349,IF(J$2=$A349,($B349/$B$332)*$B$329,IF(J$2&lt;=$A349+$B$332-1,$B349/$B$332,$B349-SUM($C349:I349))),0))</f>
        <v>0</v>
      </c>
      <c r="K349" s="4">
        <f>IF($B$332=0,0,IF(K$2&gt;=$A349,IF(K$2=$A349,($B349/$B$332)*$B$329,IF(K$2&lt;=$A349+$B$332-1,$B349/$B$332,$B349-SUM($C349:J349))),0))</f>
        <v>0</v>
      </c>
      <c r="L349" s="4">
        <f>IF($B$332=0,0,IF(L$2&gt;=$A349,IF(L$2=$A349,($B349/$B$332)*$B$329,IF(L$2&lt;=$A349+$B$332-1,$B349/$B$332,$B349-SUM($C349:K349))),0))</f>
        <v>0</v>
      </c>
      <c r="M349" s="4">
        <f>IF($B$332=0,0,IF(M$2&gt;=$A349,IF(M$2=$A349,($B349/$B$332)*$B$329,IF(M$2&lt;=$A349+$B$332-1,$B349/$B$332,$B349-SUM($C349:L349))),0))</f>
        <v>0</v>
      </c>
      <c r="N349" s="4">
        <f>IF($B$332=0,0,IF(N$2&gt;=$A349,IF(N$2=$A349,($B349/$B$332)*$B$329,IF(N$2&lt;=$A349+$B$332-1,$B349/$B$332,$B349-SUM($C349:M349))),0))</f>
        <v>0</v>
      </c>
      <c r="O349" s="4">
        <f>IF($B$332=0,0,IF(O$2&gt;=$A349,IF(O$2=$A349,($B349/$B$332)*$B$329,IF(O$2&lt;=$A349+$B$332-1,$B349/$B$332,$B349-SUM($C349:N349))),0))</f>
        <v>0</v>
      </c>
      <c r="P349" s="4">
        <f>IF($B$332=0,0,IF(P$2&gt;=$A349,IF(P$2=$A349,($B349/$B$332)*$B$329,IF(P$2&lt;=$A349+$B$332-1,$B349/$B$332,$B349-SUM($C349:O349))),0))</f>
        <v>0</v>
      </c>
      <c r="Q349" s="4">
        <f>IF($B$332=0,0,IF(Q$2&gt;=$A349,IF(Q$2=$A349,($B349/$B$332)*$B$329,IF(Q$2&lt;=$A349+$B$332-1,$B349/$B$332,$B349-SUM($C349:P349))),0))</f>
        <v>0</v>
      </c>
      <c r="R349" s="4">
        <f>IF($B$332=0,0,IF(R$2&gt;=$A349,IF(R$2=$A349,($B349/$B$332)*$B$329,IF(R$2&lt;=$A349+$B$332-1,$B349/$B$332,$B349-SUM($C349:Q349))),0))</f>
        <v>0</v>
      </c>
      <c r="S349" s="4">
        <f>IF($B$332=0,0,IF(S$2&gt;=$A349,IF(S$2=$A349,($B349/$B$332)*$B$329,IF(S$2&lt;=$A349+$B$332-1,$B349/$B$332,$B349-SUM($C349:R349))),0))</f>
        <v>0</v>
      </c>
      <c r="T349" s="4">
        <f>IF($B$332=0,0,IF(T$2&gt;=$A349,IF(T$2=$A349,($B349/$B$332)*$B$329,IF(T$2&lt;=$A349+$B$332-1,$B349/$B$332,$B349-SUM($C349:S349))),0))</f>
        <v>0</v>
      </c>
      <c r="U349" s="4">
        <f>IF($B$332=0,0,IF(U$2&gt;=$A349,IF(U$2=$A349,($B349/$B$332)*$B$329,IF(U$2&lt;=$A349+$B$332-1,$B349/$B$332,$B349-SUM($C349:T349))),0))</f>
        <v>0</v>
      </c>
      <c r="V349" s="4">
        <f>IF($B$332=0,0,IF(V$2&gt;=$A349,IF(V$2=$A349,($B349/$B$332)*$B$329,IF(V$2&lt;=$A349+$B$332-1,$B349/$B$332,$B349-SUM($C349:U349))),0))</f>
        <v>0</v>
      </c>
      <c r="W349" s="4">
        <f>IF($B$332=0,0,IF(W$2&gt;=$A349,IF(W$2=$A349,($B349/$B$332)*$B$329,IF(W$2&lt;=$A349+$B$332-1,$B349/$B$332,$B349-SUM($C349:V349))),0))</f>
        <v>0</v>
      </c>
      <c r="X349" s="4">
        <f>IF($B$332=0,0,IF(X$2&gt;=$A349,IF(X$2=$A349,($B349/$B$332)*$B$329,IF(X$2&lt;=$A349+$B$332-1,$B349/$B$332,$B349-SUM($C349:W349))),0))</f>
        <v>0</v>
      </c>
      <c r="Y349" s="4">
        <f>IF($B$332=0,0,IF(Y$2&gt;=$A349,IF(Y$2=$A349,($B349/$B$332)*$B$329,IF(Y$2&lt;=$A349+$B$332-1,$B349/$B$332,$B349-SUM($C349:X349))),0))</f>
        <v>0</v>
      </c>
      <c r="Z349" s="4">
        <f>IF($B$332=0,0,IF(Z$2&gt;=$A349,IF(Z$2=$A349,($B349/$B$332)*$B$329,IF(Z$2&lt;=$A349+$B$332-1,$B349/$B$332,$B349-SUM($C349:Y349))),0))</f>
        <v>0</v>
      </c>
      <c r="AA349" s="4">
        <f>IF($B$332=0,0,IF(AA$2&gt;=$A349,IF(AA$2=$A349,($B349/$B$332)*$B$329,IF(AA$2&lt;=$A349+$B$332-1,$B349/$B$332,$B349-SUM($C349:Z349))),0))</f>
        <v>0</v>
      </c>
      <c r="AB349" s="4">
        <f>IF($B$332=0,0,IF(AB$2&gt;=$A349,IF(AB$2=$A349,($B349/$B$332)*$B$329,IF(AB$2&lt;=$A349+$B$332-1,$B349/$B$332,$B349-SUM($C349:AA349))),0))</f>
        <v>0</v>
      </c>
      <c r="AC349" s="4">
        <f>IF($B$332=0,0,IF(AC$2&gt;=$A349,IF(AC$2=$A349,($B349/$B$332)*$B$329,IF(AC$2&lt;=$A349+$B$332-1,$B349/$B$332,$B349-SUM($C349:AB349))),0))</f>
        <v>0</v>
      </c>
      <c r="AD349" s="4">
        <f>IF($B$332=0,0,IF(AD$2&gt;=$A349,IF(AD$2=$A349,($B349/$B$332)*$B$329,IF(AD$2&lt;=$A349+$B$332-1,$B349/$B$332,$B349-SUM($C349:AC349))),0))</f>
        <v>0</v>
      </c>
      <c r="AE349" s="4">
        <f>IF($B$332=0,0,IF(AE$2&gt;=$A349,IF(AE$2=$A349,($B349/$B$332)*$B$329,IF(AE$2&lt;=$A349+$B$332-1,$B349/$B$332,$B349-SUM($C349:AD349))),0))</f>
        <v>0</v>
      </c>
      <c r="AF349" s="4">
        <f>IF($B$332=0,0,IF(AF$2&gt;=$A349,IF(AF$2=$A349,($B349/$B$332)*$B$329,IF(AF$2&lt;=$A349+$B$332-1,$B349/$B$332,$B349-SUM($C349:AE349))),0))</f>
        <v>0</v>
      </c>
      <c r="AG349" s="4">
        <f t="shared" si="274"/>
        <v>0</v>
      </c>
    </row>
    <row r="350" spans="1:33">
      <c r="A350" s="6">
        <f t="shared" si="275"/>
        <v>2039</v>
      </c>
      <c r="B350" s="4">
        <f t="shared" si="273"/>
        <v>0</v>
      </c>
      <c r="C350" s="4">
        <f>IF($B$332=0,0,IF(C$2&gt;=$A350,IF(C$2=$A350,($B350/$B$332)*$B$329,IF(C$2&lt;=$A350+$B$332-1,$B350/$B$332,$B350-SUM(B350:$C350))),0))</f>
        <v>0</v>
      </c>
      <c r="D350" s="4">
        <f>IF($B$332=0,0,IF(D$2&gt;=$A350,IF(D$2=$A350,($B350/$B$332)*$B$329,IF(D$2&lt;=$A350+$B$332-1,$B350/$B$332,$B350-SUM(C350:$C350))),0))</f>
        <v>0</v>
      </c>
      <c r="E350" s="4">
        <f>IF($B$332=0,0,IF(E$2&gt;=$A350,IF(E$2=$A350,($B350/$B$332)*$B$329,IF(E$2&lt;=$A350+$B$332-1,$B350/$B$332,$B350-SUM($C350:D350))),0))</f>
        <v>0</v>
      </c>
      <c r="F350" s="4">
        <f>IF($B$332=0,0,IF(F$2&gt;=$A350,IF(F$2=$A350,($B350/$B$332)*$B$329,IF(F$2&lt;=$A350+$B$332-1,$B350/$B$332,$B350-SUM($C350:E350))),0))</f>
        <v>0</v>
      </c>
      <c r="G350" s="4">
        <f>IF($B$332=0,0,IF(G$2&gt;=$A350,IF(G$2=$A350,($B350/$B$332)*$B$329,IF(G$2&lt;=$A350+$B$332-1,$B350/$B$332,$B350-SUM($C350:F350))),0))</f>
        <v>0</v>
      </c>
      <c r="H350" s="4">
        <f>IF($B$332=0,0,IF(H$2&gt;=$A350,IF(H$2=$A350,($B350/$B$332)*$B$329,IF(H$2&lt;=$A350+$B$332-1,$B350/$B$332,$B350-SUM($C350:G350))),0))</f>
        <v>0</v>
      </c>
      <c r="I350" s="4">
        <f>IF($B$332=0,0,IF(I$2&gt;=$A350,IF(I$2=$A350,($B350/$B$332)*$B$329,IF(I$2&lt;=$A350+$B$332-1,$B350/$B$332,$B350-SUM($C350:H350))),0))</f>
        <v>0</v>
      </c>
      <c r="J350" s="4">
        <f>IF($B$332=0,0,IF(J$2&gt;=$A350,IF(J$2=$A350,($B350/$B$332)*$B$329,IF(J$2&lt;=$A350+$B$332-1,$B350/$B$332,$B350-SUM($C350:I350))),0))</f>
        <v>0</v>
      </c>
      <c r="K350" s="4">
        <f>IF($B$332=0,0,IF(K$2&gt;=$A350,IF(K$2=$A350,($B350/$B$332)*$B$329,IF(K$2&lt;=$A350+$B$332-1,$B350/$B$332,$B350-SUM($C350:J350))),0))</f>
        <v>0</v>
      </c>
      <c r="L350" s="4">
        <f>IF($B$332=0,0,IF(L$2&gt;=$A350,IF(L$2=$A350,($B350/$B$332)*$B$329,IF(L$2&lt;=$A350+$B$332-1,$B350/$B$332,$B350-SUM($C350:K350))),0))</f>
        <v>0</v>
      </c>
      <c r="M350" s="4">
        <f>IF($B$332=0,0,IF(M$2&gt;=$A350,IF(M$2=$A350,($B350/$B$332)*$B$329,IF(M$2&lt;=$A350+$B$332-1,$B350/$B$332,$B350-SUM($C350:L350))),0))</f>
        <v>0</v>
      </c>
      <c r="N350" s="4">
        <f>IF($B$332=0,0,IF(N$2&gt;=$A350,IF(N$2=$A350,($B350/$B$332)*$B$329,IF(N$2&lt;=$A350+$B$332-1,$B350/$B$332,$B350-SUM($C350:M350))),0))</f>
        <v>0</v>
      </c>
      <c r="O350" s="4">
        <f>IF($B$332=0,0,IF(O$2&gt;=$A350,IF(O$2=$A350,($B350/$B$332)*$B$329,IF(O$2&lt;=$A350+$B$332-1,$B350/$B$332,$B350-SUM($C350:N350))),0))</f>
        <v>0</v>
      </c>
      <c r="P350" s="4">
        <f>IF($B$332=0,0,IF(P$2&gt;=$A350,IF(P$2=$A350,($B350/$B$332)*$B$329,IF(P$2&lt;=$A350+$B$332-1,$B350/$B$332,$B350-SUM($C350:O350))),0))</f>
        <v>0</v>
      </c>
      <c r="Q350" s="4">
        <f>IF($B$332=0,0,IF(Q$2&gt;=$A350,IF(Q$2=$A350,($B350/$B$332)*$B$329,IF(Q$2&lt;=$A350+$B$332-1,$B350/$B$332,$B350-SUM($C350:P350))),0))</f>
        <v>0</v>
      </c>
      <c r="R350" s="4">
        <f>IF($B$332=0,0,IF(R$2&gt;=$A350,IF(R$2=$A350,($B350/$B$332)*$B$329,IF(R$2&lt;=$A350+$B$332-1,$B350/$B$332,$B350-SUM($C350:Q350))),0))</f>
        <v>0</v>
      </c>
      <c r="S350" s="4">
        <f>IF($B$332=0,0,IF(S$2&gt;=$A350,IF(S$2=$A350,($B350/$B$332)*$B$329,IF(S$2&lt;=$A350+$B$332-1,$B350/$B$332,$B350-SUM($C350:R350))),0))</f>
        <v>0</v>
      </c>
      <c r="T350" s="4">
        <f>IF($B$332=0,0,IF(T$2&gt;=$A350,IF(T$2=$A350,($B350/$B$332)*$B$329,IF(T$2&lt;=$A350+$B$332-1,$B350/$B$332,$B350-SUM($C350:S350))),0))</f>
        <v>0</v>
      </c>
      <c r="U350" s="4">
        <f>IF($B$332=0,0,IF(U$2&gt;=$A350,IF(U$2=$A350,($B350/$B$332)*$B$329,IF(U$2&lt;=$A350+$B$332-1,$B350/$B$332,$B350-SUM($C350:T350))),0))</f>
        <v>0</v>
      </c>
      <c r="V350" s="4">
        <f>IF($B$332=0,0,IF(V$2&gt;=$A350,IF(V$2=$A350,($B350/$B$332)*$B$329,IF(V$2&lt;=$A350+$B$332-1,$B350/$B$332,$B350-SUM($C350:U350))),0))</f>
        <v>0</v>
      </c>
      <c r="W350" s="4">
        <f>IF($B$332=0,0,IF(W$2&gt;=$A350,IF(W$2=$A350,($B350/$B$332)*$B$329,IF(W$2&lt;=$A350+$B$332-1,$B350/$B$332,$B350-SUM($C350:V350))),0))</f>
        <v>0</v>
      </c>
      <c r="X350" s="4">
        <f>IF($B$332=0,0,IF(X$2&gt;=$A350,IF(X$2=$A350,($B350/$B$332)*$B$329,IF(X$2&lt;=$A350+$B$332-1,$B350/$B$332,$B350-SUM($C350:W350))),0))</f>
        <v>0</v>
      </c>
      <c r="Y350" s="4">
        <f>IF($B$332=0,0,IF(Y$2&gt;=$A350,IF(Y$2=$A350,($B350/$B$332)*$B$329,IF(Y$2&lt;=$A350+$B$332-1,$B350/$B$332,$B350-SUM($C350:X350))),0))</f>
        <v>0</v>
      </c>
      <c r="Z350" s="4">
        <f>IF($B$332=0,0,IF(Z$2&gt;=$A350,IF(Z$2=$A350,($B350/$B$332)*$B$329,IF(Z$2&lt;=$A350+$B$332-1,$B350/$B$332,$B350-SUM($C350:Y350))),0))</f>
        <v>0</v>
      </c>
      <c r="AA350" s="4">
        <f>IF($B$332=0,0,IF(AA$2&gt;=$A350,IF(AA$2=$A350,($B350/$B$332)*$B$329,IF(AA$2&lt;=$A350+$B$332-1,$B350/$B$332,$B350-SUM($C350:Z350))),0))</f>
        <v>0</v>
      </c>
      <c r="AB350" s="4">
        <f>IF($B$332=0,0,IF(AB$2&gt;=$A350,IF(AB$2=$A350,($B350/$B$332)*$B$329,IF(AB$2&lt;=$A350+$B$332-1,$B350/$B$332,$B350-SUM($C350:AA350))),0))</f>
        <v>0</v>
      </c>
      <c r="AC350" s="4">
        <f>IF($B$332=0,0,IF(AC$2&gt;=$A350,IF(AC$2=$A350,($B350/$B$332)*$B$329,IF(AC$2&lt;=$A350+$B$332-1,$B350/$B$332,$B350-SUM($C350:AB350))),0))</f>
        <v>0</v>
      </c>
      <c r="AD350" s="4">
        <f>IF($B$332=0,0,IF(AD$2&gt;=$A350,IF(AD$2=$A350,($B350/$B$332)*$B$329,IF(AD$2&lt;=$A350+$B$332-1,$B350/$B$332,$B350-SUM($C350:AC350))),0))</f>
        <v>0</v>
      </c>
      <c r="AE350" s="4">
        <f>IF($B$332=0,0,IF(AE$2&gt;=$A350,IF(AE$2=$A350,($B350/$B$332)*$B$329,IF(AE$2&lt;=$A350+$B$332-1,$B350/$B$332,$B350-SUM($C350:AD350))),0))</f>
        <v>0</v>
      </c>
      <c r="AF350" s="4">
        <f>IF($B$332=0,0,IF(AF$2&gt;=$A350,IF(AF$2=$A350,($B350/$B$332)*$B$329,IF(AF$2&lt;=$A350+$B$332-1,$B350/$B$332,$B350-SUM($C350:AE350))),0))</f>
        <v>0</v>
      </c>
      <c r="AG350" s="4">
        <f t="shared" si="274"/>
        <v>0</v>
      </c>
    </row>
    <row r="351" spans="1:33">
      <c r="A351" s="6">
        <f t="shared" si="275"/>
        <v>2040</v>
      </c>
      <c r="B351" s="4">
        <f t="shared" si="273"/>
        <v>0</v>
      </c>
      <c r="C351" s="4">
        <f>IF($B$332=0,0,IF(C$2&gt;=$A351,IF(C$2=$A351,($B351/$B$332)*$B$329,IF(C$2&lt;=$A351+$B$332-1,$B351/$B$332,$B351-SUM(B351:$C351))),0))</f>
        <v>0</v>
      </c>
      <c r="D351" s="4">
        <f>IF($B$332=0,0,IF(D$2&gt;=$A351,IF(D$2=$A351,($B351/$B$332)*$B$329,IF(D$2&lt;=$A351+$B$332-1,$B351/$B$332,$B351-SUM(C351:$C351))),0))</f>
        <v>0</v>
      </c>
      <c r="E351" s="4">
        <f>IF($B$332=0,0,IF(E$2&gt;=$A351,IF(E$2=$A351,($B351/$B$332)*$B$329,IF(E$2&lt;=$A351+$B$332-1,$B351/$B$332,$B351-SUM($C351:D351))),0))</f>
        <v>0</v>
      </c>
      <c r="F351" s="4">
        <f>IF($B$332=0,0,IF(F$2&gt;=$A351,IF(F$2=$A351,($B351/$B$332)*$B$329,IF(F$2&lt;=$A351+$B$332-1,$B351/$B$332,$B351-SUM($C351:E351))),0))</f>
        <v>0</v>
      </c>
      <c r="G351" s="4">
        <f>IF($B$332=0,0,IF(G$2&gt;=$A351,IF(G$2=$A351,($B351/$B$332)*$B$329,IF(G$2&lt;=$A351+$B$332-1,$B351/$B$332,$B351-SUM($C351:F351))),0))</f>
        <v>0</v>
      </c>
      <c r="H351" s="4">
        <f>IF($B$332=0,0,IF(H$2&gt;=$A351,IF(H$2=$A351,($B351/$B$332)*$B$329,IF(H$2&lt;=$A351+$B$332-1,$B351/$B$332,$B351-SUM($C351:G351))),0))</f>
        <v>0</v>
      </c>
      <c r="I351" s="4">
        <f>IF($B$332=0,0,IF(I$2&gt;=$A351,IF(I$2=$A351,($B351/$B$332)*$B$329,IF(I$2&lt;=$A351+$B$332-1,$B351/$B$332,$B351-SUM($C351:H351))),0))</f>
        <v>0</v>
      </c>
      <c r="J351" s="4">
        <f>IF($B$332=0,0,IF(J$2&gt;=$A351,IF(J$2=$A351,($B351/$B$332)*$B$329,IF(J$2&lt;=$A351+$B$332-1,$B351/$B$332,$B351-SUM($C351:I351))),0))</f>
        <v>0</v>
      </c>
      <c r="K351" s="4">
        <f>IF($B$332=0,0,IF(K$2&gt;=$A351,IF(K$2=$A351,($B351/$B$332)*$B$329,IF(K$2&lt;=$A351+$B$332-1,$B351/$B$332,$B351-SUM($C351:J351))),0))</f>
        <v>0</v>
      </c>
      <c r="L351" s="4">
        <f>IF($B$332=0,0,IF(L$2&gt;=$A351,IF(L$2=$A351,($B351/$B$332)*$B$329,IF(L$2&lt;=$A351+$B$332-1,$B351/$B$332,$B351-SUM($C351:K351))),0))</f>
        <v>0</v>
      </c>
      <c r="M351" s="4">
        <f>IF($B$332=0,0,IF(M$2&gt;=$A351,IF(M$2=$A351,($B351/$B$332)*$B$329,IF(M$2&lt;=$A351+$B$332-1,$B351/$B$332,$B351-SUM($C351:L351))),0))</f>
        <v>0</v>
      </c>
      <c r="N351" s="4">
        <f>IF($B$332=0,0,IF(N$2&gt;=$A351,IF(N$2=$A351,($B351/$B$332)*$B$329,IF(N$2&lt;=$A351+$B$332-1,$B351/$B$332,$B351-SUM($C351:M351))),0))</f>
        <v>0</v>
      </c>
      <c r="O351" s="4">
        <f>IF($B$332=0,0,IF(O$2&gt;=$A351,IF(O$2=$A351,($B351/$B$332)*$B$329,IF(O$2&lt;=$A351+$B$332-1,$B351/$B$332,$B351-SUM($C351:N351))),0))</f>
        <v>0</v>
      </c>
      <c r="P351" s="4">
        <f>IF($B$332=0,0,IF(P$2&gt;=$A351,IF(P$2=$A351,($B351/$B$332)*$B$329,IF(P$2&lt;=$A351+$B$332-1,$B351/$B$332,$B351-SUM($C351:O351))),0))</f>
        <v>0</v>
      </c>
      <c r="Q351" s="4">
        <f>IF($B$332=0,0,IF(Q$2&gt;=$A351,IF(Q$2=$A351,($B351/$B$332)*$B$329,IF(Q$2&lt;=$A351+$B$332-1,$B351/$B$332,$B351-SUM($C351:P351))),0))</f>
        <v>0</v>
      </c>
      <c r="R351" s="4">
        <f>IF($B$332=0,0,IF(R$2&gt;=$A351,IF(R$2=$A351,($B351/$B$332)*$B$329,IF(R$2&lt;=$A351+$B$332-1,$B351/$B$332,$B351-SUM($C351:Q351))),0))</f>
        <v>0</v>
      </c>
      <c r="S351" s="4">
        <f>IF($B$332=0,0,IF(S$2&gt;=$A351,IF(S$2=$A351,($B351/$B$332)*$B$329,IF(S$2&lt;=$A351+$B$332-1,$B351/$B$332,$B351-SUM($C351:R351))),0))</f>
        <v>0</v>
      </c>
      <c r="T351" s="4">
        <f>IF($B$332=0,0,IF(T$2&gt;=$A351,IF(T$2=$A351,($B351/$B$332)*$B$329,IF(T$2&lt;=$A351+$B$332-1,$B351/$B$332,$B351-SUM($C351:S351))),0))</f>
        <v>0</v>
      </c>
      <c r="U351" s="4">
        <f>IF($B$332=0,0,IF(U$2&gt;=$A351,IF(U$2=$A351,($B351/$B$332)*$B$329,IF(U$2&lt;=$A351+$B$332-1,$B351/$B$332,$B351-SUM($C351:T351))),0))</f>
        <v>0</v>
      </c>
      <c r="V351" s="4">
        <f>IF($B$332=0,0,IF(V$2&gt;=$A351,IF(V$2=$A351,($B351/$B$332)*$B$329,IF(V$2&lt;=$A351+$B$332-1,$B351/$B$332,$B351-SUM($C351:U351))),0))</f>
        <v>0</v>
      </c>
      <c r="W351" s="4">
        <f>IF($B$332=0,0,IF(W$2&gt;=$A351,IF(W$2=$A351,($B351/$B$332)*$B$329,IF(W$2&lt;=$A351+$B$332-1,$B351/$B$332,$B351-SUM($C351:V351))),0))</f>
        <v>0</v>
      </c>
      <c r="X351" s="4">
        <f>IF($B$332=0,0,IF(X$2&gt;=$A351,IF(X$2=$A351,($B351/$B$332)*$B$329,IF(X$2&lt;=$A351+$B$332-1,$B351/$B$332,$B351-SUM($C351:W351))),0))</f>
        <v>0</v>
      </c>
      <c r="Y351" s="4">
        <f>IF($B$332=0,0,IF(Y$2&gt;=$A351,IF(Y$2=$A351,($B351/$B$332)*$B$329,IF(Y$2&lt;=$A351+$B$332-1,$B351/$B$332,$B351-SUM($C351:X351))),0))</f>
        <v>0</v>
      </c>
      <c r="Z351" s="4">
        <f>IF($B$332=0,0,IF(Z$2&gt;=$A351,IF(Z$2=$A351,($B351/$B$332)*$B$329,IF(Z$2&lt;=$A351+$B$332-1,$B351/$B$332,$B351-SUM($C351:Y351))),0))</f>
        <v>0</v>
      </c>
      <c r="AA351" s="4">
        <f>IF($B$332=0,0,IF(AA$2&gt;=$A351,IF(AA$2=$A351,($B351/$B$332)*$B$329,IF(AA$2&lt;=$A351+$B$332-1,$B351/$B$332,$B351-SUM($C351:Z351))),0))</f>
        <v>0</v>
      </c>
      <c r="AB351" s="4">
        <f>IF($B$332=0,0,IF(AB$2&gt;=$A351,IF(AB$2=$A351,($B351/$B$332)*$B$329,IF(AB$2&lt;=$A351+$B$332-1,$B351/$B$332,$B351-SUM($C351:AA351))),0))</f>
        <v>0</v>
      </c>
      <c r="AC351" s="4">
        <f>IF($B$332=0,0,IF(AC$2&gt;=$A351,IF(AC$2=$A351,($B351/$B$332)*$B$329,IF(AC$2&lt;=$A351+$B$332-1,$B351/$B$332,$B351-SUM($C351:AB351))),0))</f>
        <v>0</v>
      </c>
      <c r="AD351" s="4">
        <f>IF($B$332=0,0,IF(AD$2&gt;=$A351,IF(AD$2=$A351,($B351/$B$332)*$B$329,IF(AD$2&lt;=$A351+$B$332-1,$B351/$B$332,$B351-SUM($C351:AC351))),0))</f>
        <v>0</v>
      </c>
      <c r="AE351" s="4">
        <f>IF($B$332=0,0,IF(AE$2&gt;=$A351,IF(AE$2=$A351,($B351/$B$332)*$B$329,IF(AE$2&lt;=$A351+$B$332-1,$B351/$B$332,$B351-SUM($C351:AD351))),0))</f>
        <v>0</v>
      </c>
      <c r="AF351" s="4">
        <f>IF($B$332=0,0,IF(AF$2&gt;=$A351,IF(AF$2=$A351,($B351/$B$332)*$B$329,IF(AF$2&lt;=$A351+$B$332-1,$B351/$B$332,$B351-SUM($C351:AE351))),0))</f>
        <v>0</v>
      </c>
      <c r="AG351" s="4">
        <f t="shared" si="274"/>
        <v>0</v>
      </c>
    </row>
    <row r="352" spans="1:33">
      <c r="A352" s="6">
        <f t="shared" si="275"/>
        <v>2041</v>
      </c>
      <c r="B352" s="4">
        <f t="shared" si="273"/>
        <v>0</v>
      </c>
      <c r="C352" s="4">
        <f>IF($B$332=0,0,IF(C$2&gt;=$A352,IF(C$2=$A352,($B352/$B$332)*$B$329,IF(C$2&lt;=$A352+$B$332-1,$B352/$B$332,$B352-SUM(B352:$C352))),0))</f>
        <v>0</v>
      </c>
      <c r="D352" s="4">
        <f>IF($B$332=0,0,IF(D$2&gt;=$A352,IF(D$2=$A352,($B352/$B$332)*$B$329,IF(D$2&lt;=$A352+$B$332-1,$B352/$B$332,$B352-SUM(C352:$C352))),0))</f>
        <v>0</v>
      </c>
      <c r="E352" s="4">
        <f>IF($B$332=0,0,IF(E$2&gt;=$A352,IF(E$2=$A352,($B352/$B$332)*$B$329,IF(E$2&lt;=$A352+$B$332-1,$B352/$B$332,$B352-SUM($C352:D352))),0))</f>
        <v>0</v>
      </c>
      <c r="F352" s="4">
        <f>IF($B$332=0,0,IF(F$2&gt;=$A352,IF(F$2=$A352,($B352/$B$332)*$B$329,IF(F$2&lt;=$A352+$B$332-1,$B352/$B$332,$B352-SUM($C352:E352))),0))</f>
        <v>0</v>
      </c>
      <c r="G352" s="4">
        <f>IF($B$332=0,0,IF(G$2&gt;=$A352,IF(G$2=$A352,($B352/$B$332)*$B$329,IF(G$2&lt;=$A352+$B$332-1,$B352/$B$332,$B352-SUM($C352:F352))),0))</f>
        <v>0</v>
      </c>
      <c r="H352" s="4">
        <f>IF($B$332=0,0,IF(H$2&gt;=$A352,IF(H$2=$A352,($B352/$B$332)*$B$329,IF(H$2&lt;=$A352+$B$332-1,$B352/$B$332,$B352-SUM($C352:G352))),0))</f>
        <v>0</v>
      </c>
      <c r="I352" s="4">
        <f>IF($B$332=0,0,IF(I$2&gt;=$A352,IF(I$2=$A352,($B352/$B$332)*$B$329,IF(I$2&lt;=$A352+$B$332-1,$B352/$B$332,$B352-SUM($C352:H352))),0))</f>
        <v>0</v>
      </c>
      <c r="J352" s="4">
        <f>IF($B$332=0,0,IF(J$2&gt;=$A352,IF(J$2=$A352,($B352/$B$332)*$B$329,IF(J$2&lt;=$A352+$B$332-1,$B352/$B$332,$B352-SUM($C352:I352))),0))</f>
        <v>0</v>
      </c>
      <c r="K352" s="4">
        <f>IF($B$332=0,0,IF(K$2&gt;=$A352,IF(K$2=$A352,($B352/$B$332)*$B$329,IF(K$2&lt;=$A352+$B$332-1,$B352/$B$332,$B352-SUM($C352:J352))),0))</f>
        <v>0</v>
      </c>
      <c r="L352" s="4">
        <f>IF($B$332=0,0,IF(L$2&gt;=$A352,IF(L$2=$A352,($B352/$B$332)*$B$329,IF(L$2&lt;=$A352+$B$332-1,$B352/$B$332,$B352-SUM($C352:K352))),0))</f>
        <v>0</v>
      </c>
      <c r="M352" s="4">
        <f>IF($B$332=0,0,IF(M$2&gt;=$A352,IF(M$2=$A352,($B352/$B$332)*$B$329,IF(M$2&lt;=$A352+$B$332-1,$B352/$B$332,$B352-SUM($C352:L352))),0))</f>
        <v>0</v>
      </c>
      <c r="N352" s="4">
        <f>IF($B$332=0,0,IF(N$2&gt;=$A352,IF(N$2=$A352,($B352/$B$332)*$B$329,IF(N$2&lt;=$A352+$B$332-1,$B352/$B$332,$B352-SUM($C352:M352))),0))</f>
        <v>0</v>
      </c>
      <c r="O352" s="4">
        <f>IF($B$332=0,0,IF(O$2&gt;=$A352,IF(O$2=$A352,($B352/$B$332)*$B$329,IF(O$2&lt;=$A352+$B$332-1,$B352/$B$332,$B352-SUM($C352:N352))),0))</f>
        <v>0</v>
      </c>
      <c r="P352" s="4">
        <f>IF($B$332=0,0,IF(P$2&gt;=$A352,IF(P$2=$A352,($B352/$B$332)*$B$329,IF(P$2&lt;=$A352+$B$332-1,$B352/$B$332,$B352-SUM($C352:O352))),0))</f>
        <v>0</v>
      </c>
      <c r="Q352" s="4">
        <f>IF($B$332=0,0,IF(Q$2&gt;=$A352,IF(Q$2=$A352,($B352/$B$332)*$B$329,IF(Q$2&lt;=$A352+$B$332-1,$B352/$B$332,$B352-SUM($C352:P352))),0))</f>
        <v>0</v>
      </c>
      <c r="R352" s="4">
        <f>IF($B$332=0,0,IF(R$2&gt;=$A352,IF(R$2=$A352,($B352/$B$332)*$B$329,IF(R$2&lt;=$A352+$B$332-1,$B352/$B$332,$B352-SUM($C352:Q352))),0))</f>
        <v>0</v>
      </c>
      <c r="S352" s="4">
        <f>IF($B$332=0,0,IF(S$2&gt;=$A352,IF(S$2=$A352,($B352/$B$332)*$B$329,IF(S$2&lt;=$A352+$B$332-1,$B352/$B$332,$B352-SUM($C352:R352))),0))</f>
        <v>0</v>
      </c>
      <c r="T352" s="4">
        <f>IF($B$332=0,0,IF(T$2&gt;=$A352,IF(T$2=$A352,($B352/$B$332)*$B$329,IF(T$2&lt;=$A352+$B$332-1,$B352/$B$332,$B352-SUM($C352:S352))),0))</f>
        <v>0</v>
      </c>
      <c r="U352" s="4">
        <f>IF($B$332=0,0,IF(U$2&gt;=$A352,IF(U$2=$A352,($B352/$B$332)*$B$329,IF(U$2&lt;=$A352+$B$332-1,$B352/$B$332,$B352-SUM($C352:T352))),0))</f>
        <v>0</v>
      </c>
      <c r="V352" s="4">
        <f>IF($B$332=0,0,IF(V$2&gt;=$A352,IF(V$2=$A352,($B352/$B$332)*$B$329,IF(V$2&lt;=$A352+$B$332-1,$B352/$B$332,$B352-SUM($C352:U352))),0))</f>
        <v>0</v>
      </c>
      <c r="W352" s="4">
        <f>IF($B$332=0,0,IF(W$2&gt;=$A352,IF(W$2=$A352,($B352/$B$332)*$B$329,IF(W$2&lt;=$A352+$B$332-1,$B352/$B$332,$B352-SUM($C352:V352))),0))</f>
        <v>0</v>
      </c>
      <c r="X352" s="4">
        <f>IF($B$332=0,0,IF(X$2&gt;=$A352,IF(X$2=$A352,($B352/$B$332)*$B$329,IF(X$2&lt;=$A352+$B$332-1,$B352/$B$332,$B352-SUM($C352:W352))),0))</f>
        <v>0</v>
      </c>
      <c r="Y352" s="4">
        <f>IF($B$332=0,0,IF(Y$2&gt;=$A352,IF(Y$2=$A352,($B352/$B$332)*$B$329,IF(Y$2&lt;=$A352+$B$332-1,$B352/$B$332,$B352-SUM($C352:X352))),0))</f>
        <v>0</v>
      </c>
      <c r="Z352" s="4">
        <f>IF($B$332=0,0,IF(Z$2&gt;=$A352,IF(Z$2=$A352,($B352/$B$332)*$B$329,IF(Z$2&lt;=$A352+$B$332-1,$B352/$B$332,$B352-SUM($C352:Y352))),0))</f>
        <v>0</v>
      </c>
      <c r="AA352" s="4">
        <f>IF($B$332=0,0,IF(AA$2&gt;=$A352,IF(AA$2=$A352,($B352/$B$332)*$B$329,IF(AA$2&lt;=$A352+$B$332-1,$B352/$B$332,$B352-SUM($C352:Z352))),0))</f>
        <v>0</v>
      </c>
      <c r="AB352" s="4">
        <f>IF($B$332=0,0,IF(AB$2&gt;=$A352,IF(AB$2=$A352,($B352/$B$332)*$B$329,IF(AB$2&lt;=$A352+$B$332-1,$B352/$B$332,$B352-SUM($C352:AA352))),0))</f>
        <v>0</v>
      </c>
      <c r="AC352" s="4">
        <f>IF($B$332=0,0,IF(AC$2&gt;=$A352,IF(AC$2=$A352,($B352/$B$332)*$B$329,IF(AC$2&lt;=$A352+$B$332-1,$B352/$B$332,$B352-SUM($C352:AB352))),0))</f>
        <v>0</v>
      </c>
      <c r="AD352" s="4">
        <f>IF($B$332=0,0,IF(AD$2&gt;=$A352,IF(AD$2=$A352,($B352/$B$332)*$B$329,IF(AD$2&lt;=$A352+$B$332-1,$B352/$B$332,$B352-SUM($C352:AC352))),0))</f>
        <v>0</v>
      </c>
      <c r="AE352" s="4">
        <f>IF($B$332=0,0,IF(AE$2&gt;=$A352,IF(AE$2=$A352,($B352/$B$332)*$B$329,IF(AE$2&lt;=$A352+$B$332-1,$B352/$B$332,$B352-SUM($C352:AD352))),0))</f>
        <v>0</v>
      </c>
      <c r="AF352" s="4">
        <f>IF($B$332=0,0,IF(AF$2&gt;=$A352,IF(AF$2=$A352,($B352/$B$332)*$B$329,IF(AF$2&lt;=$A352+$B$332-1,$B352/$B$332,$B352-SUM($C352:AE352))),0))</f>
        <v>0</v>
      </c>
      <c r="AG352" s="4">
        <f t="shared" si="274"/>
        <v>0</v>
      </c>
    </row>
    <row r="353" spans="1:33">
      <c r="A353" s="6">
        <f t="shared" si="275"/>
        <v>2042</v>
      </c>
      <c r="B353" s="4">
        <f t="shared" si="273"/>
        <v>0</v>
      </c>
      <c r="C353" s="4">
        <f>IF($B$332=0,0,IF(C$2&gt;=$A353,IF(C$2=$A353,($B353/$B$332)*$B$329,IF(C$2&lt;=$A353+$B$332-1,$B353/$B$332,$B353-SUM(B353:$C353))),0))</f>
        <v>0</v>
      </c>
      <c r="D353" s="4">
        <f>IF($B$332=0,0,IF(D$2&gt;=$A353,IF(D$2=$A353,($B353/$B$332)*$B$329,IF(D$2&lt;=$A353+$B$332-1,$B353/$B$332,$B353-SUM(C353:$C353))),0))</f>
        <v>0</v>
      </c>
      <c r="E353" s="4">
        <f>IF($B$332=0,0,IF(E$2&gt;=$A353,IF(E$2=$A353,($B353/$B$332)*$B$329,IF(E$2&lt;=$A353+$B$332-1,$B353/$B$332,$B353-SUM($C353:D353))),0))</f>
        <v>0</v>
      </c>
      <c r="F353" s="4">
        <f>IF($B$332=0,0,IF(F$2&gt;=$A353,IF(F$2=$A353,($B353/$B$332)*$B$329,IF(F$2&lt;=$A353+$B$332-1,$B353/$B$332,$B353-SUM($C353:E353))),0))</f>
        <v>0</v>
      </c>
      <c r="G353" s="4">
        <f>IF($B$332=0,0,IF(G$2&gt;=$A353,IF(G$2=$A353,($B353/$B$332)*$B$329,IF(G$2&lt;=$A353+$B$332-1,$B353/$B$332,$B353-SUM($C353:F353))),0))</f>
        <v>0</v>
      </c>
      <c r="H353" s="4">
        <f>IF($B$332=0,0,IF(H$2&gt;=$A353,IF(H$2=$A353,($B353/$B$332)*$B$329,IF(H$2&lt;=$A353+$B$332-1,$B353/$B$332,$B353-SUM($C353:G353))),0))</f>
        <v>0</v>
      </c>
      <c r="I353" s="4">
        <f>IF($B$332=0,0,IF(I$2&gt;=$A353,IF(I$2=$A353,($B353/$B$332)*$B$329,IF(I$2&lt;=$A353+$B$332-1,$B353/$B$332,$B353-SUM($C353:H353))),0))</f>
        <v>0</v>
      </c>
      <c r="J353" s="4">
        <f>IF($B$332=0,0,IF(J$2&gt;=$A353,IF(J$2=$A353,($B353/$B$332)*$B$329,IF(J$2&lt;=$A353+$B$332-1,$B353/$B$332,$B353-SUM($C353:I353))),0))</f>
        <v>0</v>
      </c>
      <c r="K353" s="4">
        <f>IF($B$332=0,0,IF(K$2&gt;=$A353,IF(K$2=$A353,($B353/$B$332)*$B$329,IF(K$2&lt;=$A353+$B$332-1,$B353/$B$332,$B353-SUM($C353:J353))),0))</f>
        <v>0</v>
      </c>
      <c r="L353" s="4">
        <f>IF($B$332=0,0,IF(L$2&gt;=$A353,IF(L$2=$A353,($B353/$B$332)*$B$329,IF(L$2&lt;=$A353+$B$332-1,$B353/$B$332,$B353-SUM($C353:K353))),0))</f>
        <v>0</v>
      </c>
      <c r="M353" s="4">
        <f>IF($B$332=0,0,IF(M$2&gt;=$A353,IF(M$2=$A353,($B353/$B$332)*$B$329,IF(M$2&lt;=$A353+$B$332-1,$B353/$B$332,$B353-SUM($C353:L353))),0))</f>
        <v>0</v>
      </c>
      <c r="N353" s="4">
        <f>IF($B$332=0,0,IF(N$2&gt;=$A353,IF(N$2=$A353,($B353/$B$332)*$B$329,IF(N$2&lt;=$A353+$B$332-1,$B353/$B$332,$B353-SUM($C353:M353))),0))</f>
        <v>0</v>
      </c>
      <c r="O353" s="4">
        <f>IF($B$332=0,0,IF(O$2&gt;=$A353,IF(O$2=$A353,($B353/$B$332)*$B$329,IF(O$2&lt;=$A353+$B$332-1,$B353/$B$332,$B353-SUM($C353:N353))),0))</f>
        <v>0</v>
      </c>
      <c r="P353" s="4">
        <f>IF($B$332=0,0,IF(P$2&gt;=$A353,IF(P$2=$A353,($B353/$B$332)*$B$329,IF(P$2&lt;=$A353+$B$332-1,$B353/$B$332,$B353-SUM($C353:O353))),0))</f>
        <v>0</v>
      </c>
      <c r="Q353" s="4">
        <f>IF($B$332=0,0,IF(Q$2&gt;=$A353,IF(Q$2=$A353,($B353/$B$332)*$B$329,IF(Q$2&lt;=$A353+$B$332-1,$B353/$B$332,$B353-SUM($C353:P353))),0))</f>
        <v>0</v>
      </c>
      <c r="R353" s="4">
        <f>IF($B$332=0,0,IF(R$2&gt;=$A353,IF(R$2=$A353,($B353/$B$332)*$B$329,IF(R$2&lt;=$A353+$B$332-1,$B353/$B$332,$B353-SUM($C353:Q353))),0))</f>
        <v>0</v>
      </c>
      <c r="S353" s="4">
        <f>IF($B$332=0,0,IF(S$2&gt;=$A353,IF(S$2=$A353,($B353/$B$332)*$B$329,IF(S$2&lt;=$A353+$B$332-1,$B353/$B$332,$B353-SUM($C353:R353))),0))</f>
        <v>0</v>
      </c>
      <c r="T353" s="4">
        <f>IF($B$332=0,0,IF(T$2&gt;=$A353,IF(T$2=$A353,($B353/$B$332)*$B$329,IF(T$2&lt;=$A353+$B$332-1,$B353/$B$332,$B353-SUM($C353:S353))),0))</f>
        <v>0</v>
      </c>
      <c r="U353" s="4">
        <f>IF($B$332=0,0,IF(U$2&gt;=$A353,IF(U$2=$A353,($B353/$B$332)*$B$329,IF(U$2&lt;=$A353+$B$332-1,$B353/$B$332,$B353-SUM($C353:T353))),0))</f>
        <v>0</v>
      </c>
      <c r="V353" s="4">
        <f>IF($B$332=0,0,IF(V$2&gt;=$A353,IF(V$2=$A353,($B353/$B$332)*$B$329,IF(V$2&lt;=$A353+$B$332-1,$B353/$B$332,$B353-SUM($C353:U353))),0))</f>
        <v>0</v>
      </c>
      <c r="W353" s="4">
        <f>IF($B$332=0,0,IF(W$2&gt;=$A353,IF(W$2=$A353,($B353/$B$332)*$B$329,IF(W$2&lt;=$A353+$B$332-1,$B353/$B$332,$B353-SUM($C353:V353))),0))</f>
        <v>0</v>
      </c>
      <c r="X353" s="4">
        <f>IF($B$332=0,0,IF(X$2&gt;=$A353,IF(X$2=$A353,($B353/$B$332)*$B$329,IF(X$2&lt;=$A353+$B$332-1,$B353/$B$332,$B353-SUM($C353:W353))),0))</f>
        <v>0</v>
      </c>
      <c r="Y353" s="4">
        <f>IF($B$332=0,0,IF(Y$2&gt;=$A353,IF(Y$2=$A353,($B353/$B$332)*$B$329,IF(Y$2&lt;=$A353+$B$332-1,$B353/$B$332,$B353-SUM($C353:X353))),0))</f>
        <v>0</v>
      </c>
      <c r="Z353" s="4">
        <f>IF($B$332=0,0,IF(Z$2&gt;=$A353,IF(Z$2=$A353,($B353/$B$332)*$B$329,IF(Z$2&lt;=$A353+$B$332-1,$B353/$B$332,$B353-SUM($C353:Y353))),0))</f>
        <v>0</v>
      </c>
      <c r="AA353" s="4">
        <f>IF($B$332=0,0,IF(AA$2&gt;=$A353,IF(AA$2=$A353,($B353/$B$332)*$B$329,IF(AA$2&lt;=$A353+$B$332-1,$B353/$B$332,$B353-SUM($C353:Z353))),0))</f>
        <v>0</v>
      </c>
      <c r="AB353" s="4">
        <f>IF($B$332=0,0,IF(AB$2&gt;=$A353,IF(AB$2=$A353,($B353/$B$332)*$B$329,IF(AB$2&lt;=$A353+$B$332-1,$B353/$B$332,$B353-SUM($C353:AA353))),0))</f>
        <v>0</v>
      </c>
      <c r="AC353" s="4">
        <f>IF($B$332=0,0,IF(AC$2&gt;=$A353,IF(AC$2=$A353,($B353/$B$332)*$B$329,IF(AC$2&lt;=$A353+$B$332-1,$B353/$B$332,$B353-SUM($C353:AB353))),0))</f>
        <v>0</v>
      </c>
      <c r="AD353" s="4">
        <f>IF($B$332=0,0,IF(AD$2&gt;=$A353,IF(AD$2=$A353,($B353/$B$332)*$B$329,IF(AD$2&lt;=$A353+$B$332-1,$B353/$B$332,$B353-SUM($C353:AC353))),0))</f>
        <v>0</v>
      </c>
      <c r="AE353" s="4">
        <f>IF($B$332=0,0,IF(AE$2&gt;=$A353,IF(AE$2=$A353,($B353/$B$332)*$B$329,IF(AE$2&lt;=$A353+$B$332-1,$B353/$B$332,$B353-SUM($C353:AD353))),0))</f>
        <v>0</v>
      </c>
      <c r="AF353" s="4">
        <f>IF($B$332=0,0,IF(AF$2&gt;=$A353,IF(AF$2=$A353,($B353/$B$332)*$B$329,IF(AF$2&lt;=$A353+$B$332-1,$B353/$B$332,$B353-SUM($C353:AE353))),0))</f>
        <v>0</v>
      </c>
      <c r="AG353" s="4">
        <f t="shared" si="274"/>
        <v>0</v>
      </c>
    </row>
    <row r="354" spans="1:33">
      <c r="A354" s="6">
        <f t="shared" si="275"/>
        <v>2043</v>
      </c>
      <c r="B354" s="4">
        <f t="shared" si="273"/>
        <v>0</v>
      </c>
      <c r="C354" s="4">
        <f>IF($B$332=0,0,IF(C$2&gt;=$A354,IF(C$2=$A354,($B354/$B$332)*$B$329,IF(C$2&lt;=$A354+$B$332-1,$B354/$B$332,$B354-SUM(B354:$C354))),0))</f>
        <v>0</v>
      </c>
      <c r="D354" s="4">
        <f>IF($B$332=0,0,IF(D$2&gt;=$A354,IF(D$2=$A354,($B354/$B$332)*$B$329,IF(D$2&lt;=$A354+$B$332-1,$B354/$B$332,$B354-SUM(C354:$C354))),0))</f>
        <v>0</v>
      </c>
      <c r="E354" s="4">
        <f>IF($B$332=0,0,IF(E$2&gt;=$A354,IF(E$2=$A354,($B354/$B$332)*$B$329,IF(E$2&lt;=$A354+$B$332-1,$B354/$B$332,$B354-SUM($C354:D354))),0))</f>
        <v>0</v>
      </c>
      <c r="F354" s="4">
        <f>IF($B$332=0,0,IF(F$2&gt;=$A354,IF(F$2=$A354,($B354/$B$332)*$B$329,IF(F$2&lt;=$A354+$B$332-1,$B354/$B$332,$B354-SUM($C354:E354))),0))</f>
        <v>0</v>
      </c>
      <c r="G354" s="4">
        <f>IF($B$332=0,0,IF(G$2&gt;=$A354,IF(G$2=$A354,($B354/$B$332)*$B$329,IF(G$2&lt;=$A354+$B$332-1,$B354/$B$332,$B354-SUM($C354:F354))),0))</f>
        <v>0</v>
      </c>
      <c r="H354" s="4">
        <f>IF($B$332=0,0,IF(H$2&gt;=$A354,IF(H$2=$A354,($B354/$B$332)*$B$329,IF(H$2&lt;=$A354+$B$332-1,$B354/$B$332,$B354-SUM($C354:G354))),0))</f>
        <v>0</v>
      </c>
      <c r="I354" s="4">
        <f>IF($B$332=0,0,IF(I$2&gt;=$A354,IF(I$2=$A354,($B354/$B$332)*$B$329,IF(I$2&lt;=$A354+$B$332-1,$B354/$B$332,$B354-SUM($C354:H354))),0))</f>
        <v>0</v>
      </c>
      <c r="J354" s="4">
        <f>IF($B$332=0,0,IF(J$2&gt;=$A354,IF(J$2=$A354,($B354/$B$332)*$B$329,IF(J$2&lt;=$A354+$B$332-1,$B354/$B$332,$B354-SUM($C354:I354))),0))</f>
        <v>0</v>
      </c>
      <c r="K354" s="4">
        <f>IF($B$332=0,0,IF(K$2&gt;=$A354,IF(K$2=$A354,($B354/$B$332)*$B$329,IF(K$2&lt;=$A354+$B$332-1,$B354/$B$332,$B354-SUM($C354:J354))),0))</f>
        <v>0</v>
      </c>
      <c r="L354" s="4">
        <f>IF($B$332=0,0,IF(L$2&gt;=$A354,IF(L$2=$A354,($B354/$B$332)*$B$329,IF(L$2&lt;=$A354+$B$332-1,$B354/$B$332,$B354-SUM($C354:K354))),0))</f>
        <v>0</v>
      </c>
      <c r="M354" s="4">
        <f>IF($B$332=0,0,IF(M$2&gt;=$A354,IF(M$2=$A354,($B354/$B$332)*$B$329,IF(M$2&lt;=$A354+$B$332-1,$B354/$B$332,$B354-SUM($C354:L354))),0))</f>
        <v>0</v>
      </c>
      <c r="N354" s="4">
        <f>IF($B$332=0,0,IF(N$2&gt;=$A354,IF(N$2=$A354,($B354/$B$332)*$B$329,IF(N$2&lt;=$A354+$B$332-1,$B354/$B$332,$B354-SUM($C354:M354))),0))</f>
        <v>0</v>
      </c>
      <c r="O354" s="4">
        <f>IF($B$332=0,0,IF(O$2&gt;=$A354,IF(O$2=$A354,($B354/$B$332)*$B$329,IF(O$2&lt;=$A354+$B$332-1,$B354/$B$332,$B354-SUM($C354:N354))),0))</f>
        <v>0</v>
      </c>
      <c r="P354" s="4">
        <f>IF($B$332=0,0,IF(P$2&gt;=$A354,IF(P$2=$A354,($B354/$B$332)*$B$329,IF(P$2&lt;=$A354+$B$332-1,$B354/$B$332,$B354-SUM($C354:O354))),0))</f>
        <v>0</v>
      </c>
      <c r="Q354" s="4">
        <f>IF($B$332=0,0,IF(Q$2&gt;=$A354,IF(Q$2=$A354,($B354/$B$332)*$B$329,IF(Q$2&lt;=$A354+$B$332-1,$B354/$B$332,$B354-SUM($C354:P354))),0))</f>
        <v>0</v>
      </c>
      <c r="R354" s="4">
        <f>IF($B$332=0,0,IF(R$2&gt;=$A354,IF(R$2=$A354,($B354/$B$332)*$B$329,IF(R$2&lt;=$A354+$B$332-1,$B354/$B$332,$B354-SUM($C354:Q354))),0))</f>
        <v>0</v>
      </c>
      <c r="S354" s="4">
        <f>IF($B$332=0,0,IF(S$2&gt;=$A354,IF(S$2=$A354,($B354/$B$332)*$B$329,IF(S$2&lt;=$A354+$B$332-1,$B354/$B$332,$B354-SUM($C354:R354))),0))</f>
        <v>0</v>
      </c>
      <c r="T354" s="4">
        <f>IF($B$332=0,0,IF(T$2&gt;=$A354,IF(T$2=$A354,($B354/$B$332)*$B$329,IF(T$2&lt;=$A354+$B$332-1,$B354/$B$332,$B354-SUM($C354:S354))),0))</f>
        <v>0</v>
      </c>
      <c r="U354" s="4">
        <f>IF($B$332=0,0,IF(U$2&gt;=$A354,IF(U$2=$A354,($B354/$B$332)*$B$329,IF(U$2&lt;=$A354+$B$332-1,$B354/$B$332,$B354-SUM($C354:T354))),0))</f>
        <v>0</v>
      </c>
      <c r="V354" s="4">
        <f>IF($B$332=0,0,IF(V$2&gt;=$A354,IF(V$2=$A354,($B354/$B$332)*$B$329,IF(V$2&lt;=$A354+$B$332-1,$B354/$B$332,$B354-SUM($C354:U354))),0))</f>
        <v>0</v>
      </c>
      <c r="W354" s="4">
        <f>IF($B$332=0,0,IF(W$2&gt;=$A354,IF(W$2=$A354,($B354/$B$332)*$B$329,IF(W$2&lt;=$A354+$B$332-1,$B354/$B$332,$B354-SUM($C354:V354))),0))</f>
        <v>0</v>
      </c>
      <c r="X354" s="4">
        <f>IF($B$332=0,0,IF(X$2&gt;=$A354,IF(X$2=$A354,($B354/$B$332)*$B$329,IF(X$2&lt;=$A354+$B$332-1,$B354/$B$332,$B354-SUM($C354:W354))),0))</f>
        <v>0</v>
      </c>
      <c r="Y354" s="4">
        <f>IF($B$332=0,0,IF(Y$2&gt;=$A354,IF(Y$2=$A354,($B354/$B$332)*$B$329,IF(Y$2&lt;=$A354+$B$332-1,$B354/$B$332,$B354-SUM($C354:X354))),0))</f>
        <v>0</v>
      </c>
      <c r="Z354" s="4">
        <f>IF($B$332=0,0,IF(Z$2&gt;=$A354,IF(Z$2=$A354,($B354/$B$332)*$B$329,IF(Z$2&lt;=$A354+$B$332-1,$B354/$B$332,$B354-SUM($C354:Y354))),0))</f>
        <v>0</v>
      </c>
      <c r="AA354" s="4">
        <f>IF($B$332=0,0,IF(AA$2&gt;=$A354,IF(AA$2=$A354,($B354/$B$332)*$B$329,IF(AA$2&lt;=$A354+$B$332-1,$B354/$B$332,$B354-SUM($C354:Z354))),0))</f>
        <v>0</v>
      </c>
      <c r="AB354" s="4">
        <f>IF($B$332=0,0,IF(AB$2&gt;=$A354,IF(AB$2=$A354,($B354/$B$332)*$B$329,IF(AB$2&lt;=$A354+$B$332-1,$B354/$B$332,$B354-SUM($C354:AA354))),0))</f>
        <v>0</v>
      </c>
      <c r="AC354" s="4">
        <f>IF($B$332=0,0,IF(AC$2&gt;=$A354,IF(AC$2=$A354,($B354/$B$332)*$B$329,IF(AC$2&lt;=$A354+$B$332-1,$B354/$B$332,$B354-SUM($C354:AB354))),0))</f>
        <v>0</v>
      </c>
      <c r="AD354" s="4">
        <f>IF($B$332=0,0,IF(AD$2&gt;=$A354,IF(AD$2=$A354,($B354/$B$332)*$B$329,IF(AD$2&lt;=$A354+$B$332-1,$B354/$B$332,$B354-SUM($C354:AC354))),0))</f>
        <v>0</v>
      </c>
      <c r="AE354" s="4">
        <f>IF($B$332=0,0,IF(AE$2&gt;=$A354,IF(AE$2=$A354,($B354/$B$332)*$B$329,IF(AE$2&lt;=$A354+$B$332-1,$B354/$B$332,$B354-SUM($C354:AD354))),0))</f>
        <v>0</v>
      </c>
      <c r="AF354" s="4">
        <f>IF($B$332=0,0,IF(AF$2&gt;=$A354,IF(AF$2=$A354,($B354/$B$332)*$B$329,IF(AF$2&lt;=$A354+$B$332-1,$B354/$B$332,$B354-SUM($C354:AE354))),0))</f>
        <v>0</v>
      </c>
      <c r="AG354" s="4">
        <f t="shared" si="274"/>
        <v>0</v>
      </c>
    </row>
    <row r="355" spans="1:33">
      <c r="A355" s="6">
        <f t="shared" si="275"/>
        <v>2044</v>
      </c>
      <c r="B355" s="4">
        <f t="shared" si="273"/>
        <v>0</v>
      </c>
      <c r="C355" s="4">
        <f>IF($B$332=0,0,IF(C$2&gt;=$A355,IF(C$2=$A355,($B355/$B$332)*$B$329,IF(C$2&lt;=$A355+$B$332-1,$B355/$B$332,$B355-SUM(B355:$C355))),0))</f>
        <v>0</v>
      </c>
      <c r="D355" s="4">
        <f>IF($B$332=0,0,IF(D$2&gt;=$A355,IF(D$2=$A355,($B355/$B$332)*$B$329,IF(D$2&lt;=$A355+$B$332-1,$B355/$B$332,$B355-SUM(C355:$C355))),0))</f>
        <v>0</v>
      </c>
      <c r="E355" s="4">
        <f>IF($B$332=0,0,IF(E$2&gt;=$A355,IF(E$2=$A355,($B355/$B$332)*$B$329,IF(E$2&lt;=$A355+$B$332-1,$B355/$B$332,$B355-SUM($C355:D355))),0))</f>
        <v>0</v>
      </c>
      <c r="F355" s="4">
        <f>IF($B$332=0,0,IF(F$2&gt;=$A355,IF(F$2=$A355,($B355/$B$332)*$B$329,IF(F$2&lt;=$A355+$B$332-1,$B355/$B$332,$B355-SUM($C355:E355))),0))</f>
        <v>0</v>
      </c>
      <c r="G355" s="4">
        <f>IF($B$332=0,0,IF(G$2&gt;=$A355,IF(G$2=$A355,($B355/$B$332)*$B$329,IF(G$2&lt;=$A355+$B$332-1,$B355/$B$332,$B355-SUM($C355:F355))),0))</f>
        <v>0</v>
      </c>
      <c r="H355" s="4">
        <f>IF($B$332=0,0,IF(H$2&gt;=$A355,IF(H$2=$A355,($B355/$B$332)*$B$329,IF(H$2&lt;=$A355+$B$332-1,$B355/$B$332,$B355-SUM($C355:G355))),0))</f>
        <v>0</v>
      </c>
      <c r="I355" s="4">
        <f>IF($B$332=0,0,IF(I$2&gt;=$A355,IF(I$2=$A355,($B355/$B$332)*$B$329,IF(I$2&lt;=$A355+$B$332-1,$B355/$B$332,$B355-SUM($C355:H355))),0))</f>
        <v>0</v>
      </c>
      <c r="J355" s="4">
        <f>IF($B$332=0,0,IF(J$2&gt;=$A355,IF(J$2=$A355,($B355/$B$332)*$B$329,IF(J$2&lt;=$A355+$B$332-1,$B355/$B$332,$B355-SUM($C355:I355))),0))</f>
        <v>0</v>
      </c>
      <c r="K355" s="4">
        <f>IF($B$332=0,0,IF(K$2&gt;=$A355,IF(K$2=$A355,($B355/$B$332)*$B$329,IF(K$2&lt;=$A355+$B$332-1,$B355/$B$332,$B355-SUM($C355:J355))),0))</f>
        <v>0</v>
      </c>
      <c r="L355" s="4">
        <f>IF($B$332=0,0,IF(L$2&gt;=$A355,IF(L$2=$A355,($B355/$B$332)*$B$329,IF(L$2&lt;=$A355+$B$332-1,$B355/$B$332,$B355-SUM($C355:K355))),0))</f>
        <v>0</v>
      </c>
      <c r="M355" s="4">
        <f>IF($B$332=0,0,IF(M$2&gt;=$A355,IF(M$2=$A355,($B355/$B$332)*$B$329,IF(M$2&lt;=$A355+$B$332-1,$B355/$B$332,$B355-SUM($C355:L355))),0))</f>
        <v>0</v>
      </c>
      <c r="N355" s="4">
        <f>IF($B$332=0,0,IF(N$2&gt;=$A355,IF(N$2=$A355,($B355/$B$332)*$B$329,IF(N$2&lt;=$A355+$B$332-1,$B355/$B$332,$B355-SUM($C355:M355))),0))</f>
        <v>0</v>
      </c>
      <c r="O355" s="4">
        <f>IF($B$332=0,0,IF(O$2&gt;=$A355,IF(O$2=$A355,($B355/$B$332)*$B$329,IF(O$2&lt;=$A355+$B$332-1,$B355/$B$332,$B355-SUM($C355:N355))),0))</f>
        <v>0</v>
      </c>
      <c r="P355" s="4">
        <f>IF($B$332=0,0,IF(P$2&gt;=$A355,IF(P$2=$A355,($B355/$B$332)*$B$329,IF(P$2&lt;=$A355+$B$332-1,$B355/$B$332,$B355-SUM($C355:O355))),0))</f>
        <v>0</v>
      </c>
      <c r="Q355" s="4">
        <f>IF($B$332=0,0,IF(Q$2&gt;=$A355,IF(Q$2=$A355,($B355/$B$332)*$B$329,IF(Q$2&lt;=$A355+$B$332-1,$B355/$B$332,$B355-SUM($C355:P355))),0))</f>
        <v>0</v>
      </c>
      <c r="R355" s="4">
        <f>IF($B$332=0,0,IF(R$2&gt;=$A355,IF(R$2=$A355,($B355/$B$332)*$B$329,IF(R$2&lt;=$A355+$B$332-1,$B355/$B$332,$B355-SUM($C355:Q355))),0))</f>
        <v>0</v>
      </c>
      <c r="S355" s="4">
        <f>IF($B$332=0,0,IF(S$2&gt;=$A355,IF(S$2=$A355,($B355/$B$332)*$B$329,IF(S$2&lt;=$A355+$B$332-1,$B355/$B$332,$B355-SUM($C355:R355))),0))</f>
        <v>0</v>
      </c>
      <c r="T355" s="4">
        <f>IF($B$332=0,0,IF(T$2&gt;=$A355,IF(T$2=$A355,($B355/$B$332)*$B$329,IF(T$2&lt;=$A355+$B$332-1,$B355/$B$332,$B355-SUM($C355:S355))),0))</f>
        <v>0</v>
      </c>
      <c r="U355" s="4">
        <f>IF($B$332=0,0,IF(U$2&gt;=$A355,IF(U$2=$A355,($B355/$B$332)*$B$329,IF(U$2&lt;=$A355+$B$332-1,$B355/$B$332,$B355-SUM($C355:T355))),0))</f>
        <v>0</v>
      </c>
      <c r="V355" s="4">
        <f>IF($B$332=0,0,IF(V$2&gt;=$A355,IF(V$2=$A355,($B355/$B$332)*$B$329,IF(V$2&lt;=$A355+$B$332-1,$B355/$B$332,$B355-SUM($C355:U355))),0))</f>
        <v>0</v>
      </c>
      <c r="W355" s="4">
        <f>IF($B$332=0,0,IF(W$2&gt;=$A355,IF(W$2=$A355,($B355/$B$332)*$B$329,IF(W$2&lt;=$A355+$B$332-1,$B355/$B$332,$B355-SUM($C355:V355))),0))</f>
        <v>0</v>
      </c>
      <c r="X355" s="4">
        <f>IF($B$332=0,0,IF(X$2&gt;=$A355,IF(X$2=$A355,($B355/$B$332)*$B$329,IF(X$2&lt;=$A355+$B$332-1,$B355/$B$332,$B355-SUM($C355:W355))),0))</f>
        <v>0</v>
      </c>
      <c r="Y355" s="4">
        <f>IF($B$332=0,0,IF(Y$2&gt;=$A355,IF(Y$2=$A355,($B355/$B$332)*$B$329,IF(Y$2&lt;=$A355+$B$332-1,$B355/$B$332,$B355-SUM($C355:X355))),0))</f>
        <v>0</v>
      </c>
      <c r="Z355" s="4">
        <f>IF($B$332=0,0,IF(Z$2&gt;=$A355,IF(Z$2=$A355,($B355/$B$332)*$B$329,IF(Z$2&lt;=$A355+$B$332-1,$B355/$B$332,$B355-SUM($C355:Y355))),0))</f>
        <v>0</v>
      </c>
      <c r="AA355" s="4">
        <f>IF($B$332=0,0,IF(AA$2&gt;=$A355,IF(AA$2=$A355,($B355/$B$332)*$B$329,IF(AA$2&lt;=$A355+$B$332-1,$B355/$B$332,$B355-SUM($C355:Z355))),0))</f>
        <v>0</v>
      </c>
      <c r="AB355" s="4">
        <f>IF($B$332=0,0,IF(AB$2&gt;=$A355,IF(AB$2=$A355,($B355/$B$332)*$B$329,IF(AB$2&lt;=$A355+$B$332-1,$B355/$B$332,$B355-SUM($C355:AA355))),0))</f>
        <v>0</v>
      </c>
      <c r="AC355" s="4">
        <f>IF($B$332=0,0,IF(AC$2&gt;=$A355,IF(AC$2=$A355,($B355/$B$332)*$B$329,IF(AC$2&lt;=$A355+$B$332-1,$B355/$B$332,$B355-SUM($C355:AB355))),0))</f>
        <v>0</v>
      </c>
      <c r="AD355" s="4">
        <f>IF($B$332=0,0,IF(AD$2&gt;=$A355,IF(AD$2=$A355,($B355/$B$332)*$B$329,IF(AD$2&lt;=$A355+$B$332-1,$B355/$B$332,$B355-SUM($C355:AC355))),0))</f>
        <v>0</v>
      </c>
      <c r="AE355" s="4">
        <f>IF($B$332=0,0,IF(AE$2&gt;=$A355,IF(AE$2=$A355,($B355/$B$332)*$B$329,IF(AE$2&lt;=$A355+$B$332-1,$B355/$B$332,$B355-SUM($C355:AD355))),0))</f>
        <v>0</v>
      </c>
      <c r="AF355" s="4">
        <f>IF($B$332=0,0,IF(AF$2&gt;=$A355,IF(AF$2=$A355,($B355/$B$332)*$B$329,IF(AF$2&lt;=$A355+$B$332-1,$B355/$B$332,$B355-SUM($C355:AE355))),0))</f>
        <v>0</v>
      </c>
      <c r="AG355" s="4">
        <f t="shared" si="274"/>
        <v>0</v>
      </c>
    </row>
    <row r="356" spans="1:33">
      <c r="A356" s="6">
        <f t="shared" si="275"/>
        <v>2045</v>
      </c>
      <c r="B356" s="4">
        <f t="shared" si="273"/>
        <v>0</v>
      </c>
      <c r="C356" s="4">
        <f>IF($B$332=0,0,IF(C$2&gt;=$A356,IF(C$2=$A356,($B356/$B$332)*$B$329,IF(C$2&lt;=$A356+$B$332-1,$B356/$B$332,$B356-SUM(B356:$C356))),0))</f>
        <v>0</v>
      </c>
      <c r="D356" s="4">
        <f>IF($B$332=0,0,IF(D$2&gt;=$A356,IF(D$2=$A356,($B356/$B$332)*$B$329,IF(D$2&lt;=$A356+$B$332-1,$B356/$B$332,$B356-SUM(C356:$C356))),0))</f>
        <v>0</v>
      </c>
      <c r="E356" s="4">
        <f>IF($B$332=0,0,IF(E$2&gt;=$A356,IF(E$2=$A356,($B356/$B$332)*$B$329,IF(E$2&lt;=$A356+$B$332-1,$B356/$B$332,$B356-SUM($C356:D356))),0))</f>
        <v>0</v>
      </c>
      <c r="F356" s="4">
        <f>IF($B$332=0,0,IF(F$2&gt;=$A356,IF(F$2=$A356,($B356/$B$332)*$B$329,IF(F$2&lt;=$A356+$B$332-1,$B356/$B$332,$B356-SUM($C356:E356))),0))</f>
        <v>0</v>
      </c>
      <c r="G356" s="4">
        <f>IF($B$332=0,0,IF(G$2&gt;=$A356,IF(G$2=$A356,($B356/$B$332)*$B$329,IF(G$2&lt;=$A356+$B$332-1,$B356/$B$332,$B356-SUM($C356:F356))),0))</f>
        <v>0</v>
      </c>
      <c r="H356" s="4">
        <f>IF($B$332=0,0,IF(H$2&gt;=$A356,IF(H$2=$A356,($B356/$B$332)*$B$329,IF(H$2&lt;=$A356+$B$332-1,$B356/$B$332,$B356-SUM($C356:G356))),0))</f>
        <v>0</v>
      </c>
      <c r="I356" s="4">
        <f>IF($B$332=0,0,IF(I$2&gt;=$A356,IF(I$2=$A356,($B356/$B$332)*$B$329,IF(I$2&lt;=$A356+$B$332-1,$B356/$B$332,$B356-SUM($C356:H356))),0))</f>
        <v>0</v>
      </c>
      <c r="J356" s="4">
        <f>IF($B$332=0,0,IF(J$2&gt;=$A356,IF(J$2=$A356,($B356/$B$332)*$B$329,IF(J$2&lt;=$A356+$B$332-1,$B356/$B$332,$B356-SUM($C356:I356))),0))</f>
        <v>0</v>
      </c>
      <c r="K356" s="4">
        <f>IF($B$332=0,0,IF(K$2&gt;=$A356,IF(K$2=$A356,($B356/$B$332)*$B$329,IF(K$2&lt;=$A356+$B$332-1,$B356/$B$332,$B356-SUM($C356:J356))),0))</f>
        <v>0</v>
      </c>
      <c r="L356" s="4">
        <f>IF($B$332=0,0,IF(L$2&gt;=$A356,IF(L$2=$A356,($B356/$B$332)*$B$329,IF(L$2&lt;=$A356+$B$332-1,$B356/$B$332,$B356-SUM($C356:K356))),0))</f>
        <v>0</v>
      </c>
      <c r="M356" s="4">
        <f>IF($B$332=0,0,IF(M$2&gt;=$A356,IF(M$2=$A356,($B356/$B$332)*$B$329,IF(M$2&lt;=$A356+$B$332-1,$B356/$B$332,$B356-SUM($C356:L356))),0))</f>
        <v>0</v>
      </c>
      <c r="N356" s="4">
        <f>IF($B$332=0,0,IF(N$2&gt;=$A356,IF(N$2=$A356,($B356/$B$332)*$B$329,IF(N$2&lt;=$A356+$B$332-1,$B356/$B$332,$B356-SUM($C356:M356))),0))</f>
        <v>0</v>
      </c>
      <c r="O356" s="4">
        <f>IF($B$332=0,0,IF(O$2&gt;=$A356,IF(O$2=$A356,($B356/$B$332)*$B$329,IF(O$2&lt;=$A356+$B$332-1,$B356/$B$332,$B356-SUM($C356:N356))),0))</f>
        <v>0</v>
      </c>
      <c r="P356" s="4">
        <f>IF($B$332=0,0,IF(P$2&gt;=$A356,IF(P$2=$A356,($B356/$B$332)*$B$329,IF(P$2&lt;=$A356+$B$332-1,$B356/$B$332,$B356-SUM($C356:O356))),0))</f>
        <v>0</v>
      </c>
      <c r="Q356" s="4">
        <f>IF($B$332=0,0,IF(Q$2&gt;=$A356,IF(Q$2=$A356,($B356/$B$332)*$B$329,IF(Q$2&lt;=$A356+$B$332-1,$B356/$B$332,$B356-SUM($C356:P356))),0))</f>
        <v>0</v>
      </c>
      <c r="R356" s="4">
        <f>IF($B$332=0,0,IF(R$2&gt;=$A356,IF(R$2=$A356,($B356/$B$332)*$B$329,IF(R$2&lt;=$A356+$B$332-1,$B356/$B$332,$B356-SUM($C356:Q356))),0))</f>
        <v>0</v>
      </c>
      <c r="S356" s="4">
        <f>IF($B$332=0,0,IF(S$2&gt;=$A356,IF(S$2=$A356,($B356/$B$332)*$B$329,IF(S$2&lt;=$A356+$B$332-1,$B356/$B$332,$B356-SUM($C356:R356))),0))</f>
        <v>0</v>
      </c>
      <c r="T356" s="4">
        <f>IF($B$332=0,0,IF(T$2&gt;=$A356,IF(T$2=$A356,($B356/$B$332)*$B$329,IF(T$2&lt;=$A356+$B$332-1,$B356/$B$332,$B356-SUM($C356:S356))),0))</f>
        <v>0</v>
      </c>
      <c r="U356" s="4">
        <f>IF($B$332=0,0,IF(U$2&gt;=$A356,IF(U$2=$A356,($B356/$B$332)*$B$329,IF(U$2&lt;=$A356+$B$332-1,$B356/$B$332,$B356-SUM($C356:T356))),0))</f>
        <v>0</v>
      </c>
      <c r="V356" s="4">
        <f>IF($B$332=0,0,IF(V$2&gt;=$A356,IF(V$2=$A356,($B356/$B$332)*$B$329,IF(V$2&lt;=$A356+$B$332-1,$B356/$B$332,$B356-SUM($C356:U356))),0))</f>
        <v>0</v>
      </c>
      <c r="W356" s="4">
        <f>IF($B$332=0,0,IF(W$2&gt;=$A356,IF(W$2=$A356,($B356/$B$332)*$B$329,IF(W$2&lt;=$A356+$B$332-1,$B356/$B$332,$B356-SUM($C356:V356))),0))</f>
        <v>0</v>
      </c>
      <c r="X356" s="4">
        <f>IF($B$332=0,0,IF(X$2&gt;=$A356,IF(X$2=$A356,($B356/$B$332)*$B$329,IF(X$2&lt;=$A356+$B$332-1,$B356/$B$332,$B356-SUM($C356:W356))),0))</f>
        <v>0</v>
      </c>
      <c r="Y356" s="4">
        <f>IF($B$332=0,0,IF(Y$2&gt;=$A356,IF(Y$2=$A356,($B356/$B$332)*$B$329,IF(Y$2&lt;=$A356+$B$332-1,$B356/$B$332,$B356-SUM($C356:X356))),0))</f>
        <v>0</v>
      </c>
      <c r="Z356" s="4">
        <f>IF($B$332=0,0,IF(Z$2&gt;=$A356,IF(Z$2=$A356,($B356/$B$332)*$B$329,IF(Z$2&lt;=$A356+$B$332-1,$B356/$B$332,$B356-SUM($C356:Y356))),0))</f>
        <v>0</v>
      </c>
      <c r="AA356" s="4">
        <f>IF($B$332=0,0,IF(AA$2&gt;=$A356,IF(AA$2=$A356,($B356/$B$332)*$B$329,IF(AA$2&lt;=$A356+$B$332-1,$B356/$B$332,$B356-SUM($C356:Z356))),0))</f>
        <v>0</v>
      </c>
      <c r="AB356" s="4">
        <f>IF($B$332=0,0,IF(AB$2&gt;=$A356,IF(AB$2=$A356,($B356/$B$332)*$B$329,IF(AB$2&lt;=$A356+$B$332-1,$B356/$B$332,$B356-SUM($C356:AA356))),0))</f>
        <v>0</v>
      </c>
      <c r="AC356" s="4">
        <f>IF($B$332=0,0,IF(AC$2&gt;=$A356,IF(AC$2=$A356,($B356/$B$332)*$B$329,IF(AC$2&lt;=$A356+$B$332-1,$B356/$B$332,$B356-SUM($C356:AB356))),0))</f>
        <v>0</v>
      </c>
      <c r="AD356" s="4">
        <f>IF($B$332=0,0,IF(AD$2&gt;=$A356,IF(AD$2=$A356,($B356/$B$332)*$B$329,IF(AD$2&lt;=$A356+$B$332-1,$B356/$B$332,$B356-SUM($C356:AC356))),0))</f>
        <v>0</v>
      </c>
      <c r="AE356" s="4">
        <f>IF($B$332=0,0,IF(AE$2&gt;=$A356,IF(AE$2=$A356,($B356/$B$332)*$B$329,IF(AE$2&lt;=$A356+$B$332-1,$B356/$B$332,$B356-SUM($C356:AD356))),0))</f>
        <v>0</v>
      </c>
      <c r="AF356" s="4">
        <f>IF($B$332=0,0,IF(AF$2&gt;=$A356,IF(AF$2=$A356,($B356/$B$332)*$B$329,IF(AF$2&lt;=$A356+$B$332-1,$B356/$B$332,$B356-SUM($C356:AE356))),0))</f>
        <v>0</v>
      </c>
      <c r="AG356" s="4">
        <f t="shared" si="274"/>
        <v>0</v>
      </c>
    </row>
    <row r="357" spans="1:33">
      <c r="A357" s="6">
        <f t="shared" si="275"/>
        <v>2046</v>
      </c>
      <c r="B357" s="4">
        <f t="shared" si="273"/>
        <v>0</v>
      </c>
      <c r="C357" s="4">
        <f>IF($B$332=0,0,IF(C$2&gt;=$A357,IF(C$2=$A357,($B357/$B$332)*$B$329,IF(C$2&lt;=$A357+$B$332-1,$B357/$B$332,$B357-SUM(B357:$C357))),0))</f>
        <v>0</v>
      </c>
      <c r="D357" s="4">
        <f>IF($B$332=0,0,IF(D$2&gt;=$A357,IF(D$2=$A357,($B357/$B$332)*$B$329,IF(D$2&lt;=$A357+$B$332-1,$B357/$B$332,$B357-SUM(C357:$C357))),0))</f>
        <v>0</v>
      </c>
      <c r="E357" s="4">
        <f>IF($B$332=0,0,IF(E$2&gt;=$A357,IF(E$2=$A357,($B357/$B$332)*$B$329,IF(E$2&lt;=$A357+$B$332-1,$B357/$B$332,$B357-SUM($C357:D357))),0))</f>
        <v>0</v>
      </c>
      <c r="F357" s="4">
        <f>IF($B$332=0,0,IF(F$2&gt;=$A357,IF(F$2=$A357,($B357/$B$332)*$B$329,IF(F$2&lt;=$A357+$B$332-1,$B357/$B$332,$B357-SUM($C357:E357))),0))</f>
        <v>0</v>
      </c>
      <c r="G357" s="4">
        <f>IF($B$332=0,0,IF(G$2&gt;=$A357,IF(G$2=$A357,($B357/$B$332)*$B$329,IF(G$2&lt;=$A357+$B$332-1,$B357/$B$332,$B357-SUM($C357:F357))),0))</f>
        <v>0</v>
      </c>
      <c r="H357" s="4">
        <f>IF($B$332=0,0,IF(H$2&gt;=$A357,IF(H$2=$A357,($B357/$B$332)*$B$329,IF(H$2&lt;=$A357+$B$332-1,$B357/$B$332,$B357-SUM($C357:G357))),0))</f>
        <v>0</v>
      </c>
      <c r="I357" s="4">
        <f>IF($B$332=0,0,IF(I$2&gt;=$A357,IF(I$2=$A357,($B357/$B$332)*$B$329,IF(I$2&lt;=$A357+$B$332-1,$B357/$B$332,$B357-SUM($C357:H357))),0))</f>
        <v>0</v>
      </c>
      <c r="J357" s="4">
        <f>IF($B$332=0,0,IF(J$2&gt;=$A357,IF(J$2=$A357,($B357/$B$332)*$B$329,IF(J$2&lt;=$A357+$B$332-1,$B357/$B$332,$B357-SUM($C357:I357))),0))</f>
        <v>0</v>
      </c>
      <c r="K357" s="4">
        <f>IF($B$332=0,0,IF(K$2&gt;=$A357,IF(K$2=$A357,($B357/$B$332)*$B$329,IF(K$2&lt;=$A357+$B$332-1,$B357/$B$332,$B357-SUM($C357:J357))),0))</f>
        <v>0</v>
      </c>
      <c r="L357" s="4">
        <f>IF($B$332=0,0,IF(L$2&gt;=$A357,IF(L$2=$A357,($B357/$B$332)*$B$329,IF(L$2&lt;=$A357+$B$332-1,$B357/$B$332,$B357-SUM($C357:K357))),0))</f>
        <v>0</v>
      </c>
      <c r="M357" s="4">
        <f>IF($B$332=0,0,IF(M$2&gt;=$A357,IF(M$2=$A357,($B357/$B$332)*$B$329,IF(M$2&lt;=$A357+$B$332-1,$B357/$B$332,$B357-SUM($C357:L357))),0))</f>
        <v>0</v>
      </c>
      <c r="N357" s="4">
        <f>IF($B$332=0,0,IF(N$2&gt;=$A357,IF(N$2=$A357,($B357/$B$332)*$B$329,IF(N$2&lt;=$A357+$B$332-1,$B357/$B$332,$B357-SUM($C357:M357))),0))</f>
        <v>0</v>
      </c>
      <c r="O357" s="4">
        <f>IF($B$332=0,0,IF(O$2&gt;=$A357,IF(O$2=$A357,($B357/$B$332)*$B$329,IF(O$2&lt;=$A357+$B$332-1,$B357/$B$332,$B357-SUM($C357:N357))),0))</f>
        <v>0</v>
      </c>
      <c r="P357" s="4">
        <f>IF($B$332=0,0,IF(P$2&gt;=$A357,IF(P$2=$A357,($B357/$B$332)*$B$329,IF(P$2&lt;=$A357+$B$332-1,$B357/$B$332,$B357-SUM($C357:O357))),0))</f>
        <v>0</v>
      </c>
      <c r="Q357" s="4">
        <f>IF($B$332=0,0,IF(Q$2&gt;=$A357,IF(Q$2=$A357,($B357/$B$332)*$B$329,IF(Q$2&lt;=$A357+$B$332-1,$B357/$B$332,$B357-SUM($C357:P357))),0))</f>
        <v>0</v>
      </c>
      <c r="R357" s="4">
        <f>IF($B$332=0,0,IF(R$2&gt;=$A357,IF(R$2=$A357,($B357/$B$332)*$B$329,IF(R$2&lt;=$A357+$B$332-1,$B357/$B$332,$B357-SUM($C357:Q357))),0))</f>
        <v>0</v>
      </c>
      <c r="S357" s="4">
        <f>IF($B$332=0,0,IF(S$2&gt;=$A357,IF(S$2=$A357,($B357/$B$332)*$B$329,IF(S$2&lt;=$A357+$B$332-1,$B357/$B$332,$B357-SUM($C357:R357))),0))</f>
        <v>0</v>
      </c>
      <c r="T357" s="4">
        <f>IF($B$332=0,0,IF(T$2&gt;=$A357,IF(T$2=$A357,($B357/$B$332)*$B$329,IF(T$2&lt;=$A357+$B$332-1,$B357/$B$332,$B357-SUM($C357:S357))),0))</f>
        <v>0</v>
      </c>
      <c r="U357" s="4">
        <f>IF($B$332=0,0,IF(U$2&gt;=$A357,IF(U$2=$A357,($B357/$B$332)*$B$329,IF(U$2&lt;=$A357+$B$332-1,$B357/$B$332,$B357-SUM($C357:T357))),0))</f>
        <v>0</v>
      </c>
      <c r="V357" s="4">
        <f>IF($B$332=0,0,IF(V$2&gt;=$A357,IF(V$2=$A357,($B357/$B$332)*$B$329,IF(V$2&lt;=$A357+$B$332-1,$B357/$B$332,$B357-SUM($C357:U357))),0))</f>
        <v>0</v>
      </c>
      <c r="W357" s="4">
        <f>IF($B$332=0,0,IF(W$2&gt;=$A357,IF(W$2=$A357,($B357/$B$332)*$B$329,IF(W$2&lt;=$A357+$B$332-1,$B357/$B$332,$B357-SUM($C357:V357))),0))</f>
        <v>0</v>
      </c>
      <c r="X357" s="4">
        <f>IF($B$332=0,0,IF(X$2&gt;=$A357,IF(X$2=$A357,($B357/$B$332)*$B$329,IF(X$2&lt;=$A357+$B$332-1,$B357/$B$332,$B357-SUM($C357:W357))),0))</f>
        <v>0</v>
      </c>
      <c r="Y357" s="4">
        <f>IF($B$332=0,0,IF(Y$2&gt;=$A357,IF(Y$2=$A357,($B357/$B$332)*$B$329,IF(Y$2&lt;=$A357+$B$332-1,$B357/$B$332,$B357-SUM($C357:X357))),0))</f>
        <v>0</v>
      </c>
      <c r="Z357" s="4">
        <f>IF($B$332=0,0,IF(Z$2&gt;=$A357,IF(Z$2=$A357,($B357/$B$332)*$B$329,IF(Z$2&lt;=$A357+$B$332-1,$B357/$B$332,$B357-SUM($C357:Y357))),0))</f>
        <v>0</v>
      </c>
      <c r="AA357" s="4">
        <f>IF($B$332=0,0,IF(AA$2&gt;=$A357,IF(AA$2=$A357,($B357/$B$332)*$B$329,IF(AA$2&lt;=$A357+$B$332-1,$B357/$B$332,$B357-SUM($C357:Z357))),0))</f>
        <v>0</v>
      </c>
      <c r="AB357" s="4">
        <f>IF($B$332=0,0,IF(AB$2&gt;=$A357,IF(AB$2=$A357,($B357/$B$332)*$B$329,IF(AB$2&lt;=$A357+$B$332-1,$B357/$B$332,$B357-SUM($C357:AA357))),0))</f>
        <v>0</v>
      </c>
      <c r="AC357" s="4">
        <f>IF($B$332=0,0,IF(AC$2&gt;=$A357,IF(AC$2=$A357,($B357/$B$332)*$B$329,IF(AC$2&lt;=$A357+$B$332-1,$B357/$B$332,$B357-SUM($C357:AB357))),0))</f>
        <v>0</v>
      </c>
      <c r="AD357" s="4">
        <f>IF($B$332=0,0,IF(AD$2&gt;=$A357,IF(AD$2=$A357,($B357/$B$332)*$B$329,IF(AD$2&lt;=$A357+$B$332-1,$B357/$B$332,$B357-SUM($C357:AC357))),0))</f>
        <v>0</v>
      </c>
      <c r="AE357" s="4">
        <f>IF($B$332=0,0,IF(AE$2&gt;=$A357,IF(AE$2=$A357,($B357/$B$332)*$B$329,IF(AE$2&lt;=$A357+$B$332-1,$B357/$B$332,$B357-SUM($C357:AD357))),0))</f>
        <v>0</v>
      </c>
      <c r="AF357" s="4">
        <f>IF($B$332=0,0,IF(AF$2&gt;=$A357,IF(AF$2=$A357,($B357/$B$332)*$B$329,IF(AF$2&lt;=$A357+$B$332-1,$B357/$B$332,$B357-SUM($C357:AE357))),0))</f>
        <v>0</v>
      </c>
      <c r="AG357" s="4">
        <f t="shared" si="274"/>
        <v>0</v>
      </c>
    </row>
    <row r="358" spans="1:33">
      <c r="A358" s="6">
        <f t="shared" si="275"/>
        <v>2047</v>
      </c>
      <c r="B358" s="4">
        <f t="shared" si="273"/>
        <v>0</v>
      </c>
      <c r="C358" s="4">
        <f>IF($B$332=0,0,IF(C$2&gt;=$A358,IF(C$2=$A358,($B358/$B$332)*$B$329,IF(C$2&lt;=$A358+$B$332-1,$B358/$B$332,$B358-SUM(B358:$C358))),0))</f>
        <v>0</v>
      </c>
      <c r="D358" s="4">
        <f>IF($B$332=0,0,IF(D$2&gt;=$A358,IF(D$2=$A358,($B358/$B$332)*$B$329,IF(D$2&lt;=$A358+$B$332-1,$B358/$B$332,$B358-SUM(C358:$C358))),0))</f>
        <v>0</v>
      </c>
      <c r="E358" s="4">
        <f>IF($B$332=0,0,IF(E$2&gt;=$A358,IF(E$2=$A358,($B358/$B$332)*$B$329,IF(E$2&lt;=$A358+$B$332-1,$B358/$B$332,$B358-SUM($C358:D358))),0))</f>
        <v>0</v>
      </c>
      <c r="F358" s="4">
        <f>IF($B$332=0,0,IF(F$2&gt;=$A358,IF(F$2=$A358,($B358/$B$332)*$B$329,IF(F$2&lt;=$A358+$B$332-1,$B358/$B$332,$B358-SUM($C358:E358))),0))</f>
        <v>0</v>
      </c>
      <c r="G358" s="4">
        <f>IF($B$332=0,0,IF(G$2&gt;=$A358,IF(G$2=$A358,($B358/$B$332)*$B$329,IF(G$2&lt;=$A358+$B$332-1,$B358/$B$332,$B358-SUM($C358:F358))),0))</f>
        <v>0</v>
      </c>
      <c r="H358" s="4">
        <f>IF($B$332=0,0,IF(H$2&gt;=$A358,IF(H$2=$A358,($B358/$B$332)*$B$329,IF(H$2&lt;=$A358+$B$332-1,$B358/$B$332,$B358-SUM($C358:G358))),0))</f>
        <v>0</v>
      </c>
      <c r="I358" s="4">
        <f>IF($B$332=0,0,IF(I$2&gt;=$A358,IF(I$2=$A358,($B358/$B$332)*$B$329,IF(I$2&lt;=$A358+$B$332-1,$B358/$B$332,$B358-SUM($C358:H358))),0))</f>
        <v>0</v>
      </c>
      <c r="J358" s="4">
        <f>IF($B$332=0,0,IF(J$2&gt;=$A358,IF(J$2=$A358,($B358/$B$332)*$B$329,IF(J$2&lt;=$A358+$B$332-1,$B358/$B$332,$B358-SUM($C358:I358))),0))</f>
        <v>0</v>
      </c>
      <c r="K358" s="4">
        <f>IF($B$332=0,0,IF(K$2&gt;=$A358,IF(K$2=$A358,($B358/$B$332)*$B$329,IF(K$2&lt;=$A358+$B$332-1,$B358/$B$332,$B358-SUM($C358:J358))),0))</f>
        <v>0</v>
      </c>
      <c r="L358" s="4">
        <f>IF($B$332=0,0,IF(L$2&gt;=$A358,IF(L$2=$A358,($B358/$B$332)*$B$329,IF(L$2&lt;=$A358+$B$332-1,$B358/$B$332,$B358-SUM($C358:K358))),0))</f>
        <v>0</v>
      </c>
      <c r="M358" s="4">
        <f>IF($B$332=0,0,IF(M$2&gt;=$A358,IF(M$2=$A358,($B358/$B$332)*$B$329,IF(M$2&lt;=$A358+$B$332-1,$B358/$B$332,$B358-SUM($C358:L358))),0))</f>
        <v>0</v>
      </c>
      <c r="N358" s="4">
        <f>IF($B$332=0,0,IF(N$2&gt;=$A358,IF(N$2=$A358,($B358/$B$332)*$B$329,IF(N$2&lt;=$A358+$B$332-1,$B358/$B$332,$B358-SUM($C358:M358))),0))</f>
        <v>0</v>
      </c>
      <c r="O358" s="4">
        <f>IF($B$332=0,0,IF(O$2&gt;=$A358,IF(O$2=$A358,($B358/$B$332)*$B$329,IF(O$2&lt;=$A358+$B$332-1,$B358/$B$332,$B358-SUM($C358:N358))),0))</f>
        <v>0</v>
      </c>
      <c r="P358" s="4">
        <f>IF($B$332=0,0,IF(P$2&gt;=$A358,IF(P$2=$A358,($B358/$B$332)*$B$329,IF(P$2&lt;=$A358+$B$332-1,$B358/$B$332,$B358-SUM($C358:O358))),0))</f>
        <v>0</v>
      </c>
      <c r="Q358" s="4">
        <f>IF($B$332=0,0,IF(Q$2&gt;=$A358,IF(Q$2=$A358,($B358/$B$332)*$B$329,IF(Q$2&lt;=$A358+$B$332-1,$B358/$B$332,$B358-SUM($C358:P358))),0))</f>
        <v>0</v>
      </c>
      <c r="R358" s="4">
        <f>IF($B$332=0,0,IF(R$2&gt;=$A358,IF(R$2=$A358,($B358/$B$332)*$B$329,IF(R$2&lt;=$A358+$B$332-1,$B358/$B$332,$B358-SUM($C358:Q358))),0))</f>
        <v>0</v>
      </c>
      <c r="S358" s="4">
        <f>IF($B$332=0,0,IF(S$2&gt;=$A358,IF(S$2=$A358,($B358/$B$332)*$B$329,IF(S$2&lt;=$A358+$B$332-1,$B358/$B$332,$B358-SUM($C358:R358))),0))</f>
        <v>0</v>
      </c>
      <c r="T358" s="4">
        <f>IF($B$332=0,0,IF(T$2&gt;=$A358,IF(T$2=$A358,($B358/$B$332)*$B$329,IF(T$2&lt;=$A358+$B$332-1,$B358/$B$332,$B358-SUM($C358:S358))),0))</f>
        <v>0</v>
      </c>
      <c r="U358" s="4">
        <f>IF($B$332=0,0,IF(U$2&gt;=$A358,IF(U$2=$A358,($B358/$B$332)*$B$329,IF(U$2&lt;=$A358+$B$332-1,$B358/$B$332,$B358-SUM($C358:T358))),0))</f>
        <v>0</v>
      </c>
      <c r="V358" s="4">
        <f>IF($B$332=0,0,IF(V$2&gt;=$A358,IF(V$2=$A358,($B358/$B$332)*$B$329,IF(V$2&lt;=$A358+$B$332-1,$B358/$B$332,$B358-SUM($C358:U358))),0))</f>
        <v>0</v>
      </c>
      <c r="W358" s="4">
        <f>IF($B$332=0,0,IF(W$2&gt;=$A358,IF(W$2=$A358,($B358/$B$332)*$B$329,IF(W$2&lt;=$A358+$B$332-1,$B358/$B$332,$B358-SUM($C358:V358))),0))</f>
        <v>0</v>
      </c>
      <c r="X358" s="4">
        <f>IF($B$332=0,0,IF(X$2&gt;=$A358,IF(X$2=$A358,($B358/$B$332)*$B$329,IF(X$2&lt;=$A358+$B$332-1,$B358/$B$332,$B358-SUM($C358:W358))),0))</f>
        <v>0</v>
      </c>
      <c r="Y358" s="4">
        <f>IF($B$332=0,0,IF(Y$2&gt;=$A358,IF(Y$2=$A358,($B358/$B$332)*$B$329,IF(Y$2&lt;=$A358+$B$332-1,$B358/$B$332,$B358-SUM($C358:X358))),0))</f>
        <v>0</v>
      </c>
      <c r="Z358" s="4">
        <f>IF($B$332=0,0,IF(Z$2&gt;=$A358,IF(Z$2=$A358,($B358/$B$332)*$B$329,IF(Z$2&lt;=$A358+$B$332-1,$B358/$B$332,$B358-SUM($C358:Y358))),0))</f>
        <v>0</v>
      </c>
      <c r="AA358" s="4">
        <f>IF($B$332=0,0,IF(AA$2&gt;=$A358,IF(AA$2=$A358,($B358/$B$332)*$B$329,IF(AA$2&lt;=$A358+$B$332-1,$B358/$B$332,$B358-SUM($C358:Z358))),0))</f>
        <v>0</v>
      </c>
      <c r="AB358" s="4">
        <f>IF($B$332=0,0,IF(AB$2&gt;=$A358,IF(AB$2=$A358,($B358/$B$332)*$B$329,IF(AB$2&lt;=$A358+$B$332-1,$B358/$B$332,$B358-SUM($C358:AA358))),0))</f>
        <v>0</v>
      </c>
      <c r="AC358" s="4">
        <f>IF($B$332=0,0,IF(AC$2&gt;=$A358,IF(AC$2=$A358,($B358/$B$332)*$B$329,IF(AC$2&lt;=$A358+$B$332-1,$B358/$B$332,$B358-SUM($C358:AB358))),0))</f>
        <v>0</v>
      </c>
      <c r="AD358" s="4">
        <f>IF($B$332=0,0,IF(AD$2&gt;=$A358,IF(AD$2=$A358,($B358/$B$332)*$B$329,IF(AD$2&lt;=$A358+$B$332-1,$B358/$B$332,$B358-SUM($C358:AC358))),0))</f>
        <v>0</v>
      </c>
      <c r="AE358" s="4">
        <f>IF($B$332=0,0,IF(AE$2&gt;=$A358,IF(AE$2=$A358,($B358/$B$332)*$B$329,IF(AE$2&lt;=$A358+$B$332-1,$B358/$B$332,$B358-SUM($C358:AD358))),0))</f>
        <v>0</v>
      </c>
      <c r="AF358" s="4">
        <f>IF($B$332=0,0,IF(AF$2&gt;=$A358,IF(AF$2=$A358,($B358/$B$332)*$B$329,IF(AF$2&lt;=$A358+$B$332-1,$B358/$B$332,$B358-SUM($C358:AE358))),0))</f>
        <v>0</v>
      </c>
      <c r="AG358" s="4">
        <f t="shared" ref="AG358:AG362" si="276">SUM(C358:AF358)</f>
        <v>0</v>
      </c>
    </row>
    <row r="359" spans="1:33">
      <c r="A359" s="6">
        <f t="shared" si="275"/>
        <v>2048</v>
      </c>
      <c r="B359" s="4">
        <f t="shared" si="273"/>
        <v>0</v>
      </c>
      <c r="C359" s="4">
        <f>IF($B$332=0,0,IF(C$2&gt;=$A359,IF(C$2=$A359,($B359/$B$332)*$B$329,IF(C$2&lt;=$A359+$B$332-1,$B359/$B$332,$B359-SUM(B359:$C359))),0))</f>
        <v>0</v>
      </c>
      <c r="D359" s="4">
        <f>IF($B$332=0,0,IF(D$2&gt;=$A359,IF(D$2=$A359,($B359/$B$332)*$B$329,IF(D$2&lt;=$A359+$B$332-1,$B359/$B$332,$B359-SUM(C359:$C359))),0))</f>
        <v>0</v>
      </c>
      <c r="E359" s="4">
        <f>IF($B$332=0,0,IF(E$2&gt;=$A359,IF(E$2=$A359,($B359/$B$332)*$B$329,IF(E$2&lt;=$A359+$B$332-1,$B359/$B$332,$B359-SUM($C359:D359))),0))</f>
        <v>0</v>
      </c>
      <c r="F359" s="4">
        <f>IF($B$332=0,0,IF(F$2&gt;=$A359,IF(F$2=$A359,($B359/$B$332)*$B$329,IF(F$2&lt;=$A359+$B$332-1,$B359/$B$332,$B359-SUM($C359:E359))),0))</f>
        <v>0</v>
      </c>
      <c r="G359" s="4">
        <f>IF($B$332=0,0,IF(G$2&gt;=$A359,IF(G$2=$A359,($B359/$B$332)*$B$329,IF(G$2&lt;=$A359+$B$332-1,$B359/$B$332,$B359-SUM($C359:F359))),0))</f>
        <v>0</v>
      </c>
      <c r="H359" s="4">
        <f>IF($B$332=0,0,IF(H$2&gt;=$A359,IF(H$2=$A359,($B359/$B$332)*$B$329,IF(H$2&lt;=$A359+$B$332-1,$B359/$B$332,$B359-SUM($C359:G359))),0))</f>
        <v>0</v>
      </c>
      <c r="I359" s="4">
        <f>IF($B$332=0,0,IF(I$2&gt;=$A359,IF(I$2=$A359,($B359/$B$332)*$B$329,IF(I$2&lt;=$A359+$B$332-1,$B359/$B$332,$B359-SUM($C359:H359))),0))</f>
        <v>0</v>
      </c>
      <c r="J359" s="4">
        <f>IF($B$332=0,0,IF(J$2&gt;=$A359,IF(J$2=$A359,($B359/$B$332)*$B$329,IF(J$2&lt;=$A359+$B$332-1,$B359/$B$332,$B359-SUM($C359:I359))),0))</f>
        <v>0</v>
      </c>
      <c r="K359" s="4">
        <f>IF($B$332=0,0,IF(K$2&gt;=$A359,IF(K$2=$A359,($B359/$B$332)*$B$329,IF(K$2&lt;=$A359+$B$332-1,$B359/$B$332,$B359-SUM($C359:J359))),0))</f>
        <v>0</v>
      </c>
      <c r="L359" s="4">
        <f>IF($B$332=0,0,IF(L$2&gt;=$A359,IF(L$2=$A359,($B359/$B$332)*$B$329,IF(L$2&lt;=$A359+$B$332-1,$B359/$B$332,$B359-SUM($C359:K359))),0))</f>
        <v>0</v>
      </c>
      <c r="M359" s="4">
        <f>IF($B$332=0,0,IF(M$2&gt;=$A359,IF(M$2=$A359,($B359/$B$332)*$B$329,IF(M$2&lt;=$A359+$B$332-1,$B359/$B$332,$B359-SUM($C359:L359))),0))</f>
        <v>0</v>
      </c>
      <c r="N359" s="4">
        <f>IF($B$332=0,0,IF(N$2&gt;=$A359,IF(N$2=$A359,($B359/$B$332)*$B$329,IF(N$2&lt;=$A359+$B$332-1,$B359/$B$332,$B359-SUM($C359:M359))),0))</f>
        <v>0</v>
      </c>
      <c r="O359" s="4">
        <f>IF($B$332=0,0,IF(O$2&gt;=$A359,IF(O$2=$A359,($B359/$B$332)*$B$329,IF(O$2&lt;=$A359+$B$332-1,$B359/$B$332,$B359-SUM($C359:N359))),0))</f>
        <v>0</v>
      </c>
      <c r="P359" s="4">
        <f>IF($B$332=0,0,IF(P$2&gt;=$A359,IF(P$2=$A359,($B359/$B$332)*$B$329,IF(P$2&lt;=$A359+$B$332-1,$B359/$B$332,$B359-SUM($C359:O359))),0))</f>
        <v>0</v>
      </c>
      <c r="Q359" s="4">
        <f>IF($B$332=0,0,IF(Q$2&gt;=$A359,IF(Q$2=$A359,($B359/$B$332)*$B$329,IF(Q$2&lt;=$A359+$B$332-1,$B359/$B$332,$B359-SUM($C359:P359))),0))</f>
        <v>0</v>
      </c>
      <c r="R359" s="4">
        <f>IF($B$332=0,0,IF(R$2&gt;=$A359,IF(R$2=$A359,($B359/$B$332)*$B$329,IF(R$2&lt;=$A359+$B$332-1,$B359/$B$332,$B359-SUM($C359:Q359))),0))</f>
        <v>0</v>
      </c>
      <c r="S359" s="4">
        <f>IF($B$332=0,0,IF(S$2&gt;=$A359,IF(S$2=$A359,($B359/$B$332)*$B$329,IF(S$2&lt;=$A359+$B$332-1,$B359/$B$332,$B359-SUM($C359:R359))),0))</f>
        <v>0</v>
      </c>
      <c r="T359" s="4">
        <f>IF($B$332=0,0,IF(T$2&gt;=$A359,IF(T$2=$A359,($B359/$B$332)*$B$329,IF(T$2&lt;=$A359+$B$332-1,$B359/$B$332,$B359-SUM($C359:S359))),0))</f>
        <v>0</v>
      </c>
      <c r="U359" s="4">
        <f>IF($B$332=0,0,IF(U$2&gt;=$A359,IF(U$2=$A359,($B359/$B$332)*$B$329,IF(U$2&lt;=$A359+$B$332-1,$B359/$B$332,$B359-SUM($C359:T359))),0))</f>
        <v>0</v>
      </c>
      <c r="V359" s="4">
        <f>IF($B$332=0,0,IF(V$2&gt;=$A359,IF(V$2=$A359,($B359/$B$332)*$B$329,IF(V$2&lt;=$A359+$B$332-1,$B359/$B$332,$B359-SUM($C359:U359))),0))</f>
        <v>0</v>
      </c>
      <c r="W359" s="4">
        <f>IF($B$332=0,0,IF(W$2&gt;=$A359,IF(W$2=$A359,($B359/$B$332)*$B$329,IF(W$2&lt;=$A359+$B$332-1,$B359/$B$332,$B359-SUM($C359:V359))),0))</f>
        <v>0</v>
      </c>
      <c r="X359" s="4">
        <f>IF($B$332=0,0,IF(X$2&gt;=$A359,IF(X$2=$A359,($B359/$B$332)*$B$329,IF(X$2&lt;=$A359+$B$332-1,$B359/$B$332,$B359-SUM($C359:W359))),0))</f>
        <v>0</v>
      </c>
      <c r="Y359" s="4">
        <f>IF($B$332=0,0,IF(Y$2&gt;=$A359,IF(Y$2=$A359,($B359/$B$332)*$B$329,IF(Y$2&lt;=$A359+$B$332-1,$B359/$B$332,$B359-SUM($C359:X359))),0))</f>
        <v>0</v>
      </c>
      <c r="Z359" s="4">
        <f>IF($B$332=0,0,IF(Z$2&gt;=$A359,IF(Z$2=$A359,($B359/$B$332)*$B$329,IF(Z$2&lt;=$A359+$B$332-1,$B359/$B$332,$B359-SUM($C359:Y359))),0))</f>
        <v>0</v>
      </c>
      <c r="AA359" s="4">
        <f>IF($B$332=0,0,IF(AA$2&gt;=$A359,IF(AA$2=$A359,($B359/$B$332)*$B$329,IF(AA$2&lt;=$A359+$B$332-1,$B359/$B$332,$B359-SUM($C359:Z359))),0))</f>
        <v>0</v>
      </c>
      <c r="AB359" s="4">
        <f>IF($B$332=0,0,IF(AB$2&gt;=$A359,IF(AB$2=$A359,($B359/$B$332)*$B$329,IF(AB$2&lt;=$A359+$B$332-1,$B359/$B$332,$B359-SUM($C359:AA359))),0))</f>
        <v>0</v>
      </c>
      <c r="AC359" s="4">
        <f>IF($B$332=0,0,IF(AC$2&gt;=$A359,IF(AC$2=$A359,($B359/$B$332)*$B$329,IF(AC$2&lt;=$A359+$B$332-1,$B359/$B$332,$B359-SUM($C359:AB359))),0))</f>
        <v>0</v>
      </c>
      <c r="AD359" s="4">
        <f>IF($B$332=0,0,IF(AD$2&gt;=$A359,IF(AD$2=$A359,($B359/$B$332)*$B$329,IF(AD$2&lt;=$A359+$B$332-1,$B359/$B$332,$B359-SUM($C359:AC359))),0))</f>
        <v>0</v>
      </c>
      <c r="AE359" s="4">
        <f>IF($B$332=0,0,IF(AE$2&gt;=$A359,IF(AE$2=$A359,($B359/$B$332)*$B$329,IF(AE$2&lt;=$A359+$B$332-1,$B359/$B$332,$B359-SUM($C359:AD359))),0))</f>
        <v>0</v>
      </c>
      <c r="AF359" s="4">
        <f>IF($B$332=0,0,IF(AF$2&gt;=$A359,IF(AF$2=$A359,($B359/$B$332)*$B$329,IF(AF$2&lt;=$A359+$B$332-1,$B359/$B$332,$B359-SUM($C359:AE359))),0))</f>
        <v>0</v>
      </c>
      <c r="AG359" s="4">
        <f t="shared" si="276"/>
        <v>0</v>
      </c>
    </row>
    <row r="360" spans="1:33">
      <c r="A360" s="6">
        <f t="shared" si="275"/>
        <v>2049</v>
      </c>
      <c r="B360" s="4">
        <f t="shared" si="273"/>
        <v>0</v>
      </c>
      <c r="C360" s="4">
        <f>IF($B$332=0,0,IF(C$2&gt;=$A360,IF(C$2=$A360,($B360/$B$332)*$B$329,IF(C$2&lt;=$A360+$B$332-1,$B360/$B$332,$B360-SUM(B360:$C360))),0))</f>
        <v>0</v>
      </c>
      <c r="D360" s="4">
        <f>IF($B$332=0,0,IF(D$2&gt;=$A360,IF(D$2=$A360,($B360/$B$332)*$B$329,IF(D$2&lt;=$A360+$B$332-1,$B360/$B$332,$B360-SUM(C360:$C360))),0))</f>
        <v>0</v>
      </c>
      <c r="E360" s="4">
        <f>IF($B$332=0,0,IF(E$2&gt;=$A360,IF(E$2=$A360,($B360/$B$332)*$B$329,IF(E$2&lt;=$A360+$B$332-1,$B360/$B$332,$B360-SUM($C360:D360))),0))</f>
        <v>0</v>
      </c>
      <c r="F360" s="4">
        <f>IF($B$332=0,0,IF(F$2&gt;=$A360,IF(F$2=$A360,($B360/$B$332)*$B$329,IF(F$2&lt;=$A360+$B$332-1,$B360/$B$332,$B360-SUM($C360:E360))),0))</f>
        <v>0</v>
      </c>
      <c r="G360" s="4">
        <f>IF($B$332=0,0,IF(G$2&gt;=$A360,IF(G$2=$A360,($B360/$B$332)*$B$329,IF(G$2&lt;=$A360+$B$332-1,$B360/$B$332,$B360-SUM($C360:F360))),0))</f>
        <v>0</v>
      </c>
      <c r="H360" s="4">
        <f>IF($B$332=0,0,IF(H$2&gt;=$A360,IF(H$2=$A360,($B360/$B$332)*$B$329,IF(H$2&lt;=$A360+$B$332-1,$B360/$B$332,$B360-SUM($C360:G360))),0))</f>
        <v>0</v>
      </c>
      <c r="I360" s="4">
        <f>IF($B$332=0,0,IF(I$2&gt;=$A360,IF(I$2=$A360,($B360/$B$332)*$B$329,IF(I$2&lt;=$A360+$B$332-1,$B360/$B$332,$B360-SUM($C360:H360))),0))</f>
        <v>0</v>
      </c>
      <c r="J360" s="4">
        <f>IF($B$332=0,0,IF(J$2&gt;=$A360,IF(J$2=$A360,($B360/$B$332)*$B$329,IF(J$2&lt;=$A360+$B$332-1,$B360/$B$332,$B360-SUM($C360:I360))),0))</f>
        <v>0</v>
      </c>
      <c r="K360" s="4">
        <f>IF($B$332=0,0,IF(K$2&gt;=$A360,IF(K$2=$A360,($B360/$B$332)*$B$329,IF(K$2&lt;=$A360+$B$332-1,$B360/$B$332,$B360-SUM($C360:J360))),0))</f>
        <v>0</v>
      </c>
      <c r="L360" s="4">
        <f>IF($B$332=0,0,IF(L$2&gt;=$A360,IF(L$2=$A360,($B360/$B$332)*$B$329,IF(L$2&lt;=$A360+$B$332-1,$B360/$B$332,$B360-SUM($C360:K360))),0))</f>
        <v>0</v>
      </c>
      <c r="M360" s="4">
        <f>IF($B$332=0,0,IF(M$2&gt;=$A360,IF(M$2=$A360,($B360/$B$332)*$B$329,IF(M$2&lt;=$A360+$B$332-1,$B360/$B$332,$B360-SUM($C360:L360))),0))</f>
        <v>0</v>
      </c>
      <c r="N360" s="4">
        <f>IF($B$332=0,0,IF(N$2&gt;=$A360,IF(N$2=$A360,($B360/$B$332)*$B$329,IF(N$2&lt;=$A360+$B$332-1,$B360/$B$332,$B360-SUM($C360:M360))),0))</f>
        <v>0</v>
      </c>
      <c r="O360" s="4">
        <f>IF($B$332=0,0,IF(O$2&gt;=$A360,IF(O$2=$A360,($B360/$B$332)*$B$329,IF(O$2&lt;=$A360+$B$332-1,$B360/$B$332,$B360-SUM($C360:N360))),0))</f>
        <v>0</v>
      </c>
      <c r="P360" s="4">
        <f>IF($B$332=0,0,IF(P$2&gt;=$A360,IF(P$2=$A360,($B360/$B$332)*$B$329,IF(P$2&lt;=$A360+$B$332-1,$B360/$B$332,$B360-SUM($C360:O360))),0))</f>
        <v>0</v>
      </c>
      <c r="Q360" s="4">
        <f>IF($B$332=0,0,IF(Q$2&gt;=$A360,IF(Q$2=$A360,($B360/$B$332)*$B$329,IF(Q$2&lt;=$A360+$B$332-1,$B360/$B$332,$B360-SUM($C360:P360))),0))</f>
        <v>0</v>
      </c>
      <c r="R360" s="4">
        <f>IF($B$332=0,0,IF(R$2&gt;=$A360,IF(R$2=$A360,($B360/$B$332)*$B$329,IF(R$2&lt;=$A360+$B$332-1,$B360/$B$332,$B360-SUM($C360:Q360))),0))</f>
        <v>0</v>
      </c>
      <c r="S360" s="4">
        <f>IF($B$332=0,0,IF(S$2&gt;=$A360,IF(S$2=$A360,($B360/$B$332)*$B$329,IF(S$2&lt;=$A360+$B$332-1,$B360/$B$332,$B360-SUM($C360:R360))),0))</f>
        <v>0</v>
      </c>
      <c r="T360" s="4">
        <f>IF($B$332=0,0,IF(T$2&gt;=$A360,IF(T$2=$A360,($B360/$B$332)*$B$329,IF(T$2&lt;=$A360+$B$332-1,$B360/$B$332,$B360-SUM($C360:S360))),0))</f>
        <v>0</v>
      </c>
      <c r="U360" s="4">
        <f>IF($B$332=0,0,IF(U$2&gt;=$A360,IF(U$2=$A360,($B360/$B$332)*$B$329,IF(U$2&lt;=$A360+$B$332-1,$B360/$B$332,$B360-SUM($C360:T360))),0))</f>
        <v>0</v>
      </c>
      <c r="V360" s="4">
        <f>IF($B$332=0,0,IF(V$2&gt;=$A360,IF(V$2=$A360,($B360/$B$332)*$B$329,IF(V$2&lt;=$A360+$B$332-1,$B360/$B$332,$B360-SUM($C360:U360))),0))</f>
        <v>0</v>
      </c>
      <c r="W360" s="4">
        <f>IF($B$332=0,0,IF(W$2&gt;=$A360,IF(W$2=$A360,($B360/$B$332)*$B$329,IF(W$2&lt;=$A360+$B$332-1,$B360/$B$332,$B360-SUM($C360:V360))),0))</f>
        <v>0</v>
      </c>
      <c r="X360" s="4">
        <f>IF($B$332=0,0,IF(X$2&gt;=$A360,IF(X$2=$A360,($B360/$B$332)*$B$329,IF(X$2&lt;=$A360+$B$332-1,$B360/$B$332,$B360-SUM($C360:W360))),0))</f>
        <v>0</v>
      </c>
      <c r="Y360" s="4">
        <f>IF($B$332=0,0,IF(Y$2&gt;=$A360,IF(Y$2=$A360,($B360/$B$332)*$B$329,IF(Y$2&lt;=$A360+$B$332-1,$B360/$B$332,$B360-SUM($C360:X360))),0))</f>
        <v>0</v>
      </c>
      <c r="Z360" s="4">
        <f>IF($B$332=0,0,IF(Z$2&gt;=$A360,IF(Z$2=$A360,($B360/$B$332)*$B$329,IF(Z$2&lt;=$A360+$B$332-1,$B360/$B$332,$B360-SUM($C360:Y360))),0))</f>
        <v>0</v>
      </c>
      <c r="AA360" s="4">
        <f>IF($B$332=0,0,IF(AA$2&gt;=$A360,IF(AA$2=$A360,($B360/$B$332)*$B$329,IF(AA$2&lt;=$A360+$B$332-1,$B360/$B$332,$B360-SUM($C360:Z360))),0))</f>
        <v>0</v>
      </c>
      <c r="AB360" s="4">
        <f>IF($B$332=0,0,IF(AB$2&gt;=$A360,IF(AB$2=$A360,($B360/$B$332)*$B$329,IF(AB$2&lt;=$A360+$B$332-1,$B360/$B$332,$B360-SUM($C360:AA360))),0))</f>
        <v>0</v>
      </c>
      <c r="AC360" s="4">
        <f>IF($B$332=0,0,IF(AC$2&gt;=$A360,IF(AC$2=$A360,($B360/$B$332)*$B$329,IF(AC$2&lt;=$A360+$B$332-1,$B360/$B$332,$B360-SUM($C360:AB360))),0))</f>
        <v>0</v>
      </c>
      <c r="AD360" s="4">
        <f>IF($B$332=0,0,IF(AD$2&gt;=$A360,IF(AD$2=$A360,($B360/$B$332)*$B$329,IF(AD$2&lt;=$A360+$B$332-1,$B360/$B$332,$B360-SUM($C360:AC360))),0))</f>
        <v>0</v>
      </c>
      <c r="AE360" s="4">
        <f>IF($B$332=0,0,IF(AE$2&gt;=$A360,IF(AE$2=$A360,($B360/$B$332)*$B$329,IF(AE$2&lt;=$A360+$B$332-1,$B360/$B$332,$B360-SUM($C360:AD360))),0))</f>
        <v>0</v>
      </c>
      <c r="AF360" s="4">
        <f>IF($B$332=0,0,IF(AF$2&gt;=$A360,IF(AF$2=$A360,($B360/$B$332)*$B$329,IF(AF$2&lt;=$A360+$B$332-1,$B360/$B$332,$B360-SUM($C360:AE360))),0))</f>
        <v>0</v>
      </c>
      <c r="AG360" s="4">
        <f t="shared" si="276"/>
        <v>0</v>
      </c>
    </row>
    <row r="361" spans="1:33">
      <c r="A361" s="6">
        <f t="shared" si="275"/>
        <v>2050</v>
      </c>
      <c r="B361" s="4">
        <f t="shared" si="273"/>
        <v>0</v>
      </c>
      <c r="C361" s="4">
        <f>IF($B$332=0,0,IF(C$2&gt;=$A361,IF(C$2=$A361,($B361/$B$332)*$B$329,IF(C$2&lt;=$A361+$B$332-1,$B361/$B$332,$B361-SUM(B361:$C361))),0))</f>
        <v>0</v>
      </c>
      <c r="D361" s="4">
        <f>IF($B$332=0,0,IF(D$2&gt;=$A361,IF(D$2=$A361,($B361/$B$332)*$B$329,IF(D$2&lt;=$A361+$B$332-1,$B361/$B$332,$B361-SUM(C361:$C361))),0))</f>
        <v>0</v>
      </c>
      <c r="E361" s="4">
        <f>IF($B$332=0,0,IF(E$2&gt;=$A361,IF(E$2=$A361,($B361/$B$332)*$B$329,IF(E$2&lt;=$A361+$B$332-1,$B361/$B$332,$B361-SUM($C361:D361))),0))</f>
        <v>0</v>
      </c>
      <c r="F361" s="4">
        <f>IF($B$332=0,0,IF(F$2&gt;=$A361,IF(F$2=$A361,($B361/$B$332)*$B$329,IF(F$2&lt;=$A361+$B$332-1,$B361/$B$332,$B361-SUM($C361:E361))),0))</f>
        <v>0</v>
      </c>
      <c r="G361" s="4">
        <f>IF($B$332=0,0,IF(G$2&gt;=$A361,IF(G$2=$A361,($B361/$B$332)*$B$329,IF(G$2&lt;=$A361+$B$332-1,$B361/$B$332,$B361-SUM($C361:F361))),0))</f>
        <v>0</v>
      </c>
      <c r="H361" s="4">
        <f>IF($B$332=0,0,IF(H$2&gt;=$A361,IF(H$2=$A361,($B361/$B$332)*$B$329,IF(H$2&lt;=$A361+$B$332-1,$B361/$B$332,$B361-SUM($C361:G361))),0))</f>
        <v>0</v>
      </c>
      <c r="I361" s="4">
        <f>IF($B$332=0,0,IF(I$2&gt;=$A361,IF(I$2=$A361,($B361/$B$332)*$B$329,IF(I$2&lt;=$A361+$B$332-1,$B361/$B$332,$B361-SUM($C361:H361))),0))</f>
        <v>0</v>
      </c>
      <c r="J361" s="4">
        <f>IF($B$332=0,0,IF(J$2&gt;=$A361,IF(J$2=$A361,($B361/$B$332)*$B$329,IF(J$2&lt;=$A361+$B$332-1,$B361/$B$332,$B361-SUM($C361:I361))),0))</f>
        <v>0</v>
      </c>
      <c r="K361" s="4">
        <f>IF($B$332=0,0,IF(K$2&gt;=$A361,IF(K$2=$A361,($B361/$B$332)*$B$329,IF(K$2&lt;=$A361+$B$332-1,$B361/$B$332,$B361-SUM($C361:J361))),0))</f>
        <v>0</v>
      </c>
      <c r="L361" s="4">
        <f>IF($B$332=0,0,IF(L$2&gt;=$A361,IF(L$2=$A361,($B361/$B$332)*$B$329,IF(L$2&lt;=$A361+$B$332-1,$B361/$B$332,$B361-SUM($C361:K361))),0))</f>
        <v>0</v>
      </c>
      <c r="M361" s="4">
        <f>IF($B$332=0,0,IF(M$2&gt;=$A361,IF(M$2=$A361,($B361/$B$332)*$B$329,IF(M$2&lt;=$A361+$B$332-1,$B361/$B$332,$B361-SUM($C361:L361))),0))</f>
        <v>0</v>
      </c>
      <c r="N361" s="4">
        <f>IF($B$332=0,0,IF(N$2&gt;=$A361,IF(N$2=$A361,($B361/$B$332)*$B$329,IF(N$2&lt;=$A361+$B$332-1,$B361/$B$332,$B361-SUM($C361:M361))),0))</f>
        <v>0</v>
      </c>
      <c r="O361" s="4">
        <f>IF($B$332=0,0,IF(O$2&gt;=$A361,IF(O$2=$A361,($B361/$B$332)*$B$329,IF(O$2&lt;=$A361+$B$332-1,$B361/$B$332,$B361-SUM($C361:N361))),0))</f>
        <v>0</v>
      </c>
      <c r="P361" s="4">
        <f>IF($B$332=0,0,IF(P$2&gt;=$A361,IF(P$2=$A361,($B361/$B$332)*$B$329,IF(P$2&lt;=$A361+$B$332-1,$B361/$B$332,$B361-SUM($C361:O361))),0))</f>
        <v>0</v>
      </c>
      <c r="Q361" s="4">
        <f>IF($B$332=0,0,IF(Q$2&gt;=$A361,IF(Q$2=$A361,($B361/$B$332)*$B$329,IF(Q$2&lt;=$A361+$B$332-1,$B361/$B$332,$B361-SUM($C361:P361))),0))</f>
        <v>0</v>
      </c>
      <c r="R361" s="4">
        <f>IF($B$332=0,0,IF(R$2&gt;=$A361,IF(R$2=$A361,($B361/$B$332)*$B$329,IF(R$2&lt;=$A361+$B$332-1,$B361/$B$332,$B361-SUM($C361:Q361))),0))</f>
        <v>0</v>
      </c>
      <c r="S361" s="4">
        <f>IF($B$332=0,0,IF(S$2&gt;=$A361,IF(S$2=$A361,($B361/$B$332)*$B$329,IF(S$2&lt;=$A361+$B$332-1,$B361/$B$332,$B361-SUM($C361:R361))),0))</f>
        <v>0</v>
      </c>
      <c r="T361" s="4">
        <f>IF($B$332=0,0,IF(T$2&gt;=$A361,IF(T$2=$A361,($B361/$B$332)*$B$329,IF(T$2&lt;=$A361+$B$332-1,$B361/$B$332,$B361-SUM($C361:S361))),0))</f>
        <v>0</v>
      </c>
      <c r="U361" s="4">
        <f>IF($B$332=0,0,IF(U$2&gt;=$A361,IF(U$2=$A361,($B361/$B$332)*$B$329,IF(U$2&lt;=$A361+$B$332-1,$B361/$B$332,$B361-SUM($C361:T361))),0))</f>
        <v>0</v>
      </c>
      <c r="V361" s="4">
        <f>IF($B$332=0,0,IF(V$2&gt;=$A361,IF(V$2=$A361,($B361/$B$332)*$B$329,IF(V$2&lt;=$A361+$B$332-1,$B361/$B$332,$B361-SUM($C361:U361))),0))</f>
        <v>0</v>
      </c>
      <c r="W361" s="4">
        <f>IF($B$332=0,0,IF(W$2&gt;=$A361,IF(W$2=$A361,($B361/$B$332)*$B$329,IF(W$2&lt;=$A361+$B$332-1,$B361/$B$332,$B361-SUM($C361:V361))),0))</f>
        <v>0</v>
      </c>
      <c r="X361" s="4">
        <f>IF($B$332=0,0,IF(X$2&gt;=$A361,IF(X$2=$A361,($B361/$B$332)*$B$329,IF(X$2&lt;=$A361+$B$332-1,$B361/$B$332,$B361-SUM($C361:W361))),0))</f>
        <v>0</v>
      </c>
      <c r="Y361" s="4">
        <f>IF($B$332=0,0,IF(Y$2&gt;=$A361,IF(Y$2=$A361,($B361/$B$332)*$B$329,IF(Y$2&lt;=$A361+$B$332-1,$B361/$B$332,$B361-SUM($C361:X361))),0))</f>
        <v>0</v>
      </c>
      <c r="Z361" s="4">
        <f>IF($B$332=0,0,IF(Z$2&gt;=$A361,IF(Z$2=$A361,($B361/$B$332)*$B$329,IF(Z$2&lt;=$A361+$B$332-1,$B361/$B$332,$B361-SUM($C361:Y361))),0))</f>
        <v>0</v>
      </c>
      <c r="AA361" s="4">
        <f>IF($B$332=0,0,IF(AA$2&gt;=$A361,IF(AA$2=$A361,($B361/$B$332)*$B$329,IF(AA$2&lt;=$A361+$B$332-1,$B361/$B$332,$B361-SUM($C361:Z361))),0))</f>
        <v>0</v>
      </c>
      <c r="AB361" s="4">
        <f>IF($B$332=0,0,IF(AB$2&gt;=$A361,IF(AB$2=$A361,($B361/$B$332)*$B$329,IF(AB$2&lt;=$A361+$B$332-1,$B361/$B$332,$B361-SUM($C361:AA361))),0))</f>
        <v>0</v>
      </c>
      <c r="AC361" s="4">
        <f>IF($B$332=0,0,IF(AC$2&gt;=$A361,IF(AC$2=$A361,($B361/$B$332)*$B$329,IF(AC$2&lt;=$A361+$B$332-1,$B361/$B$332,$B361-SUM($C361:AB361))),0))</f>
        <v>0</v>
      </c>
      <c r="AD361" s="4">
        <f>IF($B$332=0,0,IF(AD$2&gt;=$A361,IF(AD$2=$A361,($B361/$B$332)*$B$329,IF(AD$2&lt;=$A361+$B$332-1,$B361/$B$332,$B361-SUM($C361:AC361))),0))</f>
        <v>0</v>
      </c>
      <c r="AE361" s="4">
        <f>IF($B$332=0,0,IF(AE$2&gt;=$A361,IF(AE$2=$A361,($B361/$B$332)*$B$329,IF(AE$2&lt;=$A361+$B$332-1,$B361/$B$332,$B361-SUM($C361:AD361))),0))</f>
        <v>0</v>
      </c>
      <c r="AF361" s="4">
        <f>IF($B$332=0,0,IF(AF$2&gt;=$A361,IF(AF$2=$A361,($B361/$B$332)*$B$329,IF(AF$2&lt;=$A361+$B$332-1,$B361/$B$332,$B361-SUM($C361:AE361))),0))</f>
        <v>0</v>
      </c>
      <c r="AG361" s="4">
        <f t="shared" si="276"/>
        <v>0</v>
      </c>
    </row>
    <row r="362" spans="1:33">
      <c r="A362" s="6">
        <f t="shared" si="275"/>
        <v>2051</v>
      </c>
      <c r="B362" s="4">
        <f t="shared" si="273"/>
        <v>0</v>
      </c>
      <c r="C362" s="4">
        <f>IF($B$332=0,0,IF(C$2&gt;=$A362,IF(C$2=$A362,($B362/$B$332)*$B$329,IF(C$2&lt;=$A362+$B$332-1,$B362/$B$332,$B362-SUM(B362:$C362))),0))</f>
        <v>0</v>
      </c>
      <c r="D362" s="4">
        <f>IF($B$332=0,0,IF(D$2&gt;=$A362,IF(D$2=$A362,($B362/$B$332)*$B$329,IF(D$2&lt;=$A362+$B$332-1,$B362/$B$332,$B362-SUM(C362:$C362))),0))</f>
        <v>0</v>
      </c>
      <c r="E362" s="4">
        <f>IF($B$332=0,0,IF(E$2&gt;=$A362,IF(E$2=$A362,($B362/$B$332)*$B$329,IF(E$2&lt;=$A362+$B$332-1,$B362/$B$332,$B362-SUM($C362:D362))),0))</f>
        <v>0</v>
      </c>
      <c r="F362" s="4">
        <f>IF($B$332=0,0,IF(F$2&gt;=$A362,IF(F$2=$A362,($B362/$B$332)*$B$329,IF(F$2&lt;=$A362+$B$332-1,$B362/$B$332,$B362-SUM($C362:E362))),0))</f>
        <v>0</v>
      </c>
      <c r="G362" s="4">
        <f>IF($B$332=0,0,IF(G$2&gt;=$A362,IF(G$2=$A362,($B362/$B$332)*$B$329,IF(G$2&lt;=$A362+$B$332-1,$B362/$B$332,$B362-SUM($C362:F362))),0))</f>
        <v>0</v>
      </c>
      <c r="H362" s="4">
        <f>IF($B$332=0,0,IF(H$2&gt;=$A362,IF(H$2=$A362,($B362/$B$332)*$B$329,IF(H$2&lt;=$A362+$B$332-1,$B362/$B$332,$B362-SUM($C362:G362))),0))</f>
        <v>0</v>
      </c>
      <c r="I362" s="4">
        <f>IF($B$332=0,0,IF(I$2&gt;=$A362,IF(I$2=$A362,($B362/$B$332)*$B$329,IF(I$2&lt;=$A362+$B$332-1,$B362/$B$332,$B362-SUM($C362:H362))),0))</f>
        <v>0</v>
      </c>
      <c r="J362" s="4">
        <f>IF($B$332=0,0,IF(J$2&gt;=$A362,IF(J$2=$A362,($B362/$B$332)*$B$329,IF(J$2&lt;=$A362+$B$332-1,$B362/$B$332,$B362-SUM($C362:I362))),0))</f>
        <v>0</v>
      </c>
      <c r="K362" s="4">
        <f>IF($B$332=0,0,IF(K$2&gt;=$A362,IF(K$2=$A362,($B362/$B$332)*$B$329,IF(K$2&lt;=$A362+$B$332-1,$B362/$B$332,$B362-SUM($C362:J362))),0))</f>
        <v>0</v>
      </c>
      <c r="L362" s="4">
        <f>IF($B$332=0,0,IF(L$2&gt;=$A362,IF(L$2=$A362,($B362/$B$332)*$B$329,IF(L$2&lt;=$A362+$B$332-1,$B362/$B$332,$B362-SUM($C362:K362))),0))</f>
        <v>0</v>
      </c>
      <c r="M362" s="4">
        <f>IF($B$332=0,0,IF(M$2&gt;=$A362,IF(M$2=$A362,($B362/$B$332)*$B$329,IF(M$2&lt;=$A362+$B$332-1,$B362/$B$332,$B362-SUM($C362:L362))),0))</f>
        <v>0</v>
      </c>
      <c r="N362" s="4">
        <f>IF($B$332=0,0,IF(N$2&gt;=$A362,IF(N$2=$A362,($B362/$B$332)*$B$329,IF(N$2&lt;=$A362+$B$332-1,$B362/$B$332,$B362-SUM($C362:M362))),0))</f>
        <v>0</v>
      </c>
      <c r="O362" s="4">
        <f>IF($B$332=0,0,IF(O$2&gt;=$A362,IF(O$2=$A362,($B362/$B$332)*$B$329,IF(O$2&lt;=$A362+$B$332-1,$B362/$B$332,$B362-SUM($C362:N362))),0))</f>
        <v>0</v>
      </c>
      <c r="P362" s="4">
        <f>IF($B$332=0,0,IF(P$2&gt;=$A362,IF(P$2=$A362,($B362/$B$332)*$B$329,IF(P$2&lt;=$A362+$B$332-1,$B362/$B$332,$B362-SUM($C362:O362))),0))</f>
        <v>0</v>
      </c>
      <c r="Q362" s="4">
        <f>IF($B$332=0,0,IF(Q$2&gt;=$A362,IF(Q$2=$A362,($B362/$B$332)*$B$329,IF(Q$2&lt;=$A362+$B$332-1,$B362/$B$332,$B362-SUM($C362:P362))),0))</f>
        <v>0</v>
      </c>
      <c r="R362" s="4">
        <f>IF($B$332=0,0,IF(R$2&gt;=$A362,IF(R$2=$A362,($B362/$B$332)*$B$329,IF(R$2&lt;=$A362+$B$332-1,$B362/$B$332,$B362-SUM($C362:Q362))),0))</f>
        <v>0</v>
      </c>
      <c r="S362" s="4">
        <f>IF($B$332=0,0,IF(S$2&gt;=$A362,IF(S$2=$A362,($B362/$B$332)*$B$329,IF(S$2&lt;=$A362+$B$332-1,$B362/$B$332,$B362-SUM($C362:R362))),0))</f>
        <v>0</v>
      </c>
      <c r="T362" s="4">
        <f>IF($B$332=0,0,IF(T$2&gt;=$A362,IF(T$2=$A362,($B362/$B$332)*$B$329,IF(T$2&lt;=$A362+$B$332-1,$B362/$B$332,$B362-SUM($C362:S362))),0))</f>
        <v>0</v>
      </c>
      <c r="U362" s="4">
        <f>IF($B$332=0,0,IF(U$2&gt;=$A362,IF(U$2=$A362,($B362/$B$332)*$B$329,IF(U$2&lt;=$A362+$B$332-1,$B362/$B$332,$B362-SUM($C362:T362))),0))</f>
        <v>0</v>
      </c>
      <c r="V362" s="4">
        <f>IF($B$332=0,0,IF(V$2&gt;=$A362,IF(V$2=$A362,($B362/$B$332)*$B$329,IF(V$2&lt;=$A362+$B$332-1,$B362/$B$332,$B362-SUM($C362:U362))),0))</f>
        <v>0</v>
      </c>
      <c r="W362" s="4">
        <f>IF($B$332=0,0,IF(W$2&gt;=$A362,IF(W$2=$A362,($B362/$B$332)*$B$329,IF(W$2&lt;=$A362+$B$332-1,$B362/$B$332,$B362-SUM($C362:V362))),0))</f>
        <v>0</v>
      </c>
      <c r="X362" s="4">
        <f>IF($B$332=0,0,IF(X$2&gt;=$A362,IF(X$2=$A362,($B362/$B$332)*$B$329,IF(X$2&lt;=$A362+$B$332-1,$B362/$B$332,$B362-SUM($C362:W362))),0))</f>
        <v>0</v>
      </c>
      <c r="Y362" s="4">
        <f>IF($B$332=0,0,IF(Y$2&gt;=$A362,IF(Y$2=$A362,($B362/$B$332)*$B$329,IF(Y$2&lt;=$A362+$B$332-1,$B362/$B$332,$B362-SUM($C362:X362))),0))</f>
        <v>0</v>
      </c>
      <c r="Z362" s="4">
        <f>IF($B$332=0,0,IF(Z$2&gt;=$A362,IF(Z$2=$A362,($B362/$B$332)*$B$329,IF(Z$2&lt;=$A362+$B$332-1,$B362/$B$332,$B362-SUM($C362:Y362))),0))</f>
        <v>0</v>
      </c>
      <c r="AA362" s="4">
        <f>IF($B$332=0,0,IF(AA$2&gt;=$A362,IF(AA$2=$A362,($B362/$B$332)*$B$329,IF(AA$2&lt;=$A362+$B$332-1,$B362/$B$332,$B362-SUM($C362:Z362))),0))</f>
        <v>0</v>
      </c>
      <c r="AB362" s="4">
        <f>IF($B$332=0,0,IF(AB$2&gt;=$A362,IF(AB$2=$A362,($B362/$B$332)*$B$329,IF(AB$2&lt;=$A362+$B$332-1,$B362/$B$332,$B362-SUM($C362:AA362))),0))</f>
        <v>0</v>
      </c>
      <c r="AC362" s="4">
        <f>IF($B$332=0,0,IF(AC$2&gt;=$A362,IF(AC$2=$A362,($B362/$B$332)*$B$329,IF(AC$2&lt;=$A362+$B$332-1,$B362/$B$332,$B362-SUM($C362:AB362))),0))</f>
        <v>0</v>
      </c>
      <c r="AD362" s="4">
        <f>IF($B$332=0,0,IF(AD$2&gt;=$A362,IF(AD$2=$A362,($B362/$B$332)*$B$329,IF(AD$2&lt;=$A362+$B$332-1,$B362/$B$332,$B362-SUM($C362:AC362))),0))</f>
        <v>0</v>
      </c>
      <c r="AE362" s="4">
        <f>IF($B$332=0,0,IF(AE$2&gt;=$A362,IF(AE$2=$A362,($B362/$B$332)*$B$329,IF(AE$2&lt;=$A362+$B$332-1,$B362/$B$332,$B362-SUM($C362:AD362))),0))</f>
        <v>0</v>
      </c>
      <c r="AF362" s="4">
        <f>IF($B$332=0,0,IF(AF$2&gt;=$A362,IF(AF$2=$A362,($B362/$B$332)*$B$329,IF(AF$2&lt;=$A362+$B$332-1,$B362/$B$332,$B362-SUM($C362:AE362))),0))</f>
        <v>0</v>
      </c>
      <c r="AG362" s="4">
        <f t="shared" si="276"/>
        <v>0</v>
      </c>
    </row>
    <row r="363" spans="1:33" ht="15" thickBot="1">
      <c r="A363" s="6" t="str">
        <f>"Total Depreciation - "&amp;A329</f>
        <v>Total Depreciation - 0</v>
      </c>
      <c r="B363" s="43">
        <f>SUM(B333:B362)</f>
        <v>0</v>
      </c>
      <c r="C363" s="43">
        <f>SUM(C333:C362)</f>
        <v>0</v>
      </c>
      <c r="D363" s="43">
        <f t="shared" ref="D363:AF363" si="277">SUM(D333:D362)</f>
        <v>0</v>
      </c>
      <c r="E363" s="43">
        <f t="shared" si="277"/>
        <v>0</v>
      </c>
      <c r="F363" s="43">
        <f t="shared" si="277"/>
        <v>0</v>
      </c>
      <c r="G363" s="43">
        <f t="shared" si="277"/>
        <v>0</v>
      </c>
      <c r="H363" s="43">
        <f t="shared" si="277"/>
        <v>0</v>
      </c>
      <c r="I363" s="43">
        <f t="shared" si="277"/>
        <v>0</v>
      </c>
      <c r="J363" s="43">
        <f t="shared" si="277"/>
        <v>0</v>
      </c>
      <c r="K363" s="43">
        <f t="shared" si="277"/>
        <v>0</v>
      </c>
      <c r="L363" s="43">
        <f t="shared" si="277"/>
        <v>0</v>
      </c>
      <c r="M363" s="43">
        <f t="shared" si="277"/>
        <v>0</v>
      </c>
      <c r="N363" s="43">
        <f t="shared" si="277"/>
        <v>0</v>
      </c>
      <c r="O363" s="43">
        <f t="shared" si="277"/>
        <v>0</v>
      </c>
      <c r="P363" s="43">
        <f t="shared" si="277"/>
        <v>0</v>
      </c>
      <c r="Q363" s="43">
        <f t="shared" si="277"/>
        <v>0</v>
      </c>
      <c r="R363" s="43">
        <f t="shared" si="277"/>
        <v>0</v>
      </c>
      <c r="S363" s="43">
        <f t="shared" si="277"/>
        <v>0</v>
      </c>
      <c r="T363" s="43">
        <f t="shared" si="277"/>
        <v>0</v>
      </c>
      <c r="U363" s="43">
        <f t="shared" si="277"/>
        <v>0</v>
      </c>
      <c r="V363" s="43">
        <f t="shared" si="277"/>
        <v>0</v>
      </c>
      <c r="W363" s="43">
        <f t="shared" si="277"/>
        <v>0</v>
      </c>
      <c r="X363" s="43">
        <f t="shared" si="277"/>
        <v>0</v>
      </c>
      <c r="Y363" s="43">
        <f t="shared" si="277"/>
        <v>0</v>
      </c>
      <c r="Z363" s="43">
        <f t="shared" si="277"/>
        <v>0</v>
      </c>
      <c r="AA363" s="43">
        <f t="shared" si="277"/>
        <v>0</v>
      </c>
      <c r="AB363" s="43">
        <f t="shared" si="277"/>
        <v>0</v>
      </c>
      <c r="AC363" s="43">
        <f t="shared" si="277"/>
        <v>0</v>
      </c>
      <c r="AD363" s="43">
        <f t="shared" si="277"/>
        <v>0</v>
      </c>
      <c r="AE363" s="43">
        <f t="shared" si="277"/>
        <v>0</v>
      </c>
      <c r="AF363" s="43">
        <f t="shared" si="277"/>
        <v>0</v>
      </c>
      <c r="AG363" s="43">
        <f>SUM(C363:AF363)</f>
        <v>0</v>
      </c>
    </row>
    <row r="366" spans="1:33">
      <c r="A366" s="6" t="s">
        <v>402</v>
      </c>
      <c r="C366" s="4">
        <f>+C6+C42+C78+C114+C150+C186+C222+C258+C294+C330</f>
        <v>0</v>
      </c>
      <c r="D366" s="4">
        <f t="shared" ref="D366:AA366" si="278">+D6+D42+D78+D114+D150+D186+D222+D258+D294+D330</f>
        <v>0</v>
      </c>
      <c r="E366" s="4">
        <f t="shared" si="278"/>
        <v>144431088.93054351</v>
      </c>
      <c r="F366" s="4">
        <f t="shared" si="278"/>
        <v>126596350.11626597</v>
      </c>
      <c r="G366" s="4">
        <f t="shared" si="278"/>
        <v>0</v>
      </c>
      <c r="H366" s="4">
        <f t="shared" si="278"/>
        <v>0</v>
      </c>
      <c r="I366" s="4">
        <f t="shared" si="278"/>
        <v>0</v>
      </c>
      <c r="J366" s="4">
        <f t="shared" si="278"/>
        <v>0</v>
      </c>
      <c r="K366" s="4">
        <f t="shared" si="278"/>
        <v>0</v>
      </c>
      <c r="L366" s="4">
        <f t="shared" si="278"/>
        <v>26500</v>
      </c>
      <c r="M366" s="4">
        <f t="shared" si="278"/>
        <v>27295</v>
      </c>
      <c r="N366" s="4">
        <f t="shared" si="278"/>
        <v>28364.72309090909</v>
      </c>
      <c r="O366" s="4">
        <f t="shared" si="278"/>
        <v>29215.671818181818</v>
      </c>
      <c r="P366" s="4">
        <f t="shared" si="278"/>
        <v>30092.137636363637</v>
      </c>
      <c r="Q366" s="4">
        <f t="shared" si="278"/>
        <v>30994.90109090909</v>
      </c>
      <c r="R366" s="4">
        <f t="shared" si="278"/>
        <v>66841.190909090918</v>
      </c>
      <c r="S366" s="4">
        <f t="shared" si="278"/>
        <v>68846.431454545454</v>
      </c>
      <c r="T366" s="4">
        <f t="shared" si="278"/>
        <v>70911.822181818177</v>
      </c>
      <c r="U366" s="4">
        <f t="shared" si="278"/>
        <v>73039.174727272723</v>
      </c>
      <c r="V366" s="4">
        <f t="shared" si="278"/>
        <v>75230.348909090899</v>
      </c>
      <c r="W366" s="4">
        <f t="shared" si="278"/>
        <v>77487.262363636371</v>
      </c>
      <c r="X366" s="4">
        <f t="shared" si="278"/>
        <v>79811.880909090905</v>
      </c>
      <c r="Y366" s="4">
        <f t="shared" si="278"/>
        <v>82206.23781818182</v>
      </c>
      <c r="Z366" s="4">
        <f t="shared" si="278"/>
        <v>84672.424181818176</v>
      </c>
      <c r="AA366" s="4">
        <f t="shared" si="278"/>
        <v>87212.588909090904</v>
      </c>
      <c r="AB366" s="4">
        <f t="shared" ref="AB366:AF366" si="279">+AB6+AB42+AB78+AB114+AB150+AB186+AB222+AB258+AB294+AB330</f>
        <v>89828.967636363639</v>
      </c>
      <c r="AC366" s="4">
        <f t="shared" si="279"/>
        <v>92523.844181818175</v>
      </c>
      <c r="AD366" s="4">
        <f t="shared" si="279"/>
        <v>95299.560181818175</v>
      </c>
      <c r="AE366" s="4">
        <f t="shared" si="279"/>
        <v>98158.543999999994</v>
      </c>
      <c r="AF366" s="4">
        <f t="shared" si="279"/>
        <v>101103.3010909091</v>
      </c>
    </row>
    <row r="367" spans="1:33" ht="15" thickBot="1">
      <c r="A367" s="6" t="s">
        <v>215</v>
      </c>
      <c r="C367" s="43">
        <f>+C366</f>
        <v>0</v>
      </c>
      <c r="D367" s="43">
        <f>+D366+C367</f>
        <v>0</v>
      </c>
      <c r="E367" s="43">
        <f t="shared" ref="E367:AA367" si="280">+E366+D367</f>
        <v>144431088.93054351</v>
      </c>
      <c r="F367" s="43">
        <f t="shared" si="280"/>
        <v>271027439.04680949</v>
      </c>
      <c r="G367" s="43">
        <f t="shared" si="280"/>
        <v>271027439.04680949</v>
      </c>
      <c r="H367" s="43">
        <f t="shared" si="280"/>
        <v>271027439.04680949</v>
      </c>
      <c r="I367" s="43">
        <f t="shared" si="280"/>
        <v>271027439.04680949</v>
      </c>
      <c r="J367" s="43">
        <f t="shared" si="280"/>
        <v>271027439.04680949</v>
      </c>
      <c r="K367" s="43">
        <f t="shared" si="280"/>
        <v>271027439.04680949</v>
      </c>
      <c r="L367" s="43">
        <f t="shared" si="280"/>
        <v>271053939.04680949</v>
      </c>
      <c r="M367" s="43">
        <f t="shared" si="280"/>
        <v>271081234.04680949</v>
      </c>
      <c r="N367" s="43">
        <f t="shared" si="280"/>
        <v>271109598.76990038</v>
      </c>
      <c r="O367" s="43">
        <f t="shared" si="280"/>
        <v>271138814.44171858</v>
      </c>
      <c r="P367" s="43">
        <f t="shared" si="280"/>
        <v>271168906.57935494</v>
      </c>
      <c r="Q367" s="43">
        <f t="shared" si="280"/>
        <v>271199901.48044586</v>
      </c>
      <c r="R367" s="43">
        <f t="shared" si="280"/>
        <v>271266742.67135495</v>
      </c>
      <c r="S367" s="43">
        <f t="shared" si="280"/>
        <v>271335589.10280949</v>
      </c>
      <c r="T367" s="43">
        <f t="shared" si="280"/>
        <v>271406500.92499131</v>
      </c>
      <c r="U367" s="43">
        <f t="shared" si="280"/>
        <v>271479540.09971857</v>
      </c>
      <c r="V367" s="43">
        <f t="shared" si="280"/>
        <v>271554770.44862765</v>
      </c>
      <c r="W367" s="43">
        <f t="shared" si="280"/>
        <v>271632257.71099126</v>
      </c>
      <c r="X367" s="43">
        <f t="shared" si="280"/>
        <v>271712069.59190035</v>
      </c>
      <c r="Y367" s="43">
        <f t="shared" si="280"/>
        <v>271794275.82971853</v>
      </c>
      <c r="Z367" s="43">
        <f t="shared" si="280"/>
        <v>271878948.25390035</v>
      </c>
      <c r="AA367" s="43">
        <f t="shared" si="280"/>
        <v>271966160.84280944</v>
      </c>
      <c r="AB367" s="43">
        <f t="shared" ref="AB367" si="281">+AB366+AA367</f>
        <v>272055989.81044579</v>
      </c>
      <c r="AC367" s="43">
        <f t="shared" ref="AC367" si="282">+AC366+AB367</f>
        <v>272148513.65462762</v>
      </c>
      <c r="AD367" s="43">
        <f t="shared" ref="AD367" si="283">+AD366+AC367</f>
        <v>272243813.21480942</v>
      </c>
      <c r="AE367" s="43">
        <f t="shared" ref="AE367" si="284">+AE366+AD367</f>
        <v>272341971.75880945</v>
      </c>
      <c r="AF367" s="43">
        <f t="shared" ref="AF367" si="285">+AF366+AE367</f>
        <v>272443075.05990034</v>
      </c>
    </row>
    <row r="368" spans="1:33">
      <c r="A368" s="6"/>
    </row>
    <row r="369" spans="1:32">
      <c r="A369" s="6" t="s">
        <v>403</v>
      </c>
      <c r="C369" s="4">
        <f>+C39+C75+C111+C147+C183+C219+C255+C291+C327+C363</f>
        <v>0</v>
      </c>
      <c r="D369" s="4">
        <f t="shared" ref="D369:AA369" si="286">+D39+D75+D111+D147+D183+D219+D255+D291+D327+D363</f>
        <v>0</v>
      </c>
      <c r="E369" s="4">
        <f t="shared" si="286"/>
        <v>0</v>
      </c>
      <c r="F369" s="4">
        <f t="shared" si="286"/>
        <v>5344643.8985098768</v>
      </c>
      <c r="G369" s="4">
        <f t="shared" si="286"/>
        <v>8507481.9233043119</v>
      </c>
      <c r="H369" s="4">
        <f t="shared" si="286"/>
        <v>8507481.9233043119</v>
      </c>
      <c r="I369" s="4">
        <f t="shared" si="286"/>
        <v>8507481.9233043119</v>
      </c>
      <c r="J369" s="4">
        <f t="shared" si="286"/>
        <v>8507481.9233043119</v>
      </c>
      <c r="K369" s="4">
        <f t="shared" si="286"/>
        <v>8507481.9233043119</v>
      </c>
      <c r="L369" s="4">
        <f t="shared" si="286"/>
        <v>8507702.7566376459</v>
      </c>
      <c r="M369" s="4">
        <f t="shared" si="286"/>
        <v>6121884.8892565202</v>
      </c>
      <c r="N369" s="4">
        <f t="shared" si="286"/>
        <v>3736082.5612344802</v>
      </c>
      <c r="O369" s="4">
        <f t="shared" si="286"/>
        <v>3736562.3978587231</v>
      </c>
      <c r="P369" s="4">
        <f t="shared" si="286"/>
        <v>3737056.6296041775</v>
      </c>
      <c r="Q369" s="4">
        <f t="shared" si="286"/>
        <v>3737565.6882602382</v>
      </c>
      <c r="R369" s="4">
        <f t="shared" si="286"/>
        <v>3738380.9890269046</v>
      </c>
      <c r="S369" s="4">
        <f t="shared" si="286"/>
        <v>3739511.7192132683</v>
      </c>
      <c r="T369" s="4">
        <f t="shared" si="286"/>
        <v>3740676.3713269047</v>
      </c>
      <c r="U369" s="4">
        <f t="shared" si="286"/>
        <v>3741875.9629678139</v>
      </c>
      <c r="V369" s="4">
        <f t="shared" si="286"/>
        <v>3743111.5423314502</v>
      </c>
      <c r="W369" s="4">
        <f t="shared" si="286"/>
        <v>3744384.1890920564</v>
      </c>
      <c r="X369" s="4">
        <f t="shared" si="286"/>
        <v>3745695.0152859958</v>
      </c>
      <c r="Y369" s="4">
        <f t="shared" si="286"/>
        <v>3747045.1662753895</v>
      </c>
      <c r="Z369" s="4">
        <f t="shared" si="286"/>
        <v>3748435.8217920563</v>
      </c>
      <c r="AA369" s="4">
        <f t="shared" si="286"/>
        <v>3749868.1969011473</v>
      </c>
      <c r="AB369" s="4">
        <f t="shared" ref="AB369:AF369" si="287">+AB39+AB75+AB111+AB147+AB183+AB219+AB255+AB291+AB327+AB363</f>
        <v>3751343.5432056924</v>
      </c>
      <c r="AC369" s="4">
        <f t="shared" si="287"/>
        <v>3752863.1499708439</v>
      </c>
      <c r="AD369" s="4">
        <f t="shared" si="287"/>
        <v>3754428.3450072077</v>
      </c>
      <c r="AE369" s="4">
        <f t="shared" si="287"/>
        <v>3756040.4958753893</v>
      </c>
      <c r="AF369" s="4">
        <f t="shared" si="287"/>
        <v>3757701.0112511469</v>
      </c>
    </row>
    <row r="370" spans="1:32" ht="15" thickBot="1">
      <c r="A370" s="6" t="s">
        <v>215</v>
      </c>
      <c r="C370" s="43">
        <f>+C369</f>
        <v>0</v>
      </c>
      <c r="D370" s="43">
        <f>+D369+C370</f>
        <v>0</v>
      </c>
      <c r="E370" s="43">
        <f t="shared" ref="E370:AA370" si="288">+E369+D370</f>
        <v>0</v>
      </c>
      <c r="F370" s="43">
        <f t="shared" si="288"/>
        <v>5344643.8985098768</v>
      </c>
      <c r="G370" s="43">
        <f t="shared" si="288"/>
        <v>13852125.821814189</v>
      </c>
      <c r="H370" s="43">
        <f t="shared" si="288"/>
        <v>22359607.745118499</v>
      </c>
      <c r="I370" s="43">
        <f t="shared" si="288"/>
        <v>30867089.668422811</v>
      </c>
      <c r="J370" s="43">
        <f t="shared" si="288"/>
        <v>39374571.591727123</v>
      </c>
      <c r="K370" s="43">
        <f t="shared" si="288"/>
        <v>47882053.515031435</v>
      </c>
      <c r="L370" s="43">
        <f t="shared" si="288"/>
        <v>56389756.271669082</v>
      </c>
      <c r="M370" s="43">
        <f t="shared" si="288"/>
        <v>62511641.160925604</v>
      </c>
      <c r="N370" s="43">
        <f t="shared" si="288"/>
        <v>66247723.722160086</v>
      </c>
      <c r="O370" s="43">
        <f t="shared" si="288"/>
        <v>69984286.12001881</v>
      </c>
      <c r="P370" s="43">
        <f t="shared" si="288"/>
        <v>73721342.749622986</v>
      </c>
      <c r="Q370" s="43">
        <f t="shared" si="288"/>
        <v>77458908.437883228</v>
      </c>
      <c r="R370" s="43">
        <f t="shared" si="288"/>
        <v>81197289.426910132</v>
      </c>
      <c r="S370" s="43">
        <f t="shared" si="288"/>
        <v>84936801.146123394</v>
      </c>
      <c r="T370" s="43">
        <f t="shared" si="288"/>
        <v>88677477.517450303</v>
      </c>
      <c r="U370" s="43">
        <f t="shared" si="288"/>
        <v>92419353.480418116</v>
      </c>
      <c r="V370" s="43">
        <f t="shared" si="288"/>
        <v>96162465.022749573</v>
      </c>
      <c r="W370" s="43">
        <f t="shared" si="288"/>
        <v>99906849.211841628</v>
      </c>
      <c r="X370" s="43">
        <f t="shared" si="288"/>
        <v>103652544.22712763</v>
      </c>
      <c r="Y370" s="43">
        <f t="shared" si="288"/>
        <v>107399589.39340302</v>
      </c>
      <c r="Z370" s="43">
        <f t="shared" si="288"/>
        <v>111148025.21519507</v>
      </c>
      <c r="AA370" s="43">
        <f t="shared" si="288"/>
        <v>114897893.41209622</v>
      </c>
      <c r="AB370" s="43">
        <f t="shared" ref="AB370" si="289">+AB369+AA370</f>
        <v>118649236.95530191</v>
      </c>
      <c r="AC370" s="43">
        <f t="shared" ref="AC370" si="290">+AC369+AB370</f>
        <v>122402100.10527276</v>
      </c>
      <c r="AD370" s="43">
        <f t="shared" ref="AD370" si="291">+AD369+AC370</f>
        <v>126156528.45027997</v>
      </c>
      <c r="AE370" s="43">
        <f t="shared" ref="AE370" si="292">+AE369+AD370</f>
        <v>129912568.94615535</v>
      </c>
      <c r="AF370" s="43">
        <f t="shared" ref="AF370" si="293">+AF369+AE370</f>
        <v>133670269.95740651</v>
      </c>
    </row>
  </sheetData>
  <sheetProtection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509"/>
  <sheetViews>
    <sheetView showGridLines="0" zoomScale="80" zoomScaleNormal="80" workbookViewId="0">
      <pane xSplit="2" ySplit="2" topLeftCell="AD288" activePane="bottomRight" state="frozen"/>
      <selection pane="topRight" activeCell="B6" sqref="B6"/>
      <selection pane="bottomLeft" activeCell="B6" sqref="B6"/>
      <selection pane="bottomRight" activeCell="H468" sqref="H468:H479"/>
    </sheetView>
  </sheetViews>
  <sheetFormatPr defaultColWidth="8.90625" defaultRowHeight="14.4"/>
  <cols>
    <col min="1" max="1" width="34.54296875" style="2" bestFit="1" customWidth="1"/>
    <col min="2" max="32" width="12.90625" style="4" customWidth="1"/>
    <col min="33" max="33" width="11" style="4" bestFit="1" customWidth="1"/>
    <col min="34" max="16384" width="8.90625" style="2"/>
  </cols>
  <sheetData>
    <row r="1" spans="1:34" ht="15.6">
      <c r="A1" s="183" t="s">
        <v>397</v>
      </c>
      <c r="C1" s="182">
        <v>1</v>
      </c>
      <c r="D1" s="182">
        <f>+C1+1</f>
        <v>2</v>
      </c>
      <c r="E1" s="182">
        <f t="shared" ref="E1:T2" si="0">+D1+1</f>
        <v>3</v>
      </c>
      <c r="F1" s="182">
        <f t="shared" si="0"/>
        <v>4</v>
      </c>
      <c r="G1" s="182">
        <f t="shared" si="0"/>
        <v>5</v>
      </c>
      <c r="H1" s="182">
        <f t="shared" si="0"/>
        <v>6</v>
      </c>
      <c r="I1" s="182">
        <f t="shared" si="0"/>
        <v>7</v>
      </c>
      <c r="J1" s="182">
        <f t="shared" si="0"/>
        <v>8</v>
      </c>
      <c r="K1" s="182">
        <f t="shared" si="0"/>
        <v>9</v>
      </c>
      <c r="L1" s="182">
        <f t="shared" si="0"/>
        <v>10</v>
      </c>
      <c r="M1" s="182">
        <f t="shared" si="0"/>
        <v>11</v>
      </c>
      <c r="N1" s="182">
        <f t="shared" si="0"/>
        <v>12</v>
      </c>
      <c r="O1" s="182">
        <f t="shared" si="0"/>
        <v>13</v>
      </c>
      <c r="P1" s="182">
        <f t="shared" si="0"/>
        <v>14</v>
      </c>
      <c r="Q1" s="182">
        <f t="shared" si="0"/>
        <v>15</v>
      </c>
      <c r="R1" s="182">
        <f t="shared" si="0"/>
        <v>16</v>
      </c>
      <c r="S1" s="182">
        <f t="shared" si="0"/>
        <v>17</v>
      </c>
      <c r="T1" s="182">
        <f t="shared" si="0"/>
        <v>18</v>
      </c>
      <c r="U1" s="182">
        <f t="shared" ref="U1:AF2" si="1">+T1+1</f>
        <v>19</v>
      </c>
      <c r="V1" s="182">
        <f t="shared" si="1"/>
        <v>20</v>
      </c>
      <c r="W1" s="182">
        <f t="shared" si="1"/>
        <v>21</v>
      </c>
      <c r="X1" s="182">
        <f t="shared" si="1"/>
        <v>22</v>
      </c>
      <c r="Y1" s="182">
        <f t="shared" si="1"/>
        <v>23</v>
      </c>
      <c r="Z1" s="182">
        <f t="shared" si="1"/>
        <v>24</v>
      </c>
      <c r="AA1" s="182">
        <f t="shared" si="1"/>
        <v>25</v>
      </c>
      <c r="AB1" s="182">
        <f t="shared" si="1"/>
        <v>26</v>
      </c>
      <c r="AC1" s="182">
        <f t="shared" si="1"/>
        <v>27</v>
      </c>
      <c r="AD1" s="182">
        <f t="shared" si="1"/>
        <v>28</v>
      </c>
      <c r="AE1" s="182">
        <f t="shared" si="1"/>
        <v>29</v>
      </c>
      <c r="AF1" s="182">
        <f t="shared" si="1"/>
        <v>30</v>
      </c>
    </row>
    <row r="2" spans="1:34">
      <c r="B2" s="86" t="s">
        <v>398</v>
      </c>
      <c r="C2" s="181">
        <f>+Financials!C4</f>
        <v>2022</v>
      </c>
      <c r="D2" s="181">
        <f>+C2+1</f>
        <v>2023</v>
      </c>
      <c r="E2" s="181">
        <f t="shared" si="0"/>
        <v>2024</v>
      </c>
      <c r="F2" s="181">
        <f t="shared" si="0"/>
        <v>2025</v>
      </c>
      <c r="G2" s="181">
        <f t="shared" si="0"/>
        <v>2026</v>
      </c>
      <c r="H2" s="181">
        <f t="shared" si="0"/>
        <v>2027</v>
      </c>
      <c r="I2" s="181">
        <f t="shared" si="0"/>
        <v>2028</v>
      </c>
      <c r="J2" s="181">
        <f t="shared" si="0"/>
        <v>2029</v>
      </c>
      <c r="K2" s="181">
        <f t="shared" si="0"/>
        <v>2030</v>
      </c>
      <c r="L2" s="181">
        <f t="shared" si="0"/>
        <v>2031</v>
      </c>
      <c r="M2" s="181">
        <f t="shared" si="0"/>
        <v>2032</v>
      </c>
      <c r="N2" s="181">
        <f t="shared" si="0"/>
        <v>2033</v>
      </c>
      <c r="O2" s="181">
        <f t="shared" si="0"/>
        <v>2034</v>
      </c>
      <c r="P2" s="181">
        <f t="shared" si="0"/>
        <v>2035</v>
      </c>
      <c r="Q2" s="181">
        <f t="shared" si="0"/>
        <v>2036</v>
      </c>
      <c r="R2" s="181">
        <f t="shared" si="0"/>
        <v>2037</v>
      </c>
      <c r="S2" s="181">
        <f t="shared" si="0"/>
        <v>2038</v>
      </c>
      <c r="T2" s="181">
        <f t="shared" si="0"/>
        <v>2039</v>
      </c>
      <c r="U2" s="181">
        <f t="shared" si="1"/>
        <v>2040</v>
      </c>
      <c r="V2" s="181">
        <f t="shared" si="1"/>
        <v>2041</v>
      </c>
      <c r="W2" s="181">
        <f t="shared" si="1"/>
        <v>2042</v>
      </c>
      <c r="X2" s="181">
        <f t="shared" si="1"/>
        <v>2043</v>
      </c>
      <c r="Y2" s="181">
        <f t="shared" si="1"/>
        <v>2044</v>
      </c>
      <c r="Z2" s="181">
        <f t="shared" si="1"/>
        <v>2045</v>
      </c>
      <c r="AA2" s="181">
        <f t="shared" si="1"/>
        <v>2046</v>
      </c>
      <c r="AB2" s="181">
        <f t="shared" si="1"/>
        <v>2047</v>
      </c>
      <c r="AC2" s="181">
        <f t="shared" si="1"/>
        <v>2048</v>
      </c>
      <c r="AD2" s="181">
        <f t="shared" si="1"/>
        <v>2049</v>
      </c>
      <c r="AE2" s="181">
        <f t="shared" si="1"/>
        <v>2050</v>
      </c>
      <c r="AF2" s="181">
        <f t="shared" si="1"/>
        <v>2051</v>
      </c>
      <c r="AG2" s="362" t="s">
        <v>191</v>
      </c>
      <c r="AH2" s="229" t="s">
        <v>404</v>
      </c>
    </row>
    <row r="4" spans="1:34" ht="18">
      <c r="A4" s="16" t="s">
        <v>405</v>
      </c>
      <c r="B4" s="87"/>
      <c r="C4" s="301">
        <f>IF(SUMIF('Input Data'!$C$40:$O$40,C$2,'Input Data'!$C$50:$O$50)=0,+B$4,SUMIF('Input Data'!$C$40:$O$40,C$2,'Input Data'!$C$50:$O$50))</f>
        <v>0.25345000000000001</v>
      </c>
      <c r="D4" s="301">
        <f>IF(SUMIF('Input Data'!$C$40:$O$40,D$2,'Input Data'!$C$50:$O$50)=0,+C$4,SUMIF('Input Data'!$C$40:$O$40,D$2,'Input Data'!$C$50:$O$50))</f>
        <v>0.25345000000000001</v>
      </c>
      <c r="E4" s="301">
        <f>IF(SUMIF('Input Data'!$C$40:$O$40,E$2,'Input Data'!$C$50:$O$50)=0,+D$4,SUMIF('Input Data'!$C$40:$O$40,E$2,'Input Data'!$C$50:$O$50))</f>
        <v>0.25345000000000001</v>
      </c>
      <c r="F4" s="301">
        <f>IF(SUMIF('Input Data'!$C$40:$O$40,F$2,'Input Data'!$C$50:$O$50)=0,+E$4,SUMIF('Input Data'!$C$40:$O$40,F$2,'Input Data'!$C$50:$O$50))</f>
        <v>0.25345000000000001</v>
      </c>
      <c r="G4" s="301">
        <f>IF(SUMIF('Input Data'!$C$40:$O$40,G$2,'Input Data'!$C$50:$O$50)=0,+F$4,SUMIF('Input Data'!$C$40:$O$40,G$2,'Input Data'!$C$50:$O$50))</f>
        <v>0.25345000000000001</v>
      </c>
      <c r="H4" s="301">
        <f>IF(SUMIF('Input Data'!$C$40:$O$40,H$2,'Input Data'!$C$50:$O$50)=0,+G$4,SUMIF('Input Data'!$C$40:$O$40,H$2,'Input Data'!$C$50:$O$50))</f>
        <v>0.25345000000000001</v>
      </c>
      <c r="I4" s="301">
        <f>IF(SUMIF('Input Data'!$C$40:$O$40,I$2,'Input Data'!$C$50:$O$50)=0,+H$4,SUMIF('Input Data'!$C$40:$O$40,I$2,'Input Data'!$C$50:$O$50))</f>
        <v>0.25345000000000001</v>
      </c>
      <c r="J4" s="301">
        <f>IF(SUMIF('Input Data'!$C$40:$O$40,J$2,'Input Data'!$C$50:$O$50)=0,+I$4,SUMIF('Input Data'!$C$40:$O$40,J$2,'Input Data'!$C$50:$O$50))</f>
        <v>0.25345000000000001</v>
      </c>
      <c r="K4" s="301">
        <f>IF(SUMIF('Input Data'!$C$40:$O$40,K$2,'Input Data'!$C$50:$O$50)=0,+J$4,SUMIF('Input Data'!$C$40:$O$40,K$2,'Input Data'!$C$50:$O$50))</f>
        <v>0.25345000000000001</v>
      </c>
      <c r="L4" s="301">
        <f>IF(SUMIF('Input Data'!$C$40:$O$40,L$2,'Input Data'!$C$50:$O$50)=0,+K$4,SUMIF('Input Data'!$C$40:$O$40,L$2,'Input Data'!$C$50:$O$50))</f>
        <v>0.25345000000000001</v>
      </c>
      <c r="M4" s="301">
        <f>IF(SUMIF('Input Data'!$C$40:$O$40,M$2,'Input Data'!$C$50:$O$50)=0,+L$4,SUMIF('Input Data'!$C$40:$O$40,M$2,'Input Data'!$C$50:$O$50))</f>
        <v>0.25345000000000001</v>
      </c>
      <c r="N4" s="301">
        <f>IF(SUMIF('Input Data'!$C$40:$O$40,N$2,'Input Data'!$C$50:$O$50)=0,+M$4,SUMIF('Input Data'!$C$40:$O$40,N$2,'Input Data'!$C$50:$O$50))</f>
        <v>0.25345000000000001</v>
      </c>
      <c r="O4" s="301">
        <f>IF(SUMIF('Input Data'!$C$40:$O$40,O$2,'Input Data'!$C$50:$O$50)=0,+N$4,SUMIF('Input Data'!$C$40:$O$40,O$2,'Input Data'!$C$50:$O$50))</f>
        <v>0.25345000000000001</v>
      </c>
      <c r="P4" s="301">
        <f>IF(SUMIF('Input Data'!$C$40:$O$40,P$2,'Input Data'!$C$50:$O$50)=0,+O$4,SUMIF('Input Data'!$C$40:$O$40,P$2,'Input Data'!$C$50:$O$50))</f>
        <v>0.25345000000000001</v>
      </c>
      <c r="Q4" s="301">
        <f>IF(SUMIF('Input Data'!$C$40:$O$40,Q$2,'Input Data'!$C$50:$O$50)=0,+P$4,SUMIF('Input Data'!$C$40:$O$40,Q$2,'Input Data'!$C$50:$O$50))</f>
        <v>0.25345000000000001</v>
      </c>
      <c r="R4" s="301">
        <f>IF(SUMIF('Input Data'!$C$40:$O$40,R$2,'Input Data'!$C$50:$O$50)=0,+Q$4,SUMIF('Input Data'!$C$40:$O$40,R$2,'Input Data'!$C$50:$O$50))</f>
        <v>0.25345000000000001</v>
      </c>
      <c r="S4" s="301">
        <f>IF(SUMIF('Input Data'!$C$40:$O$40,S$2,'Input Data'!$C$50:$O$50)=0,+R$4,SUMIF('Input Data'!$C$40:$O$40,S$2,'Input Data'!$C$50:$O$50))</f>
        <v>0.25345000000000001</v>
      </c>
      <c r="T4" s="301">
        <f>IF(SUMIF('Input Data'!$C$40:$O$40,T$2,'Input Data'!$C$50:$O$50)=0,+S$4,SUMIF('Input Data'!$C$40:$O$40,T$2,'Input Data'!$C$50:$O$50))</f>
        <v>0.25345000000000001</v>
      </c>
      <c r="U4" s="301">
        <f>IF(SUMIF('Input Data'!$C$40:$O$40,U$2,'Input Data'!$C$50:$O$50)=0,+T$4,SUMIF('Input Data'!$C$40:$O$40,U$2,'Input Data'!$C$50:$O$50))</f>
        <v>0.25345000000000001</v>
      </c>
      <c r="V4" s="301">
        <f>IF(SUMIF('Input Data'!$C$40:$O$40,V$2,'Input Data'!$C$50:$O$50)=0,+U$4,SUMIF('Input Data'!$C$40:$O$40,V$2,'Input Data'!$C$50:$O$50))</f>
        <v>0.25345000000000001</v>
      </c>
      <c r="W4" s="301">
        <f>IF(SUMIF('Input Data'!$C$40:$O$40,W$2,'Input Data'!$C$50:$O$50)=0,+V$4,SUMIF('Input Data'!$C$40:$O$40,W$2,'Input Data'!$C$50:$O$50))</f>
        <v>0.25345000000000001</v>
      </c>
      <c r="X4" s="301">
        <f>IF(SUMIF('Input Data'!$C$40:$O$40,X$2,'Input Data'!$C$50:$O$50)=0,+W$4,SUMIF('Input Data'!$C$40:$O$40,X$2,'Input Data'!$C$50:$O$50))</f>
        <v>0.25345000000000001</v>
      </c>
      <c r="Y4" s="301">
        <f>IF(SUMIF('Input Data'!$C$40:$O$40,Y$2,'Input Data'!$C$50:$O$50)=0,+X$4,SUMIF('Input Data'!$C$40:$O$40,Y$2,'Input Data'!$C$50:$O$50))</f>
        <v>0.25345000000000001</v>
      </c>
      <c r="Z4" s="301">
        <f>IF(SUMIF('Input Data'!$C$40:$O$40,Z$2,'Input Data'!$C$50:$O$50)=0,+Y$4,SUMIF('Input Data'!$C$40:$O$40,Z$2,'Input Data'!$C$50:$O$50))</f>
        <v>0.25345000000000001</v>
      </c>
      <c r="AA4" s="301">
        <f>IF(SUMIF('Input Data'!$C$40:$O$40,AA$2,'Input Data'!$C$50:$O$50)=0,+Z$4,SUMIF('Input Data'!$C$40:$O$40,AA$2,'Input Data'!$C$50:$O$50))</f>
        <v>0.25345000000000001</v>
      </c>
      <c r="AB4" s="301">
        <f>IF(SUMIF('Input Data'!$C$40:$O$40,AB$2,'Input Data'!$C$50:$O$50)=0,+AA$4,SUMIF('Input Data'!$C$40:$O$40,AB$2,'Input Data'!$C$50:$O$50))</f>
        <v>0.25345000000000001</v>
      </c>
      <c r="AC4" s="301">
        <f>IF(SUMIF('Input Data'!$C$40:$O$40,AC$2,'Input Data'!$C$50:$O$50)=0,+AB$4,SUMIF('Input Data'!$C$40:$O$40,AC$2,'Input Data'!$C$50:$O$50))</f>
        <v>0.25345000000000001</v>
      </c>
      <c r="AD4" s="301">
        <f>IF(SUMIF('Input Data'!$C$40:$O$40,AD$2,'Input Data'!$C$50:$O$50)=0,+AC$4,SUMIF('Input Data'!$C$40:$O$40,AD$2,'Input Data'!$C$50:$O$50))</f>
        <v>0.25345000000000001</v>
      </c>
      <c r="AE4" s="301">
        <f>IF(SUMIF('Input Data'!$C$40:$O$40,AE$2,'Input Data'!$C$50:$O$50)=0,+AD$4,SUMIF('Input Data'!$C$40:$O$40,AE$2,'Input Data'!$C$50:$O$50))</f>
        <v>0.25345000000000001</v>
      </c>
      <c r="AF4" s="301">
        <f>IF(SUMIF('Input Data'!$C$40:$O$40,AF$2,'Input Data'!$C$50:$O$50)=0,+AE$4,SUMIF('Input Data'!$C$40:$O$40,AF$2,'Input Data'!$C$50:$O$50))</f>
        <v>0.25345000000000001</v>
      </c>
    </row>
    <row r="5" spans="1:34">
      <c r="A5" s="302" t="str">
        <f>+Book!A5</f>
        <v>Land Assumption</v>
      </c>
    </row>
    <row r="6" spans="1:34">
      <c r="A6" s="6" t="s">
        <v>406</v>
      </c>
      <c r="C6" s="40">
        <f>IF(Capex!$F$6="y",Book!C6*(1-C$446),Book!C6)</f>
        <v>0</v>
      </c>
      <c r="D6" s="40">
        <f>IF(Capex!$F$6="y",Book!D6*(1-D$446),Book!D6)</f>
        <v>0</v>
      </c>
      <c r="E6" s="40">
        <f>IF(Capex!$F$6="y",Book!E6*(1-E$446),Book!E6)</f>
        <v>13522736.507616967</v>
      </c>
      <c r="F6" s="40">
        <f>IF(Capex!$F$6="y",Book!F6*(1-F$446),Book!F6)</f>
        <v>0</v>
      </c>
      <c r="G6" s="40">
        <f>IF(Capex!$F$6="y",Book!G6*(1-G$446),Book!G6)</f>
        <v>0</v>
      </c>
      <c r="H6" s="40">
        <f>IF(Capex!$F$6="y",Book!H6*(1-H$446),Book!H6)</f>
        <v>0</v>
      </c>
      <c r="I6" s="40">
        <f>IF(Capex!$F$6="y",Book!I6*(1-I$446),Book!I6)</f>
        <v>0</v>
      </c>
      <c r="J6" s="40">
        <f>IF(Capex!$F$6="y",Book!J6*(1-J$446),Book!J6)</f>
        <v>0</v>
      </c>
      <c r="K6" s="40">
        <f>IF(Capex!$F$6="y",Book!K6*(1-K$446),Book!K6)</f>
        <v>0</v>
      </c>
      <c r="L6" s="40">
        <f>IF(Capex!$F$6="y",Book!L6*(1-L$446),Book!L6)</f>
        <v>0</v>
      </c>
      <c r="M6" s="40">
        <f>IF(Capex!$F$6="y",Book!M6*(1-M$446),Book!M6)</f>
        <v>0</v>
      </c>
      <c r="N6" s="40">
        <f>IF(Capex!$F$6="y",Book!N6*(1-N$446),Book!N6)</f>
        <v>0</v>
      </c>
      <c r="O6" s="40">
        <f>IF(Capex!$F$6="y",Book!O6*(1-O$446),Book!O6)</f>
        <v>0</v>
      </c>
      <c r="P6" s="40">
        <f>IF(Capex!$F$6="y",Book!P6*(1-P$446),Book!P6)</f>
        <v>0</v>
      </c>
      <c r="Q6" s="40">
        <f>IF(Capex!$F$6="y",Book!Q6*(1-Q$446),Book!Q6)</f>
        <v>0</v>
      </c>
      <c r="R6" s="40">
        <f>IF(Capex!$F$6="y",Book!R6*(1-R$446),Book!R6)</f>
        <v>0</v>
      </c>
      <c r="S6" s="40">
        <f>IF(Capex!$F$6="y",Book!S6*(1-S$446),Book!S6)</f>
        <v>0</v>
      </c>
      <c r="T6" s="40">
        <f>IF(Capex!$F$6="y",Book!T6*(1-T$446),Book!T6)</f>
        <v>0</v>
      </c>
      <c r="U6" s="40">
        <f>IF(Capex!$F$6="y",Book!U6*(1-U$446),Book!U6)</f>
        <v>0</v>
      </c>
      <c r="V6" s="40">
        <f>IF(Capex!$F$6="y",Book!V6*(1-V$446),Book!V6)</f>
        <v>0</v>
      </c>
      <c r="W6" s="40">
        <f>IF(Capex!$F$6="y",Book!W6*(1-W$446),Book!W6)</f>
        <v>0</v>
      </c>
      <c r="X6" s="40">
        <f>IF(Capex!$F$6="y",Book!X6*(1-X$446),Book!X6)</f>
        <v>0</v>
      </c>
      <c r="Y6" s="40">
        <f>IF(Capex!$F$6="y",Book!Y6*(1-Y$446),Book!Y6)</f>
        <v>0</v>
      </c>
      <c r="Z6" s="40">
        <f>IF(Capex!$F$6="y",Book!Z6*(1-Z$446),Book!Z6)</f>
        <v>0</v>
      </c>
      <c r="AA6" s="40">
        <f>IF(Capex!$F$6="y",Book!AA6*(1-AA$446),Book!AA6)</f>
        <v>0</v>
      </c>
      <c r="AB6" s="40">
        <f>IF(Capex!$F$6="y",Book!AB6*(1-AB$446),Book!AB6)</f>
        <v>0</v>
      </c>
      <c r="AC6" s="40">
        <f>IF(Capex!$F$6="y",Book!AC6*(1-AC$446),Book!AC6)</f>
        <v>0</v>
      </c>
      <c r="AD6" s="40">
        <f>IF(Capex!$F$6="y",Book!AD6*(1-AD$446),Book!AD6)</f>
        <v>0</v>
      </c>
      <c r="AE6" s="40">
        <f>IF(Capex!$F$6="y",Book!AE6*(1-AE$446),Book!AE6)</f>
        <v>0</v>
      </c>
      <c r="AF6" s="40">
        <f>IF(Capex!$F$6="y",Book!AF6*(1-AF$446),Book!AF6)</f>
        <v>0</v>
      </c>
    </row>
    <row r="7" spans="1:34">
      <c r="A7" s="6" t="s">
        <v>215</v>
      </c>
      <c r="C7" s="49">
        <f>+C6</f>
        <v>0</v>
      </c>
      <c r="D7" s="49">
        <f>+D6+C7</f>
        <v>0</v>
      </c>
      <c r="E7" s="49">
        <f t="shared" ref="E7:AF7" si="2">+E6+D7</f>
        <v>13522736.507616967</v>
      </c>
      <c r="F7" s="49">
        <f t="shared" si="2"/>
        <v>13522736.507616967</v>
      </c>
      <c r="G7" s="49">
        <f t="shared" si="2"/>
        <v>13522736.507616967</v>
      </c>
      <c r="H7" s="49">
        <f t="shared" si="2"/>
        <v>13522736.507616967</v>
      </c>
      <c r="I7" s="49">
        <f t="shared" si="2"/>
        <v>13522736.507616967</v>
      </c>
      <c r="J7" s="49">
        <f t="shared" si="2"/>
        <v>13522736.507616967</v>
      </c>
      <c r="K7" s="49">
        <f t="shared" si="2"/>
        <v>13522736.507616967</v>
      </c>
      <c r="L7" s="49">
        <f t="shared" si="2"/>
        <v>13522736.507616967</v>
      </c>
      <c r="M7" s="49">
        <f t="shared" si="2"/>
        <v>13522736.507616967</v>
      </c>
      <c r="N7" s="49">
        <f t="shared" si="2"/>
        <v>13522736.507616967</v>
      </c>
      <c r="O7" s="49">
        <f t="shared" si="2"/>
        <v>13522736.507616967</v>
      </c>
      <c r="P7" s="49">
        <f t="shared" si="2"/>
        <v>13522736.507616967</v>
      </c>
      <c r="Q7" s="49">
        <f t="shared" si="2"/>
        <v>13522736.507616967</v>
      </c>
      <c r="R7" s="49">
        <f t="shared" si="2"/>
        <v>13522736.507616967</v>
      </c>
      <c r="S7" s="49">
        <f t="shared" si="2"/>
        <v>13522736.507616967</v>
      </c>
      <c r="T7" s="49">
        <f t="shared" si="2"/>
        <v>13522736.507616967</v>
      </c>
      <c r="U7" s="49">
        <f t="shared" si="2"/>
        <v>13522736.507616967</v>
      </c>
      <c r="V7" s="49">
        <f t="shared" si="2"/>
        <v>13522736.507616967</v>
      </c>
      <c r="W7" s="49">
        <f t="shared" si="2"/>
        <v>13522736.507616967</v>
      </c>
      <c r="X7" s="49">
        <f t="shared" si="2"/>
        <v>13522736.507616967</v>
      </c>
      <c r="Y7" s="49">
        <f t="shared" si="2"/>
        <v>13522736.507616967</v>
      </c>
      <c r="Z7" s="49">
        <f t="shared" si="2"/>
        <v>13522736.507616967</v>
      </c>
      <c r="AA7" s="49">
        <f t="shared" si="2"/>
        <v>13522736.507616967</v>
      </c>
      <c r="AB7" s="49">
        <f t="shared" si="2"/>
        <v>13522736.507616967</v>
      </c>
      <c r="AC7" s="49">
        <f t="shared" si="2"/>
        <v>13522736.507616967</v>
      </c>
      <c r="AD7" s="49">
        <f t="shared" si="2"/>
        <v>13522736.507616967</v>
      </c>
      <c r="AE7" s="49">
        <f t="shared" si="2"/>
        <v>13522736.507616967</v>
      </c>
      <c r="AF7" s="49">
        <f t="shared" si="2"/>
        <v>13522736.507616967</v>
      </c>
    </row>
    <row r="8" spans="1:34">
      <c r="A8" s="6" t="s">
        <v>407</v>
      </c>
    </row>
    <row r="9" spans="1:34">
      <c r="A9" s="6" t="s">
        <v>408</v>
      </c>
      <c r="B9" s="88">
        <f>+Capex!$E$6</f>
        <v>0</v>
      </c>
      <c r="C9" s="5">
        <f>SUMIF($B$459:$I$459,$B9,$B$460:$I$460)</f>
        <v>0</v>
      </c>
      <c r="D9" s="5">
        <f>SUMIF($B$459:$I$459,$B9,$B$461:$I$461)</f>
        <v>0</v>
      </c>
      <c r="E9" s="5">
        <f>SUMIF($B$459:$I$459,$B9,$B$462:$I$462)</f>
        <v>0</v>
      </c>
      <c r="F9" s="5">
        <f>SUMIF($B$459:$I$459,$B9,$B$463:$I$463)</f>
        <v>0</v>
      </c>
      <c r="G9" s="5">
        <f>SUMIF($B$459:$I$459,$B9,$B$464:$I$464)</f>
        <v>0</v>
      </c>
      <c r="H9" s="5">
        <f>SUMIF($B$459:$I$459,$B9,$B$465:$I$465)</f>
        <v>0</v>
      </c>
      <c r="I9" s="5">
        <f>SUMIF($B$459:$I$459,$B9,$B$466:$I$466)</f>
        <v>0</v>
      </c>
      <c r="J9" s="5">
        <f>SUMIF($B$459:$I$459,$B9,$B$467:$I$467)</f>
        <v>0</v>
      </c>
      <c r="K9" s="5">
        <f>SUMIF($B$459:$I$459,$B9,$B$468:$I$468)</f>
        <v>0</v>
      </c>
      <c r="L9" s="5">
        <f>SUMIF($B$459:$I$459,$B9,$B$469:$I$469)</f>
        <v>0</v>
      </c>
      <c r="M9" s="5">
        <f>SUMIF($B$459:$I$459,$B9,$B$470:$I$470)</f>
        <v>0</v>
      </c>
      <c r="N9" s="5">
        <f>SUMIF($B$459:$I$459,$B9,$B$471:$I$471)</f>
        <v>0</v>
      </c>
      <c r="O9" s="5">
        <f>SUMIF($B$459:$I$459,$B9,$B$472:$I$472)</f>
        <v>0</v>
      </c>
      <c r="P9" s="5">
        <f>SUMIF($B$459:$I$459,$B9,$B$473:$I$473)</f>
        <v>0</v>
      </c>
      <c r="Q9" s="5">
        <f>SUMIF($B$459:$I$459,$B9,$B$474:$I$474)</f>
        <v>0</v>
      </c>
      <c r="R9" s="5">
        <f>SUMIF($B$459:$I$459,$B9,$B$475:$I$475)</f>
        <v>0</v>
      </c>
      <c r="S9" s="5">
        <f>SUMIF($B$459:$I$459,$B9,$B$476:$I$476)</f>
        <v>0</v>
      </c>
      <c r="T9" s="5">
        <f>SUMIF($B$459:$I$459,$B9,$B$477:$I$477)</f>
        <v>0</v>
      </c>
      <c r="U9" s="5">
        <f>SUMIF($B$459:$I$459,$B9,$B$478:$I$478)</f>
        <v>0</v>
      </c>
      <c r="V9" s="5">
        <f>SUMIF($B$459:$I$459,$B9,$B$479:$I$479)</f>
        <v>0</v>
      </c>
      <c r="W9" s="5">
        <f>SUMIF($B$459:$I$459,$B9,$B$480:$I$480)</f>
        <v>0</v>
      </c>
      <c r="X9" s="5">
        <f>SUMIF($B$459:$I$459,$B9,$B$481:$I$481)</f>
        <v>0</v>
      </c>
      <c r="Y9" s="5">
        <f>SUMIF($B$459:$I$459,$B9,$B$482:$I$482)</f>
        <v>0</v>
      </c>
      <c r="Z9" s="5">
        <f>SUMIF($B$459:$I$459,$B9,$B$483:$I$483)</f>
        <v>0</v>
      </c>
      <c r="AA9" s="5">
        <f t="shared" ref="AA9:AF9" si="3">SUMIF($B$459:$I$459,$B9,$B$484:$I$484)</f>
        <v>0</v>
      </c>
      <c r="AB9" s="5">
        <f t="shared" si="3"/>
        <v>0</v>
      </c>
      <c r="AC9" s="5">
        <f t="shared" si="3"/>
        <v>0</v>
      </c>
      <c r="AD9" s="5">
        <f t="shared" si="3"/>
        <v>0</v>
      </c>
      <c r="AE9" s="5">
        <f t="shared" si="3"/>
        <v>0</v>
      </c>
      <c r="AF9" s="5">
        <f t="shared" si="3"/>
        <v>0</v>
      </c>
    </row>
    <row r="10" spans="1:34">
      <c r="A10" s="6" t="s">
        <v>409</v>
      </c>
      <c r="B10" s="89"/>
      <c r="C10" s="94">
        <f>IF(C$2&gt;'Input Data'!$M$37,B10,IF($B9=0,0,SUMIF('Input Data'!$C$37:$M$37,C$2,'Input Data'!$C$38:$M$38)))</f>
        <v>0</v>
      </c>
      <c r="D10" s="94">
        <f>IF(D$2&gt;'Input Data'!$M$37,C10,IF($B9=0,0,SUMIF('Input Data'!$C$37:$M$37,D$2,'Input Data'!$C$38:$M$38)))</f>
        <v>0</v>
      </c>
      <c r="E10" s="94">
        <f>IF(E$2&gt;'Input Data'!$M$37,D10,IF($B9=0,0,SUMIF('Input Data'!$C$37:$M$37,E$2,'Input Data'!$C$38:$M$38)))</f>
        <v>0</v>
      </c>
      <c r="F10" s="94">
        <f>IF(F$2&gt;'Input Data'!$M$37,E10,IF($B9=0,0,SUMIF('Input Data'!$C$37:$M$37,F$2,'Input Data'!$C$38:$M$38)))</f>
        <v>0</v>
      </c>
      <c r="G10" s="94">
        <f>IF(G$2&gt;'Input Data'!$M$37,F10,IF($B9=0,0,SUMIF('Input Data'!$C$37:$M$37,G$2,'Input Data'!$C$38:$M$38)))</f>
        <v>0</v>
      </c>
      <c r="H10" s="94">
        <f>IF(H$2&gt;'Input Data'!$M$37,G10,IF($B9=0,0,SUMIF('Input Data'!$C$37:$M$37,H$2,'Input Data'!$C$38:$M$38)))</f>
        <v>0</v>
      </c>
      <c r="I10" s="94">
        <f>IF(I$2&gt;'Input Data'!$M$37,H10,IF($B9=0,0,SUMIF('Input Data'!$C$37:$M$37,I$2,'Input Data'!$C$38:$M$38)))</f>
        <v>0</v>
      </c>
      <c r="J10" s="94">
        <f>IF(J$2&gt;'Input Data'!$M$37,I10,IF($B9=0,0,SUMIF('Input Data'!$C$37:$M$37,J$2,'Input Data'!$C$38:$M$38)))</f>
        <v>0</v>
      </c>
      <c r="K10" s="94">
        <f>IF(K$2&gt;'Input Data'!$M$37,J10,IF($B9=0,0,SUMIF('Input Data'!$C$37:$M$37,K$2,'Input Data'!$C$38:$M$38)))</f>
        <v>0</v>
      </c>
      <c r="L10" s="94">
        <f>IF(L$2&gt;'Input Data'!$M$37,K10,IF($B9=0,0,SUMIF('Input Data'!$C$37:$M$37,L$2,'Input Data'!$C$38:$M$38)))</f>
        <v>0</v>
      </c>
      <c r="M10" s="94">
        <f>IF(M$2&gt;'Input Data'!$M$37,L10,IF($B9=0,0,SUMIF('Input Data'!$C$37:$M$37,M$2,'Input Data'!$C$38:$M$38)))</f>
        <v>0</v>
      </c>
      <c r="N10" s="94">
        <f>IF(N$2&gt;'Input Data'!$M$37,M10,IF($B9=0,0,SUMIF('Input Data'!$C$37:$M$37,N$2,'Input Data'!$C$38:$M$38)))</f>
        <v>0</v>
      </c>
      <c r="O10" s="94">
        <f>IF(O$2&gt;'Input Data'!$M$37,N10,IF($B9=0,0,SUMIF('Input Data'!$C$37:$M$37,O$2,'Input Data'!$C$38:$M$38)))</f>
        <v>0</v>
      </c>
      <c r="P10" s="94">
        <f>IF(P$2&gt;'Input Data'!$M$37,O10,IF($B9=0,0,SUMIF('Input Data'!$C$37:$M$37,P$2,'Input Data'!$C$38:$M$38)))</f>
        <v>0</v>
      </c>
      <c r="Q10" s="94">
        <f>IF(Q$2&gt;'Input Data'!$M$37,P10,IF($B9=0,0,SUMIF('Input Data'!$C$37:$M$37,Q$2,'Input Data'!$C$38:$M$38)))</f>
        <v>0</v>
      </c>
      <c r="R10" s="94">
        <f>IF(R$2&gt;'Input Data'!$M$37,Q10,IF($B9=0,0,SUMIF('Input Data'!$C$37:$M$37,R$2,'Input Data'!$C$38:$M$38)))</f>
        <v>0</v>
      </c>
      <c r="S10" s="94">
        <f>IF(S$2&gt;'Input Data'!$M$37,R10,IF($B9=0,0,SUMIF('Input Data'!$C$37:$M$37,S$2,'Input Data'!$C$38:$M$38)))</f>
        <v>0</v>
      </c>
      <c r="T10" s="94">
        <f>IF(T$2&gt;'Input Data'!$M$37,S10,IF($B9=0,0,SUMIF('Input Data'!$C$37:$M$37,T$2,'Input Data'!$C$38:$M$38)))</f>
        <v>0</v>
      </c>
      <c r="U10" s="94">
        <f>IF(U$2&gt;'Input Data'!$M$37,T10,IF($B9=0,0,SUMIF('Input Data'!$C$37:$M$37,U$2,'Input Data'!$C$38:$M$38)))</f>
        <v>0</v>
      </c>
      <c r="V10" s="94">
        <f>IF(V$2&gt;'Input Data'!$M$37,U10,IF($B9=0,0,SUMIF('Input Data'!$C$37:$M$37,V$2,'Input Data'!$C$38:$M$38)))</f>
        <v>0</v>
      </c>
      <c r="W10" s="94">
        <f>IF(W$2&gt;'Input Data'!$M$37,V10,IF($B9=0,0,SUMIF('Input Data'!$C$37:$M$37,W$2,'Input Data'!$C$38:$M$38)))</f>
        <v>0</v>
      </c>
      <c r="X10" s="94">
        <f>IF(X$2&gt;'Input Data'!$M$37,W10,IF($B9=0,0,SUMIF('Input Data'!$C$37:$M$37,X$2,'Input Data'!$C$38:$M$38)))</f>
        <v>0</v>
      </c>
      <c r="Y10" s="94">
        <f>IF(Y$2&gt;'Input Data'!$M$37,X10,IF($B9=0,0,SUMIF('Input Data'!$C$37:$M$37,Y$2,'Input Data'!$C$38:$M$38)))</f>
        <v>0</v>
      </c>
      <c r="Z10" s="94">
        <f>IF(Z$2&gt;'Input Data'!$M$37,Y10,IF($B9=0,0,SUMIF('Input Data'!$C$37:$M$37,Z$2,'Input Data'!$C$38:$M$38)))</f>
        <v>0</v>
      </c>
      <c r="AA10" s="94">
        <f>IF(AA$2&gt;'Input Data'!$M$37,Z10,IF($B9=0,0,SUMIF('Input Data'!$C$37:$M$37,AA$2,'Input Data'!$C$38:$M$38)))</f>
        <v>0</v>
      </c>
      <c r="AB10" s="94">
        <f>IF(AB$2&gt;'Input Data'!$M$37,AA10,IF($B9=0,0,SUMIF('Input Data'!$C$37:$M$37,AB$2,'Input Data'!$C$38:$M$38)))</f>
        <v>0</v>
      </c>
      <c r="AC10" s="94">
        <f>IF(AC$2&gt;'Input Data'!$M$37,AB10,IF($B9=0,0,SUMIF('Input Data'!$C$37:$M$37,AC$2,'Input Data'!$C$38:$M$38)))</f>
        <v>0</v>
      </c>
      <c r="AD10" s="94">
        <f>IF(AD$2&gt;'Input Data'!$M$37,AC10,IF($B9=0,0,SUMIF('Input Data'!$C$37:$M$37,AD$2,'Input Data'!$C$38:$M$38)))</f>
        <v>0</v>
      </c>
      <c r="AE10" s="94">
        <f>IF(AE$2&gt;'Input Data'!$M$37,AD10,IF($B9=0,0,SUMIF('Input Data'!$C$37:$M$37,AE$2,'Input Data'!$C$38:$M$38)))</f>
        <v>0</v>
      </c>
      <c r="AF10" s="94">
        <f>IF(AF$2&gt;'Input Data'!$M$37,AE10,IF($B9=0,0,SUMIF('Input Data'!$C$37:$M$37,AF$2,'Input Data'!$C$38:$M$38)))</f>
        <v>0</v>
      </c>
    </row>
    <row r="11" spans="1:34">
      <c r="A11" s="359">
        <f>+Book!A9</f>
        <v>2022</v>
      </c>
      <c r="B11" s="4">
        <f>SUMIF($C$2:$AF$2,A11,$C$6:$AF$6)</f>
        <v>0</v>
      </c>
      <c r="C11" s="4">
        <f>C6*C10+C6*(1-C10)*C9</f>
        <v>0</v>
      </c>
      <c r="D11" s="4">
        <f>C6*(1-C10)*D9</f>
        <v>0</v>
      </c>
      <c r="E11" s="4">
        <f>C6*(1-C10)*E9</f>
        <v>0</v>
      </c>
      <c r="F11" s="4">
        <f>C6*(1-C10)*F9</f>
        <v>0</v>
      </c>
      <c r="G11" s="4">
        <f>C6*(1-C10)*G9</f>
        <v>0</v>
      </c>
      <c r="H11" s="4">
        <f>C6*(1-C10)*H9</f>
        <v>0</v>
      </c>
      <c r="I11" s="4">
        <f>C6*(1-C10)*I9</f>
        <v>0</v>
      </c>
      <c r="J11" s="4">
        <f>C6*(1-C10)*J9</f>
        <v>0</v>
      </c>
      <c r="K11" s="4">
        <f>C6*(1-C10)*K9</f>
        <v>0</v>
      </c>
      <c r="L11" s="4">
        <f>C6*(1-C10)*L9</f>
        <v>0</v>
      </c>
      <c r="M11" s="4">
        <f>C6*(1-C10)*M9</f>
        <v>0</v>
      </c>
      <c r="N11" s="4">
        <f>C6*(1-C10)*N9</f>
        <v>0</v>
      </c>
      <c r="O11" s="4">
        <f>C6*(1-C10)*O9</f>
        <v>0</v>
      </c>
      <c r="P11" s="4">
        <f>C6*(1-C10)*P9</f>
        <v>0</v>
      </c>
      <c r="Q11" s="4">
        <f>C6*(1-C10)*Q9</f>
        <v>0</v>
      </c>
      <c r="R11" s="4">
        <f>C6*(1-C10)*R9</f>
        <v>0</v>
      </c>
      <c r="S11" s="4">
        <f>C6*(1-C10)*S9</f>
        <v>0</v>
      </c>
      <c r="T11" s="4">
        <f>C6*(1-C10)*T9</f>
        <v>0</v>
      </c>
      <c r="U11" s="4">
        <f>C6*(1-C10)*U9</f>
        <v>0</v>
      </c>
      <c r="V11" s="4">
        <f>C6*(1-C10)*V9</f>
        <v>0</v>
      </c>
      <c r="W11" s="4">
        <f>C6*(1-C10)*W9</f>
        <v>0</v>
      </c>
      <c r="X11" s="4">
        <f>C6*(1-C10)*X9</f>
        <v>0</v>
      </c>
      <c r="Y11" s="4">
        <f>C6*(1-C10)*Y9</f>
        <v>0</v>
      </c>
      <c r="Z11" s="4">
        <f>C6*(1-C10)*Z9</f>
        <v>0</v>
      </c>
      <c r="AA11" s="4">
        <f>C6*(1-C10)*AA9</f>
        <v>0</v>
      </c>
      <c r="AB11" s="4">
        <f>C6*(1-C10)*AB9</f>
        <v>0</v>
      </c>
      <c r="AC11" s="4">
        <f>C6*(1-C10)*AC9</f>
        <v>0</v>
      </c>
      <c r="AD11" s="4">
        <f>C6*(1-C10)*AD9</f>
        <v>0</v>
      </c>
      <c r="AE11" s="4">
        <f>C6*(1-C10)*AE9</f>
        <v>0</v>
      </c>
      <c r="AF11" s="4">
        <f>C6*(1-C10)*AF9</f>
        <v>0</v>
      </c>
      <c r="AG11" s="4">
        <f t="shared" ref="AG11:AG35" si="4">SUM(C11:AF11)</f>
        <v>0</v>
      </c>
      <c r="AH11" s="252">
        <f>+B11-AG11</f>
        <v>0</v>
      </c>
    </row>
    <row r="12" spans="1:34">
      <c r="A12" s="6">
        <f>+A11+1</f>
        <v>2023</v>
      </c>
      <c r="B12" s="4">
        <f t="shared" ref="B12:B40" si="5">SUMIF($C$2:$AF$2,A12,$C$6:$AF$6)</f>
        <v>0</v>
      </c>
      <c r="D12" s="4">
        <f>D6*D10+D6*(1-D10)*C9</f>
        <v>0</v>
      </c>
      <c r="E12" s="4">
        <f>+D6*(1-D10)*D9</f>
        <v>0</v>
      </c>
      <c r="F12" s="4">
        <f>+D6*(1-D10)*E9</f>
        <v>0</v>
      </c>
      <c r="G12" s="4">
        <f>+D6*(1-D10)*F9</f>
        <v>0</v>
      </c>
      <c r="H12" s="4">
        <f>+D6*(1-D10)*G9</f>
        <v>0</v>
      </c>
      <c r="I12" s="4">
        <f>+D6*(1-D10)*H9</f>
        <v>0</v>
      </c>
      <c r="J12" s="4">
        <f>+D6*(1-D10)*I9</f>
        <v>0</v>
      </c>
      <c r="K12" s="4">
        <f>+D6*(1-D10)*J9</f>
        <v>0</v>
      </c>
      <c r="L12" s="4">
        <f>+D6*(1-D10)*K9</f>
        <v>0</v>
      </c>
      <c r="M12" s="4">
        <f>+D6*(1-D10)*L9</f>
        <v>0</v>
      </c>
      <c r="N12" s="4">
        <f>+D6*(1-D10)*M9</f>
        <v>0</v>
      </c>
      <c r="O12" s="4">
        <f>+D6*(1-D10)*N9</f>
        <v>0</v>
      </c>
      <c r="P12" s="4">
        <f>+D6*(1-D10)*O9</f>
        <v>0</v>
      </c>
      <c r="Q12" s="4">
        <f>+D6*(1-D10)*P9</f>
        <v>0</v>
      </c>
      <c r="R12" s="4">
        <f>+D6*(1-D10)*Q9</f>
        <v>0</v>
      </c>
      <c r="S12" s="4">
        <f>+D6*(1-D10)*R9</f>
        <v>0</v>
      </c>
      <c r="T12" s="4">
        <f>+D6*(1-D10)*S9</f>
        <v>0</v>
      </c>
      <c r="U12" s="4">
        <f>+D6*(1-D10)*T9</f>
        <v>0</v>
      </c>
      <c r="V12" s="4">
        <f>+D6*(1-D10)*U9</f>
        <v>0</v>
      </c>
      <c r="W12" s="4">
        <f>+D6*(1-D10)*V9</f>
        <v>0</v>
      </c>
      <c r="X12" s="4">
        <f>+D6*(1-D10)*W9</f>
        <v>0</v>
      </c>
      <c r="Y12" s="4">
        <f>+D6*(1-D10)*X9</f>
        <v>0</v>
      </c>
      <c r="Z12" s="4">
        <f>+D6*(1-D10)*Y9</f>
        <v>0</v>
      </c>
      <c r="AA12" s="4">
        <f>+D6*(1-D10)*Z9</f>
        <v>0</v>
      </c>
      <c r="AB12" s="4">
        <f>+D6*(1-D10)*AA9</f>
        <v>0</v>
      </c>
      <c r="AC12" s="4">
        <f>+D6*(1-D10)*AB9</f>
        <v>0</v>
      </c>
      <c r="AD12" s="4">
        <f>+D6*(1-D10)*AC9</f>
        <v>0</v>
      </c>
      <c r="AE12" s="4">
        <f>+D6*(1-D10)*AD9</f>
        <v>0</v>
      </c>
      <c r="AF12" s="4">
        <f>+D6*(1-D10)*AE9</f>
        <v>0</v>
      </c>
      <c r="AG12" s="4">
        <f t="shared" si="4"/>
        <v>0</v>
      </c>
      <c r="AH12" s="252">
        <f t="shared" ref="AH12:AH34" si="6">+B12-AG12</f>
        <v>0</v>
      </c>
    </row>
    <row r="13" spans="1:34">
      <c r="A13" s="6">
        <f t="shared" ref="A13:A40" si="7">+A12+1</f>
        <v>2024</v>
      </c>
      <c r="B13" s="4">
        <f t="shared" si="5"/>
        <v>13522736.507616967</v>
      </c>
      <c r="E13" s="4">
        <f>E6*E10+E6*(1-E10)*C9</f>
        <v>0</v>
      </c>
      <c r="F13" s="4">
        <f>+E6*(1-E10)*D9</f>
        <v>0</v>
      </c>
      <c r="G13" s="4">
        <f>+E6*(1-E10)*E9</f>
        <v>0</v>
      </c>
      <c r="H13" s="4">
        <f>+E6*(1-E10)*F9</f>
        <v>0</v>
      </c>
      <c r="I13" s="4">
        <f>+E6*(1-E10)*G9</f>
        <v>0</v>
      </c>
      <c r="J13" s="4">
        <f>+E6*(1-E10)*H9</f>
        <v>0</v>
      </c>
      <c r="K13" s="4">
        <f>+E6*(1-E10)*I9</f>
        <v>0</v>
      </c>
      <c r="L13" s="4">
        <f>+E6*(1-E10)*J9</f>
        <v>0</v>
      </c>
      <c r="M13" s="4">
        <f>+E6*(1-E10)*K9</f>
        <v>0</v>
      </c>
      <c r="N13" s="4">
        <f>+E6*(1-E10)*L9</f>
        <v>0</v>
      </c>
      <c r="O13" s="4">
        <f>+E6*(1-E10)*M9</f>
        <v>0</v>
      </c>
      <c r="P13" s="4">
        <f>+E6*(1-E10)*N9</f>
        <v>0</v>
      </c>
      <c r="Q13" s="4">
        <f>+E6*(1-E10)*O9</f>
        <v>0</v>
      </c>
      <c r="R13" s="4">
        <f>+E6*(1-E10)*P9</f>
        <v>0</v>
      </c>
      <c r="S13" s="4">
        <f>+E6*(1-E10)*Q9</f>
        <v>0</v>
      </c>
      <c r="T13" s="4">
        <f>+E6*(1-E10)*R9</f>
        <v>0</v>
      </c>
      <c r="U13" s="4">
        <f>+E6*(1-E10)*S9</f>
        <v>0</v>
      </c>
      <c r="V13" s="4">
        <f>+E6*(1-E10)*T9</f>
        <v>0</v>
      </c>
      <c r="W13" s="4">
        <f>+E6*(1-E10)*U9</f>
        <v>0</v>
      </c>
      <c r="X13" s="4">
        <f>+E6*(1-E10)*V9</f>
        <v>0</v>
      </c>
      <c r="Y13" s="4">
        <f>+E6*(1-E10)*W9</f>
        <v>0</v>
      </c>
      <c r="Z13" s="4">
        <f>+E6*(1-E10)*X9</f>
        <v>0</v>
      </c>
      <c r="AA13" s="4">
        <f>+E6*(1-E10)*Y9</f>
        <v>0</v>
      </c>
      <c r="AB13" s="4">
        <f>+E6*(1-E10)*Z9</f>
        <v>0</v>
      </c>
      <c r="AC13" s="4">
        <f>+E6*(1-E10)*AA9</f>
        <v>0</v>
      </c>
      <c r="AD13" s="4">
        <f>+E6*(1-E10)*AB9</f>
        <v>0</v>
      </c>
      <c r="AE13" s="4">
        <f>+E6*(1-E10)*AC9</f>
        <v>0</v>
      </c>
      <c r="AF13" s="4">
        <f>+E6*(1-E10)*AD9</f>
        <v>0</v>
      </c>
      <c r="AG13" s="4">
        <f t="shared" si="4"/>
        <v>0</v>
      </c>
      <c r="AH13" s="252">
        <f t="shared" si="6"/>
        <v>13522736.507616967</v>
      </c>
    </row>
    <row r="14" spans="1:34">
      <c r="A14" s="6">
        <f t="shared" si="7"/>
        <v>2025</v>
      </c>
      <c r="B14" s="4">
        <f t="shared" si="5"/>
        <v>0</v>
      </c>
      <c r="F14" s="4">
        <f>F6*F10+F6*(1-F10)*C9</f>
        <v>0</v>
      </c>
      <c r="G14" s="4">
        <f>+F6*(1-F10)*D9</f>
        <v>0</v>
      </c>
      <c r="H14" s="4">
        <f>+F6*(1-F10)*E9</f>
        <v>0</v>
      </c>
      <c r="I14" s="4">
        <f>+F6*(1-F10)*F9</f>
        <v>0</v>
      </c>
      <c r="J14" s="4">
        <f>+F6*(1-F10)*G9</f>
        <v>0</v>
      </c>
      <c r="K14" s="4">
        <f>+F6*(1-F10)*H9</f>
        <v>0</v>
      </c>
      <c r="L14" s="4">
        <f>+F6*(1-F10)*I9</f>
        <v>0</v>
      </c>
      <c r="M14" s="4">
        <f>+F6*(1-F10)*J9</f>
        <v>0</v>
      </c>
      <c r="N14" s="4">
        <f>+F6*(1-F10)*K9</f>
        <v>0</v>
      </c>
      <c r="O14" s="4">
        <f>+F6*(1-F10)*L9</f>
        <v>0</v>
      </c>
      <c r="P14" s="4">
        <f>+F6*(1-F10)*M9</f>
        <v>0</v>
      </c>
      <c r="Q14" s="4">
        <f>+F6*(1-F10)*N9</f>
        <v>0</v>
      </c>
      <c r="R14" s="4">
        <f>+F6*(1-F10)*O9</f>
        <v>0</v>
      </c>
      <c r="S14" s="4">
        <f>+F6*(1-F10)*P9</f>
        <v>0</v>
      </c>
      <c r="T14" s="4">
        <f>+F6*(1-F10)*Q9</f>
        <v>0</v>
      </c>
      <c r="U14" s="4">
        <f>+F6*(1-F10)*R9</f>
        <v>0</v>
      </c>
      <c r="V14" s="4">
        <f>+F6*(1-F10)*S9</f>
        <v>0</v>
      </c>
      <c r="W14" s="4">
        <f>+F6*(1-F10)*T9</f>
        <v>0</v>
      </c>
      <c r="X14" s="4">
        <f>+F6*(1-F10)*U9</f>
        <v>0</v>
      </c>
      <c r="Y14" s="4">
        <f>+F6*(1-F10)*V9</f>
        <v>0</v>
      </c>
      <c r="Z14" s="4">
        <f>+F6*(1-F10)*W9</f>
        <v>0</v>
      </c>
      <c r="AA14" s="4">
        <f>+F6*(1-F10)*X9</f>
        <v>0</v>
      </c>
      <c r="AB14" s="4">
        <f>+F6*(1-F10)*Y9</f>
        <v>0</v>
      </c>
      <c r="AC14" s="4">
        <f>+F6*(1-F10)*Z9</f>
        <v>0</v>
      </c>
      <c r="AD14" s="4">
        <f>+F6*(1-F10)*AA9</f>
        <v>0</v>
      </c>
      <c r="AE14" s="4">
        <f>+F6*(1-F10)*AB9</f>
        <v>0</v>
      </c>
      <c r="AF14" s="4">
        <f>+F6*(1-F10)*AC9</f>
        <v>0</v>
      </c>
      <c r="AG14" s="4">
        <f t="shared" si="4"/>
        <v>0</v>
      </c>
      <c r="AH14" s="252">
        <f t="shared" si="6"/>
        <v>0</v>
      </c>
    </row>
    <row r="15" spans="1:34">
      <c r="A15" s="6">
        <f t="shared" si="7"/>
        <v>2026</v>
      </c>
      <c r="B15" s="4">
        <f t="shared" si="5"/>
        <v>0</v>
      </c>
      <c r="G15" s="4">
        <f>G6*G10+G6*(1-G10)*C9</f>
        <v>0</v>
      </c>
      <c r="H15" s="4">
        <f>+G6*(1-G10)*D9</f>
        <v>0</v>
      </c>
      <c r="I15" s="4">
        <f>+G6*(1-G10)*E9</f>
        <v>0</v>
      </c>
      <c r="J15" s="4">
        <f>+G6*(1-G10)*F9</f>
        <v>0</v>
      </c>
      <c r="K15" s="4">
        <f>+G6*(1-G10)*G9</f>
        <v>0</v>
      </c>
      <c r="L15" s="4">
        <f>+G6*(1-G10)*H9</f>
        <v>0</v>
      </c>
      <c r="M15" s="4">
        <f>+G6*(1-G10)*I9</f>
        <v>0</v>
      </c>
      <c r="N15" s="4">
        <f>+G6*(1-G10)*J9</f>
        <v>0</v>
      </c>
      <c r="O15" s="4">
        <f>+G6*(1-G10)*K9</f>
        <v>0</v>
      </c>
      <c r="P15" s="4">
        <f>+G6*(1-G10)*L9</f>
        <v>0</v>
      </c>
      <c r="Q15" s="4">
        <f>+G6*(1-G10)*M9</f>
        <v>0</v>
      </c>
      <c r="R15" s="4">
        <f>+G6*(1-G10)*N9</f>
        <v>0</v>
      </c>
      <c r="S15" s="4">
        <f>+G6*(1-G10)*O9</f>
        <v>0</v>
      </c>
      <c r="T15" s="4">
        <f>+G6*(1-G10)*P9</f>
        <v>0</v>
      </c>
      <c r="U15" s="4">
        <f>+G6*(1-G10)*Q9</f>
        <v>0</v>
      </c>
      <c r="V15" s="4">
        <f>+G6*(1-G10)*R9</f>
        <v>0</v>
      </c>
      <c r="W15" s="4">
        <f>+G6*(1-G10)*S9</f>
        <v>0</v>
      </c>
      <c r="X15" s="4">
        <f>+G6*(1-G10)*T9</f>
        <v>0</v>
      </c>
      <c r="Y15" s="4">
        <f>+G6*(1-G10)*U9</f>
        <v>0</v>
      </c>
      <c r="Z15" s="4">
        <f>+G6*(1-G10)*V9</f>
        <v>0</v>
      </c>
      <c r="AA15" s="4">
        <f>+G6*(1-G10)*W9</f>
        <v>0</v>
      </c>
      <c r="AB15" s="4">
        <f>+G6*(1-G10)*X9</f>
        <v>0</v>
      </c>
      <c r="AC15" s="4">
        <f>+G6*(1-G10)*Y9</f>
        <v>0</v>
      </c>
      <c r="AD15" s="4">
        <f>+G6*(1-G10)*Z9</f>
        <v>0</v>
      </c>
      <c r="AE15" s="4">
        <f>+G6*(1-G10)*AA9</f>
        <v>0</v>
      </c>
      <c r="AF15" s="4">
        <f>+G6*(1-G10)*AB9</f>
        <v>0</v>
      </c>
      <c r="AG15" s="4">
        <f t="shared" si="4"/>
        <v>0</v>
      </c>
      <c r="AH15" s="252">
        <f t="shared" si="6"/>
        <v>0</v>
      </c>
    </row>
    <row r="16" spans="1:34">
      <c r="A16" s="6">
        <f t="shared" si="7"/>
        <v>2027</v>
      </c>
      <c r="B16" s="4">
        <f t="shared" si="5"/>
        <v>0</v>
      </c>
      <c r="H16" s="4">
        <f>H6*H10+H6*(1-H10)*C9</f>
        <v>0</v>
      </c>
      <c r="I16" s="4">
        <f>+H6*(1-H10)*D9</f>
        <v>0</v>
      </c>
      <c r="J16" s="4">
        <f>+H6*(1-H10)*E9</f>
        <v>0</v>
      </c>
      <c r="K16" s="4">
        <f>+H6*(1-H10)*F9</f>
        <v>0</v>
      </c>
      <c r="L16" s="4">
        <f>+H6*(1-H10)*G9</f>
        <v>0</v>
      </c>
      <c r="M16" s="4">
        <f>+H6*(1-H10)*H9</f>
        <v>0</v>
      </c>
      <c r="N16" s="4">
        <f>+H6*(1-H10)*I9</f>
        <v>0</v>
      </c>
      <c r="O16" s="4">
        <f>+H6*(1-H10)*J9</f>
        <v>0</v>
      </c>
      <c r="P16" s="4">
        <f>+H6*(1-H10)*K9</f>
        <v>0</v>
      </c>
      <c r="Q16" s="4">
        <f>+H6*(1-H10)*L9</f>
        <v>0</v>
      </c>
      <c r="R16" s="4">
        <f>+H6*(1-H10)*M9</f>
        <v>0</v>
      </c>
      <c r="S16" s="4">
        <f>+H6*(1-H10)*N9</f>
        <v>0</v>
      </c>
      <c r="T16" s="4">
        <f>+H6*(1-H10)*O9</f>
        <v>0</v>
      </c>
      <c r="U16" s="4">
        <f>+H6*(1-H10)*P9</f>
        <v>0</v>
      </c>
      <c r="V16" s="4">
        <f>+H6*(1-H10)*Q9</f>
        <v>0</v>
      </c>
      <c r="W16" s="4">
        <f>+H6*(1-H10)*R9</f>
        <v>0</v>
      </c>
      <c r="X16" s="4">
        <f>+H6*(1-H10)*S9</f>
        <v>0</v>
      </c>
      <c r="Y16" s="4">
        <f>+H6*(1-H10)*T9</f>
        <v>0</v>
      </c>
      <c r="Z16" s="4">
        <f>+H6*(1-H10)*U9</f>
        <v>0</v>
      </c>
      <c r="AA16" s="4">
        <f>+H6*(1-H10)*V9</f>
        <v>0</v>
      </c>
      <c r="AB16" s="4">
        <f>+H6*(1-H10)*W9</f>
        <v>0</v>
      </c>
      <c r="AC16" s="4">
        <f>+H6*(1-H10)*X9</f>
        <v>0</v>
      </c>
      <c r="AD16" s="4">
        <f>+H6*(1-H10)*Y9</f>
        <v>0</v>
      </c>
      <c r="AE16" s="4">
        <f>+H6*(1-H10)*Z9</f>
        <v>0</v>
      </c>
      <c r="AF16" s="4">
        <f>+H6*(1-H10)*AA9</f>
        <v>0</v>
      </c>
      <c r="AG16" s="4">
        <f t="shared" si="4"/>
        <v>0</v>
      </c>
      <c r="AH16" s="252">
        <f t="shared" si="6"/>
        <v>0</v>
      </c>
    </row>
    <row r="17" spans="1:34">
      <c r="A17" s="6">
        <f t="shared" si="7"/>
        <v>2028</v>
      </c>
      <c r="B17" s="4">
        <f t="shared" si="5"/>
        <v>0</v>
      </c>
      <c r="I17" s="4">
        <f>I6*I10+I6*(1-I10)*C9</f>
        <v>0</v>
      </c>
      <c r="J17" s="4">
        <f>+I6*(1-I10)*D9</f>
        <v>0</v>
      </c>
      <c r="K17" s="4">
        <f>+I6*(1-I10)*E9</f>
        <v>0</v>
      </c>
      <c r="L17" s="4">
        <f>+I6*(1-I10)*F9</f>
        <v>0</v>
      </c>
      <c r="M17" s="4">
        <f>+I6*(1-I10)*G9</f>
        <v>0</v>
      </c>
      <c r="N17" s="4">
        <f>+I6*(1-I10)*H9</f>
        <v>0</v>
      </c>
      <c r="O17" s="4">
        <f>+I6*(1-I10)*I9</f>
        <v>0</v>
      </c>
      <c r="P17" s="4">
        <f>+I6*(1-I10)*J9</f>
        <v>0</v>
      </c>
      <c r="Q17" s="4">
        <f>+I6*(1-I10)*K9</f>
        <v>0</v>
      </c>
      <c r="R17" s="4">
        <f>+I6*(1-I10)*L9</f>
        <v>0</v>
      </c>
      <c r="S17" s="4">
        <f>+I6*(1-I10)*M9</f>
        <v>0</v>
      </c>
      <c r="T17" s="4">
        <f>+I6*(1-I10)*N9</f>
        <v>0</v>
      </c>
      <c r="U17" s="4">
        <f>+I6*(1-I10)*O9</f>
        <v>0</v>
      </c>
      <c r="V17" s="4">
        <f>+I6*(1-I10)*P9</f>
        <v>0</v>
      </c>
      <c r="W17" s="4">
        <f>+I6*(1-I10)*Q9</f>
        <v>0</v>
      </c>
      <c r="X17" s="4">
        <f>+I6*(1-I10)*R9</f>
        <v>0</v>
      </c>
      <c r="Y17" s="4">
        <f>+I6*(1-I10)*S9</f>
        <v>0</v>
      </c>
      <c r="Z17" s="4">
        <f>+I6*(1-I10)*T9</f>
        <v>0</v>
      </c>
      <c r="AA17" s="4">
        <f>+I6*(1-I10)*U9</f>
        <v>0</v>
      </c>
      <c r="AB17" s="4">
        <f>+I6*(1-I10)*V9</f>
        <v>0</v>
      </c>
      <c r="AC17" s="4">
        <f>+I6*(1-I10)*W9</f>
        <v>0</v>
      </c>
      <c r="AD17" s="4">
        <f>+I6*(1-I10)*X9</f>
        <v>0</v>
      </c>
      <c r="AE17" s="4">
        <f>+I6*(1-I10)*Y9</f>
        <v>0</v>
      </c>
      <c r="AF17" s="4">
        <f>+I6*(1-I10)*Z9</f>
        <v>0</v>
      </c>
      <c r="AG17" s="4">
        <f t="shared" si="4"/>
        <v>0</v>
      </c>
      <c r="AH17" s="252">
        <f t="shared" si="6"/>
        <v>0</v>
      </c>
    </row>
    <row r="18" spans="1:34">
      <c r="A18" s="6">
        <f t="shared" si="7"/>
        <v>2029</v>
      </c>
      <c r="B18" s="4">
        <f t="shared" si="5"/>
        <v>0</v>
      </c>
      <c r="J18" s="4">
        <f>J6*J10+J6*(1-J10)*C9</f>
        <v>0</v>
      </c>
      <c r="K18" s="4">
        <f>K6*K10+J6*(1-K10)*D9</f>
        <v>0</v>
      </c>
      <c r="L18" s="4">
        <f>L6*L10+J6*(1-L10)*E9</f>
        <v>0</v>
      </c>
      <c r="M18" s="4">
        <f>M6*M10+J6*(1-M10)*F9</f>
        <v>0</v>
      </c>
      <c r="N18" s="4">
        <f>N6*N10+J6*(1-N10)*G9</f>
        <v>0</v>
      </c>
      <c r="O18" s="4">
        <f>O6*O10+J6*(1-O10)*H9</f>
        <v>0</v>
      </c>
      <c r="P18" s="4">
        <f>P6*P10+J6*(1-P10)*I9</f>
        <v>0</v>
      </c>
      <c r="Q18" s="4">
        <f>Q6*Q10+J6*(1-Q10)*J9</f>
        <v>0</v>
      </c>
      <c r="R18" s="4">
        <f>R6*R10+J6*(1-R10)*K9</f>
        <v>0</v>
      </c>
      <c r="S18" s="4">
        <f>S6*S10+J6*(1-S10)*L9</f>
        <v>0</v>
      </c>
      <c r="T18" s="4">
        <f>T6*T10+J6*(1-T10)*M9</f>
        <v>0</v>
      </c>
      <c r="U18" s="4">
        <f>U6*U10+J6*(1-U10)*N9</f>
        <v>0</v>
      </c>
      <c r="V18" s="4">
        <f>V6*V10+J6*(1-V10)*O9</f>
        <v>0</v>
      </c>
      <c r="W18" s="4">
        <f>W6*W10+J6*(1-W10)*P9</f>
        <v>0</v>
      </c>
      <c r="X18" s="4">
        <f>X6*X10+J6*(1-X10)*Q9</f>
        <v>0</v>
      </c>
      <c r="Y18" s="4">
        <f>Y6*Y10+J6*(1-Y10)*R9</f>
        <v>0</v>
      </c>
      <c r="Z18" s="4">
        <f>Z6*Z10+J6*(1-Z10)*S9</f>
        <v>0</v>
      </c>
      <c r="AA18" s="4">
        <f>AA6*AA10+J6*(1-AA10)*T9</f>
        <v>0</v>
      </c>
      <c r="AB18" s="4">
        <f>AB6*AB10+J6*(1-AB10)*U9</f>
        <v>0</v>
      </c>
      <c r="AC18" s="4">
        <f>AC6*AC10+J6*(1-AC10)*V9</f>
        <v>0</v>
      </c>
      <c r="AD18" s="4">
        <f>AD6*AD10+J6*(1-AD10)*W9</f>
        <v>0</v>
      </c>
      <c r="AE18" s="4">
        <f>AE6*AE10+J6*(1-AE10)*X9</f>
        <v>0</v>
      </c>
      <c r="AF18" s="4">
        <f>AF6*AF10+J6*(1-AF10)*Y9</f>
        <v>0</v>
      </c>
      <c r="AG18" s="4">
        <f t="shared" si="4"/>
        <v>0</v>
      </c>
      <c r="AH18" s="252">
        <f t="shared" si="6"/>
        <v>0</v>
      </c>
    </row>
    <row r="19" spans="1:34">
      <c r="A19" s="6">
        <f t="shared" si="7"/>
        <v>2030</v>
      </c>
      <c r="B19" s="4">
        <f t="shared" si="5"/>
        <v>0</v>
      </c>
      <c r="K19" s="4">
        <f>K6*K10+K6*(1-K10)*C9</f>
        <v>0</v>
      </c>
      <c r="L19" s="4">
        <f>+K6*(1-K10)*D9</f>
        <v>0</v>
      </c>
      <c r="M19" s="4">
        <f>+K6*(1-K10)*E9</f>
        <v>0</v>
      </c>
      <c r="N19" s="4">
        <f>+K6*(1-K10)*F9</f>
        <v>0</v>
      </c>
      <c r="O19" s="4">
        <f>+K6*(1-K10)*G9</f>
        <v>0</v>
      </c>
      <c r="P19" s="4">
        <f>+K6*(1-K10)*H9</f>
        <v>0</v>
      </c>
      <c r="Q19" s="4">
        <f>+K6*(1-K10)*I9</f>
        <v>0</v>
      </c>
      <c r="R19" s="4">
        <f>+K6*(1-K10)*J9</f>
        <v>0</v>
      </c>
      <c r="S19" s="4">
        <f>+K6*(1-K10)*K9</f>
        <v>0</v>
      </c>
      <c r="T19" s="4">
        <f>+K6*(1-K10)*L9</f>
        <v>0</v>
      </c>
      <c r="U19" s="4">
        <f>+K6*(1-K10)*M9</f>
        <v>0</v>
      </c>
      <c r="V19" s="4">
        <f>+K6*(1-K10)*N9</f>
        <v>0</v>
      </c>
      <c r="W19" s="4">
        <f>+K6*(1-K10)*O9</f>
        <v>0</v>
      </c>
      <c r="X19" s="4">
        <f>+K6*(1-K10)*P9</f>
        <v>0</v>
      </c>
      <c r="Y19" s="4">
        <f>+K6*(1-K10)*Q9</f>
        <v>0</v>
      </c>
      <c r="Z19" s="4">
        <f>+K6*(1-K10)*R9</f>
        <v>0</v>
      </c>
      <c r="AA19" s="4">
        <f>+K6*(1-K10)*S9</f>
        <v>0</v>
      </c>
      <c r="AB19" s="4">
        <f>+K6*(1-K10)*T9</f>
        <v>0</v>
      </c>
      <c r="AC19" s="4">
        <f>+K6*(1-K10)*U9</f>
        <v>0</v>
      </c>
      <c r="AD19" s="4">
        <f>+K6*(1-K10)*V9</f>
        <v>0</v>
      </c>
      <c r="AE19" s="4">
        <f>+K6*(1-K10)*W9</f>
        <v>0</v>
      </c>
      <c r="AF19" s="4">
        <f>+K6*(1-K10)*X9</f>
        <v>0</v>
      </c>
      <c r="AG19" s="4">
        <f t="shared" si="4"/>
        <v>0</v>
      </c>
      <c r="AH19" s="252">
        <f t="shared" si="6"/>
        <v>0</v>
      </c>
    </row>
    <row r="20" spans="1:34">
      <c r="A20" s="6">
        <f t="shared" si="7"/>
        <v>2031</v>
      </c>
      <c r="B20" s="4">
        <f t="shared" si="5"/>
        <v>0</v>
      </c>
      <c r="L20" s="4">
        <f>L6*L10+L6*(1-L10)*C9</f>
        <v>0</v>
      </c>
      <c r="M20" s="4">
        <f>+L6*(1-L10)*D9</f>
        <v>0</v>
      </c>
      <c r="N20" s="4">
        <f>+L6*(1-L10)*E9</f>
        <v>0</v>
      </c>
      <c r="O20" s="4">
        <f>+L6*(1-L10)*F9</f>
        <v>0</v>
      </c>
      <c r="P20" s="4">
        <f>+L6*(1-L10)*G9</f>
        <v>0</v>
      </c>
      <c r="Q20" s="4">
        <f>+L6*(1-L10)*H9</f>
        <v>0</v>
      </c>
      <c r="R20" s="4">
        <f>+L6*(1-L10)*I9</f>
        <v>0</v>
      </c>
      <c r="S20" s="4">
        <f>+L6*(1-L10)*J9</f>
        <v>0</v>
      </c>
      <c r="T20" s="4">
        <f>+L6*(1-L10)*K9</f>
        <v>0</v>
      </c>
      <c r="U20" s="4">
        <f>+L6*(1-L10)*L9</f>
        <v>0</v>
      </c>
      <c r="V20" s="4">
        <f>+L6*(1-L10)*M9</f>
        <v>0</v>
      </c>
      <c r="W20" s="4">
        <f>+L6*(1-L10)*N9</f>
        <v>0</v>
      </c>
      <c r="X20" s="4">
        <f>+L6*(1-L10)*O9</f>
        <v>0</v>
      </c>
      <c r="Y20" s="4">
        <f>+L6*(1-L10)*P9</f>
        <v>0</v>
      </c>
      <c r="Z20" s="4">
        <f>+L6*(1-L10)*Q9</f>
        <v>0</v>
      </c>
      <c r="AA20" s="4">
        <f>+L6*(1-L10)*R9</f>
        <v>0</v>
      </c>
      <c r="AB20" s="4">
        <f>+L6*(1-L10)*S9</f>
        <v>0</v>
      </c>
      <c r="AC20" s="4">
        <f>+L6*(1-L10)*T9</f>
        <v>0</v>
      </c>
      <c r="AD20" s="4">
        <f>+L6*(1-L10)*U9</f>
        <v>0</v>
      </c>
      <c r="AE20" s="4">
        <f>+L6*(1-L10)*V9</f>
        <v>0</v>
      </c>
      <c r="AF20" s="4">
        <f>+L6*(1-L10)*W9</f>
        <v>0</v>
      </c>
      <c r="AG20" s="4">
        <f t="shared" si="4"/>
        <v>0</v>
      </c>
      <c r="AH20" s="252">
        <f t="shared" si="6"/>
        <v>0</v>
      </c>
    </row>
    <row r="21" spans="1:34">
      <c r="A21" s="6">
        <f t="shared" si="7"/>
        <v>2032</v>
      </c>
      <c r="B21" s="4">
        <f t="shared" si="5"/>
        <v>0</v>
      </c>
      <c r="M21" s="4">
        <f>M6*M10+M6*(1-M10)*C9</f>
        <v>0</v>
      </c>
      <c r="N21" s="4">
        <f>+M6*(1-M10)*D9</f>
        <v>0</v>
      </c>
      <c r="O21" s="4">
        <f>+M6*(1-M10)*E9</f>
        <v>0</v>
      </c>
      <c r="P21" s="4">
        <f>+M6*(1-M10)*F9</f>
        <v>0</v>
      </c>
      <c r="Q21" s="4">
        <f>+M6*(1-M10)*G9</f>
        <v>0</v>
      </c>
      <c r="R21" s="4">
        <f>+M6*(1-M10)*H9</f>
        <v>0</v>
      </c>
      <c r="S21" s="4">
        <f>+M6*(1-M10)*I9</f>
        <v>0</v>
      </c>
      <c r="T21" s="4">
        <f>+M6*(1-M10)*J9</f>
        <v>0</v>
      </c>
      <c r="U21" s="4">
        <f>+M6*(1-M10)*K9</f>
        <v>0</v>
      </c>
      <c r="V21" s="4">
        <f>+M6*(1-M10)*L9</f>
        <v>0</v>
      </c>
      <c r="W21" s="4">
        <f>+M6*(1-M10)*M9</f>
        <v>0</v>
      </c>
      <c r="X21" s="4">
        <f>+M6*(1-M10)*N9</f>
        <v>0</v>
      </c>
      <c r="Y21" s="4">
        <f>+M6*(1-M10)*O9</f>
        <v>0</v>
      </c>
      <c r="Z21" s="4">
        <f>+M6*(1-M10)*P9</f>
        <v>0</v>
      </c>
      <c r="AA21" s="4">
        <f>+M6*(1-M10)*Q9</f>
        <v>0</v>
      </c>
      <c r="AB21" s="4">
        <f>+M6*(1-M10)*R9</f>
        <v>0</v>
      </c>
      <c r="AC21" s="4">
        <f>+M6*(1-M10)*S9</f>
        <v>0</v>
      </c>
      <c r="AD21" s="4">
        <f>+M6*(1-M10)*T9</f>
        <v>0</v>
      </c>
      <c r="AE21" s="4">
        <f>+M6*(1-M10)*U9</f>
        <v>0</v>
      </c>
      <c r="AF21" s="4">
        <f>+M6*(1-M10)*V9</f>
        <v>0</v>
      </c>
      <c r="AG21" s="4">
        <f t="shared" si="4"/>
        <v>0</v>
      </c>
      <c r="AH21" s="252">
        <f t="shared" si="6"/>
        <v>0</v>
      </c>
    </row>
    <row r="22" spans="1:34">
      <c r="A22" s="6">
        <f t="shared" si="7"/>
        <v>2033</v>
      </c>
      <c r="B22" s="4">
        <f t="shared" si="5"/>
        <v>0</v>
      </c>
      <c r="N22" s="4">
        <f>N6*N10+N6*(1-N10)*C9</f>
        <v>0</v>
      </c>
      <c r="O22" s="4">
        <f>+N6*(1-N10)*D9</f>
        <v>0</v>
      </c>
      <c r="P22" s="4">
        <f>+N6*(1-N10)*E9</f>
        <v>0</v>
      </c>
      <c r="Q22" s="4">
        <f>+N6*(1-N10)*F9</f>
        <v>0</v>
      </c>
      <c r="R22" s="4">
        <f>+N6*(1-N10)*G9</f>
        <v>0</v>
      </c>
      <c r="S22" s="4">
        <f>+N6*(1-N10)*H9</f>
        <v>0</v>
      </c>
      <c r="T22" s="4">
        <f>+N6*(1-N10)*I9</f>
        <v>0</v>
      </c>
      <c r="U22" s="4">
        <f>+N6*(1-N10)*J9</f>
        <v>0</v>
      </c>
      <c r="V22" s="4">
        <f>+N6*(1-N10)*K9</f>
        <v>0</v>
      </c>
      <c r="W22" s="4">
        <f>+N6*(1-N10)*L9</f>
        <v>0</v>
      </c>
      <c r="X22" s="4">
        <f>+N6*(1-N10)*M9</f>
        <v>0</v>
      </c>
      <c r="Y22" s="4">
        <f>+N6*(1-N10)*N9</f>
        <v>0</v>
      </c>
      <c r="Z22" s="4">
        <f>+N6*(1-N10)*O9</f>
        <v>0</v>
      </c>
      <c r="AA22" s="4">
        <f>+N6*(1-N10)*P9</f>
        <v>0</v>
      </c>
      <c r="AB22" s="4">
        <f>+N6*(1-N10)*Q9</f>
        <v>0</v>
      </c>
      <c r="AC22" s="4">
        <f>+N6*(1-N10)*R9</f>
        <v>0</v>
      </c>
      <c r="AD22" s="4">
        <f>+N6*(1-N10)*S9</f>
        <v>0</v>
      </c>
      <c r="AE22" s="4">
        <f>+N6*(1-N10)*T9</f>
        <v>0</v>
      </c>
      <c r="AF22" s="4">
        <f>+N6*(1-N10)*U9</f>
        <v>0</v>
      </c>
      <c r="AG22" s="4">
        <f t="shared" si="4"/>
        <v>0</v>
      </c>
      <c r="AH22" s="252">
        <f t="shared" si="6"/>
        <v>0</v>
      </c>
    </row>
    <row r="23" spans="1:34">
      <c r="A23" s="6">
        <f t="shared" si="7"/>
        <v>2034</v>
      </c>
      <c r="B23" s="4">
        <f t="shared" si="5"/>
        <v>0</v>
      </c>
      <c r="O23" s="4">
        <f>O6*O10+O6*(1-O10)*C9</f>
        <v>0</v>
      </c>
      <c r="P23" s="4">
        <f>+O6*(1-O10)*D9</f>
        <v>0</v>
      </c>
      <c r="Q23" s="4">
        <f>+O6*(1-O10)*E9</f>
        <v>0</v>
      </c>
      <c r="R23" s="4">
        <f>+O6*(1-O10)*F9</f>
        <v>0</v>
      </c>
      <c r="S23" s="4">
        <f>+O6*(1-O10)*G9</f>
        <v>0</v>
      </c>
      <c r="T23" s="4">
        <f>+O6*(1-O10)*H9</f>
        <v>0</v>
      </c>
      <c r="U23" s="4">
        <f>+O6*(1-O10)*I9</f>
        <v>0</v>
      </c>
      <c r="V23" s="4">
        <f>+O6*(1-O10)*J9</f>
        <v>0</v>
      </c>
      <c r="W23" s="4">
        <f>+O6*(1-O10)*K9</f>
        <v>0</v>
      </c>
      <c r="X23" s="4">
        <f>+O6*(1-O10)*L9</f>
        <v>0</v>
      </c>
      <c r="Y23" s="4">
        <f>+O6*(1-O10)*M9</f>
        <v>0</v>
      </c>
      <c r="Z23" s="4">
        <f>+O6*(1-O10)*N9</f>
        <v>0</v>
      </c>
      <c r="AA23" s="4">
        <f>+O6*(1-O10)*O9</f>
        <v>0</v>
      </c>
      <c r="AB23" s="4">
        <f>+O6*(1-O10)*P9</f>
        <v>0</v>
      </c>
      <c r="AC23" s="4">
        <f>+O6*(1-O10)*Q9</f>
        <v>0</v>
      </c>
      <c r="AD23" s="4">
        <f>+O6*(1-O10)*R9</f>
        <v>0</v>
      </c>
      <c r="AE23" s="4">
        <f>+O6*(1-O10)*S9</f>
        <v>0</v>
      </c>
      <c r="AF23" s="4">
        <f>+O6*(1-O10)*T9</f>
        <v>0</v>
      </c>
      <c r="AG23" s="4">
        <f t="shared" si="4"/>
        <v>0</v>
      </c>
      <c r="AH23" s="252">
        <f t="shared" si="6"/>
        <v>0</v>
      </c>
    </row>
    <row r="24" spans="1:34">
      <c r="A24" s="6">
        <f t="shared" si="7"/>
        <v>2035</v>
      </c>
      <c r="B24" s="4">
        <f t="shared" si="5"/>
        <v>0</v>
      </c>
      <c r="P24" s="4">
        <f>P6*P10+P6*(1-P10)*C9</f>
        <v>0</v>
      </c>
      <c r="Q24" s="4">
        <f>+P6*(1-P10)*D9</f>
        <v>0</v>
      </c>
      <c r="R24" s="4">
        <f>+P6*(1-P10)*E9</f>
        <v>0</v>
      </c>
      <c r="S24" s="4">
        <f>+P6*(1-P10)*F9</f>
        <v>0</v>
      </c>
      <c r="T24" s="4">
        <f>+P6*(1-P10)*G9</f>
        <v>0</v>
      </c>
      <c r="U24" s="4">
        <f>+P6*(1-P10)*H9</f>
        <v>0</v>
      </c>
      <c r="V24" s="4">
        <f>+P6*(1-P10)*I9</f>
        <v>0</v>
      </c>
      <c r="W24" s="4">
        <f>+P6*(1-P10)*J9</f>
        <v>0</v>
      </c>
      <c r="X24" s="4">
        <f>+P6*(1-P10)*K9</f>
        <v>0</v>
      </c>
      <c r="Y24" s="4">
        <f>+P6*(1-P10)*L9</f>
        <v>0</v>
      </c>
      <c r="Z24" s="4">
        <f>+P6*(1-P10)*M9</f>
        <v>0</v>
      </c>
      <c r="AA24" s="4">
        <f>+P6*(1-P10)*N9</f>
        <v>0</v>
      </c>
      <c r="AB24" s="4">
        <f>+P6*(1-P10)*O9</f>
        <v>0</v>
      </c>
      <c r="AC24" s="4">
        <f>+P6*(1-P10)*P9</f>
        <v>0</v>
      </c>
      <c r="AD24" s="4">
        <f>+P6*(1-P10)*Q9</f>
        <v>0</v>
      </c>
      <c r="AE24" s="4">
        <f>+P6*(1-P10)*R9</f>
        <v>0</v>
      </c>
      <c r="AF24" s="4">
        <f>+P6*(1-P10)*S9</f>
        <v>0</v>
      </c>
      <c r="AG24" s="4">
        <f t="shared" si="4"/>
        <v>0</v>
      </c>
      <c r="AH24" s="252">
        <f t="shared" si="6"/>
        <v>0</v>
      </c>
    </row>
    <row r="25" spans="1:34">
      <c r="A25" s="6">
        <f t="shared" si="7"/>
        <v>2036</v>
      </c>
      <c r="B25" s="4">
        <f t="shared" si="5"/>
        <v>0</v>
      </c>
      <c r="Q25" s="4">
        <f>Q6*Q10+Q6*(1-Q10)*C9</f>
        <v>0</v>
      </c>
      <c r="R25" s="4">
        <f>Q6*(1-Q10)*D9</f>
        <v>0</v>
      </c>
      <c r="S25" s="4">
        <f>Q6*(1-Q10)*E9</f>
        <v>0</v>
      </c>
      <c r="T25" s="4">
        <f>Q6*(1-Q10)*F9</f>
        <v>0</v>
      </c>
      <c r="U25" s="4">
        <f>Q6*(1-Q10)*G9</f>
        <v>0</v>
      </c>
      <c r="V25" s="4">
        <f>Q6*(1-Q10)*H9</f>
        <v>0</v>
      </c>
      <c r="W25" s="4">
        <f>Q6*(1-Q10)*I9</f>
        <v>0</v>
      </c>
      <c r="X25" s="4">
        <f>Q6*(1-Q10)*J9</f>
        <v>0</v>
      </c>
      <c r="Y25" s="4">
        <f>Q6*(1-Q10)*K9</f>
        <v>0</v>
      </c>
      <c r="Z25" s="4">
        <f>Q6*(1-Q10)*L9</f>
        <v>0</v>
      </c>
      <c r="AA25" s="4">
        <f>Q6*(1-Q10)*M9</f>
        <v>0</v>
      </c>
      <c r="AB25" s="4">
        <f>Q6*(1-Q10)*N9</f>
        <v>0</v>
      </c>
      <c r="AC25" s="4">
        <f>Q6*(1-Q10)*O9</f>
        <v>0</v>
      </c>
      <c r="AD25" s="4">
        <f>Q6*(1-Q10)*P9</f>
        <v>0</v>
      </c>
      <c r="AE25" s="4">
        <f>Q6*(1-Q10)*Q9</f>
        <v>0</v>
      </c>
      <c r="AF25" s="4">
        <f>Q6*(1-Q10)*R9</f>
        <v>0</v>
      </c>
      <c r="AG25" s="4">
        <f t="shared" si="4"/>
        <v>0</v>
      </c>
      <c r="AH25" s="252">
        <f t="shared" si="6"/>
        <v>0</v>
      </c>
    </row>
    <row r="26" spans="1:34">
      <c r="A26" s="6">
        <f t="shared" si="7"/>
        <v>2037</v>
      </c>
      <c r="B26" s="4">
        <f t="shared" si="5"/>
        <v>0</v>
      </c>
      <c r="R26" s="4">
        <f>R6*R10+R6*(1-R10)*C9</f>
        <v>0</v>
      </c>
      <c r="S26" s="4">
        <f>R6*(1-R10)*D9</f>
        <v>0</v>
      </c>
      <c r="T26" s="4">
        <f>R6*(1-R10)*E9</f>
        <v>0</v>
      </c>
      <c r="U26" s="4">
        <f>R6*(1-R10)*F9</f>
        <v>0</v>
      </c>
      <c r="V26" s="4">
        <f>R6*(1-R10)*G9</f>
        <v>0</v>
      </c>
      <c r="W26" s="4">
        <f>R6*(1-R10)*H9</f>
        <v>0</v>
      </c>
      <c r="X26" s="4">
        <f>R6*(1-R10)*I9</f>
        <v>0</v>
      </c>
      <c r="Y26" s="4">
        <f>R6*(1-R10)*J9</f>
        <v>0</v>
      </c>
      <c r="Z26" s="4">
        <f>R6*(1-R10)*K9</f>
        <v>0</v>
      </c>
      <c r="AA26" s="4">
        <f>R6*(1-R10)*L9</f>
        <v>0</v>
      </c>
      <c r="AB26" s="4">
        <f>R6*(1-R10)*M9</f>
        <v>0</v>
      </c>
      <c r="AC26" s="4">
        <f>R6*(1-R10)*N9</f>
        <v>0</v>
      </c>
      <c r="AD26" s="4">
        <f>R6*(1-R10)*O9</f>
        <v>0</v>
      </c>
      <c r="AE26" s="4">
        <f>R6*(1-R10)*P9</f>
        <v>0</v>
      </c>
      <c r="AF26" s="4">
        <f>R6*(1-R10)*Q9</f>
        <v>0</v>
      </c>
      <c r="AG26" s="4">
        <f t="shared" si="4"/>
        <v>0</v>
      </c>
      <c r="AH26" s="252">
        <f t="shared" si="6"/>
        <v>0</v>
      </c>
    </row>
    <row r="27" spans="1:34">
      <c r="A27" s="6">
        <f t="shared" si="7"/>
        <v>2038</v>
      </c>
      <c r="B27" s="4">
        <f t="shared" si="5"/>
        <v>0</v>
      </c>
      <c r="S27" s="4">
        <f>S6*S10+S6*(1-S10)*C9</f>
        <v>0</v>
      </c>
      <c r="T27" s="4">
        <f>+S6*(1-S10)*D9</f>
        <v>0</v>
      </c>
      <c r="U27" s="4">
        <f>+S6*(1-S10)*E9</f>
        <v>0</v>
      </c>
      <c r="V27" s="4">
        <f>+S6*(1-S10)*F9</f>
        <v>0</v>
      </c>
      <c r="W27" s="4">
        <f>+S6*(1-S10)*G9</f>
        <v>0</v>
      </c>
      <c r="X27" s="4">
        <f>+S6*(1-S10)*H9</f>
        <v>0</v>
      </c>
      <c r="Y27" s="4">
        <f>+S6*(1-S10)*I9</f>
        <v>0</v>
      </c>
      <c r="Z27" s="4">
        <f>+S6*(1-S10)*J9</f>
        <v>0</v>
      </c>
      <c r="AA27" s="4">
        <f>+S6*(1-S10)*K9</f>
        <v>0</v>
      </c>
      <c r="AB27" s="4">
        <f>+S6*(1-S10)*L9</f>
        <v>0</v>
      </c>
      <c r="AC27" s="4">
        <f>+S6*(1-S10)*M9</f>
        <v>0</v>
      </c>
      <c r="AD27" s="4">
        <f>+S6*(1-S10)*N9</f>
        <v>0</v>
      </c>
      <c r="AE27" s="4">
        <f>+S6*(1-S10)*O9</f>
        <v>0</v>
      </c>
      <c r="AF27" s="4">
        <f>+S6*(1-S10)*P9</f>
        <v>0</v>
      </c>
      <c r="AG27" s="4">
        <f t="shared" si="4"/>
        <v>0</v>
      </c>
      <c r="AH27" s="252">
        <f t="shared" si="6"/>
        <v>0</v>
      </c>
    </row>
    <row r="28" spans="1:34">
      <c r="A28" s="6">
        <f t="shared" si="7"/>
        <v>2039</v>
      </c>
      <c r="B28" s="4">
        <f t="shared" si="5"/>
        <v>0</v>
      </c>
      <c r="T28" s="4">
        <f>T6*T10+T6*(1-T10)*C9</f>
        <v>0</v>
      </c>
      <c r="U28" s="4">
        <f>+T6*(1-T10)*D9</f>
        <v>0</v>
      </c>
      <c r="V28" s="4">
        <f>+T6*(1-T10)*E9</f>
        <v>0</v>
      </c>
      <c r="W28" s="4">
        <f>+T6*(1-T10)*F9</f>
        <v>0</v>
      </c>
      <c r="X28" s="4">
        <f>+T6*(1-T10)*G9</f>
        <v>0</v>
      </c>
      <c r="Y28" s="4">
        <f>+T6*(1-T10)*H9</f>
        <v>0</v>
      </c>
      <c r="Z28" s="4">
        <f>+T6*(1-T10)*I9</f>
        <v>0</v>
      </c>
      <c r="AA28" s="4">
        <f>+T6*(1-T10)*J9</f>
        <v>0</v>
      </c>
      <c r="AB28" s="4">
        <f>+T6*(1-T10)*K9</f>
        <v>0</v>
      </c>
      <c r="AC28" s="4">
        <f>+T6*(1-T10)*L9</f>
        <v>0</v>
      </c>
      <c r="AD28" s="4">
        <f>+T6*(1-T10)*M9</f>
        <v>0</v>
      </c>
      <c r="AE28" s="4">
        <f>+T6*(1-T10)*N9</f>
        <v>0</v>
      </c>
      <c r="AF28" s="4">
        <f>+T6*(1-T10)*O9</f>
        <v>0</v>
      </c>
      <c r="AG28" s="4">
        <f t="shared" si="4"/>
        <v>0</v>
      </c>
      <c r="AH28" s="252">
        <f t="shared" si="6"/>
        <v>0</v>
      </c>
    </row>
    <row r="29" spans="1:34">
      <c r="A29" s="6">
        <f t="shared" si="7"/>
        <v>2040</v>
      </c>
      <c r="B29" s="4">
        <f t="shared" si="5"/>
        <v>0</v>
      </c>
      <c r="U29" s="4">
        <f>U6*U10+U6*(1-U10)*C9</f>
        <v>0</v>
      </c>
      <c r="V29" s="4">
        <f>+U6*(1-U10)*D9</f>
        <v>0</v>
      </c>
      <c r="W29" s="4">
        <f>+U6*(1-U10)*E9</f>
        <v>0</v>
      </c>
      <c r="X29" s="4">
        <f>+U6*(1-U10)*F9</f>
        <v>0</v>
      </c>
      <c r="Y29" s="4">
        <f>+U6*(1-U10)*G9</f>
        <v>0</v>
      </c>
      <c r="Z29" s="4">
        <f>+U6*(1-U10)*H9</f>
        <v>0</v>
      </c>
      <c r="AA29" s="4">
        <f>+U6*(1-U10)*I9</f>
        <v>0</v>
      </c>
      <c r="AB29" s="4">
        <f>+U6*(1-U10)*J9</f>
        <v>0</v>
      </c>
      <c r="AC29" s="4">
        <f>+U6*(1-U10)*K9</f>
        <v>0</v>
      </c>
      <c r="AD29" s="4">
        <f>+U6*(1-U10)*L9</f>
        <v>0</v>
      </c>
      <c r="AE29" s="4">
        <f>+U6*(1-U10)*M9</f>
        <v>0</v>
      </c>
      <c r="AF29" s="4">
        <f>+U6*(1-U10)*N9</f>
        <v>0</v>
      </c>
      <c r="AG29" s="4">
        <f t="shared" si="4"/>
        <v>0</v>
      </c>
      <c r="AH29" s="252">
        <f t="shared" si="6"/>
        <v>0</v>
      </c>
    </row>
    <row r="30" spans="1:34">
      <c r="A30" s="6">
        <f t="shared" si="7"/>
        <v>2041</v>
      </c>
      <c r="B30" s="4">
        <f t="shared" si="5"/>
        <v>0</v>
      </c>
      <c r="V30" s="4">
        <f>V6*V10+V6*(1-V10)*C9</f>
        <v>0</v>
      </c>
      <c r="W30" s="4">
        <f>+V6*(1-V10)*D9</f>
        <v>0</v>
      </c>
      <c r="X30" s="4">
        <f>+V6*(1-V10)*E9</f>
        <v>0</v>
      </c>
      <c r="Y30" s="4">
        <f>+V6*(1-V10)*F9</f>
        <v>0</v>
      </c>
      <c r="Z30" s="4">
        <f>+V6*(1-V10)*G9</f>
        <v>0</v>
      </c>
      <c r="AA30" s="4">
        <f>+V6*(1-V10)*H9</f>
        <v>0</v>
      </c>
      <c r="AB30" s="4">
        <f>+V6*(1-V10)*I9</f>
        <v>0</v>
      </c>
      <c r="AC30" s="4">
        <f>+V6*(1-V10)*J9</f>
        <v>0</v>
      </c>
      <c r="AD30" s="4">
        <f>+V6*(1-V10)*K9</f>
        <v>0</v>
      </c>
      <c r="AE30" s="4">
        <f>+V6*(1-V10)*L9</f>
        <v>0</v>
      </c>
      <c r="AF30" s="4">
        <f>+V6*(1-V10)*M9</f>
        <v>0</v>
      </c>
      <c r="AG30" s="4">
        <f t="shared" si="4"/>
        <v>0</v>
      </c>
      <c r="AH30" s="252">
        <f t="shared" si="6"/>
        <v>0</v>
      </c>
    </row>
    <row r="31" spans="1:34">
      <c r="A31" s="6">
        <f t="shared" si="7"/>
        <v>2042</v>
      </c>
      <c r="B31" s="4">
        <f t="shared" si="5"/>
        <v>0</v>
      </c>
      <c r="W31" s="4">
        <f>W6*W10+W6*(1-W10)*C9</f>
        <v>0</v>
      </c>
      <c r="X31" s="4">
        <f>+W6*(1-W10)*D9</f>
        <v>0</v>
      </c>
      <c r="Y31" s="4">
        <f>+W6*(1-W10)*E9</f>
        <v>0</v>
      </c>
      <c r="Z31" s="4">
        <f>+W6*(1-W10)*F9</f>
        <v>0</v>
      </c>
      <c r="AA31" s="4">
        <f>+W6*(1-W10)*G9</f>
        <v>0</v>
      </c>
      <c r="AB31" s="4">
        <f>+W6*(1-W10)*H9</f>
        <v>0</v>
      </c>
      <c r="AC31" s="4">
        <f>+W6*(1-W10)*I9</f>
        <v>0</v>
      </c>
      <c r="AD31" s="4">
        <f>+W6*(1-W10)*J9</f>
        <v>0</v>
      </c>
      <c r="AE31" s="4">
        <f>+W6*(1-W10)*K9</f>
        <v>0</v>
      </c>
      <c r="AF31" s="4">
        <f>+W6*(1-W10)*L9</f>
        <v>0</v>
      </c>
      <c r="AG31" s="4">
        <f t="shared" si="4"/>
        <v>0</v>
      </c>
      <c r="AH31" s="252">
        <f t="shared" si="6"/>
        <v>0</v>
      </c>
    </row>
    <row r="32" spans="1:34">
      <c r="A32" s="6">
        <f t="shared" si="7"/>
        <v>2043</v>
      </c>
      <c r="B32" s="4">
        <f t="shared" si="5"/>
        <v>0</v>
      </c>
      <c r="X32" s="4">
        <f>X6*X10+X6*(1-X10)*C9</f>
        <v>0</v>
      </c>
      <c r="Y32" s="4">
        <f>+X6*(1-X10)*D9</f>
        <v>0</v>
      </c>
      <c r="Z32" s="4">
        <f>+X6*(1-X10)*E9</f>
        <v>0</v>
      </c>
      <c r="AA32" s="4">
        <f>+X6*(1-X10)*F9</f>
        <v>0</v>
      </c>
      <c r="AB32" s="4">
        <f>+X6*(1-X10)*G9</f>
        <v>0</v>
      </c>
      <c r="AC32" s="4">
        <f>+X6*(1-X10)*H9</f>
        <v>0</v>
      </c>
      <c r="AD32" s="4">
        <f>+X6*(1-X10)*I9</f>
        <v>0</v>
      </c>
      <c r="AE32" s="4">
        <f>+X6*(1-X10)*J9</f>
        <v>0</v>
      </c>
      <c r="AF32" s="4">
        <f>+X6*(1-X10)*K9</f>
        <v>0</v>
      </c>
      <c r="AG32" s="4">
        <f t="shared" si="4"/>
        <v>0</v>
      </c>
      <c r="AH32" s="252">
        <f t="shared" si="6"/>
        <v>0</v>
      </c>
    </row>
    <row r="33" spans="1:34">
      <c r="A33" s="6">
        <f t="shared" si="7"/>
        <v>2044</v>
      </c>
      <c r="B33" s="4">
        <f t="shared" si="5"/>
        <v>0</v>
      </c>
      <c r="Y33" s="4">
        <f>Y6*Y10+Y6*(1-Y10)*C9</f>
        <v>0</v>
      </c>
      <c r="Z33" s="4">
        <f>+Y6*(1-Y10)*D9</f>
        <v>0</v>
      </c>
      <c r="AA33" s="4">
        <f>+Y6*(1-Y10)*E9</f>
        <v>0</v>
      </c>
      <c r="AB33" s="4">
        <f>+Y6*(1-Y10)*F9</f>
        <v>0</v>
      </c>
      <c r="AC33" s="4">
        <f>+Y6*(1-Y10)*G9</f>
        <v>0</v>
      </c>
      <c r="AD33" s="4">
        <f>+Y6*(1-Y10)*H9</f>
        <v>0</v>
      </c>
      <c r="AE33" s="4">
        <f>+Y6*(1-Y10)*I9</f>
        <v>0</v>
      </c>
      <c r="AF33" s="4">
        <f>+Y6*(1-Y10)*J9</f>
        <v>0</v>
      </c>
      <c r="AG33" s="4">
        <f t="shared" si="4"/>
        <v>0</v>
      </c>
      <c r="AH33" s="252">
        <f t="shared" si="6"/>
        <v>0</v>
      </c>
    </row>
    <row r="34" spans="1:34">
      <c r="A34" s="6">
        <f t="shared" si="7"/>
        <v>2045</v>
      </c>
      <c r="B34" s="4">
        <f t="shared" si="5"/>
        <v>0</v>
      </c>
      <c r="Z34" s="4">
        <f>Z6*Z10+Z6*(1-Z10)*C9</f>
        <v>0</v>
      </c>
      <c r="AA34" s="4">
        <f>+Z6*(1-Z10)*D9</f>
        <v>0</v>
      </c>
      <c r="AB34" s="4">
        <f>+Z6*(1-Z10)*E9</f>
        <v>0</v>
      </c>
      <c r="AC34" s="4">
        <f>+Z6*(1-Z10)*F9</f>
        <v>0</v>
      </c>
      <c r="AD34" s="4">
        <f>+Z6*(1-Z10)*G9</f>
        <v>0</v>
      </c>
      <c r="AE34" s="4">
        <f>+Z6*(1-Z10)*H9</f>
        <v>0</v>
      </c>
      <c r="AF34" s="4">
        <f>+Z6*(1-Z10)*I9</f>
        <v>0</v>
      </c>
      <c r="AG34" s="4">
        <f t="shared" si="4"/>
        <v>0</v>
      </c>
      <c r="AH34" s="252">
        <f t="shared" si="6"/>
        <v>0</v>
      </c>
    </row>
    <row r="35" spans="1:34">
      <c r="A35" s="6">
        <f t="shared" si="7"/>
        <v>2046</v>
      </c>
      <c r="B35" s="4">
        <f t="shared" si="5"/>
        <v>0</v>
      </c>
      <c r="AA35" s="4">
        <f>AA6*AA10+AA6*(1-AA10)*C9</f>
        <v>0</v>
      </c>
      <c r="AB35" s="4">
        <f>+AA6*(1-AA10)*D9</f>
        <v>0</v>
      </c>
      <c r="AC35" s="4">
        <f>+AA6*(1-AA10)*E9</f>
        <v>0</v>
      </c>
      <c r="AD35" s="4">
        <f>+AA6*(1-AA10)*F9</f>
        <v>0</v>
      </c>
      <c r="AE35" s="4">
        <f>+AA6*(1-AA10)*G9</f>
        <v>0</v>
      </c>
      <c r="AF35" s="4">
        <f>+AA6*(1-AA10)*H9</f>
        <v>0</v>
      </c>
      <c r="AG35" s="4">
        <f t="shared" si="4"/>
        <v>0</v>
      </c>
      <c r="AH35" s="252">
        <f t="shared" ref="AH35" si="8">+B35-AG35</f>
        <v>0</v>
      </c>
    </row>
    <row r="36" spans="1:34">
      <c r="A36" s="6">
        <f t="shared" si="7"/>
        <v>2047</v>
      </c>
      <c r="B36" s="4">
        <f t="shared" si="5"/>
        <v>0</v>
      </c>
      <c r="AB36" s="4">
        <f>AB6*AB10+AB6*(1-AB10)*C9</f>
        <v>0</v>
      </c>
      <c r="AC36" s="4">
        <f>+AB6*(1-AB10)*D9</f>
        <v>0</v>
      </c>
      <c r="AD36" s="4">
        <f>+AB6*(1-AB10)*E9</f>
        <v>0</v>
      </c>
      <c r="AE36" s="4">
        <f>+AB6*(1-AB10)*F9</f>
        <v>0</v>
      </c>
      <c r="AF36" s="4">
        <f>+AB6*(1-AB10)*G9</f>
        <v>0</v>
      </c>
      <c r="AG36" s="4">
        <f t="shared" ref="AG36:AG40" si="9">SUM(C36:AF36)</f>
        <v>0</v>
      </c>
      <c r="AH36" s="252">
        <f t="shared" ref="AH36:AH40" si="10">+B36-AG36</f>
        <v>0</v>
      </c>
    </row>
    <row r="37" spans="1:34">
      <c r="A37" s="6">
        <f t="shared" si="7"/>
        <v>2048</v>
      </c>
      <c r="B37" s="4">
        <f t="shared" si="5"/>
        <v>0</v>
      </c>
      <c r="AC37" s="4">
        <f>AC6*AC10+AC6*(1-AC10)*C9</f>
        <v>0</v>
      </c>
      <c r="AD37" s="4">
        <f>+AC6*(1-AC10)*D9</f>
        <v>0</v>
      </c>
      <c r="AE37" s="4">
        <f>+AC6*(1-AC10)*E9</f>
        <v>0</v>
      </c>
      <c r="AF37" s="4">
        <f>+AC6*(1-AC10)*F9</f>
        <v>0</v>
      </c>
      <c r="AG37" s="4">
        <f t="shared" si="9"/>
        <v>0</v>
      </c>
      <c r="AH37" s="252">
        <f t="shared" si="10"/>
        <v>0</v>
      </c>
    </row>
    <row r="38" spans="1:34">
      <c r="A38" s="6">
        <f t="shared" si="7"/>
        <v>2049</v>
      </c>
      <c r="B38" s="4">
        <f t="shared" si="5"/>
        <v>0</v>
      </c>
      <c r="AD38" s="4">
        <f>AD6*AD10+AD6*(1-AD10)*C9</f>
        <v>0</v>
      </c>
      <c r="AE38" s="4">
        <f>+AD6*(1-AD10)*D9</f>
        <v>0</v>
      </c>
      <c r="AF38" s="4">
        <f>+AD6*(1-AD10)*E9</f>
        <v>0</v>
      </c>
      <c r="AG38" s="4">
        <f t="shared" si="9"/>
        <v>0</v>
      </c>
      <c r="AH38" s="252">
        <f t="shared" si="10"/>
        <v>0</v>
      </c>
    </row>
    <row r="39" spans="1:34">
      <c r="A39" s="6">
        <f t="shared" si="7"/>
        <v>2050</v>
      </c>
      <c r="B39" s="4">
        <f t="shared" si="5"/>
        <v>0</v>
      </c>
      <c r="AE39" s="4">
        <f>AE6*AE10+AE6*(1-AE10)*C9</f>
        <v>0</v>
      </c>
      <c r="AF39" s="4">
        <f>+AE6*(1-AE10)*D9</f>
        <v>0</v>
      </c>
      <c r="AG39" s="4">
        <f t="shared" si="9"/>
        <v>0</v>
      </c>
      <c r="AH39" s="252">
        <f t="shared" si="10"/>
        <v>0</v>
      </c>
    </row>
    <row r="40" spans="1:34">
      <c r="A40" s="6">
        <f t="shared" si="7"/>
        <v>2051</v>
      </c>
      <c r="B40" s="4">
        <f t="shared" si="5"/>
        <v>0</v>
      </c>
      <c r="AF40" s="4">
        <f>AF6*AF10+AF6*(1-AF10)*C9</f>
        <v>0</v>
      </c>
      <c r="AG40" s="4">
        <f t="shared" si="9"/>
        <v>0</v>
      </c>
      <c r="AH40" s="252">
        <f t="shared" si="10"/>
        <v>0</v>
      </c>
    </row>
    <row r="41" spans="1:34">
      <c r="A41" s="6" t="str">
        <f>"Total Depreciation - "&amp;A5</f>
        <v>Total Depreciation - Land Assumption</v>
      </c>
      <c r="B41" s="49">
        <f>SUM(B11:B40)</f>
        <v>13522736.507616967</v>
      </c>
      <c r="C41" s="49">
        <f>SUM(C11:C40)</f>
        <v>0</v>
      </c>
      <c r="D41" s="49">
        <f t="shared" ref="D41:AH41" si="11">SUM(D11:D40)</f>
        <v>0</v>
      </c>
      <c r="E41" s="49">
        <f t="shared" si="11"/>
        <v>0</v>
      </c>
      <c r="F41" s="49">
        <f t="shared" si="11"/>
        <v>0</v>
      </c>
      <c r="G41" s="49">
        <f t="shared" si="11"/>
        <v>0</v>
      </c>
      <c r="H41" s="49">
        <f t="shared" si="11"/>
        <v>0</v>
      </c>
      <c r="I41" s="49">
        <f t="shared" si="11"/>
        <v>0</v>
      </c>
      <c r="J41" s="49">
        <f t="shared" si="11"/>
        <v>0</v>
      </c>
      <c r="K41" s="49">
        <f t="shared" si="11"/>
        <v>0</v>
      </c>
      <c r="L41" s="49">
        <f t="shared" si="11"/>
        <v>0</v>
      </c>
      <c r="M41" s="49">
        <f t="shared" si="11"/>
        <v>0</v>
      </c>
      <c r="N41" s="49">
        <f t="shared" si="11"/>
        <v>0</v>
      </c>
      <c r="O41" s="49">
        <f t="shared" si="11"/>
        <v>0</v>
      </c>
      <c r="P41" s="49">
        <f t="shared" si="11"/>
        <v>0</v>
      </c>
      <c r="Q41" s="49">
        <f t="shared" si="11"/>
        <v>0</v>
      </c>
      <c r="R41" s="49">
        <f t="shared" si="11"/>
        <v>0</v>
      </c>
      <c r="S41" s="49">
        <f t="shared" si="11"/>
        <v>0</v>
      </c>
      <c r="T41" s="49">
        <f t="shared" si="11"/>
        <v>0</v>
      </c>
      <c r="U41" s="49">
        <f t="shared" si="11"/>
        <v>0</v>
      </c>
      <c r="V41" s="49">
        <f t="shared" si="11"/>
        <v>0</v>
      </c>
      <c r="W41" s="49">
        <f t="shared" si="11"/>
        <v>0</v>
      </c>
      <c r="X41" s="49">
        <f t="shared" si="11"/>
        <v>0</v>
      </c>
      <c r="Y41" s="49">
        <f t="shared" si="11"/>
        <v>0</v>
      </c>
      <c r="Z41" s="49">
        <f t="shared" si="11"/>
        <v>0</v>
      </c>
      <c r="AA41" s="49">
        <f t="shared" si="11"/>
        <v>0</v>
      </c>
      <c r="AB41" s="49">
        <f t="shared" si="11"/>
        <v>0</v>
      </c>
      <c r="AC41" s="49">
        <f t="shared" si="11"/>
        <v>0</v>
      </c>
      <c r="AD41" s="49">
        <f t="shared" si="11"/>
        <v>0</v>
      </c>
      <c r="AE41" s="49">
        <f t="shared" si="11"/>
        <v>0</v>
      </c>
      <c r="AF41" s="49">
        <f t="shared" si="11"/>
        <v>0</v>
      </c>
      <c r="AG41" s="49">
        <f t="shared" si="11"/>
        <v>0</v>
      </c>
      <c r="AH41" s="49">
        <f t="shared" si="11"/>
        <v>13522736.507616967</v>
      </c>
    </row>
    <row r="43" spans="1:34">
      <c r="A43" s="302" t="str">
        <f>+Book!A41</f>
        <v>Midtown Building</v>
      </c>
    </row>
    <row r="44" spans="1:34">
      <c r="A44" s="6" t="s">
        <v>406</v>
      </c>
      <c r="C44" s="40">
        <f>IF(Capex!$F$7="y",Book!C42*(1-C$446),Book!C42)</f>
        <v>0</v>
      </c>
      <c r="D44" s="40">
        <f>IF(Capex!$F$7="y",Book!D42*(1-D$446),Book!D42)</f>
        <v>0</v>
      </c>
      <c r="E44" s="40">
        <f>IF(Capex!$F$7="y",Book!E42*(1-E$446),Book!E42)</f>
        <v>108410427.83879925</v>
      </c>
      <c r="F44" s="40">
        <f>IF(Capex!$F$7="y",Book!F42*(1-F$446),Book!F42)</f>
        <v>0</v>
      </c>
      <c r="G44" s="40">
        <f>IF(Capex!$F$7="y",Book!G42*(1-G$446),Book!G42)</f>
        <v>0</v>
      </c>
      <c r="H44" s="40">
        <f>IF(Capex!$F$7="y",Book!H42*(1-H$446),Book!H42)</f>
        <v>0</v>
      </c>
      <c r="I44" s="40">
        <f>IF(Capex!$F$7="y",Book!I42*(1-I$446),Book!I42)</f>
        <v>0</v>
      </c>
      <c r="J44" s="40">
        <f>IF(Capex!$F$7="y",Book!J42*(1-J$446),Book!J42)</f>
        <v>0</v>
      </c>
      <c r="K44" s="40">
        <f>IF(Capex!$F$7="y",Book!K42*(1-K$446),Book!K42)</f>
        <v>0</v>
      </c>
      <c r="L44" s="40">
        <f>IF(Capex!$F$7="y",Book!L42*(1-L$446),Book!L42)</f>
        <v>0</v>
      </c>
      <c r="M44" s="40">
        <f>IF(Capex!$F$7="y",Book!M42*(1-M$446),Book!M42)</f>
        <v>0</v>
      </c>
      <c r="N44" s="40">
        <f>IF(Capex!$F$7="y",Book!N42*(1-N$446),Book!N42)</f>
        <v>0</v>
      </c>
      <c r="O44" s="40">
        <f>IF(Capex!$F$7="y",Book!O42*(1-O$446),Book!O42)</f>
        <v>0</v>
      </c>
      <c r="P44" s="40">
        <f>IF(Capex!$F$7="y",Book!P42*(1-P$446),Book!P42)</f>
        <v>0</v>
      </c>
      <c r="Q44" s="40">
        <f>IF(Capex!$F$7="y",Book!Q42*(1-Q$446),Book!Q42)</f>
        <v>0</v>
      </c>
      <c r="R44" s="40">
        <f>IF(Capex!$F$7="y",Book!R42*(1-R$446),Book!R42)</f>
        <v>0</v>
      </c>
      <c r="S44" s="40">
        <f>IF(Capex!$F$7="y",Book!S42*(1-S$446),Book!S42)</f>
        <v>0</v>
      </c>
      <c r="T44" s="40">
        <f>IF(Capex!$F$7="y",Book!T42*(1-T$446),Book!T42)</f>
        <v>0</v>
      </c>
      <c r="U44" s="40">
        <f>IF(Capex!$F$7="y",Book!U42*(1-U$446),Book!U42)</f>
        <v>0</v>
      </c>
      <c r="V44" s="40">
        <f>IF(Capex!$F$7="y",Book!V42*(1-V$446),Book!V42)</f>
        <v>0</v>
      </c>
      <c r="W44" s="40">
        <f>IF(Capex!$F$7="y",Book!W42*(1-W$446),Book!W42)</f>
        <v>0</v>
      </c>
      <c r="X44" s="40">
        <f>IF(Capex!$F$7="y",Book!X42*(1-X$446),Book!X42)</f>
        <v>0</v>
      </c>
      <c r="Y44" s="40">
        <f>IF(Capex!$F$7="y",Book!Y42*(1-Y$446),Book!Y42)</f>
        <v>0</v>
      </c>
      <c r="Z44" s="40">
        <f>IF(Capex!$F$7="y",Book!Z42*(1-Z$446),Book!Z42)</f>
        <v>0</v>
      </c>
      <c r="AA44" s="40">
        <f>IF(Capex!$F$7="y",Book!AA42*(1-AA$446),Book!AA42)</f>
        <v>0</v>
      </c>
      <c r="AB44" s="40">
        <f>IF(Capex!$F$7="y",Book!AB42*(1-AB$446),Book!AB42)</f>
        <v>0</v>
      </c>
      <c r="AC44" s="40">
        <f>IF(Capex!$F$7="y",Book!AC42*(1-AC$446),Book!AC42)</f>
        <v>0</v>
      </c>
      <c r="AD44" s="40">
        <f>IF(Capex!$F$7="y",Book!AD42*(1-AD$446),Book!AD42)</f>
        <v>0</v>
      </c>
      <c r="AE44" s="40">
        <f>IF(Capex!$F$7="y",Book!AE42*(1-AE$446),Book!AE42)</f>
        <v>0</v>
      </c>
      <c r="AF44" s="40">
        <f>IF(Capex!$F$7="y",Book!AF42*(1-AF$446),Book!AF42)</f>
        <v>0</v>
      </c>
    </row>
    <row r="45" spans="1:34">
      <c r="A45" s="6" t="s">
        <v>215</v>
      </c>
      <c r="C45" s="49">
        <f>+C44</f>
        <v>0</v>
      </c>
      <c r="D45" s="49">
        <f t="shared" ref="D45:AF45" si="12">+D44+C45</f>
        <v>0</v>
      </c>
      <c r="E45" s="49">
        <f t="shared" si="12"/>
        <v>108410427.83879925</v>
      </c>
      <c r="F45" s="49">
        <f t="shared" si="12"/>
        <v>108410427.83879925</v>
      </c>
      <c r="G45" s="49">
        <f t="shared" si="12"/>
        <v>108410427.83879925</v>
      </c>
      <c r="H45" s="49">
        <f t="shared" si="12"/>
        <v>108410427.83879925</v>
      </c>
      <c r="I45" s="49">
        <f t="shared" si="12"/>
        <v>108410427.83879925</v>
      </c>
      <c r="J45" s="49">
        <f t="shared" si="12"/>
        <v>108410427.83879925</v>
      </c>
      <c r="K45" s="49">
        <f t="shared" si="12"/>
        <v>108410427.83879925</v>
      </c>
      <c r="L45" s="49">
        <f t="shared" si="12"/>
        <v>108410427.83879925</v>
      </c>
      <c r="M45" s="49">
        <f t="shared" si="12"/>
        <v>108410427.83879925</v>
      </c>
      <c r="N45" s="49">
        <f t="shared" si="12"/>
        <v>108410427.83879925</v>
      </c>
      <c r="O45" s="49">
        <f t="shared" si="12"/>
        <v>108410427.83879925</v>
      </c>
      <c r="P45" s="49">
        <f t="shared" si="12"/>
        <v>108410427.83879925</v>
      </c>
      <c r="Q45" s="49">
        <f t="shared" si="12"/>
        <v>108410427.83879925</v>
      </c>
      <c r="R45" s="49">
        <f t="shared" si="12"/>
        <v>108410427.83879925</v>
      </c>
      <c r="S45" s="49">
        <f t="shared" si="12"/>
        <v>108410427.83879925</v>
      </c>
      <c r="T45" s="49">
        <f t="shared" si="12"/>
        <v>108410427.83879925</v>
      </c>
      <c r="U45" s="49">
        <f t="shared" si="12"/>
        <v>108410427.83879925</v>
      </c>
      <c r="V45" s="49">
        <f t="shared" si="12"/>
        <v>108410427.83879925</v>
      </c>
      <c r="W45" s="49">
        <f t="shared" si="12"/>
        <v>108410427.83879925</v>
      </c>
      <c r="X45" s="49">
        <f t="shared" si="12"/>
        <v>108410427.83879925</v>
      </c>
      <c r="Y45" s="49">
        <f t="shared" si="12"/>
        <v>108410427.83879925</v>
      </c>
      <c r="Z45" s="49">
        <f t="shared" si="12"/>
        <v>108410427.83879925</v>
      </c>
      <c r="AA45" s="49">
        <f t="shared" si="12"/>
        <v>108410427.83879925</v>
      </c>
      <c r="AB45" s="49">
        <f t="shared" si="12"/>
        <v>108410427.83879925</v>
      </c>
      <c r="AC45" s="49">
        <f t="shared" si="12"/>
        <v>108410427.83879925</v>
      </c>
      <c r="AD45" s="49">
        <f t="shared" si="12"/>
        <v>108410427.83879925</v>
      </c>
      <c r="AE45" s="49">
        <f t="shared" si="12"/>
        <v>108410427.83879925</v>
      </c>
      <c r="AF45" s="49">
        <f t="shared" si="12"/>
        <v>108410427.83879925</v>
      </c>
    </row>
    <row r="46" spans="1:34">
      <c r="A46" s="6" t="s">
        <v>407</v>
      </c>
    </row>
    <row r="47" spans="1:34">
      <c r="A47" s="6" t="s">
        <v>408</v>
      </c>
      <c r="B47" s="88">
        <f>+Capex!$E$7</f>
        <v>39</v>
      </c>
      <c r="C47" s="5">
        <f>SUMIF($B$459:$I$459,$B47,$B$460:$I$460)</f>
        <v>2.564102564102564E-2</v>
      </c>
      <c r="D47" s="5">
        <f>SUMIF($B$459:$I$459,$B47,$B$461:$I$461)</f>
        <v>2.564102564102564E-2</v>
      </c>
      <c r="E47" s="5">
        <f>SUMIF($B$459:$I$459,$B47,$B$462:$I$462)</f>
        <v>2.564102564102564E-2</v>
      </c>
      <c r="F47" s="5">
        <f>SUMIF($B$459:$I$459,$B47,$B$463:$I$463)</f>
        <v>2.564102564102564E-2</v>
      </c>
      <c r="G47" s="5">
        <f>SUMIF($B$459:$I$459,$B47,$B$464:$I$464)</f>
        <v>2.564102564102564E-2</v>
      </c>
      <c r="H47" s="5">
        <f>SUMIF($B$459:$I$459,$B47,$B$465:$I$465)</f>
        <v>2.564102564102564E-2</v>
      </c>
      <c r="I47" s="5">
        <f>SUMIF($B$459:$I$459,$B47,$B$466:$I$466)</f>
        <v>2.564102564102564E-2</v>
      </c>
      <c r="J47" s="5">
        <f>SUMIF($B$459:$I$459,$B47,$B$467:$I$467)</f>
        <v>2.564102564102564E-2</v>
      </c>
      <c r="K47" s="5">
        <f>SUMIF($B$459:$I$459,$B47,$B$468:$I$468)</f>
        <v>2.564102564102564E-2</v>
      </c>
      <c r="L47" s="5">
        <f>SUMIF($B$459:$I$459,$B47,$B$469:$I$469)</f>
        <v>2.564102564102564E-2</v>
      </c>
      <c r="M47" s="5">
        <f>SUMIF($B$459:$I$459,$B47,$B$470:$I$470)</f>
        <v>2.564102564102564E-2</v>
      </c>
      <c r="N47" s="5">
        <f>SUMIF($B$459:$I$459,$B47,$B$471:$I$471)</f>
        <v>2.564102564102564E-2</v>
      </c>
      <c r="O47" s="5">
        <f>SUMIF($B$459:$I$459,$B47,$B$472:$I$472)</f>
        <v>2.564102564102564E-2</v>
      </c>
      <c r="P47" s="5">
        <f>SUMIF($B$459:$I$459,$B47,$B$473:$I$473)</f>
        <v>2.564102564102564E-2</v>
      </c>
      <c r="Q47" s="5">
        <f>SUMIF($B$459:$I$459,$B47,$B$474:$I$474)</f>
        <v>2.564102564102564E-2</v>
      </c>
      <c r="R47" s="5">
        <f>SUMIF($B$459:$I$459,$B47,$B$475:$I$475)</f>
        <v>2.564102564102564E-2</v>
      </c>
      <c r="S47" s="5">
        <f>SUMIF($B$459:$I$459,$B47,$B$476:$I$476)</f>
        <v>2.564102564102564E-2</v>
      </c>
      <c r="T47" s="5">
        <f>SUMIF($B$459:$I$459,$B47,$B$477:$I$477)</f>
        <v>2.564102564102564E-2</v>
      </c>
      <c r="U47" s="5">
        <f>SUMIF($B$459:$I$459,$B47,$B$478:$I$478)</f>
        <v>2.564102564102564E-2</v>
      </c>
      <c r="V47" s="5">
        <f>SUMIF($B$459:$I$459,$B47,$B$479:$I$479)</f>
        <v>2.564102564102564E-2</v>
      </c>
      <c r="W47" s="5">
        <f>SUMIF($B$459:$I$459,$B47,$B$480:$I$480)</f>
        <v>2.564102564102564E-2</v>
      </c>
      <c r="X47" s="5">
        <f>SUMIF($B$459:$I$459,$B47,$B$481:$I$481)</f>
        <v>2.564102564102564E-2</v>
      </c>
      <c r="Y47" s="5">
        <f>SUMIF($B$459:$I$459,$B47,$B$482:$I$482)</f>
        <v>2.564102564102564E-2</v>
      </c>
      <c r="Z47" s="5">
        <f>SUMIF($B$459:$I$459,$B47,$B$483:$I$483)</f>
        <v>2.564102564102564E-2</v>
      </c>
      <c r="AA47" s="5">
        <f t="shared" ref="AA47:AF47" si="13">SUMIF($B$459:$I$459,$B47,$B$484:$I$484)</f>
        <v>2.564102564102564E-2</v>
      </c>
      <c r="AB47" s="5">
        <f t="shared" si="13"/>
        <v>2.564102564102564E-2</v>
      </c>
      <c r="AC47" s="5">
        <f t="shared" si="13"/>
        <v>2.564102564102564E-2</v>
      </c>
      <c r="AD47" s="5">
        <f t="shared" si="13"/>
        <v>2.564102564102564E-2</v>
      </c>
      <c r="AE47" s="5">
        <f t="shared" si="13"/>
        <v>2.564102564102564E-2</v>
      </c>
      <c r="AF47" s="5">
        <f t="shared" si="13"/>
        <v>2.564102564102564E-2</v>
      </c>
    </row>
    <row r="48" spans="1:34">
      <c r="A48" s="6" t="s">
        <v>409</v>
      </c>
      <c r="B48" s="89"/>
      <c r="C48" s="94">
        <f>IF(C$2&gt;'Input Data'!$M$37,B48,IF($B47=0,0,SUMIF('Input Data'!$C$37:$M$37,C$2,'Input Data'!$C$38:$M$38)))</f>
        <v>0</v>
      </c>
      <c r="D48" s="94">
        <f>IF(D$2&gt;'Input Data'!$M$37,C48,IF($B47=0,0,SUMIF('Input Data'!$C$37:$M$37,D$2,'Input Data'!$C$38:$M$38)))</f>
        <v>0</v>
      </c>
      <c r="E48" s="94">
        <f>IF(E$2&gt;'Input Data'!$M$37,D48,IF($B47=0,0,SUMIF('Input Data'!$C$37:$M$37,E$2,'Input Data'!$C$38:$M$38)))</f>
        <v>0</v>
      </c>
      <c r="F48" s="94">
        <f>IF(F$2&gt;'Input Data'!$M$37,E48,IF($B47=0,0,SUMIF('Input Data'!$C$37:$M$37,F$2,'Input Data'!$C$38:$M$38)))</f>
        <v>0</v>
      </c>
      <c r="G48" s="94">
        <f>IF(G$2&gt;'Input Data'!$M$37,F48,IF($B47=0,0,SUMIF('Input Data'!$C$37:$M$37,G$2,'Input Data'!$C$38:$M$38)))</f>
        <v>0</v>
      </c>
      <c r="H48" s="94">
        <f>IF(H$2&gt;'Input Data'!$M$37,G48,IF($B47=0,0,SUMIF('Input Data'!$C$37:$M$37,H$2,'Input Data'!$C$38:$M$38)))</f>
        <v>0</v>
      </c>
      <c r="I48" s="94">
        <f>IF(I$2&gt;'Input Data'!$M$37,H48,IF($B47=0,0,SUMIF('Input Data'!$C$37:$M$37,I$2,'Input Data'!$C$38:$M$38)))</f>
        <v>0</v>
      </c>
      <c r="J48" s="94">
        <f>IF(J$2&gt;'Input Data'!$M$37,I48,IF($B47=0,0,SUMIF('Input Data'!$C$37:$M$37,J$2,'Input Data'!$C$38:$M$38)))</f>
        <v>0</v>
      </c>
      <c r="K48" s="94">
        <f>IF(K$2&gt;'Input Data'!$M$37,J48,IF($B47=0,0,SUMIF('Input Data'!$C$37:$M$37,K$2,'Input Data'!$C$38:$M$38)))</f>
        <v>0</v>
      </c>
      <c r="L48" s="94">
        <f>IF(L$2&gt;'Input Data'!$M$37,K48,IF($B47=0,0,SUMIF('Input Data'!$C$37:$M$37,L$2,'Input Data'!$C$38:$M$38)))</f>
        <v>0</v>
      </c>
      <c r="M48" s="94">
        <f>IF(M$2&gt;'Input Data'!$M$37,L48,IF($B47=0,0,SUMIF('Input Data'!$C$37:$M$37,M$2,'Input Data'!$C$38:$M$38)))</f>
        <v>0</v>
      </c>
      <c r="N48" s="94">
        <f>IF(N$2&gt;'Input Data'!$M$37,M48,IF($B47=0,0,SUMIF('Input Data'!$C$37:$M$37,N$2,'Input Data'!$C$38:$M$38)))</f>
        <v>0</v>
      </c>
      <c r="O48" s="94">
        <f>IF(O$2&gt;'Input Data'!$M$37,N48,IF($B47=0,0,SUMIF('Input Data'!$C$37:$M$37,O$2,'Input Data'!$C$38:$M$38)))</f>
        <v>0</v>
      </c>
      <c r="P48" s="94">
        <f>IF(P$2&gt;'Input Data'!$M$37,O48,IF($B47=0,0,SUMIF('Input Data'!$C$37:$M$37,P$2,'Input Data'!$C$38:$M$38)))</f>
        <v>0</v>
      </c>
      <c r="Q48" s="94">
        <f>IF(Q$2&gt;'Input Data'!$M$37,P48,IF($B47=0,0,SUMIF('Input Data'!$C$37:$M$37,Q$2,'Input Data'!$C$38:$M$38)))</f>
        <v>0</v>
      </c>
      <c r="R48" s="94">
        <f>IF(R$2&gt;'Input Data'!$M$37,Q48,IF($B47=0,0,SUMIF('Input Data'!$C$37:$M$37,R$2,'Input Data'!$C$38:$M$38)))</f>
        <v>0</v>
      </c>
      <c r="S48" s="94">
        <f>IF(S$2&gt;'Input Data'!$M$37,R48,IF($B47=0,0,SUMIF('Input Data'!$C$37:$M$37,S$2,'Input Data'!$C$38:$M$38)))</f>
        <v>0</v>
      </c>
      <c r="T48" s="94">
        <f>IF(T$2&gt;'Input Data'!$M$37,S48,IF($B47=0,0,SUMIF('Input Data'!$C$37:$M$37,T$2,'Input Data'!$C$38:$M$38)))</f>
        <v>0</v>
      </c>
      <c r="U48" s="94">
        <f>IF(U$2&gt;'Input Data'!$M$37,T48,IF($B47=0,0,SUMIF('Input Data'!$C$37:$M$37,U$2,'Input Data'!$C$38:$M$38)))</f>
        <v>0</v>
      </c>
      <c r="V48" s="94">
        <f>IF(V$2&gt;'Input Data'!$M$37,U48,IF($B47=0,0,SUMIF('Input Data'!$C$37:$M$37,V$2,'Input Data'!$C$38:$M$38)))</f>
        <v>0</v>
      </c>
      <c r="W48" s="94">
        <f>IF(W$2&gt;'Input Data'!$M$37,V48,IF($B47=0,0,SUMIF('Input Data'!$C$37:$M$37,W$2,'Input Data'!$C$38:$M$38)))</f>
        <v>0</v>
      </c>
      <c r="X48" s="94">
        <f>IF(X$2&gt;'Input Data'!$M$37,W48,IF($B47=0,0,SUMIF('Input Data'!$C$37:$M$37,X$2,'Input Data'!$C$38:$M$38)))</f>
        <v>0</v>
      </c>
      <c r="Y48" s="94">
        <f>IF(Y$2&gt;'Input Data'!$M$37,X48,IF($B47=0,0,SUMIF('Input Data'!$C$37:$M$37,Y$2,'Input Data'!$C$38:$M$38)))</f>
        <v>0</v>
      </c>
      <c r="Z48" s="94">
        <f>IF(Z$2&gt;'Input Data'!$M$37,Y48,IF($B47=0,0,SUMIF('Input Data'!$C$37:$M$37,Z$2,'Input Data'!$C$38:$M$38)))</f>
        <v>0</v>
      </c>
      <c r="AA48" s="94">
        <f>IF(AA$2&gt;'Input Data'!$M$37,Z48,IF($B47=0,0,SUMIF('Input Data'!$C$37:$M$37,AA$2,'Input Data'!$C$38:$M$38)))</f>
        <v>0</v>
      </c>
      <c r="AB48" s="94">
        <f>IF(AB$2&gt;'Input Data'!$M$37,AA48,IF($B47=0,0,SUMIF('Input Data'!$C$37:$M$37,AB$2,'Input Data'!$C$38:$M$38)))</f>
        <v>0</v>
      </c>
      <c r="AC48" s="94">
        <f>IF(AC$2&gt;'Input Data'!$M$37,AB48,IF($B47=0,0,SUMIF('Input Data'!$C$37:$M$37,AC$2,'Input Data'!$C$38:$M$38)))</f>
        <v>0</v>
      </c>
      <c r="AD48" s="94">
        <f>IF(AD$2&gt;'Input Data'!$M$37,AC48,IF($B47=0,0,SUMIF('Input Data'!$C$37:$M$37,AD$2,'Input Data'!$C$38:$M$38)))</f>
        <v>0</v>
      </c>
      <c r="AE48" s="94">
        <f>IF(AE$2&gt;'Input Data'!$M$37,AD48,IF($B47=0,0,SUMIF('Input Data'!$C$37:$M$37,AE$2,'Input Data'!$C$38:$M$38)))</f>
        <v>0</v>
      </c>
      <c r="AF48" s="94">
        <f>IF(AF$2&gt;'Input Data'!$M$37,AE48,IF($B47=0,0,SUMIF('Input Data'!$C$37:$M$37,AF$2,'Input Data'!$C$38:$M$38)))</f>
        <v>0</v>
      </c>
    </row>
    <row r="49" spans="1:34">
      <c r="A49" s="6">
        <f>+A11</f>
        <v>2022</v>
      </c>
      <c r="B49" s="4">
        <f>SUMIF($C$2:$AF$2,A49,$C$44:$AF$44)</f>
        <v>0</v>
      </c>
      <c r="C49" s="4">
        <f>C44*C48+C44*(1-C48)*C47</f>
        <v>0</v>
      </c>
      <c r="D49" s="4">
        <f>C44*(1-C48)*D47</f>
        <v>0</v>
      </c>
      <c r="E49" s="4">
        <f>C44*(1-C48)*E47</f>
        <v>0</v>
      </c>
      <c r="F49" s="4">
        <f>C44*(1-C48)*F47</f>
        <v>0</v>
      </c>
      <c r="G49" s="4">
        <f>C44*(1-C48)*G47</f>
        <v>0</v>
      </c>
      <c r="H49" s="4">
        <f>C44*(1-C48)*H47</f>
        <v>0</v>
      </c>
      <c r="I49" s="4">
        <f>C44*(1-C48)*I47</f>
        <v>0</v>
      </c>
      <c r="J49" s="4">
        <f>C44*(1-C48)*J47</f>
        <v>0</v>
      </c>
      <c r="K49" s="4">
        <f>C44*(1-C48)*K47</f>
        <v>0</v>
      </c>
      <c r="L49" s="4">
        <f>C44*(1-C48)*L47</f>
        <v>0</v>
      </c>
      <c r="M49" s="4">
        <f>C44*(1-C48)*M47</f>
        <v>0</v>
      </c>
      <c r="N49" s="4">
        <f>C44*(1-C48)*N47</f>
        <v>0</v>
      </c>
      <c r="O49" s="4">
        <f>C44*(1-C48)*O47</f>
        <v>0</v>
      </c>
      <c r="P49" s="4">
        <f>C44*(1-C48)*P47</f>
        <v>0</v>
      </c>
      <c r="Q49" s="4">
        <f>C44*(1-C48)*Q47</f>
        <v>0</v>
      </c>
      <c r="R49" s="4">
        <f>C44*(1-C48)*R47</f>
        <v>0</v>
      </c>
      <c r="S49" s="4">
        <f>C44*(1-C48)*S47</f>
        <v>0</v>
      </c>
      <c r="T49" s="4">
        <f>C44*(1-C48)*T47</f>
        <v>0</v>
      </c>
      <c r="U49" s="4">
        <f>C44*(1-C48)*U47</f>
        <v>0</v>
      </c>
      <c r="V49" s="4">
        <f>C44*(1-C48)*V47</f>
        <v>0</v>
      </c>
      <c r="W49" s="4">
        <f>C44*(1-C48)*W47</f>
        <v>0</v>
      </c>
      <c r="X49" s="4">
        <f>C44*(1-C48)*X47</f>
        <v>0</v>
      </c>
      <c r="Y49" s="4">
        <f>C44*(1-C48)*Y47</f>
        <v>0</v>
      </c>
      <c r="Z49" s="4">
        <f>C44*(1-C48)*Z47</f>
        <v>0</v>
      </c>
      <c r="AA49" s="4">
        <f>C44*(1-C48)*AA47</f>
        <v>0</v>
      </c>
      <c r="AB49" s="4">
        <f>C44*(1-C48)*AB47</f>
        <v>0</v>
      </c>
      <c r="AC49" s="4">
        <f>C44*(1-C48)*AC47</f>
        <v>0</v>
      </c>
      <c r="AD49" s="4">
        <f>C44*(1-C48)*AD47</f>
        <v>0</v>
      </c>
      <c r="AE49" s="4">
        <f>C44*(1-C48)*AE47</f>
        <v>0</v>
      </c>
      <c r="AF49" s="4">
        <f>C44*(1-C48)*AF47</f>
        <v>0</v>
      </c>
      <c r="AG49" s="4">
        <f t="shared" ref="AG49:AG73" si="14">SUM(C49:AF49)</f>
        <v>0</v>
      </c>
      <c r="AH49" s="252">
        <f>+B49-AG49</f>
        <v>0</v>
      </c>
    </row>
    <row r="50" spans="1:34">
      <c r="A50" s="6">
        <f>+A49+1</f>
        <v>2023</v>
      </c>
      <c r="B50" s="4">
        <f t="shared" ref="B50:B78" si="15">SUMIF($C$2:$AF$2,A50,$C$44:$AF$44)</f>
        <v>0</v>
      </c>
      <c r="D50" s="4">
        <f>D44*D48+D44*(1-D48)*C47</f>
        <v>0</v>
      </c>
      <c r="E50" s="4">
        <f>+D44*(1-D48)*D47</f>
        <v>0</v>
      </c>
      <c r="F50" s="4">
        <f>+D44*(1-D48)*E47</f>
        <v>0</v>
      </c>
      <c r="G50" s="4">
        <f>+D44*(1-D48)*F47</f>
        <v>0</v>
      </c>
      <c r="H50" s="4">
        <f>+D44*(1-D48)*G47</f>
        <v>0</v>
      </c>
      <c r="I50" s="4">
        <f>+D44*(1-D48)*H47</f>
        <v>0</v>
      </c>
      <c r="J50" s="4">
        <f>+D44*(1-D48)*I47</f>
        <v>0</v>
      </c>
      <c r="K50" s="4">
        <f>+D44*(1-D48)*J47</f>
        <v>0</v>
      </c>
      <c r="L50" s="4">
        <f>+D44*(1-D48)*K47</f>
        <v>0</v>
      </c>
      <c r="M50" s="4">
        <f>+D44*(1-D48)*L47</f>
        <v>0</v>
      </c>
      <c r="N50" s="4">
        <f>+D44*(1-D48)*M47</f>
        <v>0</v>
      </c>
      <c r="O50" s="4">
        <f>+D44*(1-D48)*N47</f>
        <v>0</v>
      </c>
      <c r="P50" s="4">
        <f>+D44*(1-D48)*O47</f>
        <v>0</v>
      </c>
      <c r="Q50" s="4">
        <f>+D44*(1-D48)*P47</f>
        <v>0</v>
      </c>
      <c r="R50" s="4">
        <f>+D44*(1-D48)*Q47</f>
        <v>0</v>
      </c>
      <c r="S50" s="4">
        <f>+D44*(1-D48)*R47</f>
        <v>0</v>
      </c>
      <c r="T50" s="4">
        <f>+D44*(1-D48)*S47</f>
        <v>0</v>
      </c>
      <c r="U50" s="4">
        <f>+D44*(1-D48)*T47</f>
        <v>0</v>
      </c>
      <c r="V50" s="4">
        <f>+D44*(1-D48)*U47</f>
        <v>0</v>
      </c>
      <c r="W50" s="4">
        <f>+D44*(1-D48)*V47</f>
        <v>0</v>
      </c>
      <c r="X50" s="4">
        <f>+D44*(1-D48)*W47</f>
        <v>0</v>
      </c>
      <c r="Y50" s="4">
        <f>+D44*(1-D48)*X47</f>
        <v>0</v>
      </c>
      <c r="Z50" s="4">
        <f>+D44*(1-D48)*Y47</f>
        <v>0</v>
      </c>
      <c r="AA50" s="4">
        <f>+D44*(1-D48)*Z47</f>
        <v>0</v>
      </c>
      <c r="AB50" s="4">
        <f>+D44*(1-D48)*AA47</f>
        <v>0</v>
      </c>
      <c r="AC50" s="4">
        <f>+D44*(1-D48)*AB47</f>
        <v>0</v>
      </c>
      <c r="AD50" s="4">
        <f>+D44*(1-D48)*AC47</f>
        <v>0</v>
      </c>
      <c r="AE50" s="4">
        <f>+D44*(1-D48)*AD47</f>
        <v>0</v>
      </c>
      <c r="AF50" s="4">
        <f>+D44*(1-D48)*AE47</f>
        <v>0</v>
      </c>
      <c r="AG50" s="4">
        <f t="shared" si="14"/>
        <v>0</v>
      </c>
      <c r="AH50" s="252">
        <f t="shared" ref="AH50:AH78" si="16">+B50-AG50</f>
        <v>0</v>
      </c>
    </row>
    <row r="51" spans="1:34">
      <c r="A51" s="6">
        <f t="shared" ref="A51:A78" si="17">+A50+1</f>
        <v>2024</v>
      </c>
      <c r="B51" s="4">
        <f t="shared" si="15"/>
        <v>108410427.83879925</v>
      </c>
      <c r="E51" s="4">
        <f>E44*E48+E44*(1-E48)*C47</f>
        <v>2779754.5599692115</v>
      </c>
      <c r="F51" s="4">
        <f>+E44*(1-E48)*D47</f>
        <v>2779754.5599692115</v>
      </c>
      <c r="G51" s="4">
        <f>+E44*(1-E48)*E47</f>
        <v>2779754.5599692115</v>
      </c>
      <c r="H51" s="4">
        <f>+E44*(1-E48)*F47</f>
        <v>2779754.5599692115</v>
      </c>
      <c r="I51" s="4">
        <f>+E44*(1-E48)*G47</f>
        <v>2779754.5599692115</v>
      </c>
      <c r="J51" s="4">
        <f>+E44*(1-E48)*H47</f>
        <v>2779754.5599692115</v>
      </c>
      <c r="K51" s="4">
        <f>+E44*(1-E48)*I47</f>
        <v>2779754.5599692115</v>
      </c>
      <c r="L51" s="4">
        <f>+E44*(1-E48)*J47</f>
        <v>2779754.5599692115</v>
      </c>
      <c r="M51" s="4">
        <f>+E44*(1-E48)*K47</f>
        <v>2779754.5599692115</v>
      </c>
      <c r="N51" s="4">
        <f>+E44*(1-E48)*L47</f>
        <v>2779754.5599692115</v>
      </c>
      <c r="O51" s="4">
        <f>+E44*(1-E48)*M47</f>
        <v>2779754.5599692115</v>
      </c>
      <c r="P51" s="4">
        <f>+E44*(1-E48)*N47</f>
        <v>2779754.5599692115</v>
      </c>
      <c r="Q51" s="4">
        <f>+E44*(1-E48)*O47</f>
        <v>2779754.5599692115</v>
      </c>
      <c r="R51" s="4">
        <f>+E44*(1-E48)*P47</f>
        <v>2779754.5599692115</v>
      </c>
      <c r="S51" s="4">
        <f>+E44*(1-E48)*Q47</f>
        <v>2779754.5599692115</v>
      </c>
      <c r="T51" s="4">
        <f>+E44*(1-E48)*R47</f>
        <v>2779754.5599692115</v>
      </c>
      <c r="U51" s="4">
        <f>+E44*(1-E48)*S47</f>
        <v>2779754.5599692115</v>
      </c>
      <c r="V51" s="4">
        <f>+E44*(1-E48)*T47</f>
        <v>2779754.5599692115</v>
      </c>
      <c r="W51" s="4">
        <f>+E44*(1-E48)*U47</f>
        <v>2779754.5599692115</v>
      </c>
      <c r="X51" s="4">
        <f>+E44*(1-E48)*V47</f>
        <v>2779754.5599692115</v>
      </c>
      <c r="Y51" s="4">
        <f>+E44*(1-E48)*W47</f>
        <v>2779754.5599692115</v>
      </c>
      <c r="Z51" s="4">
        <f>+E44*(1-E48)*X47</f>
        <v>2779754.5599692115</v>
      </c>
      <c r="AA51" s="4">
        <f>+E44*(1-E48)*Y47</f>
        <v>2779754.5599692115</v>
      </c>
      <c r="AB51" s="4">
        <f>+E44*(1-E48)*Z47</f>
        <v>2779754.5599692115</v>
      </c>
      <c r="AC51" s="4">
        <f>+E44*(1-E48)*AA47</f>
        <v>2779754.5599692115</v>
      </c>
      <c r="AD51" s="4">
        <f>+E44*(1-E48)*AB47</f>
        <v>2779754.5599692115</v>
      </c>
      <c r="AE51" s="4">
        <f>+E44*(1-E48)*AC47</f>
        <v>2779754.5599692115</v>
      </c>
      <c r="AF51" s="4">
        <f>+E44*(1-E48)*AD47</f>
        <v>2779754.5599692115</v>
      </c>
      <c r="AG51" s="4">
        <f t="shared" si="14"/>
        <v>77833127.679137915</v>
      </c>
      <c r="AH51" s="252">
        <f t="shared" si="16"/>
        <v>30577300.159661338</v>
      </c>
    </row>
    <row r="52" spans="1:34">
      <c r="A52" s="6">
        <f t="shared" si="17"/>
        <v>2025</v>
      </c>
      <c r="B52" s="4">
        <f t="shared" si="15"/>
        <v>0</v>
      </c>
      <c r="F52" s="4">
        <f>F44*F48+F44*(1-F48)*C47</f>
        <v>0</v>
      </c>
      <c r="G52" s="4">
        <f>+F44*(1-F48)*D47</f>
        <v>0</v>
      </c>
      <c r="H52" s="4">
        <f>+F44*(1-F48)*E47</f>
        <v>0</v>
      </c>
      <c r="I52" s="4">
        <f>+F44*(1-F48)*F47</f>
        <v>0</v>
      </c>
      <c r="J52" s="4">
        <f>+F44*(1-F48)*G47</f>
        <v>0</v>
      </c>
      <c r="K52" s="4">
        <f>+F44*(1-F48)*H47</f>
        <v>0</v>
      </c>
      <c r="L52" s="4">
        <f>+F44*(1-F48)*I47</f>
        <v>0</v>
      </c>
      <c r="M52" s="4">
        <f>+F44*(1-F48)*J47</f>
        <v>0</v>
      </c>
      <c r="N52" s="4">
        <f>+F44*(1-F48)*K47</f>
        <v>0</v>
      </c>
      <c r="O52" s="4">
        <f>+F44*(1-F48)*L47</f>
        <v>0</v>
      </c>
      <c r="P52" s="4">
        <f>+F44*(1-F48)*M47</f>
        <v>0</v>
      </c>
      <c r="Q52" s="4">
        <f>+F44*(1-F48)*N47</f>
        <v>0</v>
      </c>
      <c r="R52" s="4">
        <f>+F44*(1-F48)*O47</f>
        <v>0</v>
      </c>
      <c r="S52" s="4">
        <f>+F44*(1-F48)*P47</f>
        <v>0</v>
      </c>
      <c r="T52" s="4">
        <f>+F44*(1-F48)*Q47</f>
        <v>0</v>
      </c>
      <c r="U52" s="4">
        <f>+F44*(1-F48)*R47</f>
        <v>0</v>
      </c>
      <c r="V52" s="4">
        <f>+F44*(1-F48)*S47</f>
        <v>0</v>
      </c>
      <c r="W52" s="4">
        <f>+F44*(1-F48)*T47</f>
        <v>0</v>
      </c>
      <c r="X52" s="4">
        <f>+F44*(1-F48)*U47</f>
        <v>0</v>
      </c>
      <c r="Y52" s="4">
        <f>+F44*(1-F48)*V47</f>
        <v>0</v>
      </c>
      <c r="Z52" s="4">
        <f>+F44*(1-F48)*W47</f>
        <v>0</v>
      </c>
      <c r="AA52" s="4">
        <f>+F44*(1-F48)*X47</f>
        <v>0</v>
      </c>
      <c r="AB52" s="4">
        <f>+F44*(1-F48)*Y47</f>
        <v>0</v>
      </c>
      <c r="AC52" s="4">
        <f>+F44*(1-F48)*Z47</f>
        <v>0</v>
      </c>
      <c r="AD52" s="4">
        <f>+F44*(1-F48)*AA47</f>
        <v>0</v>
      </c>
      <c r="AE52" s="4">
        <f>+F44*(1-F48)*AB47</f>
        <v>0</v>
      </c>
      <c r="AF52" s="4">
        <f>+F44*(1-F48)*AC47</f>
        <v>0</v>
      </c>
      <c r="AG52" s="4">
        <f t="shared" si="14"/>
        <v>0</v>
      </c>
      <c r="AH52" s="252">
        <f t="shared" si="16"/>
        <v>0</v>
      </c>
    </row>
    <row r="53" spans="1:34">
      <c r="A53" s="6">
        <f t="shared" si="17"/>
        <v>2026</v>
      </c>
      <c r="B53" s="4">
        <f t="shared" si="15"/>
        <v>0</v>
      </c>
      <c r="G53" s="4">
        <f>G44*G48+G44*(1-G48)*C47</f>
        <v>0</v>
      </c>
      <c r="H53" s="4">
        <f>+G44*(1-G48)*D47</f>
        <v>0</v>
      </c>
      <c r="I53" s="4">
        <f>+G44*(1-G48)*E47</f>
        <v>0</v>
      </c>
      <c r="J53" s="4">
        <f>+G44*(1-G48)*F47</f>
        <v>0</v>
      </c>
      <c r="K53" s="4">
        <f>+G44*(1-G48)*G47</f>
        <v>0</v>
      </c>
      <c r="L53" s="4">
        <f>+G44*(1-G48)*H47</f>
        <v>0</v>
      </c>
      <c r="M53" s="4">
        <f>+G44*(1-G48)*I47</f>
        <v>0</v>
      </c>
      <c r="N53" s="4">
        <f>+G44*(1-G48)*J47</f>
        <v>0</v>
      </c>
      <c r="O53" s="4">
        <f>+G44*(1-G48)*K47</f>
        <v>0</v>
      </c>
      <c r="P53" s="4">
        <f>+G44*(1-G48)*L47</f>
        <v>0</v>
      </c>
      <c r="Q53" s="4">
        <f>+G44*(1-G48)*M47</f>
        <v>0</v>
      </c>
      <c r="R53" s="4">
        <f>+G44*(1-G48)*N47</f>
        <v>0</v>
      </c>
      <c r="S53" s="4">
        <f>+G44*(1-G48)*O47</f>
        <v>0</v>
      </c>
      <c r="T53" s="4">
        <f>+G44*(1-G48)*P47</f>
        <v>0</v>
      </c>
      <c r="U53" s="4">
        <f>+G44*(1-G48)*Q47</f>
        <v>0</v>
      </c>
      <c r="V53" s="4">
        <f>+G44*(1-G48)*R47</f>
        <v>0</v>
      </c>
      <c r="W53" s="4">
        <f>+G44*(1-G48)*S47</f>
        <v>0</v>
      </c>
      <c r="X53" s="4">
        <f>+G44*(1-G48)*T47</f>
        <v>0</v>
      </c>
      <c r="Y53" s="4">
        <f>+G44*(1-G48)*U47</f>
        <v>0</v>
      </c>
      <c r="Z53" s="4">
        <f>+G44*(1-G48)*V47</f>
        <v>0</v>
      </c>
      <c r="AA53" s="4">
        <f>+G44*(1-G48)*W47</f>
        <v>0</v>
      </c>
      <c r="AB53" s="4">
        <f>+G44*(1-G48)*X47</f>
        <v>0</v>
      </c>
      <c r="AC53" s="4">
        <f>+G44*(1-G48)*Y47</f>
        <v>0</v>
      </c>
      <c r="AD53" s="4">
        <f>+G44*(1-G48)*Z47</f>
        <v>0</v>
      </c>
      <c r="AE53" s="4">
        <f>+G44*(1-G48)*AA47</f>
        <v>0</v>
      </c>
      <c r="AF53" s="4">
        <f>+G44*(1-G48)*AB47</f>
        <v>0</v>
      </c>
      <c r="AG53" s="4">
        <f t="shared" si="14"/>
        <v>0</v>
      </c>
      <c r="AH53" s="252">
        <f t="shared" si="16"/>
        <v>0</v>
      </c>
    </row>
    <row r="54" spans="1:34">
      <c r="A54" s="6">
        <f t="shared" si="17"/>
        <v>2027</v>
      </c>
      <c r="B54" s="4">
        <f t="shared" si="15"/>
        <v>0</v>
      </c>
      <c r="H54" s="4">
        <f>H44*H48+H44*(1-H48)*C47</f>
        <v>0</v>
      </c>
      <c r="I54" s="4">
        <f>+H44*(1-H48)*D47</f>
        <v>0</v>
      </c>
      <c r="J54" s="4">
        <f>+H44*(1-H48)*E47</f>
        <v>0</v>
      </c>
      <c r="K54" s="4">
        <f>+H44*(1-H48)*F47</f>
        <v>0</v>
      </c>
      <c r="L54" s="4">
        <f>+H44*(1-H48)*G47</f>
        <v>0</v>
      </c>
      <c r="M54" s="4">
        <f>+H44*(1-H48)*H47</f>
        <v>0</v>
      </c>
      <c r="N54" s="4">
        <f>+H44*(1-H48)*I47</f>
        <v>0</v>
      </c>
      <c r="O54" s="4">
        <f>+H44*(1-H48)*J47</f>
        <v>0</v>
      </c>
      <c r="P54" s="4">
        <f>+H44*(1-H48)*K47</f>
        <v>0</v>
      </c>
      <c r="Q54" s="4">
        <f>+H44*(1-H48)*L47</f>
        <v>0</v>
      </c>
      <c r="R54" s="4">
        <f>+H44*(1-H48)*M47</f>
        <v>0</v>
      </c>
      <c r="S54" s="4">
        <f>+H44*(1-H48)*N47</f>
        <v>0</v>
      </c>
      <c r="T54" s="4">
        <f>+H44*(1-H48)*O47</f>
        <v>0</v>
      </c>
      <c r="U54" s="4">
        <f>+H44*(1-H48)*P47</f>
        <v>0</v>
      </c>
      <c r="V54" s="4">
        <f>+H44*(1-H48)*Q47</f>
        <v>0</v>
      </c>
      <c r="W54" s="4">
        <f>+H44*(1-H48)*R47</f>
        <v>0</v>
      </c>
      <c r="X54" s="4">
        <f>+H44*(1-H48)*S47</f>
        <v>0</v>
      </c>
      <c r="Y54" s="4">
        <f>+H44*(1-H48)*T47</f>
        <v>0</v>
      </c>
      <c r="Z54" s="4">
        <f>+H44*(1-H48)*U47</f>
        <v>0</v>
      </c>
      <c r="AA54" s="4">
        <f>+H44*(1-H48)*V47</f>
        <v>0</v>
      </c>
      <c r="AB54" s="4">
        <f>+H44*(1-H48)*W47</f>
        <v>0</v>
      </c>
      <c r="AC54" s="4">
        <f>+H44*(1-H48)*X47</f>
        <v>0</v>
      </c>
      <c r="AD54" s="4">
        <f>+H44*(1-H48)*Y47</f>
        <v>0</v>
      </c>
      <c r="AE54" s="4">
        <f>+H44*(1-H48)*Z47</f>
        <v>0</v>
      </c>
      <c r="AF54" s="4">
        <f>+H44*(1-H48)*AA47</f>
        <v>0</v>
      </c>
      <c r="AG54" s="4">
        <f t="shared" si="14"/>
        <v>0</v>
      </c>
      <c r="AH54" s="252">
        <f t="shared" si="16"/>
        <v>0</v>
      </c>
    </row>
    <row r="55" spans="1:34">
      <c r="A55" s="6">
        <f t="shared" si="17"/>
        <v>2028</v>
      </c>
      <c r="B55" s="4">
        <f t="shared" si="15"/>
        <v>0</v>
      </c>
      <c r="I55" s="4">
        <f>I44*I48+I44*(1-I48)*C47</f>
        <v>0</v>
      </c>
      <c r="J55" s="4">
        <f>+I44*(1-I48)*D47</f>
        <v>0</v>
      </c>
      <c r="K55" s="4">
        <f>+I44*(1-I48)*E47</f>
        <v>0</v>
      </c>
      <c r="L55" s="4">
        <f>+I44*(1-I48)*F47</f>
        <v>0</v>
      </c>
      <c r="M55" s="4">
        <f>+I44*(1-I48)*G47</f>
        <v>0</v>
      </c>
      <c r="N55" s="4">
        <f>+I44*(1-I48)*H47</f>
        <v>0</v>
      </c>
      <c r="O55" s="4">
        <f>+I44*(1-I48)*I47</f>
        <v>0</v>
      </c>
      <c r="P55" s="4">
        <f>+I44*(1-I48)*J47</f>
        <v>0</v>
      </c>
      <c r="Q55" s="4">
        <f>+I44*(1-I48)*K47</f>
        <v>0</v>
      </c>
      <c r="R55" s="4">
        <f>+I44*(1-I48)*L47</f>
        <v>0</v>
      </c>
      <c r="S55" s="4">
        <f>+I44*(1-I48)*M47</f>
        <v>0</v>
      </c>
      <c r="T55" s="4">
        <f>+I44*(1-I48)*N47</f>
        <v>0</v>
      </c>
      <c r="U55" s="4">
        <f>+I44*(1-I48)*O47</f>
        <v>0</v>
      </c>
      <c r="V55" s="4">
        <f>+I44*(1-I48)*P47</f>
        <v>0</v>
      </c>
      <c r="W55" s="4">
        <f>+I44*(1-I48)*Q47</f>
        <v>0</v>
      </c>
      <c r="X55" s="4">
        <f>+I44*(1-I48)*R47</f>
        <v>0</v>
      </c>
      <c r="Y55" s="4">
        <f>+I44*(1-I48)*S47</f>
        <v>0</v>
      </c>
      <c r="Z55" s="4">
        <f>+I44*(1-I48)*T47</f>
        <v>0</v>
      </c>
      <c r="AA55" s="4">
        <f>+I44*(1-I48)*U47</f>
        <v>0</v>
      </c>
      <c r="AB55" s="4">
        <f>+I44*(1-I48)*V47</f>
        <v>0</v>
      </c>
      <c r="AC55" s="4">
        <f>+I44*(1-I48)*W47</f>
        <v>0</v>
      </c>
      <c r="AD55" s="4">
        <f>+I44*(1-I48)*X47</f>
        <v>0</v>
      </c>
      <c r="AE55" s="4">
        <f>+I44*(1-I48)*Y47</f>
        <v>0</v>
      </c>
      <c r="AF55" s="4">
        <f>+I44*(1-I48)*Z47</f>
        <v>0</v>
      </c>
      <c r="AG55" s="4">
        <f t="shared" si="14"/>
        <v>0</v>
      </c>
      <c r="AH55" s="252">
        <f t="shared" si="16"/>
        <v>0</v>
      </c>
    </row>
    <row r="56" spans="1:34">
      <c r="A56" s="6">
        <f t="shared" si="17"/>
        <v>2029</v>
      </c>
      <c r="B56" s="4">
        <f t="shared" si="15"/>
        <v>0</v>
      </c>
      <c r="J56" s="4">
        <f>J44*J48+J44*(1-J48)*C47</f>
        <v>0</v>
      </c>
      <c r="K56" s="4">
        <f>K44*K48+J44*(1-K48)*D47</f>
        <v>0</v>
      </c>
      <c r="L56" s="4">
        <f>L44*L48+J44*(1-L48)*E47</f>
        <v>0</v>
      </c>
      <c r="M56" s="4">
        <f>M44*M48+J44*(1-M48)*F47</f>
        <v>0</v>
      </c>
      <c r="N56" s="4">
        <f>N44*N48+J44*(1-N48)*G47</f>
        <v>0</v>
      </c>
      <c r="O56" s="4">
        <f>O44*O48+J44*(1-O48)*H47</f>
        <v>0</v>
      </c>
      <c r="P56" s="4">
        <f>P44*P48+J44*(1-P48)*I47</f>
        <v>0</v>
      </c>
      <c r="Q56" s="4">
        <f>Q44*Q48+J44*(1-Q48)*J47</f>
        <v>0</v>
      </c>
      <c r="R56" s="4">
        <f>R44*R48+J44*(1-R48)*K47</f>
        <v>0</v>
      </c>
      <c r="S56" s="4">
        <f>S44*S48+J44*(1-S48)*L47</f>
        <v>0</v>
      </c>
      <c r="T56" s="4">
        <f>T44*T48+J44*(1-T48)*M47</f>
        <v>0</v>
      </c>
      <c r="U56" s="4">
        <f>U44*U48+J44*(1-U48)*N47</f>
        <v>0</v>
      </c>
      <c r="V56" s="4">
        <f>V44*V48+J44*(1-V48)*O47</f>
        <v>0</v>
      </c>
      <c r="W56" s="4">
        <f>W44*W48+J44*(1-W48)*P47</f>
        <v>0</v>
      </c>
      <c r="X56" s="4">
        <f>X44*X48+J44*(1-X48)*Q47</f>
        <v>0</v>
      </c>
      <c r="Y56" s="4">
        <f>Y44*Y48+J44*(1-Y48)*R47</f>
        <v>0</v>
      </c>
      <c r="Z56" s="4">
        <f>Z44*Z48+J44*(1-Z48)*S47</f>
        <v>0</v>
      </c>
      <c r="AA56" s="4">
        <f>AA44*AA48+J44*(1-AA48)*T47</f>
        <v>0</v>
      </c>
      <c r="AB56" s="4">
        <f>AB44*AB48+J44*(1-AB48)*U47</f>
        <v>0</v>
      </c>
      <c r="AC56" s="4">
        <f>AC44*AC48+J44*(1-AC48)*V47</f>
        <v>0</v>
      </c>
      <c r="AD56" s="4">
        <f>AD44*AD48+J44*(1-AD48)*W47</f>
        <v>0</v>
      </c>
      <c r="AE56" s="4">
        <f>AE44*AE48+J44*(1-AE48)*X47</f>
        <v>0</v>
      </c>
      <c r="AF56" s="4">
        <f>AF44*AF48+J44*(1-AF48)*Y47</f>
        <v>0</v>
      </c>
      <c r="AG56" s="4">
        <f t="shared" si="14"/>
        <v>0</v>
      </c>
      <c r="AH56" s="252">
        <f t="shared" si="16"/>
        <v>0</v>
      </c>
    </row>
    <row r="57" spans="1:34">
      <c r="A57" s="6">
        <f t="shared" si="17"/>
        <v>2030</v>
      </c>
      <c r="B57" s="4">
        <f t="shared" si="15"/>
        <v>0</v>
      </c>
      <c r="K57" s="4">
        <f>K44*K48+K44*(1-K48)*C47</f>
        <v>0</v>
      </c>
      <c r="L57" s="4">
        <f>+K44*(1-K48)*D47</f>
        <v>0</v>
      </c>
      <c r="M57" s="4">
        <f>+K44*(1-K48)*E47</f>
        <v>0</v>
      </c>
      <c r="N57" s="4">
        <f>+K44*(1-K48)*F47</f>
        <v>0</v>
      </c>
      <c r="O57" s="4">
        <f>+K44*(1-K48)*G47</f>
        <v>0</v>
      </c>
      <c r="P57" s="4">
        <f>+K44*(1-K48)*H47</f>
        <v>0</v>
      </c>
      <c r="Q57" s="4">
        <f>+K44*(1-K48)*I47</f>
        <v>0</v>
      </c>
      <c r="R57" s="4">
        <f>+K44*(1-K48)*J47</f>
        <v>0</v>
      </c>
      <c r="S57" s="4">
        <f>+K44*(1-K48)*K47</f>
        <v>0</v>
      </c>
      <c r="T57" s="4">
        <f>+K44*(1-K48)*L47</f>
        <v>0</v>
      </c>
      <c r="U57" s="4">
        <f>+K44*(1-K48)*M47</f>
        <v>0</v>
      </c>
      <c r="V57" s="4">
        <f>+K44*(1-K48)*N47</f>
        <v>0</v>
      </c>
      <c r="W57" s="4">
        <f>+K44*(1-K48)*O47</f>
        <v>0</v>
      </c>
      <c r="X57" s="4">
        <f>+K44*(1-K48)*P47</f>
        <v>0</v>
      </c>
      <c r="Y57" s="4">
        <f>+K44*(1-K48)*Q47</f>
        <v>0</v>
      </c>
      <c r="Z57" s="4">
        <f>+K44*(1-K48)*R47</f>
        <v>0</v>
      </c>
      <c r="AA57" s="4">
        <f>+K44*(1-K48)*S47</f>
        <v>0</v>
      </c>
      <c r="AB57" s="4">
        <f>+K44*(1-K48)*T47</f>
        <v>0</v>
      </c>
      <c r="AC57" s="4">
        <f>+K44*(1-K48)*U47</f>
        <v>0</v>
      </c>
      <c r="AD57" s="4">
        <f>+K44*(1-K48)*V47</f>
        <v>0</v>
      </c>
      <c r="AE57" s="4">
        <f>+K44*(1-K48)*W47</f>
        <v>0</v>
      </c>
      <c r="AF57" s="4">
        <f>+K44*(1-K48)*X47</f>
        <v>0</v>
      </c>
      <c r="AG57" s="4">
        <f t="shared" si="14"/>
        <v>0</v>
      </c>
      <c r="AH57" s="252">
        <f t="shared" si="16"/>
        <v>0</v>
      </c>
    </row>
    <row r="58" spans="1:34">
      <c r="A58" s="6">
        <f t="shared" si="17"/>
        <v>2031</v>
      </c>
      <c r="B58" s="4">
        <f t="shared" si="15"/>
        <v>0</v>
      </c>
      <c r="L58" s="4">
        <f>L44*L48+L44*(1-L48)*C47</f>
        <v>0</v>
      </c>
      <c r="M58" s="4">
        <f>+L44*(1-L48)*D47</f>
        <v>0</v>
      </c>
      <c r="N58" s="4">
        <f>+L44*(1-L48)*E47</f>
        <v>0</v>
      </c>
      <c r="O58" s="4">
        <f>+L44*(1-L48)*F47</f>
        <v>0</v>
      </c>
      <c r="P58" s="4">
        <f>+L44*(1-L48)*G47</f>
        <v>0</v>
      </c>
      <c r="Q58" s="4">
        <f>+L44*(1-L48)*H47</f>
        <v>0</v>
      </c>
      <c r="R58" s="4">
        <f>+L44*(1-L48)*I47</f>
        <v>0</v>
      </c>
      <c r="S58" s="4">
        <f>+L44*(1-L48)*J47</f>
        <v>0</v>
      </c>
      <c r="T58" s="4">
        <f>+L44*(1-L48)*K47</f>
        <v>0</v>
      </c>
      <c r="U58" s="4">
        <f>+L44*(1-L48)*L47</f>
        <v>0</v>
      </c>
      <c r="V58" s="4">
        <f>+L44*(1-L48)*M47</f>
        <v>0</v>
      </c>
      <c r="W58" s="4">
        <f>+L44*(1-L48)*N47</f>
        <v>0</v>
      </c>
      <c r="X58" s="4">
        <f>+L44*(1-L48)*O47</f>
        <v>0</v>
      </c>
      <c r="Y58" s="4">
        <f>+L44*(1-L48)*P47</f>
        <v>0</v>
      </c>
      <c r="Z58" s="4">
        <f>+L44*(1-L48)*Q47</f>
        <v>0</v>
      </c>
      <c r="AA58" s="4">
        <f>+L44*(1-L48)*R47</f>
        <v>0</v>
      </c>
      <c r="AB58" s="4">
        <f>+L44*(1-L48)*S47</f>
        <v>0</v>
      </c>
      <c r="AC58" s="4">
        <f>+L44*(1-L48)*T47</f>
        <v>0</v>
      </c>
      <c r="AD58" s="4">
        <f>+L44*(1-L48)*U47</f>
        <v>0</v>
      </c>
      <c r="AE58" s="4">
        <f>+L44*(1-L48)*V47</f>
        <v>0</v>
      </c>
      <c r="AF58" s="4">
        <f>+L44*(1-L48)*W47</f>
        <v>0</v>
      </c>
      <c r="AG58" s="4">
        <f t="shared" si="14"/>
        <v>0</v>
      </c>
      <c r="AH58" s="252">
        <f t="shared" si="16"/>
        <v>0</v>
      </c>
    </row>
    <row r="59" spans="1:34">
      <c r="A59" s="6">
        <f t="shared" si="17"/>
        <v>2032</v>
      </c>
      <c r="B59" s="4">
        <f t="shared" si="15"/>
        <v>0</v>
      </c>
      <c r="M59" s="4">
        <f>M44*M48+M44*(1-M48)*C47</f>
        <v>0</v>
      </c>
      <c r="N59" s="4">
        <f>+M44*(1-M48)*D47</f>
        <v>0</v>
      </c>
      <c r="O59" s="4">
        <f>+M44*(1-M48)*E47</f>
        <v>0</v>
      </c>
      <c r="P59" s="4">
        <f>+M44*(1-M48)*F47</f>
        <v>0</v>
      </c>
      <c r="Q59" s="4">
        <f>+M44*(1-M48)*G47</f>
        <v>0</v>
      </c>
      <c r="R59" s="4">
        <f>+M44*(1-M48)*H47</f>
        <v>0</v>
      </c>
      <c r="S59" s="4">
        <f>+M44*(1-M48)*I47</f>
        <v>0</v>
      </c>
      <c r="T59" s="4">
        <f>+M44*(1-M48)*J47</f>
        <v>0</v>
      </c>
      <c r="U59" s="4">
        <f>+M44*(1-M48)*K47</f>
        <v>0</v>
      </c>
      <c r="V59" s="4">
        <f>+M44*(1-M48)*L47</f>
        <v>0</v>
      </c>
      <c r="W59" s="4">
        <f>+M44*(1-M48)*M47</f>
        <v>0</v>
      </c>
      <c r="X59" s="4">
        <f>+M44*(1-M48)*N47</f>
        <v>0</v>
      </c>
      <c r="Y59" s="4">
        <f>+M44*(1-M48)*O47</f>
        <v>0</v>
      </c>
      <c r="Z59" s="4">
        <f>+M44*(1-M48)*P47</f>
        <v>0</v>
      </c>
      <c r="AA59" s="4">
        <f>+M44*(1-M48)*Q47</f>
        <v>0</v>
      </c>
      <c r="AB59" s="4">
        <f>+M44*(1-M48)*R47</f>
        <v>0</v>
      </c>
      <c r="AC59" s="4">
        <f>+M44*(1-M48)*S47</f>
        <v>0</v>
      </c>
      <c r="AD59" s="4">
        <f>+M44*(1-M48)*T47</f>
        <v>0</v>
      </c>
      <c r="AE59" s="4">
        <f>+M44*(1-M48)*U47</f>
        <v>0</v>
      </c>
      <c r="AF59" s="4">
        <f>+M44*(1-M48)*V47</f>
        <v>0</v>
      </c>
      <c r="AG59" s="4">
        <f t="shared" si="14"/>
        <v>0</v>
      </c>
      <c r="AH59" s="252">
        <f t="shared" si="16"/>
        <v>0</v>
      </c>
    </row>
    <row r="60" spans="1:34">
      <c r="A60" s="6">
        <f t="shared" si="17"/>
        <v>2033</v>
      </c>
      <c r="B60" s="4">
        <f t="shared" si="15"/>
        <v>0</v>
      </c>
      <c r="N60" s="4">
        <f>N44*N48+N44*(1-N48)*C47</f>
        <v>0</v>
      </c>
      <c r="O60" s="4">
        <f>+N44*(1-N48)*D47</f>
        <v>0</v>
      </c>
      <c r="P60" s="4">
        <f>+N44*(1-N48)*E47</f>
        <v>0</v>
      </c>
      <c r="Q60" s="4">
        <f>+N44*(1-N48)*F47</f>
        <v>0</v>
      </c>
      <c r="R60" s="4">
        <f>+N44*(1-N48)*G47</f>
        <v>0</v>
      </c>
      <c r="S60" s="4">
        <f>+N44*(1-N48)*H47</f>
        <v>0</v>
      </c>
      <c r="T60" s="4">
        <f>+N44*(1-N48)*I47</f>
        <v>0</v>
      </c>
      <c r="U60" s="4">
        <f>+N44*(1-N48)*J47</f>
        <v>0</v>
      </c>
      <c r="V60" s="4">
        <f>+N44*(1-N48)*K47</f>
        <v>0</v>
      </c>
      <c r="W60" s="4">
        <f>+N44*(1-N48)*L47</f>
        <v>0</v>
      </c>
      <c r="X60" s="4">
        <f>+N44*(1-N48)*M47</f>
        <v>0</v>
      </c>
      <c r="Y60" s="4">
        <f>+N44*(1-N48)*N47</f>
        <v>0</v>
      </c>
      <c r="Z60" s="4">
        <f>+N44*(1-N48)*O47</f>
        <v>0</v>
      </c>
      <c r="AA60" s="4">
        <f>+N44*(1-N48)*P47</f>
        <v>0</v>
      </c>
      <c r="AB60" s="4">
        <f>+N44*(1-N48)*Q47</f>
        <v>0</v>
      </c>
      <c r="AC60" s="4">
        <f>+N44*(1-N48)*R47</f>
        <v>0</v>
      </c>
      <c r="AD60" s="4">
        <f>+N44*(1-N48)*S47</f>
        <v>0</v>
      </c>
      <c r="AE60" s="4">
        <f>+N44*(1-N48)*T47</f>
        <v>0</v>
      </c>
      <c r="AF60" s="4">
        <f>+N44*(1-N48)*U47</f>
        <v>0</v>
      </c>
      <c r="AG60" s="4">
        <f t="shared" si="14"/>
        <v>0</v>
      </c>
      <c r="AH60" s="252">
        <f t="shared" si="16"/>
        <v>0</v>
      </c>
    </row>
    <row r="61" spans="1:34">
      <c r="A61" s="6">
        <f t="shared" si="17"/>
        <v>2034</v>
      </c>
      <c r="B61" s="4">
        <f t="shared" si="15"/>
        <v>0</v>
      </c>
      <c r="O61" s="4">
        <f>O44*O48+O44*(1-O48)*C47</f>
        <v>0</v>
      </c>
      <c r="P61" s="4">
        <f>+O44*(1-O48)*D47</f>
        <v>0</v>
      </c>
      <c r="Q61" s="4">
        <f>+O44*(1-O48)*E47</f>
        <v>0</v>
      </c>
      <c r="R61" s="4">
        <f>+O44*(1-O48)*F47</f>
        <v>0</v>
      </c>
      <c r="S61" s="4">
        <f>+O44*(1-O48)*G47</f>
        <v>0</v>
      </c>
      <c r="T61" s="4">
        <f>+O44*(1-O48)*H47</f>
        <v>0</v>
      </c>
      <c r="U61" s="4">
        <f>+O44*(1-O48)*I47</f>
        <v>0</v>
      </c>
      <c r="V61" s="4">
        <f>+O44*(1-O48)*J47</f>
        <v>0</v>
      </c>
      <c r="W61" s="4">
        <f>+O44*(1-O48)*K47</f>
        <v>0</v>
      </c>
      <c r="X61" s="4">
        <f>+O44*(1-O48)*L47</f>
        <v>0</v>
      </c>
      <c r="Y61" s="4">
        <f>+O44*(1-O48)*M47</f>
        <v>0</v>
      </c>
      <c r="Z61" s="4">
        <f>+O44*(1-O48)*N47</f>
        <v>0</v>
      </c>
      <c r="AA61" s="4">
        <f>+O44*(1-O48)*O47</f>
        <v>0</v>
      </c>
      <c r="AB61" s="4">
        <f>+O44*(1-O48)*P47</f>
        <v>0</v>
      </c>
      <c r="AC61" s="4">
        <f>+O44*(1-O48)*Q47</f>
        <v>0</v>
      </c>
      <c r="AD61" s="4">
        <f>+O44*(1-O48)*R47</f>
        <v>0</v>
      </c>
      <c r="AE61" s="4">
        <f>+O44*(1-O48)*S47</f>
        <v>0</v>
      </c>
      <c r="AF61" s="4">
        <f>+O44*(1-O48)*T47</f>
        <v>0</v>
      </c>
      <c r="AG61" s="4">
        <f t="shared" si="14"/>
        <v>0</v>
      </c>
      <c r="AH61" s="252">
        <f t="shared" si="16"/>
        <v>0</v>
      </c>
    </row>
    <row r="62" spans="1:34">
      <c r="A62" s="6">
        <f t="shared" si="17"/>
        <v>2035</v>
      </c>
      <c r="B62" s="4">
        <f t="shared" si="15"/>
        <v>0</v>
      </c>
      <c r="P62" s="4">
        <f>P44*P48+P44*(1-P48)*C47</f>
        <v>0</v>
      </c>
      <c r="Q62" s="4">
        <f>+P44*(1-P48)*D47</f>
        <v>0</v>
      </c>
      <c r="R62" s="4">
        <f>+P44*(1-P48)*E47</f>
        <v>0</v>
      </c>
      <c r="S62" s="4">
        <f>+P44*(1-P48)*F47</f>
        <v>0</v>
      </c>
      <c r="T62" s="4">
        <f>+P44*(1-P48)*G47</f>
        <v>0</v>
      </c>
      <c r="U62" s="4">
        <f>+P44*(1-P48)*H47</f>
        <v>0</v>
      </c>
      <c r="V62" s="4">
        <f>+P44*(1-P48)*I47</f>
        <v>0</v>
      </c>
      <c r="W62" s="4">
        <f>+P44*(1-P48)*J47</f>
        <v>0</v>
      </c>
      <c r="X62" s="4">
        <f>+P44*(1-P48)*K47</f>
        <v>0</v>
      </c>
      <c r="Y62" s="4">
        <f>+P44*(1-P48)*L47</f>
        <v>0</v>
      </c>
      <c r="Z62" s="4">
        <f>+P44*(1-P48)*M47</f>
        <v>0</v>
      </c>
      <c r="AA62" s="4">
        <f>+P44*(1-P48)*N47</f>
        <v>0</v>
      </c>
      <c r="AB62" s="4">
        <f>+P44*(1-P48)*O47</f>
        <v>0</v>
      </c>
      <c r="AC62" s="4">
        <f>+P44*(1-P48)*P47</f>
        <v>0</v>
      </c>
      <c r="AD62" s="4">
        <f>+P44*(1-P48)*Q47</f>
        <v>0</v>
      </c>
      <c r="AE62" s="4">
        <f>+P44*(1-P48)*R47</f>
        <v>0</v>
      </c>
      <c r="AF62" s="4">
        <f>+P44*(1-P48)*S47</f>
        <v>0</v>
      </c>
      <c r="AG62" s="4">
        <f t="shared" si="14"/>
        <v>0</v>
      </c>
      <c r="AH62" s="252">
        <f t="shared" si="16"/>
        <v>0</v>
      </c>
    </row>
    <row r="63" spans="1:34">
      <c r="A63" s="6">
        <f t="shared" si="17"/>
        <v>2036</v>
      </c>
      <c r="B63" s="4">
        <f t="shared" si="15"/>
        <v>0</v>
      </c>
      <c r="Q63" s="4">
        <f>Q44*Q48+Q44*(1-Q48)*C47</f>
        <v>0</v>
      </c>
      <c r="R63" s="4">
        <f>Q44*(1-Q48)*D47</f>
        <v>0</v>
      </c>
      <c r="S63" s="4">
        <f>Q44*(1-Q48)*E47</f>
        <v>0</v>
      </c>
      <c r="T63" s="4">
        <f>Q44*(1-Q48)*F47</f>
        <v>0</v>
      </c>
      <c r="U63" s="4">
        <f>Q44*(1-Q48)*G47</f>
        <v>0</v>
      </c>
      <c r="V63" s="4">
        <f>Q44*(1-Q48)*H47</f>
        <v>0</v>
      </c>
      <c r="W63" s="4">
        <f>Q44*(1-Q48)*I47</f>
        <v>0</v>
      </c>
      <c r="X63" s="4">
        <f>Q44*(1-Q48)*J47</f>
        <v>0</v>
      </c>
      <c r="Y63" s="4">
        <f>Q44*(1-Q48)*K47</f>
        <v>0</v>
      </c>
      <c r="Z63" s="4">
        <f>Q44*(1-Q48)*L47</f>
        <v>0</v>
      </c>
      <c r="AA63" s="4">
        <f>Q44*(1-Q48)*M47</f>
        <v>0</v>
      </c>
      <c r="AB63" s="4">
        <f>Q44*(1-Q48)*N47</f>
        <v>0</v>
      </c>
      <c r="AC63" s="4">
        <f>Q44*(1-Q48)*O47</f>
        <v>0</v>
      </c>
      <c r="AD63" s="4">
        <f>Q44*(1-Q48)*P47</f>
        <v>0</v>
      </c>
      <c r="AE63" s="4">
        <f>Q44*(1-Q48)*Q47</f>
        <v>0</v>
      </c>
      <c r="AF63" s="4">
        <f>Q44*(1-Q48)*R47</f>
        <v>0</v>
      </c>
      <c r="AG63" s="4">
        <f t="shared" si="14"/>
        <v>0</v>
      </c>
      <c r="AH63" s="252">
        <f t="shared" si="16"/>
        <v>0</v>
      </c>
    </row>
    <row r="64" spans="1:34">
      <c r="A64" s="6">
        <f t="shared" si="17"/>
        <v>2037</v>
      </c>
      <c r="B64" s="4">
        <f t="shared" si="15"/>
        <v>0</v>
      </c>
      <c r="R64" s="4">
        <f>R44*R48+R44*(1-R48)*C47</f>
        <v>0</v>
      </c>
      <c r="S64" s="4">
        <f>R44*(1-R48)*D47</f>
        <v>0</v>
      </c>
      <c r="T64" s="4">
        <f>R44*(1-R48)*E47</f>
        <v>0</v>
      </c>
      <c r="U64" s="4">
        <f>R44*(1-R48)*F47</f>
        <v>0</v>
      </c>
      <c r="V64" s="4">
        <f>R44*(1-R48)*G47</f>
        <v>0</v>
      </c>
      <c r="W64" s="4">
        <f>R44*(1-R48)*H47</f>
        <v>0</v>
      </c>
      <c r="X64" s="4">
        <f>R44*(1-R48)*I47</f>
        <v>0</v>
      </c>
      <c r="Y64" s="4">
        <f>R44*(1-R48)*J47</f>
        <v>0</v>
      </c>
      <c r="Z64" s="4">
        <f>R44*(1-R48)*K47</f>
        <v>0</v>
      </c>
      <c r="AA64" s="4">
        <f>R44*(1-R48)*L47</f>
        <v>0</v>
      </c>
      <c r="AB64" s="4">
        <f>R44*(1-R48)*M47</f>
        <v>0</v>
      </c>
      <c r="AC64" s="4">
        <f>R44*(1-R48)*N47</f>
        <v>0</v>
      </c>
      <c r="AD64" s="4">
        <f>R44*(1-R48)*O47</f>
        <v>0</v>
      </c>
      <c r="AE64" s="4">
        <f>R44*(1-R48)*P47</f>
        <v>0</v>
      </c>
      <c r="AF64" s="4">
        <f>R44*(1-R48)*Q47</f>
        <v>0</v>
      </c>
      <c r="AG64" s="4">
        <f t="shared" si="14"/>
        <v>0</v>
      </c>
      <c r="AH64" s="252">
        <f t="shared" si="16"/>
        <v>0</v>
      </c>
    </row>
    <row r="65" spans="1:34">
      <c r="A65" s="6">
        <f t="shared" si="17"/>
        <v>2038</v>
      </c>
      <c r="B65" s="4">
        <f t="shared" si="15"/>
        <v>0</v>
      </c>
      <c r="S65" s="4">
        <f>S44*S48+S44*(1-S48)*C47</f>
        <v>0</v>
      </c>
      <c r="T65" s="4">
        <f>+S44*(1-S48)*D47</f>
        <v>0</v>
      </c>
      <c r="U65" s="4">
        <f>+S44*(1-S48)*E47</f>
        <v>0</v>
      </c>
      <c r="V65" s="4">
        <f>+S44*(1-S48)*F47</f>
        <v>0</v>
      </c>
      <c r="W65" s="4">
        <f>+S44*(1-S48)*G47</f>
        <v>0</v>
      </c>
      <c r="X65" s="4">
        <f>+S44*(1-S48)*H47</f>
        <v>0</v>
      </c>
      <c r="Y65" s="4">
        <f>+S44*(1-S48)*I47</f>
        <v>0</v>
      </c>
      <c r="Z65" s="4">
        <f>+S44*(1-S48)*J47</f>
        <v>0</v>
      </c>
      <c r="AA65" s="4">
        <f>+S44*(1-S48)*K47</f>
        <v>0</v>
      </c>
      <c r="AB65" s="4">
        <f>+S44*(1-S48)*L47</f>
        <v>0</v>
      </c>
      <c r="AC65" s="4">
        <f>+S44*(1-S48)*M47</f>
        <v>0</v>
      </c>
      <c r="AD65" s="4">
        <f>+S44*(1-S48)*N47</f>
        <v>0</v>
      </c>
      <c r="AE65" s="4">
        <f>+S44*(1-S48)*O47</f>
        <v>0</v>
      </c>
      <c r="AF65" s="4">
        <f>+S44*(1-S48)*P47</f>
        <v>0</v>
      </c>
      <c r="AG65" s="4">
        <f t="shared" si="14"/>
        <v>0</v>
      </c>
      <c r="AH65" s="252">
        <f t="shared" si="16"/>
        <v>0</v>
      </c>
    </row>
    <row r="66" spans="1:34">
      <c r="A66" s="6">
        <f t="shared" si="17"/>
        <v>2039</v>
      </c>
      <c r="B66" s="4">
        <f t="shared" si="15"/>
        <v>0</v>
      </c>
      <c r="T66" s="4">
        <f>T44*T48+T44*(1-T48)*C47</f>
        <v>0</v>
      </c>
      <c r="U66" s="4">
        <f>+T44*(1-T48)*D47</f>
        <v>0</v>
      </c>
      <c r="V66" s="4">
        <f>+T44*(1-T48)*E47</f>
        <v>0</v>
      </c>
      <c r="W66" s="4">
        <f>+T44*(1-T48)*F47</f>
        <v>0</v>
      </c>
      <c r="X66" s="4">
        <f>+T44*(1-T48)*G47</f>
        <v>0</v>
      </c>
      <c r="Y66" s="4">
        <f>+T44*(1-T48)*H47</f>
        <v>0</v>
      </c>
      <c r="Z66" s="4">
        <f>+T44*(1-T48)*I47</f>
        <v>0</v>
      </c>
      <c r="AA66" s="4">
        <f>+T44*(1-T48)*J47</f>
        <v>0</v>
      </c>
      <c r="AB66" s="4">
        <f>+T44*(1-T48)*K47</f>
        <v>0</v>
      </c>
      <c r="AC66" s="4">
        <f>+T44*(1-T48)*L47</f>
        <v>0</v>
      </c>
      <c r="AD66" s="4">
        <f>+T44*(1-T48)*M47</f>
        <v>0</v>
      </c>
      <c r="AE66" s="4">
        <f>+T44*(1-T48)*N47</f>
        <v>0</v>
      </c>
      <c r="AF66" s="4">
        <f>+T44*(1-T48)*O47</f>
        <v>0</v>
      </c>
      <c r="AG66" s="4">
        <f t="shared" si="14"/>
        <v>0</v>
      </c>
      <c r="AH66" s="252">
        <f t="shared" si="16"/>
        <v>0</v>
      </c>
    </row>
    <row r="67" spans="1:34">
      <c r="A67" s="6">
        <f t="shared" si="17"/>
        <v>2040</v>
      </c>
      <c r="B67" s="4">
        <f t="shared" si="15"/>
        <v>0</v>
      </c>
      <c r="U67" s="4">
        <f>U44*U48+U44*(1-U48)*C47</f>
        <v>0</v>
      </c>
      <c r="V67" s="4">
        <f>+U44*(1-U48)*D47</f>
        <v>0</v>
      </c>
      <c r="W67" s="4">
        <f>+U44*(1-U48)*E47</f>
        <v>0</v>
      </c>
      <c r="X67" s="4">
        <f>+U44*(1-U48)*F47</f>
        <v>0</v>
      </c>
      <c r="Y67" s="4">
        <f>+U44*(1-U48)*G47</f>
        <v>0</v>
      </c>
      <c r="Z67" s="4">
        <f>+U44*(1-U48)*H47</f>
        <v>0</v>
      </c>
      <c r="AA67" s="4">
        <f>+U44*(1-U48)*I47</f>
        <v>0</v>
      </c>
      <c r="AB67" s="4">
        <f>+U44*(1-U48)*J47</f>
        <v>0</v>
      </c>
      <c r="AC67" s="4">
        <f>+U44*(1-U48)*K47</f>
        <v>0</v>
      </c>
      <c r="AD67" s="4">
        <f>+U44*(1-U48)*L47</f>
        <v>0</v>
      </c>
      <c r="AE67" s="4">
        <f>+U44*(1-U48)*M47</f>
        <v>0</v>
      </c>
      <c r="AF67" s="4">
        <f>+U44*(1-U48)*N47</f>
        <v>0</v>
      </c>
      <c r="AG67" s="4">
        <f t="shared" si="14"/>
        <v>0</v>
      </c>
      <c r="AH67" s="252">
        <f t="shared" si="16"/>
        <v>0</v>
      </c>
    </row>
    <row r="68" spans="1:34">
      <c r="A68" s="6">
        <f t="shared" si="17"/>
        <v>2041</v>
      </c>
      <c r="B68" s="4">
        <f t="shared" si="15"/>
        <v>0</v>
      </c>
      <c r="V68" s="4">
        <f>V44*V48+V44*(1-V48)*C47</f>
        <v>0</v>
      </c>
      <c r="W68" s="4">
        <f>+V44*(1-V48)*D47</f>
        <v>0</v>
      </c>
      <c r="X68" s="4">
        <f>+V44*(1-V48)*E47</f>
        <v>0</v>
      </c>
      <c r="Y68" s="4">
        <f>+V44*(1-V48)*F47</f>
        <v>0</v>
      </c>
      <c r="Z68" s="4">
        <f>+V44*(1-V48)*G47</f>
        <v>0</v>
      </c>
      <c r="AA68" s="4">
        <f>+V44*(1-V48)*H47</f>
        <v>0</v>
      </c>
      <c r="AB68" s="4">
        <f>+V44*(1-V48)*I47</f>
        <v>0</v>
      </c>
      <c r="AC68" s="4">
        <f>+V44*(1-V48)*J47</f>
        <v>0</v>
      </c>
      <c r="AD68" s="4">
        <f>+V44*(1-V48)*K47</f>
        <v>0</v>
      </c>
      <c r="AE68" s="4">
        <f>+V44*(1-V48)*L47</f>
        <v>0</v>
      </c>
      <c r="AF68" s="4">
        <f>+V44*(1-V48)*M47</f>
        <v>0</v>
      </c>
      <c r="AG68" s="4">
        <f t="shared" si="14"/>
        <v>0</v>
      </c>
      <c r="AH68" s="252">
        <f t="shared" si="16"/>
        <v>0</v>
      </c>
    </row>
    <row r="69" spans="1:34">
      <c r="A69" s="6">
        <f t="shared" si="17"/>
        <v>2042</v>
      </c>
      <c r="B69" s="4">
        <f t="shared" si="15"/>
        <v>0</v>
      </c>
      <c r="W69" s="4">
        <f>W44*W48+W44*(1-W48)*C47</f>
        <v>0</v>
      </c>
      <c r="X69" s="4">
        <f>+W44*(1-W48)*D47</f>
        <v>0</v>
      </c>
      <c r="Y69" s="4">
        <f>+W44*(1-W48)*E47</f>
        <v>0</v>
      </c>
      <c r="Z69" s="4">
        <f>+W44*(1-W48)*F47</f>
        <v>0</v>
      </c>
      <c r="AA69" s="4">
        <f>+W44*(1-W48)*G47</f>
        <v>0</v>
      </c>
      <c r="AB69" s="4">
        <f>+W44*(1-W48)*H47</f>
        <v>0</v>
      </c>
      <c r="AC69" s="4">
        <f>+W44*(1-W48)*I47</f>
        <v>0</v>
      </c>
      <c r="AD69" s="4">
        <f>+W44*(1-W48)*J47</f>
        <v>0</v>
      </c>
      <c r="AE69" s="4">
        <f>+W44*(1-W48)*K47</f>
        <v>0</v>
      </c>
      <c r="AF69" s="4">
        <f>+W44*(1-W48)*L47</f>
        <v>0</v>
      </c>
      <c r="AG69" s="4">
        <f t="shared" si="14"/>
        <v>0</v>
      </c>
      <c r="AH69" s="252">
        <f t="shared" si="16"/>
        <v>0</v>
      </c>
    </row>
    <row r="70" spans="1:34">
      <c r="A70" s="6">
        <f t="shared" si="17"/>
        <v>2043</v>
      </c>
      <c r="B70" s="4">
        <f t="shared" si="15"/>
        <v>0</v>
      </c>
      <c r="X70" s="4">
        <f>X44*X48+X44*(1-X48)*C47</f>
        <v>0</v>
      </c>
      <c r="Y70" s="4">
        <f>+X44*(1-X48)*D47</f>
        <v>0</v>
      </c>
      <c r="Z70" s="4">
        <f>+X44*(1-X48)*E47</f>
        <v>0</v>
      </c>
      <c r="AA70" s="4">
        <f>+X44*(1-X48)*F47</f>
        <v>0</v>
      </c>
      <c r="AB70" s="4">
        <f>+X44*(1-X48)*G47</f>
        <v>0</v>
      </c>
      <c r="AC70" s="4">
        <f>+X44*(1-X48)*H47</f>
        <v>0</v>
      </c>
      <c r="AD70" s="4">
        <f>+X44*(1-X48)*I47</f>
        <v>0</v>
      </c>
      <c r="AE70" s="4">
        <f>+X44*(1-X48)*J47</f>
        <v>0</v>
      </c>
      <c r="AF70" s="4">
        <f>+X44*(1-X48)*K47</f>
        <v>0</v>
      </c>
      <c r="AG70" s="4">
        <f t="shared" si="14"/>
        <v>0</v>
      </c>
      <c r="AH70" s="252">
        <f t="shared" si="16"/>
        <v>0</v>
      </c>
    </row>
    <row r="71" spans="1:34">
      <c r="A71" s="6">
        <f t="shared" si="17"/>
        <v>2044</v>
      </c>
      <c r="B71" s="4">
        <f t="shared" si="15"/>
        <v>0</v>
      </c>
      <c r="Y71" s="4">
        <f>Y44*Y48+Y44*(1-Y48)*C47</f>
        <v>0</v>
      </c>
      <c r="Z71" s="4">
        <f>+Y44*(1-Y48)*D47</f>
        <v>0</v>
      </c>
      <c r="AA71" s="4">
        <f>+Y44*(1-Y48)*E47</f>
        <v>0</v>
      </c>
      <c r="AB71" s="4">
        <f>+Y44*(1-Y48)*F47</f>
        <v>0</v>
      </c>
      <c r="AC71" s="4">
        <f>+Y44*(1-Y48)*G47</f>
        <v>0</v>
      </c>
      <c r="AD71" s="4">
        <f>+Y44*(1-Y48)*H47</f>
        <v>0</v>
      </c>
      <c r="AE71" s="4">
        <f>+Y44*(1-Y48)*I47</f>
        <v>0</v>
      </c>
      <c r="AF71" s="4">
        <f>+Y44*(1-Y48)*J47</f>
        <v>0</v>
      </c>
      <c r="AG71" s="4">
        <f t="shared" si="14"/>
        <v>0</v>
      </c>
      <c r="AH71" s="252">
        <f t="shared" si="16"/>
        <v>0</v>
      </c>
    </row>
    <row r="72" spans="1:34">
      <c r="A72" s="6">
        <f t="shared" si="17"/>
        <v>2045</v>
      </c>
      <c r="B72" s="4">
        <f t="shared" si="15"/>
        <v>0</v>
      </c>
      <c r="Z72" s="4">
        <f>Z44*Z48+Z44*(1-Z48)*C47</f>
        <v>0</v>
      </c>
      <c r="AA72" s="4">
        <f>+Z44*(1-Z48)*D47</f>
        <v>0</v>
      </c>
      <c r="AB72" s="4">
        <f>+Z44*(1-Z48)*E47</f>
        <v>0</v>
      </c>
      <c r="AC72" s="4">
        <f>+Z44*(1-Z48)*F47</f>
        <v>0</v>
      </c>
      <c r="AD72" s="4">
        <f>+Z44*(1-Z48)*G47</f>
        <v>0</v>
      </c>
      <c r="AE72" s="4">
        <f>+Z44*(1-Z48)*H47</f>
        <v>0</v>
      </c>
      <c r="AF72" s="4">
        <f>+Z44*(1-Z48)*I47</f>
        <v>0</v>
      </c>
      <c r="AG72" s="4">
        <f t="shared" si="14"/>
        <v>0</v>
      </c>
      <c r="AH72" s="252">
        <f t="shared" si="16"/>
        <v>0</v>
      </c>
    </row>
    <row r="73" spans="1:34">
      <c r="A73" s="6">
        <f t="shared" si="17"/>
        <v>2046</v>
      </c>
      <c r="B73" s="4">
        <f t="shared" si="15"/>
        <v>0</v>
      </c>
      <c r="AA73" s="4">
        <f>AA44*AA48+AA44*(1-AA48)*C47</f>
        <v>0</v>
      </c>
      <c r="AB73" s="4">
        <f>+AA44*(1-AA48)*D47</f>
        <v>0</v>
      </c>
      <c r="AC73" s="4">
        <f>+AA44*(1-AA48)*E47</f>
        <v>0</v>
      </c>
      <c r="AD73" s="4">
        <f>+AA44*(1-AA48)*F47</f>
        <v>0</v>
      </c>
      <c r="AE73" s="4">
        <f>+AA44*(1-AA48)*G47</f>
        <v>0</v>
      </c>
      <c r="AF73" s="4">
        <f>+AA44*(1-AA48)*H47</f>
        <v>0</v>
      </c>
      <c r="AG73" s="4">
        <f t="shared" si="14"/>
        <v>0</v>
      </c>
      <c r="AH73" s="252">
        <f t="shared" si="16"/>
        <v>0</v>
      </c>
    </row>
    <row r="74" spans="1:34">
      <c r="A74" s="6">
        <f t="shared" si="17"/>
        <v>2047</v>
      </c>
      <c r="B74" s="4">
        <f t="shared" si="15"/>
        <v>0</v>
      </c>
      <c r="AB74" s="4">
        <f>AB44*AB48+AB44*(1-AB48)*C47</f>
        <v>0</v>
      </c>
      <c r="AC74" s="4">
        <f>+AB44*(1-AB48)*D47</f>
        <v>0</v>
      </c>
      <c r="AD74" s="4">
        <f>+AB44*(1-AB48)*E47</f>
        <v>0</v>
      </c>
      <c r="AE74" s="4">
        <f>+AB44*(1-AB48)*F47</f>
        <v>0</v>
      </c>
      <c r="AF74" s="4">
        <f>+AB44*(1-AB48)*G47</f>
        <v>0</v>
      </c>
      <c r="AG74" s="4">
        <f t="shared" ref="AG74:AG78" si="18">SUM(C74:AF74)</f>
        <v>0</v>
      </c>
      <c r="AH74" s="252">
        <f t="shared" si="16"/>
        <v>0</v>
      </c>
    </row>
    <row r="75" spans="1:34">
      <c r="A75" s="6">
        <f t="shared" si="17"/>
        <v>2048</v>
      </c>
      <c r="B75" s="4">
        <f t="shared" si="15"/>
        <v>0</v>
      </c>
      <c r="AC75" s="4">
        <f>AC44*AC48+AC44*(1-AC48)*C47</f>
        <v>0</v>
      </c>
      <c r="AD75" s="4">
        <f>+AC44*(1-AC48)*D47</f>
        <v>0</v>
      </c>
      <c r="AE75" s="4">
        <f>+AC44*(1-AC48)*E47</f>
        <v>0</v>
      </c>
      <c r="AF75" s="4">
        <f>+AC44*(1-AC48)*F47</f>
        <v>0</v>
      </c>
      <c r="AG75" s="4">
        <f t="shared" si="18"/>
        <v>0</v>
      </c>
      <c r="AH75" s="252">
        <f t="shared" si="16"/>
        <v>0</v>
      </c>
    </row>
    <row r="76" spans="1:34">
      <c r="A76" s="6">
        <f t="shared" si="17"/>
        <v>2049</v>
      </c>
      <c r="B76" s="4">
        <f t="shared" si="15"/>
        <v>0</v>
      </c>
      <c r="AD76" s="4">
        <f>AD44*AD48+AD44*(1-AD48)*C47</f>
        <v>0</v>
      </c>
      <c r="AE76" s="4">
        <f>+AD44*(1-AD48)*D47</f>
        <v>0</v>
      </c>
      <c r="AF76" s="4">
        <f>+AD44*(1-AD48)*E47</f>
        <v>0</v>
      </c>
      <c r="AG76" s="4">
        <f t="shared" si="18"/>
        <v>0</v>
      </c>
      <c r="AH76" s="252">
        <f t="shared" si="16"/>
        <v>0</v>
      </c>
    </row>
    <row r="77" spans="1:34">
      <c r="A77" s="6">
        <f t="shared" si="17"/>
        <v>2050</v>
      </c>
      <c r="B77" s="4">
        <f t="shared" si="15"/>
        <v>0</v>
      </c>
      <c r="AE77" s="4">
        <f>AE44*AE48+AE44*(1-AE48)*C47</f>
        <v>0</v>
      </c>
      <c r="AF77" s="4">
        <f>+AE44*(1-AE48)*D47</f>
        <v>0</v>
      </c>
      <c r="AG77" s="4">
        <f t="shared" si="18"/>
        <v>0</v>
      </c>
      <c r="AH77" s="252">
        <f t="shared" si="16"/>
        <v>0</v>
      </c>
    </row>
    <row r="78" spans="1:34">
      <c r="A78" s="6">
        <f t="shared" si="17"/>
        <v>2051</v>
      </c>
      <c r="B78" s="4">
        <f t="shared" si="15"/>
        <v>0</v>
      </c>
      <c r="AF78" s="4">
        <f>AF44*AF48+AF44*(1-AF48)*C47</f>
        <v>0</v>
      </c>
      <c r="AG78" s="4">
        <f t="shared" si="18"/>
        <v>0</v>
      </c>
      <c r="AH78" s="252">
        <f t="shared" si="16"/>
        <v>0</v>
      </c>
    </row>
    <row r="79" spans="1:34">
      <c r="A79" s="6" t="str">
        <f>"Total Depreciation - "&amp;A43</f>
        <v>Total Depreciation - Midtown Building</v>
      </c>
      <c r="B79" s="49">
        <f>SUM(B49:B78)</f>
        <v>108410427.83879925</v>
      </c>
      <c r="C79" s="49">
        <f>SUM(C49:C78)</f>
        <v>0</v>
      </c>
      <c r="D79" s="49">
        <f t="shared" ref="D79" si="19">SUM(D49:D78)</f>
        <v>0</v>
      </c>
      <c r="E79" s="49">
        <f t="shared" ref="E79" si="20">SUM(E49:E78)</f>
        <v>2779754.5599692115</v>
      </c>
      <c r="F79" s="49">
        <f t="shared" ref="F79" si="21">SUM(F49:F78)</f>
        <v>2779754.5599692115</v>
      </c>
      <c r="G79" s="49">
        <f t="shared" ref="G79" si="22">SUM(G49:G78)</f>
        <v>2779754.5599692115</v>
      </c>
      <c r="H79" s="49">
        <f t="shared" ref="H79" si="23">SUM(H49:H78)</f>
        <v>2779754.5599692115</v>
      </c>
      <c r="I79" s="49">
        <f t="shared" ref="I79" si="24">SUM(I49:I78)</f>
        <v>2779754.5599692115</v>
      </c>
      <c r="J79" s="49">
        <f t="shared" ref="J79" si="25">SUM(J49:J78)</f>
        <v>2779754.5599692115</v>
      </c>
      <c r="K79" s="49">
        <f t="shared" ref="K79" si="26">SUM(K49:K78)</f>
        <v>2779754.5599692115</v>
      </c>
      <c r="L79" s="49">
        <f t="shared" ref="L79" si="27">SUM(L49:L78)</f>
        <v>2779754.5599692115</v>
      </c>
      <c r="M79" s="49">
        <f t="shared" ref="M79" si="28">SUM(M49:M78)</f>
        <v>2779754.5599692115</v>
      </c>
      <c r="N79" s="49">
        <f t="shared" ref="N79" si="29">SUM(N49:N78)</f>
        <v>2779754.5599692115</v>
      </c>
      <c r="O79" s="49">
        <f t="shared" ref="O79" si="30">SUM(O49:O78)</f>
        <v>2779754.5599692115</v>
      </c>
      <c r="P79" s="49">
        <f t="shared" ref="P79" si="31">SUM(P49:P78)</f>
        <v>2779754.5599692115</v>
      </c>
      <c r="Q79" s="49">
        <f t="shared" ref="Q79" si="32">SUM(Q49:Q78)</f>
        <v>2779754.5599692115</v>
      </c>
      <c r="R79" s="49">
        <f t="shared" ref="R79" si="33">SUM(R49:R78)</f>
        <v>2779754.5599692115</v>
      </c>
      <c r="S79" s="49">
        <f t="shared" ref="S79" si="34">SUM(S49:S78)</f>
        <v>2779754.5599692115</v>
      </c>
      <c r="T79" s="49">
        <f t="shared" ref="T79" si="35">SUM(T49:T78)</f>
        <v>2779754.5599692115</v>
      </c>
      <c r="U79" s="49">
        <f t="shared" ref="U79" si="36">SUM(U49:U78)</f>
        <v>2779754.5599692115</v>
      </c>
      <c r="V79" s="49">
        <f t="shared" ref="V79" si="37">SUM(V49:V78)</f>
        <v>2779754.5599692115</v>
      </c>
      <c r="W79" s="49">
        <f t="shared" ref="W79" si="38">SUM(W49:W78)</f>
        <v>2779754.5599692115</v>
      </c>
      <c r="X79" s="49">
        <f t="shared" ref="X79" si="39">SUM(X49:X78)</f>
        <v>2779754.5599692115</v>
      </c>
      <c r="Y79" s="49">
        <f t="shared" ref="Y79" si="40">SUM(Y49:Y78)</f>
        <v>2779754.5599692115</v>
      </c>
      <c r="Z79" s="49">
        <f t="shared" ref="Z79" si="41">SUM(Z49:Z78)</f>
        <v>2779754.5599692115</v>
      </c>
      <c r="AA79" s="49">
        <f t="shared" ref="AA79" si="42">SUM(AA49:AA78)</f>
        <v>2779754.5599692115</v>
      </c>
      <c r="AB79" s="49">
        <f t="shared" ref="AB79" si="43">SUM(AB49:AB78)</f>
        <v>2779754.5599692115</v>
      </c>
      <c r="AC79" s="49">
        <f t="shared" ref="AC79" si="44">SUM(AC49:AC78)</f>
        <v>2779754.5599692115</v>
      </c>
      <c r="AD79" s="49">
        <f t="shared" ref="AD79" si="45">SUM(AD49:AD78)</f>
        <v>2779754.5599692115</v>
      </c>
      <c r="AE79" s="49">
        <f t="shared" ref="AE79" si="46">SUM(AE49:AE78)</f>
        <v>2779754.5599692115</v>
      </c>
      <c r="AF79" s="49">
        <f t="shared" ref="AF79" si="47">SUM(AF49:AF78)</f>
        <v>2779754.5599692115</v>
      </c>
      <c r="AG79" s="49">
        <f t="shared" ref="AG79" si="48">SUM(AG49:AG78)</f>
        <v>77833127.679137915</v>
      </c>
      <c r="AH79" s="49">
        <f t="shared" ref="AH79" si="49">SUM(AH49:AH78)</f>
        <v>30577300.159661338</v>
      </c>
    </row>
    <row r="81" spans="1:34">
      <c r="A81" s="302" t="str">
        <f>+Book!A77</f>
        <v>Furniture, Fixtures &amp; Equipment - Building</v>
      </c>
    </row>
    <row r="82" spans="1:34">
      <c r="A82" s="6" t="s">
        <v>406</v>
      </c>
      <c r="C82" s="40">
        <f>IF(Capex!$F$8="y",Book!C78*(1-C$446),Book!C78)</f>
        <v>0</v>
      </c>
      <c r="D82" s="40">
        <f>IF(Capex!$F$8="y",Book!D78*(1-D$446),Book!D78)</f>
        <v>0</v>
      </c>
      <c r="E82" s="40">
        <f>IF(Capex!$F$8="y",Book!E78*(1-E$446),Book!E78)</f>
        <v>0</v>
      </c>
      <c r="F82" s="40">
        <f>IF(Capex!$F$8="y",Book!F78*(1-F$446),Book!F78)</f>
        <v>33407726.226669125</v>
      </c>
      <c r="G82" s="40">
        <f>IF(Capex!$F$8="y",Book!G78*(1-G$446),Book!G78)</f>
        <v>0</v>
      </c>
      <c r="H82" s="40">
        <f>IF(Capex!$F$8="y",Book!H78*(1-H$446),Book!H78)</f>
        <v>0</v>
      </c>
      <c r="I82" s="40">
        <f>IF(Capex!$F$8="y",Book!I78*(1-I$446),Book!I78)</f>
        <v>0</v>
      </c>
      <c r="J82" s="40">
        <f>IF(Capex!$F$8="y",Book!J78*(1-J$446),Book!J78)</f>
        <v>0</v>
      </c>
      <c r="K82" s="40">
        <f>IF(Capex!$F$8="y",Book!K78*(1-K$446),Book!K78)</f>
        <v>0</v>
      </c>
      <c r="L82" s="40">
        <f>IF(Capex!$F$8="y",Book!L78*(1-L$446),Book!L78)</f>
        <v>0</v>
      </c>
      <c r="M82" s="40">
        <f>IF(Capex!$F$8="y",Book!M78*(1-M$446),Book!M78)</f>
        <v>0</v>
      </c>
      <c r="N82" s="40">
        <f>IF(Capex!$F$8="y",Book!N78*(1-N$446),Book!N78)</f>
        <v>0</v>
      </c>
      <c r="O82" s="40">
        <f>IF(Capex!$F$8="y",Book!O78*(1-O$446),Book!O78)</f>
        <v>0</v>
      </c>
      <c r="P82" s="40">
        <f>IF(Capex!$F$8="y",Book!P78*(1-P$446),Book!P78)</f>
        <v>0</v>
      </c>
      <c r="Q82" s="40">
        <f>IF(Capex!$F$8="y",Book!Q78*(1-Q$446),Book!Q78)</f>
        <v>0</v>
      </c>
      <c r="R82" s="40">
        <f>IF(Capex!$F$8="y",Book!R78*(1-R$446),Book!R78)</f>
        <v>0</v>
      </c>
      <c r="S82" s="40">
        <f>IF(Capex!$F$8="y",Book!S78*(1-S$446),Book!S78)</f>
        <v>0</v>
      </c>
      <c r="T82" s="40">
        <f>IF(Capex!$F$8="y",Book!T78*(1-T$446),Book!T78)</f>
        <v>0</v>
      </c>
      <c r="U82" s="40">
        <f>IF(Capex!$F$8="y",Book!U78*(1-U$446),Book!U78)</f>
        <v>0</v>
      </c>
      <c r="V82" s="40">
        <f>IF(Capex!$F$8="y",Book!V78*(1-V$446),Book!V78)</f>
        <v>0</v>
      </c>
      <c r="W82" s="40">
        <f>IF(Capex!$F$8="y",Book!W78*(1-W$446),Book!W78)</f>
        <v>0</v>
      </c>
      <c r="X82" s="40">
        <f>IF(Capex!$F$8="y",Book!X78*(1-X$446),Book!X78)</f>
        <v>0</v>
      </c>
      <c r="Y82" s="40">
        <f>IF(Capex!$F$8="y",Book!Y78*(1-Y$446),Book!Y78)</f>
        <v>0</v>
      </c>
      <c r="Z82" s="40">
        <f>IF(Capex!$F$8="y",Book!Z78*(1-Z$446),Book!Z78)</f>
        <v>0</v>
      </c>
      <c r="AA82" s="40">
        <f>IF(Capex!$F$8="y",Book!AA78*(1-AA$446),Book!AA78)</f>
        <v>0</v>
      </c>
      <c r="AB82" s="40">
        <f>IF(Capex!$F$8="y",Book!AB78*(1-AB$446),Book!AB78)</f>
        <v>0</v>
      </c>
      <c r="AC82" s="40">
        <f>IF(Capex!$F$8="y",Book!AC78*(1-AC$446),Book!AC78)</f>
        <v>0</v>
      </c>
      <c r="AD82" s="40">
        <f>IF(Capex!$F$8="y",Book!AD78*(1-AD$446),Book!AD78)</f>
        <v>0</v>
      </c>
      <c r="AE82" s="40">
        <f>IF(Capex!$F$8="y",Book!AE78*(1-AE$446),Book!AE78)</f>
        <v>0</v>
      </c>
      <c r="AF82" s="40">
        <f>IF(Capex!$F$8="y",Book!AF78*(1-AF$446),Book!AF78)</f>
        <v>0</v>
      </c>
    </row>
    <row r="83" spans="1:34">
      <c r="A83" s="6" t="s">
        <v>215</v>
      </c>
      <c r="C83" s="49">
        <f>+C82</f>
        <v>0</v>
      </c>
      <c r="D83" s="49">
        <f t="shared" ref="D83:AF83" si="50">+D82+C83</f>
        <v>0</v>
      </c>
      <c r="E83" s="49">
        <f t="shared" si="50"/>
        <v>0</v>
      </c>
      <c r="F83" s="49">
        <f t="shared" si="50"/>
        <v>33407726.226669125</v>
      </c>
      <c r="G83" s="49">
        <f t="shared" si="50"/>
        <v>33407726.226669125</v>
      </c>
      <c r="H83" s="49">
        <f t="shared" si="50"/>
        <v>33407726.226669125</v>
      </c>
      <c r="I83" s="49">
        <f t="shared" si="50"/>
        <v>33407726.226669125</v>
      </c>
      <c r="J83" s="49">
        <f t="shared" si="50"/>
        <v>33407726.226669125</v>
      </c>
      <c r="K83" s="49">
        <f t="shared" si="50"/>
        <v>33407726.226669125</v>
      </c>
      <c r="L83" s="49">
        <f t="shared" si="50"/>
        <v>33407726.226669125</v>
      </c>
      <c r="M83" s="49">
        <f t="shared" si="50"/>
        <v>33407726.226669125</v>
      </c>
      <c r="N83" s="49">
        <f t="shared" si="50"/>
        <v>33407726.226669125</v>
      </c>
      <c r="O83" s="49">
        <f t="shared" si="50"/>
        <v>33407726.226669125</v>
      </c>
      <c r="P83" s="49">
        <f t="shared" si="50"/>
        <v>33407726.226669125</v>
      </c>
      <c r="Q83" s="49">
        <f t="shared" si="50"/>
        <v>33407726.226669125</v>
      </c>
      <c r="R83" s="49">
        <f t="shared" si="50"/>
        <v>33407726.226669125</v>
      </c>
      <c r="S83" s="49">
        <f t="shared" si="50"/>
        <v>33407726.226669125</v>
      </c>
      <c r="T83" s="49">
        <f t="shared" si="50"/>
        <v>33407726.226669125</v>
      </c>
      <c r="U83" s="49">
        <f t="shared" si="50"/>
        <v>33407726.226669125</v>
      </c>
      <c r="V83" s="49">
        <f t="shared" si="50"/>
        <v>33407726.226669125</v>
      </c>
      <c r="W83" s="49">
        <f t="shared" si="50"/>
        <v>33407726.226669125</v>
      </c>
      <c r="X83" s="49">
        <f t="shared" si="50"/>
        <v>33407726.226669125</v>
      </c>
      <c r="Y83" s="49">
        <f t="shared" si="50"/>
        <v>33407726.226669125</v>
      </c>
      <c r="Z83" s="49">
        <f t="shared" si="50"/>
        <v>33407726.226669125</v>
      </c>
      <c r="AA83" s="49">
        <f t="shared" si="50"/>
        <v>33407726.226669125</v>
      </c>
      <c r="AB83" s="49">
        <f t="shared" si="50"/>
        <v>33407726.226669125</v>
      </c>
      <c r="AC83" s="49">
        <f t="shared" si="50"/>
        <v>33407726.226669125</v>
      </c>
      <c r="AD83" s="49">
        <f t="shared" si="50"/>
        <v>33407726.226669125</v>
      </c>
      <c r="AE83" s="49">
        <f t="shared" si="50"/>
        <v>33407726.226669125</v>
      </c>
      <c r="AF83" s="49">
        <f t="shared" si="50"/>
        <v>33407726.226669125</v>
      </c>
    </row>
    <row r="84" spans="1:34">
      <c r="A84" s="6" t="s">
        <v>407</v>
      </c>
    </row>
    <row r="85" spans="1:34">
      <c r="A85" s="6" t="s">
        <v>408</v>
      </c>
      <c r="B85" s="88">
        <f>+Capex!$E$8</f>
        <v>7</v>
      </c>
      <c r="C85" s="5">
        <f>SUMIF($B$459:$I$459,$B85,$B$460:$I$460)</f>
        <v>0.1429</v>
      </c>
      <c r="D85" s="5">
        <f>SUMIF($B$459:$I$459,$B85,$B$461:$I$461)</f>
        <v>0.24490000000000001</v>
      </c>
      <c r="E85" s="5">
        <f>SUMIF($B$459:$I$459,$B85,$B$462:$I$462)</f>
        <v>0.1749</v>
      </c>
      <c r="F85" s="5">
        <f>SUMIF($B$459:$I$459,$B85,$B$463:$I$463)</f>
        <v>0.1249</v>
      </c>
      <c r="G85" s="5">
        <f>SUMIF($B$459:$I$459,$B85,$B$464:$I$464)</f>
        <v>8.9300000000000004E-2</v>
      </c>
      <c r="H85" s="5">
        <f>SUMIF($B$459:$I$459,$B85,$B$465:$I$465)</f>
        <v>8.9200000000000002E-2</v>
      </c>
      <c r="I85" s="5">
        <f>SUMIF($B$459:$I$459,$B85,$B$466:$I$466)</f>
        <v>8.9300000000000004E-2</v>
      </c>
      <c r="J85" s="5">
        <f>SUMIF($B$459:$I$459,$B85,$B$467:$I$467)</f>
        <v>4.4600000000000001E-2</v>
      </c>
      <c r="K85" s="5">
        <f>SUMIF($B$459:$I$459,$B85,$B$468:$I$468)</f>
        <v>0</v>
      </c>
      <c r="L85" s="5">
        <f>SUMIF($B$459:$I$459,$B85,$B$469:$I$469)</f>
        <v>0</v>
      </c>
      <c r="M85" s="5">
        <f>SUMIF($B$459:$I$459,$B85,$B$470:$I$470)</f>
        <v>0</v>
      </c>
      <c r="N85" s="5">
        <f>SUMIF($B$459:$I$459,$B85,$B$471:$I$471)</f>
        <v>0</v>
      </c>
      <c r="O85" s="5">
        <f>SUMIF($B$459:$I$459,$B85,$B$472:$I$472)</f>
        <v>0</v>
      </c>
      <c r="P85" s="5">
        <f>SUMIF($B$459:$I$459,$B85,$B$473:$I$473)</f>
        <v>0</v>
      </c>
      <c r="Q85" s="5">
        <f>SUMIF($B$459:$I$459,$B85,$B$474:$I$474)</f>
        <v>0</v>
      </c>
      <c r="R85" s="5">
        <f>SUMIF($B$459:$I$459,$B85,$B$475:$I$475)</f>
        <v>0</v>
      </c>
      <c r="S85" s="5">
        <f>SUMIF($B$459:$I$459,$B85,$B$476:$I$476)</f>
        <v>0</v>
      </c>
      <c r="T85" s="5">
        <f>SUMIF($B$459:$I$459,$B85,$B$477:$I$477)</f>
        <v>0</v>
      </c>
      <c r="U85" s="5">
        <f>SUMIF($B$459:$I$459,$B85,$B$478:$I$478)</f>
        <v>0</v>
      </c>
      <c r="V85" s="5">
        <f>SUMIF($B$459:$I$459,$B85,$B$479:$I$479)</f>
        <v>0</v>
      </c>
      <c r="W85" s="5">
        <f>SUMIF($B$459:$I$459,$B85,$B$480:$I$480)</f>
        <v>0</v>
      </c>
      <c r="X85" s="5">
        <f>SUMIF($B$459:$I$459,$B85,$B$481:$I$481)</f>
        <v>0</v>
      </c>
      <c r="Y85" s="5">
        <f>SUMIF($B$459:$I$459,$B85,$B$482:$I$482)</f>
        <v>0</v>
      </c>
      <c r="Z85" s="5">
        <f>SUMIF($B$459:$I$459,$B85,$B$483:$I$483)</f>
        <v>0</v>
      </c>
      <c r="AA85" s="5">
        <f t="shared" ref="AA85:AF85" si="51">SUMIF($B$459:$I$459,$B85,$B$484:$I$484)</f>
        <v>0</v>
      </c>
      <c r="AB85" s="5">
        <f t="shared" si="51"/>
        <v>0</v>
      </c>
      <c r="AC85" s="5">
        <f t="shared" si="51"/>
        <v>0</v>
      </c>
      <c r="AD85" s="5">
        <f t="shared" si="51"/>
        <v>0</v>
      </c>
      <c r="AE85" s="5">
        <f t="shared" si="51"/>
        <v>0</v>
      </c>
      <c r="AF85" s="5">
        <f t="shared" si="51"/>
        <v>0</v>
      </c>
    </row>
    <row r="86" spans="1:34">
      <c r="A86" s="6" t="s">
        <v>409</v>
      </c>
      <c r="B86" s="89"/>
      <c r="C86" s="94">
        <f>IF(C$2&gt;'Input Data'!$M$37,B86,IF($B85=0,0,SUMIF('Input Data'!$C$37:$M$37,C$2,'Input Data'!$C$38:$M$38)))</f>
        <v>0</v>
      </c>
      <c r="D86" s="94">
        <f>IF(D$2&gt;'Input Data'!$M$37,C86,IF($B85=0,0,SUMIF('Input Data'!$C$37:$M$37,D$2,'Input Data'!$C$38:$M$38)))</f>
        <v>0</v>
      </c>
      <c r="E86" s="94">
        <f>IF(E$2&gt;'Input Data'!$M$37,D86,IF($B85=0,0,SUMIF('Input Data'!$C$37:$M$37,E$2,'Input Data'!$C$38:$M$38)))</f>
        <v>0</v>
      </c>
      <c r="F86" s="94">
        <f>IF(F$2&gt;'Input Data'!$M$37,E86,IF($B85=0,0,SUMIF('Input Data'!$C$37:$M$37,F$2,'Input Data'!$C$38:$M$38)))</f>
        <v>0</v>
      </c>
      <c r="G86" s="94">
        <f>IF(G$2&gt;'Input Data'!$M$37,F86,IF($B85=0,0,SUMIF('Input Data'!$C$37:$M$37,G$2,'Input Data'!$C$38:$M$38)))</f>
        <v>0</v>
      </c>
      <c r="H86" s="94">
        <f>IF(H$2&gt;'Input Data'!$M$37,G86,IF($B85=0,0,SUMIF('Input Data'!$C$37:$M$37,H$2,'Input Data'!$C$38:$M$38)))</f>
        <v>0</v>
      </c>
      <c r="I86" s="94">
        <f>IF(I$2&gt;'Input Data'!$M$37,H86,IF($B85=0,0,SUMIF('Input Data'!$C$37:$M$37,I$2,'Input Data'!$C$38:$M$38)))</f>
        <v>0</v>
      </c>
      <c r="J86" s="94">
        <f>IF(J$2&gt;'Input Data'!$M$37,I86,IF($B85=0,0,SUMIF('Input Data'!$C$37:$M$37,J$2,'Input Data'!$C$38:$M$38)))</f>
        <v>0</v>
      </c>
      <c r="K86" s="94">
        <f>IF(K$2&gt;'Input Data'!$M$37,J86,IF($B85=0,0,SUMIF('Input Data'!$C$37:$M$37,K$2,'Input Data'!$C$38:$M$38)))</f>
        <v>0</v>
      </c>
      <c r="L86" s="94">
        <f>IF(L$2&gt;'Input Data'!$M$37,K86,IF($B85=0,0,SUMIF('Input Data'!$C$37:$M$37,L$2,'Input Data'!$C$38:$M$38)))</f>
        <v>0</v>
      </c>
      <c r="M86" s="94">
        <f>IF(M$2&gt;'Input Data'!$M$37,L86,IF($B85=0,0,SUMIF('Input Data'!$C$37:$M$37,M$2,'Input Data'!$C$38:$M$38)))</f>
        <v>0</v>
      </c>
      <c r="N86" s="94">
        <f>IF(N$2&gt;'Input Data'!$M$37,M86,IF($B85=0,0,SUMIF('Input Data'!$C$37:$M$37,N$2,'Input Data'!$C$38:$M$38)))</f>
        <v>0</v>
      </c>
      <c r="O86" s="94">
        <f>IF(O$2&gt;'Input Data'!$M$37,N86,IF($B85=0,0,SUMIF('Input Data'!$C$37:$M$37,O$2,'Input Data'!$C$38:$M$38)))</f>
        <v>0</v>
      </c>
      <c r="P86" s="94">
        <f>IF(P$2&gt;'Input Data'!$M$37,O86,IF($B85=0,0,SUMIF('Input Data'!$C$37:$M$37,P$2,'Input Data'!$C$38:$M$38)))</f>
        <v>0</v>
      </c>
      <c r="Q86" s="94">
        <f>IF(Q$2&gt;'Input Data'!$M$37,P86,IF($B85=0,0,SUMIF('Input Data'!$C$37:$M$37,Q$2,'Input Data'!$C$38:$M$38)))</f>
        <v>0</v>
      </c>
      <c r="R86" s="94">
        <f>IF(R$2&gt;'Input Data'!$M$37,Q86,IF($B85=0,0,SUMIF('Input Data'!$C$37:$M$37,R$2,'Input Data'!$C$38:$M$38)))</f>
        <v>0</v>
      </c>
      <c r="S86" s="94">
        <f>IF(S$2&gt;'Input Data'!$M$37,R86,IF($B85=0,0,SUMIF('Input Data'!$C$37:$M$37,S$2,'Input Data'!$C$38:$M$38)))</f>
        <v>0</v>
      </c>
      <c r="T86" s="94">
        <f>IF(T$2&gt;'Input Data'!$M$37,S86,IF($B85=0,0,SUMIF('Input Data'!$C$37:$M$37,T$2,'Input Data'!$C$38:$M$38)))</f>
        <v>0</v>
      </c>
      <c r="U86" s="94">
        <f>IF(U$2&gt;'Input Data'!$M$37,T86,IF($B85=0,0,SUMIF('Input Data'!$C$37:$M$37,U$2,'Input Data'!$C$38:$M$38)))</f>
        <v>0</v>
      </c>
      <c r="V86" s="94">
        <f>IF(V$2&gt;'Input Data'!$M$37,U86,IF($B85=0,0,SUMIF('Input Data'!$C$37:$M$37,V$2,'Input Data'!$C$38:$M$38)))</f>
        <v>0</v>
      </c>
      <c r="W86" s="94">
        <f>IF(W$2&gt;'Input Data'!$M$37,V86,IF($B85=0,0,SUMIF('Input Data'!$C$37:$M$37,W$2,'Input Data'!$C$38:$M$38)))</f>
        <v>0</v>
      </c>
      <c r="X86" s="94">
        <f>IF(X$2&gt;'Input Data'!$M$37,W86,IF($B85=0,0,SUMIF('Input Data'!$C$37:$M$37,X$2,'Input Data'!$C$38:$M$38)))</f>
        <v>0</v>
      </c>
      <c r="Y86" s="94">
        <f>IF(Y$2&gt;'Input Data'!$M$37,X86,IF($B85=0,0,SUMIF('Input Data'!$C$37:$M$37,Y$2,'Input Data'!$C$38:$M$38)))</f>
        <v>0</v>
      </c>
      <c r="Z86" s="94">
        <f>IF(Z$2&gt;'Input Data'!$M$37,Y86,IF($B85=0,0,SUMIF('Input Data'!$C$37:$M$37,Z$2,'Input Data'!$C$38:$M$38)))</f>
        <v>0</v>
      </c>
      <c r="AA86" s="94">
        <f>IF(AA$2&gt;'Input Data'!$M$37,Z86,IF($B85=0,0,SUMIF('Input Data'!$C$37:$M$37,AA$2,'Input Data'!$C$38:$M$38)))</f>
        <v>0</v>
      </c>
      <c r="AB86" s="94">
        <f>IF(AB$2&gt;'Input Data'!$M$37,AA86,IF($B85=0,0,SUMIF('Input Data'!$C$37:$M$37,AB$2,'Input Data'!$C$38:$M$38)))</f>
        <v>0</v>
      </c>
      <c r="AC86" s="94">
        <f>IF(AC$2&gt;'Input Data'!$M$37,AB86,IF($B85=0,0,SUMIF('Input Data'!$C$37:$M$37,AC$2,'Input Data'!$C$38:$M$38)))</f>
        <v>0</v>
      </c>
      <c r="AD86" s="94">
        <f>IF(AD$2&gt;'Input Data'!$M$37,AC86,IF($B85=0,0,SUMIF('Input Data'!$C$37:$M$37,AD$2,'Input Data'!$C$38:$M$38)))</f>
        <v>0</v>
      </c>
      <c r="AE86" s="94">
        <f>IF(AE$2&gt;'Input Data'!$M$37,AD86,IF($B85=0,0,SUMIF('Input Data'!$C$37:$M$37,AE$2,'Input Data'!$C$38:$M$38)))</f>
        <v>0</v>
      </c>
      <c r="AF86" s="94">
        <f>IF(AF$2&gt;'Input Data'!$M$37,AE86,IF($B85=0,0,SUMIF('Input Data'!$C$37:$M$37,AF$2,'Input Data'!$C$38:$M$38)))</f>
        <v>0</v>
      </c>
    </row>
    <row r="87" spans="1:34">
      <c r="A87" s="6">
        <f>+A11</f>
        <v>2022</v>
      </c>
      <c r="B87" s="4">
        <f>SUMIF($C$2:$AF$2,A87,$C$82:$AF$82)</f>
        <v>0</v>
      </c>
      <c r="C87" s="4">
        <f>C82*C86+C82*(1-C86)*C85</f>
        <v>0</v>
      </c>
      <c r="D87" s="4">
        <f>C82*(1-C86)*D85</f>
        <v>0</v>
      </c>
      <c r="E87" s="4">
        <f>C82*(1-C86)*E85</f>
        <v>0</v>
      </c>
      <c r="F87" s="4">
        <f>C82*(1-C86)*F85</f>
        <v>0</v>
      </c>
      <c r="G87" s="4">
        <f>C82*(1-C86)*G85</f>
        <v>0</v>
      </c>
      <c r="H87" s="4">
        <f>C82*(1-C86)*H85</f>
        <v>0</v>
      </c>
      <c r="I87" s="4">
        <f>C82*(1-C86)*I85</f>
        <v>0</v>
      </c>
      <c r="J87" s="4">
        <f>C82*(1-C86)*J85</f>
        <v>0</v>
      </c>
      <c r="K87" s="4">
        <f>C82*(1-C86)*K85</f>
        <v>0</v>
      </c>
      <c r="L87" s="4">
        <f>C82*(1-C86)*L85</f>
        <v>0</v>
      </c>
      <c r="M87" s="4">
        <f>C82*(1-C86)*M85</f>
        <v>0</v>
      </c>
      <c r="N87" s="4">
        <f>C82*(1-C86)*N85</f>
        <v>0</v>
      </c>
      <c r="O87" s="4">
        <f>C82*(1-C86)*O85</f>
        <v>0</v>
      </c>
      <c r="P87" s="4">
        <f>C82*(1-C86)*P85</f>
        <v>0</v>
      </c>
      <c r="Q87" s="4">
        <f>C82*(1-C86)*Q85</f>
        <v>0</v>
      </c>
      <c r="R87" s="4">
        <f>C82*(1-C86)*R85</f>
        <v>0</v>
      </c>
      <c r="S87" s="4">
        <f>C82*(1-C86)*S85</f>
        <v>0</v>
      </c>
      <c r="T87" s="4">
        <f>C82*(1-C86)*T85</f>
        <v>0</v>
      </c>
      <c r="U87" s="4">
        <f>C82*(1-C86)*U85</f>
        <v>0</v>
      </c>
      <c r="V87" s="4">
        <f>C82*(1-C86)*V85</f>
        <v>0</v>
      </c>
      <c r="W87" s="4">
        <f>C82*(1-C86)*W85</f>
        <v>0</v>
      </c>
      <c r="X87" s="4">
        <f>C82*(1-C86)*X85</f>
        <v>0</v>
      </c>
      <c r="Y87" s="4">
        <f>C82*(1-C86)*Y85</f>
        <v>0</v>
      </c>
      <c r="Z87" s="4">
        <f>C82*(1-C86)*Z85</f>
        <v>0</v>
      </c>
      <c r="AA87" s="4">
        <f>C82*(1-C86)*AA85</f>
        <v>0</v>
      </c>
      <c r="AB87" s="4">
        <f>C82*(1-C86)*AB85</f>
        <v>0</v>
      </c>
      <c r="AC87" s="4">
        <f>C82*(1-C86)*AC85</f>
        <v>0</v>
      </c>
      <c r="AD87" s="4">
        <f>C82*(1-C86)*AD85</f>
        <v>0</v>
      </c>
      <c r="AE87" s="4">
        <f>C82*(1-C86)*AE85</f>
        <v>0</v>
      </c>
      <c r="AF87" s="4">
        <f>C82*(1-C86)*AF85</f>
        <v>0</v>
      </c>
      <c r="AG87" s="4">
        <f t="shared" ref="AG87:AG111" si="52">SUM(C87:AF87)</f>
        <v>0</v>
      </c>
      <c r="AH87" s="252">
        <f>+B87-AG87</f>
        <v>0</v>
      </c>
    </row>
    <row r="88" spans="1:34">
      <c r="A88" s="6">
        <f>+A87+1</f>
        <v>2023</v>
      </c>
      <c r="B88" s="4">
        <f t="shared" ref="B88:B116" si="53">SUMIF($C$2:$AF$2,A88,$C$82:$AF$82)</f>
        <v>0</v>
      </c>
      <c r="D88" s="4">
        <f>D82*D86+D82*(1-D86)*C85</f>
        <v>0</v>
      </c>
      <c r="E88" s="4">
        <f>+D82*(1-D86)*D85</f>
        <v>0</v>
      </c>
      <c r="F88" s="4">
        <f>+D82*(1-D86)*E85</f>
        <v>0</v>
      </c>
      <c r="G88" s="4">
        <f>+D82*(1-D86)*F85</f>
        <v>0</v>
      </c>
      <c r="H88" s="4">
        <f>+D82*(1-D86)*G85</f>
        <v>0</v>
      </c>
      <c r="I88" s="4">
        <f>+D82*(1-D86)*H85</f>
        <v>0</v>
      </c>
      <c r="J88" s="4">
        <f>+D82*(1-D86)*I85</f>
        <v>0</v>
      </c>
      <c r="K88" s="4">
        <f>+D82*(1-D86)*J85</f>
        <v>0</v>
      </c>
      <c r="L88" s="4">
        <f>+D82*(1-D86)*K85</f>
        <v>0</v>
      </c>
      <c r="M88" s="4">
        <f>+D82*(1-D86)*L85</f>
        <v>0</v>
      </c>
      <c r="N88" s="4">
        <f>+D82*(1-D86)*M85</f>
        <v>0</v>
      </c>
      <c r="O88" s="4">
        <f>+D82*(1-D86)*N85</f>
        <v>0</v>
      </c>
      <c r="P88" s="4">
        <f>+D82*(1-D86)*O85</f>
        <v>0</v>
      </c>
      <c r="Q88" s="4">
        <f>+D82*(1-D86)*P85</f>
        <v>0</v>
      </c>
      <c r="R88" s="4">
        <f>+D82*(1-D86)*Q85</f>
        <v>0</v>
      </c>
      <c r="S88" s="4">
        <f>+D82*(1-D86)*R85</f>
        <v>0</v>
      </c>
      <c r="T88" s="4">
        <f>+D82*(1-D86)*S85</f>
        <v>0</v>
      </c>
      <c r="U88" s="4">
        <f>+D82*(1-D86)*T85</f>
        <v>0</v>
      </c>
      <c r="V88" s="4">
        <f>+D82*(1-D86)*U85</f>
        <v>0</v>
      </c>
      <c r="W88" s="4">
        <f>+D82*(1-D86)*V85</f>
        <v>0</v>
      </c>
      <c r="X88" s="4">
        <f>+D82*(1-D86)*W85</f>
        <v>0</v>
      </c>
      <c r="Y88" s="4">
        <f>+D82*(1-D86)*X85</f>
        <v>0</v>
      </c>
      <c r="Z88" s="4">
        <f>+D82*(1-D86)*Y85</f>
        <v>0</v>
      </c>
      <c r="AA88" s="4">
        <f>+D82*(1-D86)*Z85</f>
        <v>0</v>
      </c>
      <c r="AB88" s="4">
        <f>+D82*(1-D86)*AA85</f>
        <v>0</v>
      </c>
      <c r="AC88" s="4">
        <f>+D82*(1-D86)*AB85</f>
        <v>0</v>
      </c>
      <c r="AD88" s="4">
        <f>+D82*(1-D86)*AC85</f>
        <v>0</v>
      </c>
      <c r="AE88" s="4">
        <f>+D82*(1-D86)*AD85</f>
        <v>0</v>
      </c>
      <c r="AF88" s="4">
        <f>+D82*(1-D86)*AE85</f>
        <v>0</v>
      </c>
      <c r="AG88" s="4">
        <f t="shared" si="52"/>
        <v>0</v>
      </c>
      <c r="AH88" s="252">
        <f t="shared" ref="AH88:AH116" si="54">+B88-AG88</f>
        <v>0</v>
      </c>
    </row>
    <row r="89" spans="1:34">
      <c r="A89" s="6">
        <f t="shared" ref="A89:A116" si="55">+A88+1</f>
        <v>2024</v>
      </c>
      <c r="B89" s="4">
        <f t="shared" si="53"/>
        <v>0</v>
      </c>
      <c r="E89" s="4">
        <f>E82*E86+E82*(1-E86)*C85</f>
        <v>0</v>
      </c>
      <c r="F89" s="4">
        <f>+E82*(1-E86)*D85</f>
        <v>0</v>
      </c>
      <c r="G89" s="4">
        <f>+E82*(1-E86)*E85</f>
        <v>0</v>
      </c>
      <c r="H89" s="4">
        <f>+E82*(1-E86)*F85</f>
        <v>0</v>
      </c>
      <c r="I89" s="4">
        <f>+E82*(1-E86)*G85</f>
        <v>0</v>
      </c>
      <c r="J89" s="4">
        <f>+E82*(1-E86)*H85</f>
        <v>0</v>
      </c>
      <c r="K89" s="4">
        <f>+E82*(1-E86)*I85</f>
        <v>0</v>
      </c>
      <c r="L89" s="4">
        <f>+E82*(1-E86)*J85</f>
        <v>0</v>
      </c>
      <c r="M89" s="4">
        <f>+E82*(1-E86)*K85</f>
        <v>0</v>
      </c>
      <c r="N89" s="4">
        <f>+E82*(1-E86)*L85</f>
        <v>0</v>
      </c>
      <c r="O89" s="4">
        <f>+E82*(1-E86)*M85</f>
        <v>0</v>
      </c>
      <c r="P89" s="4">
        <f>+E82*(1-E86)*N85</f>
        <v>0</v>
      </c>
      <c r="Q89" s="4">
        <f>+E82*(1-E86)*O85</f>
        <v>0</v>
      </c>
      <c r="R89" s="4">
        <f>+E82*(1-E86)*P85</f>
        <v>0</v>
      </c>
      <c r="S89" s="4">
        <f>+E82*(1-E86)*Q85</f>
        <v>0</v>
      </c>
      <c r="T89" s="4">
        <f>+E82*(1-E86)*R85</f>
        <v>0</v>
      </c>
      <c r="U89" s="4">
        <f>+E82*(1-E86)*S85</f>
        <v>0</v>
      </c>
      <c r="V89" s="4">
        <f>+E82*(1-E86)*T85</f>
        <v>0</v>
      </c>
      <c r="W89" s="4">
        <f>+E82*(1-E86)*U85</f>
        <v>0</v>
      </c>
      <c r="X89" s="4">
        <f>+E82*(1-E86)*V85</f>
        <v>0</v>
      </c>
      <c r="Y89" s="4">
        <f>+E82*(1-E86)*W85</f>
        <v>0</v>
      </c>
      <c r="Z89" s="4">
        <f>+E82*(1-E86)*X85</f>
        <v>0</v>
      </c>
      <c r="AA89" s="4">
        <f>+E82*(1-E86)*Y85</f>
        <v>0</v>
      </c>
      <c r="AB89" s="4">
        <f>+E82*(1-E86)*Z85</f>
        <v>0</v>
      </c>
      <c r="AC89" s="4">
        <f>+E82*(1-E86)*AA85</f>
        <v>0</v>
      </c>
      <c r="AD89" s="4">
        <f>+E82*(1-E86)*AB85</f>
        <v>0</v>
      </c>
      <c r="AE89" s="4">
        <f>+E82*(1-E86)*AC85</f>
        <v>0</v>
      </c>
      <c r="AF89" s="4">
        <f>+E82*(1-E86)*AD85</f>
        <v>0</v>
      </c>
      <c r="AG89" s="4">
        <f t="shared" si="52"/>
        <v>0</v>
      </c>
      <c r="AH89" s="252">
        <f t="shared" si="54"/>
        <v>0</v>
      </c>
    </row>
    <row r="90" spans="1:34">
      <c r="A90" s="6">
        <f t="shared" si="55"/>
        <v>2025</v>
      </c>
      <c r="B90" s="4">
        <f t="shared" si="53"/>
        <v>33407726.226669125</v>
      </c>
      <c r="F90" s="4">
        <f>F82*F86+F82*(1-F86)*C85</f>
        <v>4773964.0777910184</v>
      </c>
      <c r="G90" s="4">
        <f>+F82*(1-F86)*D85</f>
        <v>8181552.1529112691</v>
      </c>
      <c r="H90" s="4">
        <f>+F82*(1-F86)*E85</f>
        <v>5843011.3170444304</v>
      </c>
      <c r="I90" s="4">
        <f>+F82*(1-F86)*F85</f>
        <v>4172625.0057109739</v>
      </c>
      <c r="J90" s="4">
        <f>+F82*(1-F86)*G85</f>
        <v>2983309.9520415529</v>
      </c>
      <c r="K90" s="4">
        <f>+F82*(1-F86)*H85</f>
        <v>2979969.1794188861</v>
      </c>
      <c r="L90" s="4">
        <f>+F82*(1-F86)*I85</f>
        <v>2983309.9520415529</v>
      </c>
      <c r="M90" s="4">
        <f>+F82*(1-F86)*J85</f>
        <v>1489984.589709443</v>
      </c>
      <c r="N90" s="4">
        <f>+F82*(1-F86)*K85</f>
        <v>0</v>
      </c>
      <c r="O90" s="4">
        <f>+F82*(1-F86)*L85</f>
        <v>0</v>
      </c>
      <c r="P90" s="4">
        <f>+F82*(1-F86)*M85</f>
        <v>0</v>
      </c>
      <c r="Q90" s="4">
        <f>+F82*(1-F86)*N85</f>
        <v>0</v>
      </c>
      <c r="R90" s="4">
        <f>+F82*(1-F86)*O85</f>
        <v>0</v>
      </c>
      <c r="S90" s="4">
        <f>+F82*(1-F86)*P85</f>
        <v>0</v>
      </c>
      <c r="T90" s="4">
        <f>+F82*(1-F86)*Q85</f>
        <v>0</v>
      </c>
      <c r="U90" s="4">
        <f>+F82*(1-F86)*R85</f>
        <v>0</v>
      </c>
      <c r="V90" s="4">
        <f>+F82*(1-F86)*S85</f>
        <v>0</v>
      </c>
      <c r="W90" s="4">
        <f>+F82*(1-F86)*T85</f>
        <v>0</v>
      </c>
      <c r="X90" s="4">
        <f>+F82*(1-F86)*U85</f>
        <v>0</v>
      </c>
      <c r="Y90" s="4">
        <f>+F82*(1-F86)*V85</f>
        <v>0</v>
      </c>
      <c r="Z90" s="4">
        <f>+F82*(1-F86)*W85</f>
        <v>0</v>
      </c>
      <c r="AA90" s="4">
        <f>+F82*(1-F86)*X85</f>
        <v>0</v>
      </c>
      <c r="AB90" s="4">
        <f>+F82*(1-F86)*Y85</f>
        <v>0</v>
      </c>
      <c r="AC90" s="4">
        <f>+F82*(1-F86)*Z85</f>
        <v>0</v>
      </c>
      <c r="AD90" s="4">
        <f>+F82*(1-F86)*AA85</f>
        <v>0</v>
      </c>
      <c r="AE90" s="4">
        <f>+F82*(1-F86)*AB85</f>
        <v>0</v>
      </c>
      <c r="AF90" s="4">
        <f>+F82*(1-F86)*AC85</f>
        <v>0</v>
      </c>
      <c r="AG90" s="4">
        <f t="shared" si="52"/>
        <v>33407726.226669122</v>
      </c>
      <c r="AH90" s="252">
        <f t="shared" si="54"/>
        <v>0</v>
      </c>
    </row>
    <row r="91" spans="1:34">
      <c r="A91" s="6">
        <f t="shared" si="55"/>
        <v>2026</v>
      </c>
      <c r="B91" s="4">
        <f t="shared" si="53"/>
        <v>0</v>
      </c>
      <c r="G91" s="4">
        <f>G82*G86+G82*(1-G86)*C85</f>
        <v>0</v>
      </c>
      <c r="H91" s="4">
        <f>+G82*(1-G86)*D85</f>
        <v>0</v>
      </c>
      <c r="I91" s="4">
        <f>+G82*(1-G86)*E85</f>
        <v>0</v>
      </c>
      <c r="J91" s="4">
        <f>+G82*(1-G86)*F85</f>
        <v>0</v>
      </c>
      <c r="K91" s="4">
        <f>+G82*(1-G86)*G85</f>
        <v>0</v>
      </c>
      <c r="L91" s="4">
        <f>+G82*(1-G86)*H85</f>
        <v>0</v>
      </c>
      <c r="M91" s="4">
        <f>+G82*(1-G86)*I85</f>
        <v>0</v>
      </c>
      <c r="N91" s="4">
        <f>+G82*(1-G86)*J85</f>
        <v>0</v>
      </c>
      <c r="O91" s="4">
        <f>+G82*(1-G86)*K85</f>
        <v>0</v>
      </c>
      <c r="P91" s="4">
        <f>+G82*(1-G86)*L85</f>
        <v>0</v>
      </c>
      <c r="Q91" s="4">
        <f>+G82*(1-G86)*M85</f>
        <v>0</v>
      </c>
      <c r="R91" s="4">
        <f>+G82*(1-G86)*N85</f>
        <v>0</v>
      </c>
      <c r="S91" s="4">
        <f>+G82*(1-G86)*O85</f>
        <v>0</v>
      </c>
      <c r="T91" s="4">
        <f>+G82*(1-G86)*P85</f>
        <v>0</v>
      </c>
      <c r="U91" s="4">
        <f>+G82*(1-G86)*Q85</f>
        <v>0</v>
      </c>
      <c r="V91" s="4">
        <f>+G82*(1-G86)*R85</f>
        <v>0</v>
      </c>
      <c r="W91" s="4">
        <f>+G82*(1-G86)*S85</f>
        <v>0</v>
      </c>
      <c r="X91" s="4">
        <f>+G82*(1-G86)*T85</f>
        <v>0</v>
      </c>
      <c r="Y91" s="4">
        <f>+G82*(1-G86)*U85</f>
        <v>0</v>
      </c>
      <c r="Z91" s="4">
        <f>+G82*(1-G86)*V85</f>
        <v>0</v>
      </c>
      <c r="AA91" s="4">
        <f>+G82*(1-G86)*W85</f>
        <v>0</v>
      </c>
      <c r="AB91" s="4">
        <f>+G82*(1-G86)*X85</f>
        <v>0</v>
      </c>
      <c r="AC91" s="4">
        <f>+G82*(1-G86)*Y85</f>
        <v>0</v>
      </c>
      <c r="AD91" s="4">
        <f>+G82*(1-G86)*Z85</f>
        <v>0</v>
      </c>
      <c r="AE91" s="4">
        <f>+G82*(1-G86)*AA85</f>
        <v>0</v>
      </c>
      <c r="AF91" s="4">
        <f>+G82*(1-G86)*AB85</f>
        <v>0</v>
      </c>
      <c r="AG91" s="4">
        <f t="shared" si="52"/>
        <v>0</v>
      </c>
      <c r="AH91" s="252">
        <f t="shared" si="54"/>
        <v>0</v>
      </c>
    </row>
    <row r="92" spans="1:34">
      <c r="A92" s="6">
        <f t="shared" si="55"/>
        <v>2027</v>
      </c>
      <c r="B92" s="4">
        <f t="shared" si="53"/>
        <v>0</v>
      </c>
      <c r="H92" s="4">
        <f>H82*H86+H82*(1-H86)*C85</f>
        <v>0</v>
      </c>
      <c r="I92" s="4">
        <f>+H82*(1-H86)*D85</f>
        <v>0</v>
      </c>
      <c r="J92" s="4">
        <f>+H82*(1-H86)*E85</f>
        <v>0</v>
      </c>
      <c r="K92" s="4">
        <f>+H82*(1-H86)*F85</f>
        <v>0</v>
      </c>
      <c r="L92" s="4">
        <f>+H82*(1-H86)*G85</f>
        <v>0</v>
      </c>
      <c r="M92" s="4">
        <f>+H82*(1-H86)*H85</f>
        <v>0</v>
      </c>
      <c r="N92" s="4">
        <f>+H82*(1-H86)*I85</f>
        <v>0</v>
      </c>
      <c r="O92" s="4">
        <f>+H82*(1-H86)*J85</f>
        <v>0</v>
      </c>
      <c r="P92" s="4">
        <f>+H82*(1-H86)*K85</f>
        <v>0</v>
      </c>
      <c r="Q92" s="4">
        <f>+H82*(1-H86)*L85</f>
        <v>0</v>
      </c>
      <c r="R92" s="4">
        <f>+H82*(1-H86)*M85</f>
        <v>0</v>
      </c>
      <c r="S92" s="4">
        <f>+H82*(1-H86)*N85</f>
        <v>0</v>
      </c>
      <c r="T92" s="4">
        <f>+H82*(1-H86)*O85</f>
        <v>0</v>
      </c>
      <c r="U92" s="4">
        <f>+H82*(1-H86)*P85</f>
        <v>0</v>
      </c>
      <c r="V92" s="4">
        <f>+H82*(1-H86)*Q85</f>
        <v>0</v>
      </c>
      <c r="W92" s="4">
        <f>+H82*(1-H86)*R85</f>
        <v>0</v>
      </c>
      <c r="X92" s="4">
        <f>+H82*(1-H86)*S85</f>
        <v>0</v>
      </c>
      <c r="Y92" s="4">
        <f>+H82*(1-H86)*T85</f>
        <v>0</v>
      </c>
      <c r="Z92" s="4">
        <f>+H82*(1-H86)*U85</f>
        <v>0</v>
      </c>
      <c r="AA92" s="4">
        <f>+H82*(1-H86)*V85</f>
        <v>0</v>
      </c>
      <c r="AB92" s="4">
        <f>+H82*(1-H86)*W85</f>
        <v>0</v>
      </c>
      <c r="AC92" s="4">
        <f>+H82*(1-H86)*X85</f>
        <v>0</v>
      </c>
      <c r="AD92" s="4">
        <f>+H82*(1-H86)*Y85</f>
        <v>0</v>
      </c>
      <c r="AE92" s="4">
        <f>+H82*(1-H86)*Z85</f>
        <v>0</v>
      </c>
      <c r="AF92" s="4">
        <f>+H82*(1-H86)*AA85</f>
        <v>0</v>
      </c>
      <c r="AG92" s="4">
        <f t="shared" si="52"/>
        <v>0</v>
      </c>
      <c r="AH92" s="252">
        <f t="shared" si="54"/>
        <v>0</v>
      </c>
    </row>
    <row r="93" spans="1:34">
      <c r="A93" s="6">
        <f t="shared" si="55"/>
        <v>2028</v>
      </c>
      <c r="B93" s="4">
        <f t="shared" si="53"/>
        <v>0</v>
      </c>
      <c r="I93" s="4">
        <f>I82*I86+I82*(1-I86)*C85</f>
        <v>0</v>
      </c>
      <c r="J93" s="4">
        <f>+I82*(1-I86)*D85</f>
        <v>0</v>
      </c>
      <c r="K93" s="4">
        <f>+I82*(1-I86)*E85</f>
        <v>0</v>
      </c>
      <c r="L93" s="4">
        <f>+I82*(1-I86)*F85</f>
        <v>0</v>
      </c>
      <c r="M93" s="4">
        <f>+I82*(1-I86)*G85</f>
        <v>0</v>
      </c>
      <c r="N93" s="4">
        <f>+I82*(1-I86)*H85</f>
        <v>0</v>
      </c>
      <c r="O93" s="4">
        <f>+I82*(1-I86)*I85</f>
        <v>0</v>
      </c>
      <c r="P93" s="4">
        <f>+I82*(1-I86)*J85</f>
        <v>0</v>
      </c>
      <c r="Q93" s="4">
        <f>+I82*(1-I86)*K85</f>
        <v>0</v>
      </c>
      <c r="R93" s="4">
        <f>+I82*(1-I86)*L85</f>
        <v>0</v>
      </c>
      <c r="S93" s="4">
        <f>+I82*(1-I86)*M85</f>
        <v>0</v>
      </c>
      <c r="T93" s="4">
        <f>+I82*(1-I86)*N85</f>
        <v>0</v>
      </c>
      <c r="U93" s="4">
        <f>+I82*(1-I86)*O85</f>
        <v>0</v>
      </c>
      <c r="V93" s="4">
        <f>+I82*(1-I86)*P85</f>
        <v>0</v>
      </c>
      <c r="W93" s="4">
        <f>+I82*(1-I86)*Q85</f>
        <v>0</v>
      </c>
      <c r="X93" s="4">
        <f>+I82*(1-I86)*R85</f>
        <v>0</v>
      </c>
      <c r="Y93" s="4">
        <f>+I82*(1-I86)*S85</f>
        <v>0</v>
      </c>
      <c r="Z93" s="4">
        <f>+I82*(1-I86)*T85</f>
        <v>0</v>
      </c>
      <c r="AA93" s="4">
        <f>+I82*(1-I86)*U85</f>
        <v>0</v>
      </c>
      <c r="AB93" s="4">
        <f>+I82*(1-I86)*V85</f>
        <v>0</v>
      </c>
      <c r="AC93" s="4">
        <f>+I82*(1-I86)*W85</f>
        <v>0</v>
      </c>
      <c r="AD93" s="4">
        <f>+I82*(1-I86)*X85</f>
        <v>0</v>
      </c>
      <c r="AE93" s="4">
        <f>+I82*(1-I86)*Y85</f>
        <v>0</v>
      </c>
      <c r="AF93" s="4">
        <f>+I82*(1-I86)*Z85</f>
        <v>0</v>
      </c>
      <c r="AG93" s="4">
        <f t="shared" si="52"/>
        <v>0</v>
      </c>
      <c r="AH93" s="252">
        <f t="shared" si="54"/>
        <v>0</v>
      </c>
    </row>
    <row r="94" spans="1:34">
      <c r="A94" s="6">
        <f t="shared" si="55"/>
        <v>2029</v>
      </c>
      <c r="B94" s="4">
        <f t="shared" si="53"/>
        <v>0</v>
      </c>
      <c r="J94" s="4">
        <f>J82*J86+J82*(1-J86)*C85</f>
        <v>0</v>
      </c>
      <c r="K94" s="4">
        <f>K82*K86+J82*(1-K86)*D85</f>
        <v>0</v>
      </c>
      <c r="L94" s="4">
        <f>L82*L86+J82*(1-L86)*E85</f>
        <v>0</v>
      </c>
      <c r="M94" s="4">
        <f>M82*M86+J82*(1-M86)*F85</f>
        <v>0</v>
      </c>
      <c r="N94" s="4">
        <f>N82*N86+J82*(1-N86)*G85</f>
        <v>0</v>
      </c>
      <c r="O94" s="4">
        <f>O82*O86+J82*(1-O86)*H85</f>
        <v>0</v>
      </c>
      <c r="P94" s="4">
        <f>P82*P86+J82*(1-P86)*I85</f>
        <v>0</v>
      </c>
      <c r="Q94" s="4">
        <f>Q82*Q86+J82*(1-Q86)*J85</f>
        <v>0</v>
      </c>
      <c r="R94" s="4">
        <f>R82*R86+J82*(1-R86)*K85</f>
        <v>0</v>
      </c>
      <c r="S94" s="4">
        <f>S82*S86+J82*(1-S86)*L85</f>
        <v>0</v>
      </c>
      <c r="T94" s="4">
        <f>T82*T86+J82*(1-T86)*M85</f>
        <v>0</v>
      </c>
      <c r="U94" s="4">
        <f>U82*U86+J82*(1-U86)*N85</f>
        <v>0</v>
      </c>
      <c r="V94" s="4">
        <f>V82*V86+J82*(1-V86)*O85</f>
        <v>0</v>
      </c>
      <c r="W94" s="4">
        <f>W82*W86+J82*(1-W86)*P85</f>
        <v>0</v>
      </c>
      <c r="X94" s="4">
        <f>X82*X86+J82*(1-X86)*Q85</f>
        <v>0</v>
      </c>
      <c r="Y94" s="4">
        <f>Y82*Y86+J82*(1-Y86)*R85</f>
        <v>0</v>
      </c>
      <c r="Z94" s="4">
        <f>Z82*Z86+J82*(1-Z86)*S85</f>
        <v>0</v>
      </c>
      <c r="AA94" s="4">
        <f>AA82*AA86+J82*(1-AA86)*T85</f>
        <v>0</v>
      </c>
      <c r="AB94" s="4">
        <f>AB82*AB86+J82*(1-AB86)*U85</f>
        <v>0</v>
      </c>
      <c r="AC94" s="4">
        <f>AC82*AC86+J82*(1-AC86)*V85</f>
        <v>0</v>
      </c>
      <c r="AD94" s="4">
        <f>AD82*AD86+J82*(1-AD86)*W85</f>
        <v>0</v>
      </c>
      <c r="AE94" s="4">
        <f>AE82*AE86+J82*(1-AE86)*X85</f>
        <v>0</v>
      </c>
      <c r="AF94" s="4">
        <f>AF82*AF86+J82*(1-AF86)*Y85</f>
        <v>0</v>
      </c>
      <c r="AG94" s="4">
        <f t="shared" si="52"/>
        <v>0</v>
      </c>
      <c r="AH94" s="252">
        <f t="shared" si="54"/>
        <v>0</v>
      </c>
    </row>
    <row r="95" spans="1:34">
      <c r="A95" s="6">
        <f t="shared" si="55"/>
        <v>2030</v>
      </c>
      <c r="B95" s="4">
        <f t="shared" si="53"/>
        <v>0</v>
      </c>
      <c r="K95" s="4">
        <f>K82*K86+K82*(1-K86)*C85</f>
        <v>0</v>
      </c>
      <c r="L95" s="4">
        <f>+K82*(1-K86)*D85</f>
        <v>0</v>
      </c>
      <c r="M95" s="4">
        <f>+K82*(1-K86)*E85</f>
        <v>0</v>
      </c>
      <c r="N95" s="4">
        <f>+K82*(1-K86)*F85</f>
        <v>0</v>
      </c>
      <c r="O95" s="4">
        <f>+K82*(1-K86)*G85</f>
        <v>0</v>
      </c>
      <c r="P95" s="4">
        <f>+K82*(1-K86)*H85</f>
        <v>0</v>
      </c>
      <c r="Q95" s="4">
        <f>+K82*(1-K86)*I85</f>
        <v>0</v>
      </c>
      <c r="R95" s="4">
        <f>+K82*(1-K86)*J85</f>
        <v>0</v>
      </c>
      <c r="S95" s="4">
        <f>+K82*(1-K86)*K85</f>
        <v>0</v>
      </c>
      <c r="T95" s="4">
        <f>+K82*(1-K86)*L85</f>
        <v>0</v>
      </c>
      <c r="U95" s="4">
        <f>+K82*(1-K86)*M85</f>
        <v>0</v>
      </c>
      <c r="V95" s="4">
        <f>+K82*(1-K86)*N85</f>
        <v>0</v>
      </c>
      <c r="W95" s="4">
        <f>+K82*(1-K86)*O85</f>
        <v>0</v>
      </c>
      <c r="X95" s="4">
        <f>+K82*(1-K86)*P85</f>
        <v>0</v>
      </c>
      <c r="Y95" s="4">
        <f>+K82*(1-K86)*Q85</f>
        <v>0</v>
      </c>
      <c r="Z95" s="4">
        <f>+K82*(1-K86)*R85</f>
        <v>0</v>
      </c>
      <c r="AA95" s="4">
        <f>+K82*(1-K86)*S85</f>
        <v>0</v>
      </c>
      <c r="AB95" s="4">
        <f>+K82*(1-K86)*T85</f>
        <v>0</v>
      </c>
      <c r="AC95" s="4">
        <f>+K82*(1-K86)*U85</f>
        <v>0</v>
      </c>
      <c r="AD95" s="4">
        <f>+K82*(1-K86)*V85</f>
        <v>0</v>
      </c>
      <c r="AE95" s="4">
        <f>+K82*(1-K86)*W85</f>
        <v>0</v>
      </c>
      <c r="AF95" s="4">
        <f>+K82*(1-K86)*X85</f>
        <v>0</v>
      </c>
      <c r="AG95" s="4">
        <f t="shared" si="52"/>
        <v>0</v>
      </c>
      <c r="AH95" s="252">
        <f t="shared" si="54"/>
        <v>0</v>
      </c>
    </row>
    <row r="96" spans="1:34">
      <c r="A96" s="6">
        <f t="shared" si="55"/>
        <v>2031</v>
      </c>
      <c r="B96" s="4">
        <f t="shared" si="53"/>
        <v>0</v>
      </c>
      <c r="L96" s="4">
        <f>L82*L86+L82*(1-L86)*C85</f>
        <v>0</v>
      </c>
      <c r="M96" s="4">
        <f>+L82*(1-L86)*D85</f>
        <v>0</v>
      </c>
      <c r="N96" s="4">
        <f>+L82*(1-L86)*E85</f>
        <v>0</v>
      </c>
      <c r="O96" s="4">
        <f>+L82*(1-L86)*F85</f>
        <v>0</v>
      </c>
      <c r="P96" s="4">
        <f>+L82*(1-L86)*G85</f>
        <v>0</v>
      </c>
      <c r="Q96" s="4">
        <f>+L82*(1-L86)*H85</f>
        <v>0</v>
      </c>
      <c r="R96" s="4">
        <f>+L82*(1-L86)*I85</f>
        <v>0</v>
      </c>
      <c r="S96" s="4">
        <f>+L82*(1-L86)*J85</f>
        <v>0</v>
      </c>
      <c r="T96" s="4">
        <f>+L82*(1-L86)*K85</f>
        <v>0</v>
      </c>
      <c r="U96" s="4">
        <f>+L82*(1-L86)*L85</f>
        <v>0</v>
      </c>
      <c r="V96" s="4">
        <f>+L82*(1-L86)*M85</f>
        <v>0</v>
      </c>
      <c r="W96" s="4">
        <f>+L82*(1-L86)*N85</f>
        <v>0</v>
      </c>
      <c r="X96" s="4">
        <f>+L82*(1-L86)*O85</f>
        <v>0</v>
      </c>
      <c r="Y96" s="4">
        <f>+L82*(1-L86)*P85</f>
        <v>0</v>
      </c>
      <c r="Z96" s="4">
        <f>+L82*(1-L86)*Q85</f>
        <v>0</v>
      </c>
      <c r="AA96" s="4">
        <f>+L82*(1-L86)*R85</f>
        <v>0</v>
      </c>
      <c r="AB96" s="4">
        <f>+L82*(1-L86)*S85</f>
        <v>0</v>
      </c>
      <c r="AC96" s="4">
        <f>+L82*(1-L86)*T85</f>
        <v>0</v>
      </c>
      <c r="AD96" s="4">
        <f>+L82*(1-L86)*U85</f>
        <v>0</v>
      </c>
      <c r="AE96" s="4">
        <f>+L82*(1-L86)*V85</f>
        <v>0</v>
      </c>
      <c r="AF96" s="4">
        <f>+L82*(1-L86)*W85</f>
        <v>0</v>
      </c>
      <c r="AG96" s="4">
        <f t="shared" si="52"/>
        <v>0</v>
      </c>
      <c r="AH96" s="252">
        <f t="shared" si="54"/>
        <v>0</v>
      </c>
    </row>
    <row r="97" spans="1:34">
      <c r="A97" s="6">
        <f t="shared" si="55"/>
        <v>2032</v>
      </c>
      <c r="B97" s="4">
        <f t="shared" si="53"/>
        <v>0</v>
      </c>
      <c r="M97" s="4">
        <f>M82*M86+M82*(1-M86)*C85</f>
        <v>0</v>
      </c>
      <c r="N97" s="4">
        <f>+M82*(1-M86)*D85</f>
        <v>0</v>
      </c>
      <c r="O97" s="4">
        <f>+M82*(1-M86)*E85</f>
        <v>0</v>
      </c>
      <c r="P97" s="4">
        <f>+M82*(1-M86)*F85</f>
        <v>0</v>
      </c>
      <c r="Q97" s="4">
        <f>+M82*(1-M86)*G85</f>
        <v>0</v>
      </c>
      <c r="R97" s="4">
        <f>+M82*(1-M86)*H85</f>
        <v>0</v>
      </c>
      <c r="S97" s="4">
        <f>+M82*(1-M86)*I85</f>
        <v>0</v>
      </c>
      <c r="T97" s="4">
        <f>+M82*(1-M86)*J85</f>
        <v>0</v>
      </c>
      <c r="U97" s="4">
        <f>+M82*(1-M86)*K85</f>
        <v>0</v>
      </c>
      <c r="V97" s="4">
        <f>+M82*(1-M86)*L85</f>
        <v>0</v>
      </c>
      <c r="W97" s="4">
        <f>+M82*(1-M86)*M85</f>
        <v>0</v>
      </c>
      <c r="X97" s="4">
        <f>+M82*(1-M86)*N85</f>
        <v>0</v>
      </c>
      <c r="Y97" s="4">
        <f>+M82*(1-M86)*O85</f>
        <v>0</v>
      </c>
      <c r="Z97" s="4">
        <f>+M82*(1-M86)*P85</f>
        <v>0</v>
      </c>
      <c r="AA97" s="4">
        <f>+M82*(1-M86)*Q85</f>
        <v>0</v>
      </c>
      <c r="AB97" s="4">
        <f>+M82*(1-M86)*R85</f>
        <v>0</v>
      </c>
      <c r="AC97" s="4">
        <f>+M82*(1-M86)*S85</f>
        <v>0</v>
      </c>
      <c r="AD97" s="4">
        <f>+M82*(1-M86)*T85</f>
        <v>0</v>
      </c>
      <c r="AE97" s="4">
        <f>+M82*(1-M86)*U85</f>
        <v>0</v>
      </c>
      <c r="AF97" s="4">
        <f>+M82*(1-M86)*V85</f>
        <v>0</v>
      </c>
      <c r="AG97" s="4">
        <f t="shared" si="52"/>
        <v>0</v>
      </c>
      <c r="AH97" s="252">
        <f t="shared" si="54"/>
        <v>0</v>
      </c>
    </row>
    <row r="98" spans="1:34">
      <c r="A98" s="6">
        <f t="shared" si="55"/>
        <v>2033</v>
      </c>
      <c r="B98" s="4">
        <f t="shared" si="53"/>
        <v>0</v>
      </c>
      <c r="N98" s="4">
        <f>N82*N86+N82*(1-N86)*C85</f>
        <v>0</v>
      </c>
      <c r="O98" s="4">
        <f>+N82*(1-N86)*D85</f>
        <v>0</v>
      </c>
      <c r="P98" s="4">
        <f>+N82*(1-N86)*E85</f>
        <v>0</v>
      </c>
      <c r="Q98" s="4">
        <f>+N82*(1-N86)*F85</f>
        <v>0</v>
      </c>
      <c r="R98" s="4">
        <f>+N82*(1-N86)*G85</f>
        <v>0</v>
      </c>
      <c r="S98" s="4">
        <f>+N82*(1-N86)*H85</f>
        <v>0</v>
      </c>
      <c r="T98" s="4">
        <f>+N82*(1-N86)*I85</f>
        <v>0</v>
      </c>
      <c r="U98" s="4">
        <f>+N82*(1-N86)*J85</f>
        <v>0</v>
      </c>
      <c r="V98" s="4">
        <f>+N82*(1-N86)*K85</f>
        <v>0</v>
      </c>
      <c r="W98" s="4">
        <f>+N82*(1-N86)*L85</f>
        <v>0</v>
      </c>
      <c r="X98" s="4">
        <f>+N82*(1-N86)*M85</f>
        <v>0</v>
      </c>
      <c r="Y98" s="4">
        <f>+N82*(1-N86)*N85</f>
        <v>0</v>
      </c>
      <c r="Z98" s="4">
        <f>+N82*(1-N86)*O85</f>
        <v>0</v>
      </c>
      <c r="AA98" s="4">
        <f>+N82*(1-N86)*P85</f>
        <v>0</v>
      </c>
      <c r="AB98" s="4">
        <f>+N82*(1-N86)*Q85</f>
        <v>0</v>
      </c>
      <c r="AC98" s="4">
        <f>+N82*(1-N86)*R85</f>
        <v>0</v>
      </c>
      <c r="AD98" s="4">
        <f>+N82*(1-N86)*S85</f>
        <v>0</v>
      </c>
      <c r="AE98" s="4">
        <f>+N82*(1-N86)*T85</f>
        <v>0</v>
      </c>
      <c r="AF98" s="4">
        <f>+N82*(1-N86)*U85</f>
        <v>0</v>
      </c>
      <c r="AG98" s="4">
        <f t="shared" si="52"/>
        <v>0</v>
      </c>
      <c r="AH98" s="252">
        <f t="shared" si="54"/>
        <v>0</v>
      </c>
    </row>
    <row r="99" spans="1:34">
      <c r="A99" s="6">
        <f t="shared" si="55"/>
        <v>2034</v>
      </c>
      <c r="B99" s="4">
        <f t="shared" si="53"/>
        <v>0</v>
      </c>
      <c r="O99" s="4">
        <f>O82*O86+O82*(1-O86)*C85</f>
        <v>0</v>
      </c>
      <c r="P99" s="4">
        <f>+O82*(1-O86)*D85</f>
        <v>0</v>
      </c>
      <c r="Q99" s="4">
        <f>+O82*(1-O86)*E85</f>
        <v>0</v>
      </c>
      <c r="R99" s="4">
        <f>+O82*(1-O86)*F85</f>
        <v>0</v>
      </c>
      <c r="S99" s="4">
        <f>+O82*(1-O86)*G85</f>
        <v>0</v>
      </c>
      <c r="T99" s="4">
        <f>+O82*(1-O86)*H85</f>
        <v>0</v>
      </c>
      <c r="U99" s="4">
        <f>+O82*(1-O86)*I85</f>
        <v>0</v>
      </c>
      <c r="V99" s="4">
        <f>+O82*(1-O86)*J85</f>
        <v>0</v>
      </c>
      <c r="W99" s="4">
        <f>+O82*(1-O86)*K85</f>
        <v>0</v>
      </c>
      <c r="X99" s="4">
        <f>+O82*(1-O86)*L85</f>
        <v>0</v>
      </c>
      <c r="Y99" s="4">
        <f>+O82*(1-O86)*M85</f>
        <v>0</v>
      </c>
      <c r="Z99" s="4">
        <f>+O82*(1-O86)*N85</f>
        <v>0</v>
      </c>
      <c r="AA99" s="4">
        <f>+O82*(1-O86)*O85</f>
        <v>0</v>
      </c>
      <c r="AB99" s="4">
        <f>+O82*(1-O86)*P85</f>
        <v>0</v>
      </c>
      <c r="AC99" s="4">
        <f>+O82*(1-O86)*Q85</f>
        <v>0</v>
      </c>
      <c r="AD99" s="4">
        <f>+O82*(1-O86)*R85</f>
        <v>0</v>
      </c>
      <c r="AE99" s="4">
        <f>+O82*(1-O86)*S85</f>
        <v>0</v>
      </c>
      <c r="AF99" s="4">
        <f>+O82*(1-O86)*T85</f>
        <v>0</v>
      </c>
      <c r="AG99" s="4">
        <f t="shared" si="52"/>
        <v>0</v>
      </c>
      <c r="AH99" s="252">
        <f t="shared" si="54"/>
        <v>0</v>
      </c>
    </row>
    <row r="100" spans="1:34">
      <c r="A100" s="6">
        <f t="shared" si="55"/>
        <v>2035</v>
      </c>
      <c r="B100" s="4">
        <f t="shared" si="53"/>
        <v>0</v>
      </c>
      <c r="P100" s="4">
        <f>P82*P86+P82*(1-P86)*C85</f>
        <v>0</v>
      </c>
      <c r="Q100" s="4">
        <f>+P82*(1-P86)*D85</f>
        <v>0</v>
      </c>
      <c r="R100" s="4">
        <f>+P82*(1-P86)*E85</f>
        <v>0</v>
      </c>
      <c r="S100" s="4">
        <f>+P82*(1-P86)*F85</f>
        <v>0</v>
      </c>
      <c r="T100" s="4">
        <f>+P82*(1-P86)*G85</f>
        <v>0</v>
      </c>
      <c r="U100" s="4">
        <f>+P82*(1-P86)*H85</f>
        <v>0</v>
      </c>
      <c r="V100" s="4">
        <f>+P82*(1-P86)*I85</f>
        <v>0</v>
      </c>
      <c r="W100" s="4">
        <f>+P82*(1-P86)*J85</f>
        <v>0</v>
      </c>
      <c r="X100" s="4">
        <f>+P82*(1-P86)*K85</f>
        <v>0</v>
      </c>
      <c r="Y100" s="4">
        <f>+P82*(1-P86)*L85</f>
        <v>0</v>
      </c>
      <c r="Z100" s="4">
        <f>+P82*(1-P86)*M85</f>
        <v>0</v>
      </c>
      <c r="AA100" s="4">
        <f>+P82*(1-P86)*N85</f>
        <v>0</v>
      </c>
      <c r="AB100" s="4">
        <f>+P82*(1-P86)*O85</f>
        <v>0</v>
      </c>
      <c r="AC100" s="4">
        <f>+P82*(1-P86)*P85</f>
        <v>0</v>
      </c>
      <c r="AD100" s="4">
        <f>+P82*(1-P86)*Q85</f>
        <v>0</v>
      </c>
      <c r="AE100" s="4">
        <f>+P82*(1-P86)*R85</f>
        <v>0</v>
      </c>
      <c r="AF100" s="4">
        <f>+P82*(1-P86)*S85</f>
        <v>0</v>
      </c>
      <c r="AG100" s="4">
        <f t="shared" si="52"/>
        <v>0</v>
      </c>
      <c r="AH100" s="252">
        <f t="shared" si="54"/>
        <v>0</v>
      </c>
    </row>
    <row r="101" spans="1:34">
      <c r="A101" s="6">
        <f t="shared" si="55"/>
        <v>2036</v>
      </c>
      <c r="B101" s="4">
        <f t="shared" si="53"/>
        <v>0</v>
      </c>
      <c r="Q101" s="4">
        <f>Q82*Q86+Q82*(1-Q86)*C85</f>
        <v>0</v>
      </c>
      <c r="R101" s="4">
        <f>Q82*(1-Q86)*D85</f>
        <v>0</v>
      </c>
      <c r="S101" s="4">
        <f>Q82*(1-Q86)*E85</f>
        <v>0</v>
      </c>
      <c r="T101" s="4">
        <f>Q82*(1-Q86)*F85</f>
        <v>0</v>
      </c>
      <c r="U101" s="4">
        <f>Q82*(1-Q86)*G85</f>
        <v>0</v>
      </c>
      <c r="V101" s="4">
        <f>Q82*(1-Q86)*H85</f>
        <v>0</v>
      </c>
      <c r="W101" s="4">
        <f>Q82*(1-Q86)*I85</f>
        <v>0</v>
      </c>
      <c r="X101" s="4">
        <f>Q82*(1-Q86)*J85</f>
        <v>0</v>
      </c>
      <c r="Y101" s="4">
        <f>Q82*(1-Q86)*K85</f>
        <v>0</v>
      </c>
      <c r="Z101" s="4">
        <f>Q82*(1-Q86)*L85</f>
        <v>0</v>
      </c>
      <c r="AA101" s="4">
        <f>Q82*(1-Q86)*M85</f>
        <v>0</v>
      </c>
      <c r="AB101" s="4">
        <f>Q82*(1-Q86)*N85</f>
        <v>0</v>
      </c>
      <c r="AC101" s="4">
        <f>Q82*(1-Q86)*O85</f>
        <v>0</v>
      </c>
      <c r="AD101" s="4">
        <f>Q82*(1-Q86)*P85</f>
        <v>0</v>
      </c>
      <c r="AE101" s="4">
        <f>Q82*(1-Q86)*Q85</f>
        <v>0</v>
      </c>
      <c r="AF101" s="4">
        <f>Q82*(1-Q86)*R85</f>
        <v>0</v>
      </c>
      <c r="AG101" s="4">
        <f t="shared" si="52"/>
        <v>0</v>
      </c>
      <c r="AH101" s="252">
        <f t="shared" si="54"/>
        <v>0</v>
      </c>
    </row>
    <row r="102" spans="1:34">
      <c r="A102" s="6">
        <f t="shared" si="55"/>
        <v>2037</v>
      </c>
      <c r="B102" s="4">
        <f t="shared" si="53"/>
        <v>0</v>
      </c>
      <c r="R102" s="4">
        <f>R82*R86+R82*(1-R86)*C85</f>
        <v>0</v>
      </c>
      <c r="S102" s="4">
        <f>R82*(1-R86)*D85</f>
        <v>0</v>
      </c>
      <c r="T102" s="4">
        <f>R82*(1-R86)*E85</f>
        <v>0</v>
      </c>
      <c r="U102" s="4">
        <f>R82*(1-R86)*F85</f>
        <v>0</v>
      </c>
      <c r="V102" s="4">
        <f>R82*(1-R86)*G85</f>
        <v>0</v>
      </c>
      <c r="W102" s="4">
        <f>R82*(1-R86)*H85</f>
        <v>0</v>
      </c>
      <c r="X102" s="4">
        <f>R82*(1-R86)*I85</f>
        <v>0</v>
      </c>
      <c r="Y102" s="4">
        <f>R82*(1-R86)*J85</f>
        <v>0</v>
      </c>
      <c r="Z102" s="4">
        <f>R82*(1-R86)*K85</f>
        <v>0</v>
      </c>
      <c r="AA102" s="4">
        <f>R82*(1-R86)*L85</f>
        <v>0</v>
      </c>
      <c r="AB102" s="4">
        <f>R82*(1-R86)*M85</f>
        <v>0</v>
      </c>
      <c r="AC102" s="4">
        <f>R82*(1-R86)*N85</f>
        <v>0</v>
      </c>
      <c r="AD102" s="4">
        <f>R82*(1-R86)*O85</f>
        <v>0</v>
      </c>
      <c r="AE102" s="4">
        <f>R82*(1-R86)*P85</f>
        <v>0</v>
      </c>
      <c r="AF102" s="4">
        <f>R82*(1-R86)*Q85</f>
        <v>0</v>
      </c>
      <c r="AG102" s="4">
        <f t="shared" si="52"/>
        <v>0</v>
      </c>
      <c r="AH102" s="252">
        <f t="shared" si="54"/>
        <v>0</v>
      </c>
    </row>
    <row r="103" spans="1:34">
      <c r="A103" s="6">
        <f t="shared" si="55"/>
        <v>2038</v>
      </c>
      <c r="B103" s="4">
        <f t="shared" si="53"/>
        <v>0</v>
      </c>
      <c r="S103" s="4">
        <f>S82*S86+S82*(1-S86)*C85</f>
        <v>0</v>
      </c>
      <c r="T103" s="4">
        <f>+S82*(1-S86)*D85</f>
        <v>0</v>
      </c>
      <c r="U103" s="4">
        <f>+S82*(1-S86)*E85</f>
        <v>0</v>
      </c>
      <c r="V103" s="4">
        <f>+S82*(1-S86)*F85</f>
        <v>0</v>
      </c>
      <c r="W103" s="4">
        <f>+S82*(1-S86)*G85</f>
        <v>0</v>
      </c>
      <c r="X103" s="4">
        <f>+S82*(1-S86)*H85</f>
        <v>0</v>
      </c>
      <c r="Y103" s="4">
        <f>+S82*(1-S86)*I85</f>
        <v>0</v>
      </c>
      <c r="Z103" s="4">
        <f>+S82*(1-S86)*J85</f>
        <v>0</v>
      </c>
      <c r="AA103" s="4">
        <f>+S82*(1-S86)*K85</f>
        <v>0</v>
      </c>
      <c r="AB103" s="4">
        <f>+S82*(1-S86)*L85</f>
        <v>0</v>
      </c>
      <c r="AC103" s="4">
        <f>+S82*(1-S86)*M85</f>
        <v>0</v>
      </c>
      <c r="AD103" s="4">
        <f>+S82*(1-S86)*N85</f>
        <v>0</v>
      </c>
      <c r="AE103" s="4">
        <f>+S82*(1-S86)*O85</f>
        <v>0</v>
      </c>
      <c r="AF103" s="4">
        <f>+S82*(1-S86)*P85</f>
        <v>0</v>
      </c>
      <c r="AG103" s="4">
        <f t="shared" si="52"/>
        <v>0</v>
      </c>
      <c r="AH103" s="252">
        <f t="shared" si="54"/>
        <v>0</v>
      </c>
    </row>
    <row r="104" spans="1:34">
      <c r="A104" s="6">
        <f t="shared" si="55"/>
        <v>2039</v>
      </c>
      <c r="B104" s="4">
        <f t="shared" si="53"/>
        <v>0</v>
      </c>
      <c r="T104" s="4">
        <f>T82*T86+T82*(1-T86)*C85</f>
        <v>0</v>
      </c>
      <c r="U104" s="4">
        <f>+T82*(1-T86)*D85</f>
        <v>0</v>
      </c>
      <c r="V104" s="4">
        <f>+T82*(1-T86)*E85</f>
        <v>0</v>
      </c>
      <c r="W104" s="4">
        <f>+T82*(1-T86)*F85</f>
        <v>0</v>
      </c>
      <c r="X104" s="4">
        <f>+T82*(1-T86)*G85</f>
        <v>0</v>
      </c>
      <c r="Y104" s="4">
        <f>+T82*(1-T86)*H85</f>
        <v>0</v>
      </c>
      <c r="Z104" s="4">
        <f>+T82*(1-T86)*I85</f>
        <v>0</v>
      </c>
      <c r="AA104" s="4">
        <f>+T82*(1-T86)*J85</f>
        <v>0</v>
      </c>
      <c r="AB104" s="4">
        <f>+T82*(1-T86)*K85</f>
        <v>0</v>
      </c>
      <c r="AC104" s="4">
        <f>+T82*(1-T86)*L85</f>
        <v>0</v>
      </c>
      <c r="AD104" s="4">
        <f>+T82*(1-T86)*M85</f>
        <v>0</v>
      </c>
      <c r="AE104" s="4">
        <f>+T82*(1-T86)*N85</f>
        <v>0</v>
      </c>
      <c r="AF104" s="4">
        <f>+T82*(1-T86)*O85</f>
        <v>0</v>
      </c>
      <c r="AG104" s="4">
        <f t="shared" si="52"/>
        <v>0</v>
      </c>
      <c r="AH104" s="252">
        <f t="shared" si="54"/>
        <v>0</v>
      </c>
    </row>
    <row r="105" spans="1:34">
      <c r="A105" s="6">
        <f t="shared" si="55"/>
        <v>2040</v>
      </c>
      <c r="B105" s="4">
        <f t="shared" si="53"/>
        <v>0</v>
      </c>
      <c r="U105" s="4">
        <f>U82*U86+U82*(1-U86)*C85</f>
        <v>0</v>
      </c>
      <c r="V105" s="4">
        <f>+U82*(1-U86)*D85</f>
        <v>0</v>
      </c>
      <c r="W105" s="4">
        <f>+U82*(1-U86)*E85</f>
        <v>0</v>
      </c>
      <c r="X105" s="4">
        <f>+U82*(1-U86)*F85</f>
        <v>0</v>
      </c>
      <c r="Y105" s="4">
        <f>+U82*(1-U86)*G85</f>
        <v>0</v>
      </c>
      <c r="Z105" s="4">
        <f>+U82*(1-U86)*H85</f>
        <v>0</v>
      </c>
      <c r="AA105" s="4">
        <f>+U82*(1-U86)*I85</f>
        <v>0</v>
      </c>
      <c r="AB105" s="4">
        <f>+U82*(1-U86)*J85</f>
        <v>0</v>
      </c>
      <c r="AC105" s="4">
        <f>+U82*(1-U86)*K85</f>
        <v>0</v>
      </c>
      <c r="AD105" s="4">
        <f>+U82*(1-U86)*L85</f>
        <v>0</v>
      </c>
      <c r="AE105" s="4">
        <f>+U82*(1-U86)*M85</f>
        <v>0</v>
      </c>
      <c r="AF105" s="4">
        <f>+U82*(1-U86)*N85</f>
        <v>0</v>
      </c>
      <c r="AG105" s="4">
        <f t="shared" si="52"/>
        <v>0</v>
      </c>
      <c r="AH105" s="252">
        <f t="shared" si="54"/>
        <v>0</v>
      </c>
    </row>
    <row r="106" spans="1:34">
      <c r="A106" s="6">
        <f t="shared" si="55"/>
        <v>2041</v>
      </c>
      <c r="B106" s="4">
        <f t="shared" si="53"/>
        <v>0</v>
      </c>
      <c r="V106" s="4">
        <f>V82*V86+V82*(1-V86)*C85</f>
        <v>0</v>
      </c>
      <c r="W106" s="4">
        <f>+V82*(1-V86)*D85</f>
        <v>0</v>
      </c>
      <c r="X106" s="4">
        <f>+V82*(1-V86)*E85</f>
        <v>0</v>
      </c>
      <c r="Y106" s="4">
        <f>+V82*(1-V86)*F85</f>
        <v>0</v>
      </c>
      <c r="Z106" s="4">
        <f>+V82*(1-V86)*G85</f>
        <v>0</v>
      </c>
      <c r="AA106" s="4">
        <f>+V82*(1-V86)*H85</f>
        <v>0</v>
      </c>
      <c r="AB106" s="4">
        <f>+V82*(1-V86)*I85</f>
        <v>0</v>
      </c>
      <c r="AC106" s="4">
        <f>+V82*(1-V86)*J85</f>
        <v>0</v>
      </c>
      <c r="AD106" s="4">
        <f>+V82*(1-V86)*K85</f>
        <v>0</v>
      </c>
      <c r="AE106" s="4">
        <f>+V82*(1-V86)*L85</f>
        <v>0</v>
      </c>
      <c r="AF106" s="4">
        <f>+V82*(1-V86)*M85</f>
        <v>0</v>
      </c>
      <c r="AG106" s="4">
        <f t="shared" si="52"/>
        <v>0</v>
      </c>
      <c r="AH106" s="252">
        <f t="shared" si="54"/>
        <v>0</v>
      </c>
    </row>
    <row r="107" spans="1:34">
      <c r="A107" s="6">
        <f t="shared" si="55"/>
        <v>2042</v>
      </c>
      <c r="B107" s="4">
        <f t="shared" si="53"/>
        <v>0</v>
      </c>
      <c r="W107" s="4">
        <f>W82*W86+W82*(1-W86)*C85</f>
        <v>0</v>
      </c>
      <c r="X107" s="4">
        <f>+W82*(1-W86)*D85</f>
        <v>0</v>
      </c>
      <c r="Y107" s="4">
        <f>+W82*(1-W86)*E85</f>
        <v>0</v>
      </c>
      <c r="Z107" s="4">
        <f>+W82*(1-W86)*F85</f>
        <v>0</v>
      </c>
      <c r="AA107" s="4">
        <f>+W82*(1-W86)*G85</f>
        <v>0</v>
      </c>
      <c r="AB107" s="4">
        <f>+W82*(1-W86)*H85</f>
        <v>0</v>
      </c>
      <c r="AC107" s="4">
        <f>+W82*(1-W86)*I85</f>
        <v>0</v>
      </c>
      <c r="AD107" s="4">
        <f>+W82*(1-W86)*J85</f>
        <v>0</v>
      </c>
      <c r="AE107" s="4">
        <f>+W82*(1-W86)*K85</f>
        <v>0</v>
      </c>
      <c r="AF107" s="4">
        <f>+W82*(1-W86)*L85</f>
        <v>0</v>
      </c>
      <c r="AG107" s="4">
        <f t="shared" si="52"/>
        <v>0</v>
      </c>
      <c r="AH107" s="252">
        <f t="shared" si="54"/>
        <v>0</v>
      </c>
    </row>
    <row r="108" spans="1:34">
      <c r="A108" s="6">
        <f t="shared" si="55"/>
        <v>2043</v>
      </c>
      <c r="B108" s="4">
        <f t="shared" si="53"/>
        <v>0</v>
      </c>
      <c r="X108" s="4">
        <f>X82*X86+X82*(1-X86)*C85</f>
        <v>0</v>
      </c>
      <c r="Y108" s="4">
        <f>+X82*(1-X86)*D85</f>
        <v>0</v>
      </c>
      <c r="Z108" s="4">
        <f>+X82*(1-X86)*E85</f>
        <v>0</v>
      </c>
      <c r="AA108" s="4">
        <f>+X82*(1-X86)*F85</f>
        <v>0</v>
      </c>
      <c r="AB108" s="4">
        <f>+X82*(1-X86)*G85</f>
        <v>0</v>
      </c>
      <c r="AC108" s="4">
        <f>+X82*(1-X86)*H85</f>
        <v>0</v>
      </c>
      <c r="AD108" s="4">
        <f>+X82*(1-X86)*I85</f>
        <v>0</v>
      </c>
      <c r="AE108" s="4">
        <f>+X82*(1-X86)*J85</f>
        <v>0</v>
      </c>
      <c r="AF108" s="4">
        <f>+X82*(1-X86)*K85</f>
        <v>0</v>
      </c>
      <c r="AG108" s="4">
        <f t="shared" si="52"/>
        <v>0</v>
      </c>
      <c r="AH108" s="252">
        <f t="shared" si="54"/>
        <v>0</v>
      </c>
    </row>
    <row r="109" spans="1:34">
      <c r="A109" s="6">
        <f t="shared" si="55"/>
        <v>2044</v>
      </c>
      <c r="B109" s="4">
        <f t="shared" si="53"/>
        <v>0</v>
      </c>
      <c r="Y109" s="4">
        <f>Y82*Y86+Y82*(1-Y86)*C85</f>
        <v>0</v>
      </c>
      <c r="Z109" s="4">
        <f>+Y82*(1-Y86)*D85</f>
        <v>0</v>
      </c>
      <c r="AA109" s="4">
        <f>+Y82*(1-Y86)*E85</f>
        <v>0</v>
      </c>
      <c r="AB109" s="4">
        <f>+Y82*(1-Y86)*F85</f>
        <v>0</v>
      </c>
      <c r="AC109" s="4">
        <f>+Y82*(1-Y86)*G85</f>
        <v>0</v>
      </c>
      <c r="AD109" s="4">
        <f>+Y82*(1-Y86)*H85</f>
        <v>0</v>
      </c>
      <c r="AE109" s="4">
        <f>+Y82*(1-Y86)*I85</f>
        <v>0</v>
      </c>
      <c r="AF109" s="4">
        <f>+Y82*(1-Y86)*J85</f>
        <v>0</v>
      </c>
      <c r="AG109" s="4">
        <f t="shared" si="52"/>
        <v>0</v>
      </c>
      <c r="AH109" s="252">
        <f t="shared" si="54"/>
        <v>0</v>
      </c>
    </row>
    <row r="110" spans="1:34">
      <c r="A110" s="6">
        <f t="shared" si="55"/>
        <v>2045</v>
      </c>
      <c r="B110" s="4">
        <f t="shared" si="53"/>
        <v>0</v>
      </c>
      <c r="Z110" s="4">
        <f>Z82*Z86+Z82*(1-Z86)*C85</f>
        <v>0</v>
      </c>
      <c r="AA110" s="4">
        <f>+Z82*(1-Z86)*D85</f>
        <v>0</v>
      </c>
      <c r="AB110" s="4">
        <f>+Z82*(1-Z86)*E85</f>
        <v>0</v>
      </c>
      <c r="AC110" s="4">
        <f>+Z82*(1-Z86)*F85</f>
        <v>0</v>
      </c>
      <c r="AD110" s="4">
        <f>+Z82*(1-Z86)*G85</f>
        <v>0</v>
      </c>
      <c r="AE110" s="4">
        <f>+Z82*(1-Z86)*H85</f>
        <v>0</v>
      </c>
      <c r="AF110" s="4">
        <f>+Z82*(1-Z86)*I85</f>
        <v>0</v>
      </c>
      <c r="AG110" s="4">
        <f t="shared" si="52"/>
        <v>0</v>
      </c>
      <c r="AH110" s="252">
        <f t="shared" si="54"/>
        <v>0</v>
      </c>
    </row>
    <row r="111" spans="1:34">
      <c r="A111" s="6">
        <f t="shared" si="55"/>
        <v>2046</v>
      </c>
      <c r="B111" s="4">
        <f t="shared" si="53"/>
        <v>0</v>
      </c>
      <c r="AA111" s="4">
        <f>AA82*AA86+AA82*(1-AA86)*C85</f>
        <v>0</v>
      </c>
      <c r="AB111" s="4">
        <f>+AA82*(1-AA86)*D85</f>
        <v>0</v>
      </c>
      <c r="AC111" s="4">
        <f>+AA82*(1-AA86)*E85</f>
        <v>0</v>
      </c>
      <c r="AD111" s="4">
        <f>+AA82*(1-AA86)*F85</f>
        <v>0</v>
      </c>
      <c r="AE111" s="4">
        <f>+AA82*(1-AA86)*G85</f>
        <v>0</v>
      </c>
      <c r="AF111" s="4">
        <f>+AA82*(1-AA86)*H85</f>
        <v>0</v>
      </c>
      <c r="AG111" s="4">
        <f t="shared" si="52"/>
        <v>0</v>
      </c>
      <c r="AH111" s="252">
        <f t="shared" si="54"/>
        <v>0</v>
      </c>
    </row>
    <row r="112" spans="1:34">
      <c r="A112" s="6">
        <f t="shared" si="55"/>
        <v>2047</v>
      </c>
      <c r="B112" s="4">
        <f t="shared" si="53"/>
        <v>0</v>
      </c>
      <c r="AB112" s="4">
        <f>AB82*AB86+AB82*(1-AB86)*C85</f>
        <v>0</v>
      </c>
      <c r="AC112" s="4">
        <f>+AB82*(1-AB86)*D85</f>
        <v>0</v>
      </c>
      <c r="AD112" s="4">
        <f>+AB82*(1-AB86)*E85</f>
        <v>0</v>
      </c>
      <c r="AE112" s="4">
        <f>+AB82*(1-AB86)*F85</f>
        <v>0</v>
      </c>
      <c r="AF112" s="4">
        <f>+AB82*(1-AB86)*G85</f>
        <v>0</v>
      </c>
      <c r="AG112" s="4">
        <f t="shared" ref="AG112:AG116" si="56">SUM(C112:AF112)</f>
        <v>0</v>
      </c>
      <c r="AH112" s="252">
        <f t="shared" si="54"/>
        <v>0</v>
      </c>
    </row>
    <row r="113" spans="1:34">
      <c r="A113" s="6">
        <f t="shared" si="55"/>
        <v>2048</v>
      </c>
      <c r="B113" s="4">
        <f t="shared" si="53"/>
        <v>0</v>
      </c>
      <c r="AC113" s="4">
        <f>AC82*AC86+AC82*(1-AC86)*C85</f>
        <v>0</v>
      </c>
      <c r="AD113" s="4">
        <f>+AC82*(1-AC86)*D85</f>
        <v>0</v>
      </c>
      <c r="AE113" s="4">
        <f>+AC82*(1-AC86)*E85</f>
        <v>0</v>
      </c>
      <c r="AF113" s="4">
        <f>+AC82*(1-AC86)*F85</f>
        <v>0</v>
      </c>
      <c r="AG113" s="4">
        <f t="shared" si="56"/>
        <v>0</v>
      </c>
      <c r="AH113" s="252">
        <f t="shared" si="54"/>
        <v>0</v>
      </c>
    </row>
    <row r="114" spans="1:34">
      <c r="A114" s="6">
        <f t="shared" si="55"/>
        <v>2049</v>
      </c>
      <c r="B114" s="4">
        <f t="shared" si="53"/>
        <v>0</v>
      </c>
      <c r="AD114" s="4">
        <f>AD82*AD86+AD82*(1-AD86)*C85</f>
        <v>0</v>
      </c>
      <c r="AE114" s="4">
        <f>+AD82*(1-AD86)*D85</f>
        <v>0</v>
      </c>
      <c r="AF114" s="4">
        <f>+AD82*(1-AD86)*E85</f>
        <v>0</v>
      </c>
      <c r="AG114" s="4">
        <f t="shared" si="56"/>
        <v>0</v>
      </c>
      <c r="AH114" s="252">
        <f t="shared" si="54"/>
        <v>0</v>
      </c>
    </row>
    <row r="115" spans="1:34">
      <c r="A115" s="6">
        <f t="shared" si="55"/>
        <v>2050</v>
      </c>
      <c r="B115" s="4">
        <f t="shared" si="53"/>
        <v>0</v>
      </c>
      <c r="AE115" s="4">
        <f>AE82*AE86+AE82*(1-AE86)*C85</f>
        <v>0</v>
      </c>
      <c r="AF115" s="4">
        <f>+AE82*(1-AE86)*D85</f>
        <v>0</v>
      </c>
      <c r="AG115" s="4">
        <f t="shared" si="56"/>
        <v>0</v>
      </c>
      <c r="AH115" s="252">
        <f t="shared" si="54"/>
        <v>0</v>
      </c>
    </row>
    <row r="116" spans="1:34">
      <c r="A116" s="6">
        <f t="shared" si="55"/>
        <v>2051</v>
      </c>
      <c r="B116" s="4">
        <f t="shared" si="53"/>
        <v>0</v>
      </c>
      <c r="AF116" s="4">
        <f>AF82*AF86+AF82*(1-AF86)*C85</f>
        <v>0</v>
      </c>
      <c r="AG116" s="4">
        <f t="shared" si="56"/>
        <v>0</v>
      </c>
      <c r="AH116" s="252">
        <f t="shared" si="54"/>
        <v>0</v>
      </c>
    </row>
    <row r="117" spans="1:34">
      <c r="A117" s="6" t="str">
        <f>"Total Depreciation - "&amp;A81</f>
        <v>Total Depreciation - Furniture, Fixtures &amp; Equipment - Building</v>
      </c>
      <c r="B117" s="49">
        <f>SUM(B87:B116)</f>
        <v>33407726.226669125</v>
      </c>
      <c r="C117" s="49">
        <f>SUM(C87:C116)</f>
        <v>0</v>
      </c>
      <c r="D117" s="49">
        <f t="shared" ref="D117:AH117" si="57">SUM(D87:D116)</f>
        <v>0</v>
      </c>
      <c r="E117" s="49">
        <f t="shared" si="57"/>
        <v>0</v>
      </c>
      <c r="F117" s="49">
        <f t="shared" si="57"/>
        <v>4773964.0777910184</v>
      </c>
      <c r="G117" s="49">
        <f t="shared" si="57"/>
        <v>8181552.1529112691</v>
      </c>
      <c r="H117" s="49">
        <f t="shared" si="57"/>
        <v>5843011.3170444304</v>
      </c>
      <c r="I117" s="49">
        <f t="shared" si="57"/>
        <v>4172625.0057109739</v>
      </c>
      <c r="J117" s="49">
        <f t="shared" si="57"/>
        <v>2983309.9520415529</v>
      </c>
      <c r="K117" s="49">
        <f t="shared" si="57"/>
        <v>2979969.1794188861</v>
      </c>
      <c r="L117" s="49">
        <f t="shared" si="57"/>
        <v>2983309.9520415529</v>
      </c>
      <c r="M117" s="49">
        <f t="shared" si="57"/>
        <v>1489984.589709443</v>
      </c>
      <c r="N117" s="49">
        <f t="shared" si="57"/>
        <v>0</v>
      </c>
      <c r="O117" s="49">
        <f t="shared" si="57"/>
        <v>0</v>
      </c>
      <c r="P117" s="49">
        <f t="shared" si="57"/>
        <v>0</v>
      </c>
      <c r="Q117" s="49">
        <f t="shared" si="57"/>
        <v>0</v>
      </c>
      <c r="R117" s="49">
        <f t="shared" si="57"/>
        <v>0</v>
      </c>
      <c r="S117" s="49">
        <f t="shared" si="57"/>
        <v>0</v>
      </c>
      <c r="T117" s="49">
        <f t="shared" si="57"/>
        <v>0</v>
      </c>
      <c r="U117" s="49">
        <f t="shared" si="57"/>
        <v>0</v>
      </c>
      <c r="V117" s="49">
        <f t="shared" si="57"/>
        <v>0</v>
      </c>
      <c r="W117" s="49">
        <f t="shared" si="57"/>
        <v>0</v>
      </c>
      <c r="X117" s="49">
        <f t="shared" si="57"/>
        <v>0</v>
      </c>
      <c r="Y117" s="49">
        <f t="shared" si="57"/>
        <v>0</v>
      </c>
      <c r="Z117" s="49">
        <f t="shared" si="57"/>
        <v>0</v>
      </c>
      <c r="AA117" s="49">
        <f t="shared" si="57"/>
        <v>0</v>
      </c>
      <c r="AB117" s="49">
        <f t="shared" si="57"/>
        <v>0</v>
      </c>
      <c r="AC117" s="49">
        <f t="shared" si="57"/>
        <v>0</v>
      </c>
      <c r="AD117" s="49">
        <f t="shared" si="57"/>
        <v>0</v>
      </c>
      <c r="AE117" s="49">
        <f t="shared" si="57"/>
        <v>0</v>
      </c>
      <c r="AF117" s="49">
        <f t="shared" si="57"/>
        <v>0</v>
      </c>
      <c r="AG117" s="49">
        <f t="shared" si="57"/>
        <v>33407726.226669122</v>
      </c>
      <c r="AH117" s="49">
        <f t="shared" si="57"/>
        <v>0</v>
      </c>
    </row>
    <row r="118" spans="1:34">
      <c r="A118" s="6"/>
    </row>
    <row r="119" spans="1:34">
      <c r="A119" s="302" t="str">
        <f>+Book!A113</f>
        <v>LEED Design Costs</v>
      </c>
    </row>
    <row r="120" spans="1:34">
      <c r="A120" s="6" t="s">
        <v>406</v>
      </c>
      <c r="C120" s="40">
        <f>IF(Capex!$F$9="y",Book!C114*(1-C$446),Book!C114)</f>
        <v>0</v>
      </c>
      <c r="D120" s="40">
        <f>IF(Capex!$F$9="y",Book!D114*(1-D$446),Book!D114)</f>
        <v>0</v>
      </c>
      <c r="E120" s="40">
        <f>IF(Capex!$F$9="y",Book!E114*(1-E$446),Book!E114)</f>
        <v>0</v>
      </c>
      <c r="F120" s="40">
        <f>IF(Capex!$F$9="y",Book!F114*(1-F$446),Book!F114)</f>
        <v>1550095.5124418859</v>
      </c>
      <c r="G120" s="40">
        <f>IF(Capex!$F$9="y",Book!G114*(1-G$446),Book!G114)</f>
        <v>0</v>
      </c>
      <c r="H120" s="40">
        <f>IF(Capex!$F$9="y",Book!H114*(1-H$446),Book!H114)</f>
        <v>0</v>
      </c>
      <c r="I120" s="40">
        <f>IF(Capex!$F$9="y",Book!I114*(1-I$446),Book!I114)</f>
        <v>0</v>
      </c>
      <c r="J120" s="40">
        <f>IF(Capex!$F$9="y",Book!J114*(1-J$446),Book!J114)</f>
        <v>0</v>
      </c>
      <c r="K120" s="40">
        <f>IF(Capex!$F$9="y",Book!K114*(1-K$446),Book!K114)</f>
        <v>0</v>
      </c>
      <c r="L120" s="40">
        <f>IF(Capex!$F$9="y",Book!L114*(1-L$446),Book!L114)</f>
        <v>0</v>
      </c>
      <c r="M120" s="40">
        <f>IF(Capex!$F$9="y",Book!M114*(1-M$446),Book!M114)</f>
        <v>0</v>
      </c>
      <c r="N120" s="40">
        <f>IF(Capex!$F$9="y",Book!N114*(1-N$446),Book!N114)</f>
        <v>0</v>
      </c>
      <c r="O120" s="40">
        <f>IF(Capex!$F$9="y",Book!O114*(1-O$446),Book!O114)</f>
        <v>0</v>
      </c>
      <c r="P120" s="40">
        <f>IF(Capex!$F$9="y",Book!P114*(1-P$446),Book!P114)</f>
        <v>0</v>
      </c>
      <c r="Q120" s="40">
        <f>IF(Capex!$F$9="y",Book!Q114*(1-Q$446),Book!Q114)</f>
        <v>0</v>
      </c>
      <c r="R120" s="40">
        <f>IF(Capex!$F$9="y",Book!R114*(1-R$446),Book!R114)</f>
        <v>0</v>
      </c>
      <c r="S120" s="40">
        <f>IF(Capex!$F$9="y",Book!S114*(1-S$446),Book!S114)</f>
        <v>0</v>
      </c>
      <c r="T120" s="40">
        <f>IF(Capex!$F$9="y",Book!T114*(1-T$446),Book!T114)</f>
        <v>0</v>
      </c>
      <c r="U120" s="40">
        <f>IF(Capex!$F$9="y",Book!U114*(1-U$446),Book!U114)</f>
        <v>0</v>
      </c>
      <c r="V120" s="40">
        <f>IF(Capex!$F$9="y",Book!V114*(1-V$446),Book!V114)</f>
        <v>0</v>
      </c>
      <c r="W120" s="40">
        <f>IF(Capex!$F$9="y",Book!W114*(1-W$446),Book!W114)</f>
        <v>0</v>
      </c>
      <c r="X120" s="40">
        <f>IF(Capex!$F$9="y",Book!X114*(1-X$446),Book!X114)</f>
        <v>0</v>
      </c>
      <c r="Y120" s="40">
        <f>IF(Capex!$F$9="y",Book!Y114*(1-Y$446),Book!Y114)</f>
        <v>0</v>
      </c>
      <c r="Z120" s="40">
        <f>IF(Capex!$F$9="y",Book!Z114*(1-Z$446),Book!Z114)</f>
        <v>0</v>
      </c>
      <c r="AA120" s="40">
        <f>IF(Capex!$F$9="y",Book!AA114*(1-AA$446),Book!AA114)</f>
        <v>0</v>
      </c>
      <c r="AB120" s="40">
        <f>IF(Capex!$F$9="y",Book!AB114*(1-AB$446),Book!AB114)</f>
        <v>0</v>
      </c>
      <c r="AC120" s="40">
        <f>IF(Capex!$F$9="y",Book!AC114*(1-AC$446),Book!AC114)</f>
        <v>0</v>
      </c>
      <c r="AD120" s="40">
        <f>IF(Capex!$F$9="y",Book!AD114*(1-AD$446),Book!AD114)</f>
        <v>0</v>
      </c>
      <c r="AE120" s="40">
        <f>IF(Capex!$F$9="y",Book!AE114*(1-AE$446),Book!AE114)</f>
        <v>0</v>
      </c>
      <c r="AF120" s="40">
        <f>IF(Capex!$F$9="y",Book!AF114*(1-AF$446),Book!AF114)</f>
        <v>0</v>
      </c>
    </row>
    <row r="121" spans="1:34">
      <c r="A121" s="6" t="s">
        <v>215</v>
      </c>
      <c r="C121" s="49">
        <f>+C120</f>
        <v>0</v>
      </c>
      <c r="D121" s="49">
        <f t="shared" ref="D121:AF121" si="58">+D120+C121</f>
        <v>0</v>
      </c>
      <c r="E121" s="49">
        <f t="shared" si="58"/>
        <v>0</v>
      </c>
      <c r="F121" s="49">
        <f t="shared" si="58"/>
        <v>1550095.5124418859</v>
      </c>
      <c r="G121" s="49">
        <f t="shared" si="58"/>
        <v>1550095.5124418859</v>
      </c>
      <c r="H121" s="49">
        <f t="shared" si="58"/>
        <v>1550095.5124418859</v>
      </c>
      <c r="I121" s="49">
        <f t="shared" si="58"/>
        <v>1550095.5124418859</v>
      </c>
      <c r="J121" s="49">
        <f t="shared" si="58"/>
        <v>1550095.5124418859</v>
      </c>
      <c r="K121" s="49">
        <f t="shared" si="58"/>
        <v>1550095.5124418859</v>
      </c>
      <c r="L121" s="49">
        <f t="shared" si="58"/>
        <v>1550095.5124418859</v>
      </c>
      <c r="M121" s="49">
        <f t="shared" si="58"/>
        <v>1550095.5124418859</v>
      </c>
      <c r="N121" s="49">
        <f t="shared" si="58"/>
        <v>1550095.5124418859</v>
      </c>
      <c r="O121" s="49">
        <f t="shared" si="58"/>
        <v>1550095.5124418859</v>
      </c>
      <c r="P121" s="49">
        <f t="shared" si="58"/>
        <v>1550095.5124418859</v>
      </c>
      <c r="Q121" s="49">
        <f t="shared" si="58"/>
        <v>1550095.5124418859</v>
      </c>
      <c r="R121" s="49">
        <f t="shared" si="58"/>
        <v>1550095.5124418859</v>
      </c>
      <c r="S121" s="49">
        <f t="shared" si="58"/>
        <v>1550095.5124418859</v>
      </c>
      <c r="T121" s="49">
        <f t="shared" si="58"/>
        <v>1550095.5124418859</v>
      </c>
      <c r="U121" s="49">
        <f t="shared" si="58"/>
        <v>1550095.5124418859</v>
      </c>
      <c r="V121" s="49">
        <f t="shared" si="58"/>
        <v>1550095.5124418859</v>
      </c>
      <c r="W121" s="49">
        <f t="shared" si="58"/>
        <v>1550095.5124418859</v>
      </c>
      <c r="X121" s="49">
        <f t="shared" si="58"/>
        <v>1550095.5124418859</v>
      </c>
      <c r="Y121" s="49">
        <f t="shared" si="58"/>
        <v>1550095.5124418859</v>
      </c>
      <c r="Z121" s="49">
        <f t="shared" si="58"/>
        <v>1550095.5124418859</v>
      </c>
      <c r="AA121" s="49">
        <f t="shared" si="58"/>
        <v>1550095.5124418859</v>
      </c>
      <c r="AB121" s="49">
        <f t="shared" si="58"/>
        <v>1550095.5124418859</v>
      </c>
      <c r="AC121" s="49">
        <f t="shared" si="58"/>
        <v>1550095.5124418859</v>
      </c>
      <c r="AD121" s="49">
        <f t="shared" si="58"/>
        <v>1550095.5124418859</v>
      </c>
      <c r="AE121" s="49">
        <f t="shared" si="58"/>
        <v>1550095.5124418859</v>
      </c>
      <c r="AF121" s="49">
        <f t="shared" si="58"/>
        <v>1550095.5124418859</v>
      </c>
    </row>
    <row r="122" spans="1:34">
      <c r="A122" s="6" t="s">
        <v>407</v>
      </c>
    </row>
    <row r="123" spans="1:34">
      <c r="A123" s="6" t="s">
        <v>408</v>
      </c>
      <c r="B123" s="88">
        <f>+Capex!$E$9</f>
        <v>39</v>
      </c>
      <c r="C123" s="5">
        <f>SUMIF($B$459:$I$459,$B123,$B$460:$I$460)</f>
        <v>2.564102564102564E-2</v>
      </c>
      <c r="D123" s="5">
        <f>SUMIF($B$459:$I$459,$B123,$B$461:$I$461)</f>
        <v>2.564102564102564E-2</v>
      </c>
      <c r="E123" s="5">
        <f>SUMIF($B$459:$I$459,$B123,$B$462:$I$462)</f>
        <v>2.564102564102564E-2</v>
      </c>
      <c r="F123" s="5">
        <f>SUMIF($B$459:$I$459,$B123,$B$463:$I$463)</f>
        <v>2.564102564102564E-2</v>
      </c>
      <c r="G123" s="5">
        <f>SUMIF($B$459:$I$459,$B123,$B$464:$I$464)</f>
        <v>2.564102564102564E-2</v>
      </c>
      <c r="H123" s="5">
        <f>SUMIF($B$459:$I$459,$B123,$B$465:$I$465)</f>
        <v>2.564102564102564E-2</v>
      </c>
      <c r="I123" s="5">
        <f>SUMIF($B$459:$I$459,$B123,$B$466:$I$466)</f>
        <v>2.564102564102564E-2</v>
      </c>
      <c r="J123" s="5">
        <f>SUMIF($B$459:$I$459,$B123,$B$467:$I$467)</f>
        <v>2.564102564102564E-2</v>
      </c>
      <c r="K123" s="5">
        <f>SUMIF($B$459:$I$459,$B123,$B$468:$I$468)</f>
        <v>2.564102564102564E-2</v>
      </c>
      <c r="L123" s="5">
        <f>SUMIF($B$459:$I$459,$B123,$B$469:$I$469)</f>
        <v>2.564102564102564E-2</v>
      </c>
      <c r="M123" s="5">
        <f>SUMIF($B$459:$I$459,$B123,$B$470:$I$470)</f>
        <v>2.564102564102564E-2</v>
      </c>
      <c r="N123" s="5">
        <f>SUMIF($B$459:$I$459,$B123,$B$471:$I$471)</f>
        <v>2.564102564102564E-2</v>
      </c>
      <c r="O123" s="5">
        <f>SUMIF($B$459:$I$459,$B123,$B$472:$I$472)</f>
        <v>2.564102564102564E-2</v>
      </c>
      <c r="P123" s="5">
        <f>SUMIF($B$459:$I$459,$B123,$B$473:$I$473)</f>
        <v>2.564102564102564E-2</v>
      </c>
      <c r="Q123" s="5">
        <f>SUMIF($B$459:$I$459,$B123,$B$474:$I$474)</f>
        <v>2.564102564102564E-2</v>
      </c>
      <c r="R123" s="5">
        <f>SUMIF($B$459:$I$459,$B123,$B$475:$I$475)</f>
        <v>2.564102564102564E-2</v>
      </c>
      <c r="S123" s="5">
        <f>SUMIF($B$459:$I$459,$B123,$B$476:$I$476)</f>
        <v>2.564102564102564E-2</v>
      </c>
      <c r="T123" s="5">
        <f>SUMIF($B$459:$I$459,$B123,$B$477:$I$477)</f>
        <v>2.564102564102564E-2</v>
      </c>
      <c r="U123" s="5">
        <f>SUMIF($B$459:$I$459,$B123,$B$478:$I$478)</f>
        <v>2.564102564102564E-2</v>
      </c>
      <c r="V123" s="5">
        <f>SUMIF($B$459:$I$459,$B123,$B$479:$I$479)</f>
        <v>2.564102564102564E-2</v>
      </c>
      <c r="W123" s="5">
        <f>SUMIF($B$459:$I$459,$B123,$B$480:$I$480)</f>
        <v>2.564102564102564E-2</v>
      </c>
      <c r="X123" s="5">
        <f>SUMIF($B$459:$I$459,$B123,$B$481:$I$481)</f>
        <v>2.564102564102564E-2</v>
      </c>
      <c r="Y123" s="5">
        <f>SUMIF($B$459:$I$459,$B123,$B$482:$I$482)</f>
        <v>2.564102564102564E-2</v>
      </c>
      <c r="Z123" s="5">
        <f>SUMIF($B$459:$I$459,$B123,$B$483:$I$483)</f>
        <v>2.564102564102564E-2</v>
      </c>
      <c r="AA123" s="5">
        <f t="shared" ref="AA123:AF123" si="59">SUMIF($B$459:$I$459,$B123,$B$484:$I$484)</f>
        <v>2.564102564102564E-2</v>
      </c>
      <c r="AB123" s="5">
        <f t="shared" si="59"/>
        <v>2.564102564102564E-2</v>
      </c>
      <c r="AC123" s="5">
        <f t="shared" si="59"/>
        <v>2.564102564102564E-2</v>
      </c>
      <c r="AD123" s="5">
        <f t="shared" si="59"/>
        <v>2.564102564102564E-2</v>
      </c>
      <c r="AE123" s="5">
        <f t="shared" si="59"/>
        <v>2.564102564102564E-2</v>
      </c>
      <c r="AF123" s="5">
        <f t="shared" si="59"/>
        <v>2.564102564102564E-2</v>
      </c>
    </row>
    <row r="124" spans="1:34">
      <c r="A124" s="6" t="s">
        <v>409</v>
      </c>
      <c r="B124" s="89"/>
      <c r="C124" s="94">
        <f>IF(C$2&gt;'Input Data'!$M$37,B124,IF($B123=0,0,SUMIF('Input Data'!$C$37:$M$37,C$2,'Input Data'!$C$38:$M$38)))</f>
        <v>0</v>
      </c>
      <c r="D124" s="94">
        <f>IF(D$2&gt;'Input Data'!$M$37,C124,IF($B123=0,0,SUMIF('Input Data'!$C$37:$M$37,D$2,'Input Data'!$C$38:$M$38)))</f>
        <v>0</v>
      </c>
      <c r="E124" s="94">
        <f>IF(E$2&gt;'Input Data'!$M$37,D124,IF($B123=0,0,SUMIF('Input Data'!$C$37:$M$37,E$2,'Input Data'!$C$38:$M$38)))</f>
        <v>0</v>
      </c>
      <c r="F124" s="94">
        <f>IF(F$2&gt;'Input Data'!$M$37,E124,IF($B123=0,0,SUMIF('Input Data'!$C$37:$M$37,F$2,'Input Data'!$C$38:$M$38)))</f>
        <v>0</v>
      </c>
      <c r="G124" s="94">
        <f>IF(G$2&gt;'Input Data'!$M$37,F124,IF($B123=0,0,SUMIF('Input Data'!$C$37:$M$37,G$2,'Input Data'!$C$38:$M$38)))</f>
        <v>0</v>
      </c>
      <c r="H124" s="94">
        <f>IF(H$2&gt;'Input Data'!$M$37,G124,IF($B123=0,0,SUMIF('Input Data'!$C$37:$M$37,H$2,'Input Data'!$C$38:$M$38)))</f>
        <v>0</v>
      </c>
      <c r="I124" s="94">
        <f>IF(I$2&gt;'Input Data'!$M$37,H124,IF($B123=0,0,SUMIF('Input Data'!$C$37:$M$37,I$2,'Input Data'!$C$38:$M$38)))</f>
        <v>0</v>
      </c>
      <c r="J124" s="94">
        <f>IF(J$2&gt;'Input Data'!$M$37,I124,IF($B123=0,0,SUMIF('Input Data'!$C$37:$M$37,J$2,'Input Data'!$C$38:$M$38)))</f>
        <v>0</v>
      </c>
      <c r="K124" s="94">
        <f>IF(K$2&gt;'Input Data'!$M$37,J124,IF($B123=0,0,SUMIF('Input Data'!$C$37:$M$37,K$2,'Input Data'!$C$38:$M$38)))</f>
        <v>0</v>
      </c>
      <c r="L124" s="94">
        <f>IF(L$2&gt;'Input Data'!$M$37,K124,IF($B123=0,0,SUMIF('Input Data'!$C$37:$M$37,L$2,'Input Data'!$C$38:$M$38)))</f>
        <v>0</v>
      </c>
      <c r="M124" s="94">
        <f>IF(M$2&gt;'Input Data'!$M$37,L124,IF($B123=0,0,SUMIF('Input Data'!$C$37:$M$37,M$2,'Input Data'!$C$38:$M$38)))</f>
        <v>0</v>
      </c>
      <c r="N124" s="94">
        <f>IF(N$2&gt;'Input Data'!$M$37,M124,IF($B123=0,0,SUMIF('Input Data'!$C$37:$M$37,N$2,'Input Data'!$C$38:$M$38)))</f>
        <v>0</v>
      </c>
      <c r="O124" s="94">
        <f>IF(O$2&gt;'Input Data'!$M$37,N124,IF($B123=0,0,SUMIF('Input Data'!$C$37:$M$37,O$2,'Input Data'!$C$38:$M$38)))</f>
        <v>0</v>
      </c>
      <c r="P124" s="94">
        <f>IF(P$2&gt;'Input Data'!$M$37,O124,IF($B123=0,0,SUMIF('Input Data'!$C$37:$M$37,P$2,'Input Data'!$C$38:$M$38)))</f>
        <v>0</v>
      </c>
      <c r="Q124" s="94">
        <f>IF(Q$2&gt;'Input Data'!$M$37,P124,IF($B123=0,0,SUMIF('Input Data'!$C$37:$M$37,Q$2,'Input Data'!$C$38:$M$38)))</f>
        <v>0</v>
      </c>
      <c r="R124" s="94">
        <f>IF(R$2&gt;'Input Data'!$M$37,Q124,IF($B123=0,0,SUMIF('Input Data'!$C$37:$M$37,R$2,'Input Data'!$C$38:$M$38)))</f>
        <v>0</v>
      </c>
      <c r="S124" s="94">
        <f>IF(S$2&gt;'Input Data'!$M$37,R124,IF($B123=0,0,SUMIF('Input Data'!$C$37:$M$37,S$2,'Input Data'!$C$38:$M$38)))</f>
        <v>0</v>
      </c>
      <c r="T124" s="94">
        <f>IF(T$2&gt;'Input Data'!$M$37,S124,IF($B123=0,0,SUMIF('Input Data'!$C$37:$M$37,T$2,'Input Data'!$C$38:$M$38)))</f>
        <v>0</v>
      </c>
      <c r="U124" s="94">
        <f>IF(U$2&gt;'Input Data'!$M$37,T124,IF($B123=0,0,SUMIF('Input Data'!$C$37:$M$37,U$2,'Input Data'!$C$38:$M$38)))</f>
        <v>0</v>
      </c>
      <c r="V124" s="94">
        <f>IF(V$2&gt;'Input Data'!$M$37,U124,IF($B123=0,0,SUMIF('Input Data'!$C$37:$M$37,V$2,'Input Data'!$C$38:$M$38)))</f>
        <v>0</v>
      </c>
      <c r="W124" s="94">
        <f>IF(W$2&gt;'Input Data'!$M$37,V124,IF($B123=0,0,SUMIF('Input Data'!$C$37:$M$37,W$2,'Input Data'!$C$38:$M$38)))</f>
        <v>0</v>
      </c>
      <c r="X124" s="94">
        <f>IF(X$2&gt;'Input Data'!$M$37,W124,IF($B123=0,0,SUMIF('Input Data'!$C$37:$M$37,X$2,'Input Data'!$C$38:$M$38)))</f>
        <v>0</v>
      </c>
      <c r="Y124" s="94">
        <f>IF(Y$2&gt;'Input Data'!$M$37,X124,IF($B123=0,0,SUMIF('Input Data'!$C$37:$M$37,Y$2,'Input Data'!$C$38:$M$38)))</f>
        <v>0</v>
      </c>
      <c r="Z124" s="94">
        <f>IF(Z$2&gt;'Input Data'!$M$37,Y124,IF($B123=0,0,SUMIF('Input Data'!$C$37:$M$37,Z$2,'Input Data'!$C$38:$M$38)))</f>
        <v>0</v>
      </c>
      <c r="AA124" s="94">
        <f>IF(AA$2&gt;'Input Data'!$M$37,Z124,IF($B123=0,0,SUMIF('Input Data'!$C$37:$M$37,AA$2,'Input Data'!$C$38:$M$38)))</f>
        <v>0</v>
      </c>
      <c r="AB124" s="94">
        <f>IF(AB$2&gt;'Input Data'!$M$37,AA124,IF($B123=0,0,SUMIF('Input Data'!$C$37:$M$37,AB$2,'Input Data'!$C$38:$M$38)))</f>
        <v>0</v>
      </c>
      <c r="AC124" s="94">
        <f>IF(AC$2&gt;'Input Data'!$M$37,AB124,IF($B123=0,0,SUMIF('Input Data'!$C$37:$M$37,AC$2,'Input Data'!$C$38:$M$38)))</f>
        <v>0</v>
      </c>
      <c r="AD124" s="94">
        <f>IF(AD$2&gt;'Input Data'!$M$37,AC124,IF($B123=0,0,SUMIF('Input Data'!$C$37:$M$37,AD$2,'Input Data'!$C$38:$M$38)))</f>
        <v>0</v>
      </c>
      <c r="AE124" s="94">
        <f>IF(AE$2&gt;'Input Data'!$M$37,AD124,IF($B123=0,0,SUMIF('Input Data'!$C$37:$M$37,AE$2,'Input Data'!$C$38:$M$38)))</f>
        <v>0</v>
      </c>
      <c r="AF124" s="94">
        <f>IF(AF$2&gt;'Input Data'!$M$37,AE124,IF($B123=0,0,SUMIF('Input Data'!$C$37:$M$37,AF$2,'Input Data'!$C$38:$M$38)))</f>
        <v>0</v>
      </c>
    </row>
    <row r="125" spans="1:34">
      <c r="A125" s="6">
        <f>+A11</f>
        <v>2022</v>
      </c>
      <c r="B125" s="4">
        <f>SUMIF($C$2:$AF$2,A125,$C$120:$AF$120)</f>
        <v>0</v>
      </c>
      <c r="C125" s="4">
        <f>C120*C124+C120*(1-C124)*C123</f>
        <v>0</v>
      </c>
      <c r="D125" s="4">
        <f>C120*(1-C124)*D123</f>
        <v>0</v>
      </c>
      <c r="E125" s="4">
        <f>C120*(1-C124)*E123</f>
        <v>0</v>
      </c>
      <c r="F125" s="4">
        <f>C120*(1-C124)*F123</f>
        <v>0</v>
      </c>
      <c r="G125" s="4">
        <f>C120*(1-C124)*G123</f>
        <v>0</v>
      </c>
      <c r="H125" s="4">
        <f>C120*(1-C124)*H123</f>
        <v>0</v>
      </c>
      <c r="I125" s="4">
        <f>C120*(1-C124)*I123</f>
        <v>0</v>
      </c>
      <c r="J125" s="4">
        <f>C120*(1-C124)*J123</f>
        <v>0</v>
      </c>
      <c r="K125" s="4">
        <f>C120*(1-C124)*K123</f>
        <v>0</v>
      </c>
      <c r="L125" s="4">
        <f>C120*(1-C124)*L123</f>
        <v>0</v>
      </c>
      <c r="M125" s="4">
        <f>C120*(1-C124)*M123</f>
        <v>0</v>
      </c>
      <c r="N125" s="4">
        <f>C120*(1-C124)*N123</f>
        <v>0</v>
      </c>
      <c r="O125" s="4">
        <f>C120*(1-C124)*O123</f>
        <v>0</v>
      </c>
      <c r="P125" s="4">
        <f>C120*(1-C124)*P123</f>
        <v>0</v>
      </c>
      <c r="Q125" s="4">
        <f>C120*(1-C124)*Q123</f>
        <v>0</v>
      </c>
      <c r="R125" s="4">
        <f>C120*(1-C124)*R123</f>
        <v>0</v>
      </c>
      <c r="S125" s="4">
        <f>C120*(1-C124)*S123</f>
        <v>0</v>
      </c>
      <c r="T125" s="4">
        <f>C120*(1-C124)*T123</f>
        <v>0</v>
      </c>
      <c r="U125" s="4">
        <f>C120*(1-C124)*U123</f>
        <v>0</v>
      </c>
      <c r="V125" s="4">
        <f>C120*(1-C124)*V123</f>
        <v>0</v>
      </c>
      <c r="W125" s="4">
        <f>C120*(1-C124)*W123</f>
        <v>0</v>
      </c>
      <c r="X125" s="4">
        <f>C120*(1-C124)*X123</f>
        <v>0</v>
      </c>
      <c r="Y125" s="4">
        <f>C120*(1-C124)*Y123</f>
        <v>0</v>
      </c>
      <c r="Z125" s="4">
        <f>C120*(1-C124)*Z123</f>
        <v>0</v>
      </c>
      <c r="AA125" s="4">
        <f>C120*(1-C124)*AA123</f>
        <v>0</v>
      </c>
      <c r="AB125" s="4">
        <f>C120*(1-C124)*AB123</f>
        <v>0</v>
      </c>
      <c r="AC125" s="4">
        <f>C120*(1-C124)*AC123</f>
        <v>0</v>
      </c>
      <c r="AD125" s="4">
        <f>C120*(1-C124)*AD123</f>
        <v>0</v>
      </c>
      <c r="AE125" s="4">
        <f>C120*(1-C124)*AE123</f>
        <v>0</v>
      </c>
      <c r="AF125" s="4">
        <f>C120*(1-C124)*AF123</f>
        <v>0</v>
      </c>
      <c r="AG125" s="4">
        <f t="shared" ref="AG125:AG149" si="60">SUM(C125:AF125)</f>
        <v>0</v>
      </c>
      <c r="AH125" s="252">
        <f>+B125-AG125</f>
        <v>0</v>
      </c>
    </row>
    <row r="126" spans="1:34">
      <c r="A126" s="6">
        <f>+A125+1</f>
        <v>2023</v>
      </c>
      <c r="B126" s="4">
        <f t="shared" ref="B126:B154" si="61">SUMIF($C$2:$AF$2,A126,$C$120:$AF$120)</f>
        <v>0</v>
      </c>
      <c r="D126" s="4">
        <f>D120*D124+D120*(1-D124)*C123</f>
        <v>0</v>
      </c>
      <c r="E126" s="4">
        <f>+D120*(1-D124)*D123</f>
        <v>0</v>
      </c>
      <c r="F126" s="4">
        <f>+D120*(1-D124)*E123</f>
        <v>0</v>
      </c>
      <c r="G126" s="4">
        <f>+D120*(1-D124)*F123</f>
        <v>0</v>
      </c>
      <c r="H126" s="4">
        <f>+D120*(1-D124)*G123</f>
        <v>0</v>
      </c>
      <c r="I126" s="4">
        <f>+D120*(1-D124)*H123</f>
        <v>0</v>
      </c>
      <c r="J126" s="4">
        <f>+D120*(1-D124)*I123</f>
        <v>0</v>
      </c>
      <c r="K126" s="4">
        <f>+D120*(1-D124)*J123</f>
        <v>0</v>
      </c>
      <c r="L126" s="4">
        <f>+D120*(1-D124)*K123</f>
        <v>0</v>
      </c>
      <c r="M126" s="4">
        <f>+D120*(1-D124)*L123</f>
        <v>0</v>
      </c>
      <c r="N126" s="4">
        <f>+D120*(1-D124)*M123</f>
        <v>0</v>
      </c>
      <c r="O126" s="4">
        <f>+D120*(1-D124)*N123</f>
        <v>0</v>
      </c>
      <c r="P126" s="4">
        <f>+D120*(1-D124)*O123</f>
        <v>0</v>
      </c>
      <c r="Q126" s="4">
        <f>+D120*(1-D124)*P123</f>
        <v>0</v>
      </c>
      <c r="R126" s="4">
        <f>+D120*(1-D124)*Q123</f>
        <v>0</v>
      </c>
      <c r="S126" s="4">
        <f>+D120*(1-D124)*R123</f>
        <v>0</v>
      </c>
      <c r="T126" s="4">
        <f>+D120*(1-D124)*S123</f>
        <v>0</v>
      </c>
      <c r="U126" s="4">
        <f>+D120*(1-D124)*T123</f>
        <v>0</v>
      </c>
      <c r="V126" s="4">
        <f>+D120*(1-D124)*U123</f>
        <v>0</v>
      </c>
      <c r="W126" s="4">
        <f>+D120*(1-D124)*V123</f>
        <v>0</v>
      </c>
      <c r="X126" s="4">
        <f>+D120*(1-D124)*W123</f>
        <v>0</v>
      </c>
      <c r="Y126" s="4">
        <f>+D120*(1-D124)*X123</f>
        <v>0</v>
      </c>
      <c r="Z126" s="4">
        <f>+D120*(1-D124)*Y123</f>
        <v>0</v>
      </c>
      <c r="AA126" s="4">
        <f>+D120*(1-D124)*Z123</f>
        <v>0</v>
      </c>
      <c r="AB126" s="4">
        <f>+D120*(1-D124)*AA123</f>
        <v>0</v>
      </c>
      <c r="AC126" s="4">
        <f>+D120*(1-D124)*AB123</f>
        <v>0</v>
      </c>
      <c r="AD126" s="4">
        <f>+D120*(1-D124)*AC123</f>
        <v>0</v>
      </c>
      <c r="AE126" s="4">
        <f>+D120*(1-D124)*AD123</f>
        <v>0</v>
      </c>
      <c r="AF126" s="4">
        <f>+D120*(1-D124)*AE123</f>
        <v>0</v>
      </c>
      <c r="AG126" s="4">
        <f t="shared" si="60"/>
        <v>0</v>
      </c>
      <c r="AH126" s="252">
        <f t="shared" ref="AH126:AH154" si="62">+B126-AG126</f>
        <v>0</v>
      </c>
    </row>
    <row r="127" spans="1:34">
      <c r="A127" s="6">
        <f t="shared" ref="A127:A154" si="63">+A126+1</f>
        <v>2024</v>
      </c>
      <c r="B127" s="4">
        <f t="shared" si="61"/>
        <v>0</v>
      </c>
      <c r="E127" s="4">
        <f>E120*E124+E120*(1-E124)*C123</f>
        <v>0</v>
      </c>
      <c r="F127" s="4">
        <f>+E120*(1-E124)*D123</f>
        <v>0</v>
      </c>
      <c r="G127" s="4">
        <f>+E120*(1-E124)*E123</f>
        <v>0</v>
      </c>
      <c r="H127" s="4">
        <f>+E120*(1-E124)*F123</f>
        <v>0</v>
      </c>
      <c r="I127" s="4">
        <f>+E120*(1-E124)*G123</f>
        <v>0</v>
      </c>
      <c r="J127" s="4">
        <f>+E120*(1-E124)*H123</f>
        <v>0</v>
      </c>
      <c r="K127" s="4">
        <f>+E120*(1-E124)*I123</f>
        <v>0</v>
      </c>
      <c r="L127" s="4">
        <f>+E120*(1-E124)*J123</f>
        <v>0</v>
      </c>
      <c r="M127" s="4">
        <f>+E120*(1-E124)*K123</f>
        <v>0</v>
      </c>
      <c r="N127" s="4">
        <f>+E120*(1-E124)*L123</f>
        <v>0</v>
      </c>
      <c r="O127" s="4">
        <f>+E120*(1-E124)*M123</f>
        <v>0</v>
      </c>
      <c r="P127" s="4">
        <f>+E120*(1-E124)*N123</f>
        <v>0</v>
      </c>
      <c r="Q127" s="4">
        <f>+E120*(1-E124)*O123</f>
        <v>0</v>
      </c>
      <c r="R127" s="4">
        <f>+E120*(1-E124)*P123</f>
        <v>0</v>
      </c>
      <c r="S127" s="4">
        <f>+E120*(1-E124)*Q123</f>
        <v>0</v>
      </c>
      <c r="T127" s="4">
        <f>+E120*(1-E124)*R123</f>
        <v>0</v>
      </c>
      <c r="U127" s="4">
        <f>+E120*(1-E124)*S123</f>
        <v>0</v>
      </c>
      <c r="V127" s="4">
        <f>+E120*(1-E124)*T123</f>
        <v>0</v>
      </c>
      <c r="W127" s="4">
        <f>+E120*(1-E124)*U123</f>
        <v>0</v>
      </c>
      <c r="X127" s="4">
        <f>+E120*(1-E124)*V123</f>
        <v>0</v>
      </c>
      <c r="Y127" s="4">
        <f>+E120*(1-E124)*W123</f>
        <v>0</v>
      </c>
      <c r="Z127" s="4">
        <f>+E120*(1-E124)*X123</f>
        <v>0</v>
      </c>
      <c r="AA127" s="4">
        <f>+E120*(1-E124)*Y123</f>
        <v>0</v>
      </c>
      <c r="AB127" s="4">
        <f>+E120*(1-E124)*Z123</f>
        <v>0</v>
      </c>
      <c r="AC127" s="4">
        <f>+E120*(1-E124)*AA123</f>
        <v>0</v>
      </c>
      <c r="AD127" s="4">
        <f>+E120*(1-E124)*AB123</f>
        <v>0</v>
      </c>
      <c r="AE127" s="4">
        <f>+E120*(1-E124)*AC123</f>
        <v>0</v>
      </c>
      <c r="AF127" s="4">
        <f>+E120*(1-E124)*AD123</f>
        <v>0</v>
      </c>
      <c r="AG127" s="4">
        <f t="shared" si="60"/>
        <v>0</v>
      </c>
      <c r="AH127" s="252">
        <f t="shared" si="62"/>
        <v>0</v>
      </c>
    </row>
    <row r="128" spans="1:34">
      <c r="A128" s="6">
        <f t="shared" si="63"/>
        <v>2025</v>
      </c>
      <c r="B128" s="4">
        <f t="shared" si="61"/>
        <v>1550095.5124418859</v>
      </c>
      <c r="F128" s="4">
        <f>F120*F124+F120*(1-F124)*C123</f>
        <v>39746.038780561175</v>
      </c>
      <c r="G128" s="4">
        <f>+F120*(1-F124)*D123</f>
        <v>39746.038780561175</v>
      </c>
      <c r="H128" s="4">
        <f>+F120*(1-F124)*E123</f>
        <v>39746.038780561175</v>
      </c>
      <c r="I128" s="4">
        <f>+F120*(1-F124)*F123</f>
        <v>39746.038780561175</v>
      </c>
      <c r="J128" s="4">
        <f>+F120*(1-F124)*G123</f>
        <v>39746.038780561175</v>
      </c>
      <c r="K128" s="4">
        <f>+F120*(1-F124)*H123</f>
        <v>39746.038780561175</v>
      </c>
      <c r="L128" s="4">
        <f>+F120*(1-F124)*I123</f>
        <v>39746.038780561175</v>
      </c>
      <c r="M128" s="4">
        <f>+F120*(1-F124)*J123</f>
        <v>39746.038780561175</v>
      </c>
      <c r="N128" s="4">
        <f>+F120*(1-F124)*K123</f>
        <v>39746.038780561175</v>
      </c>
      <c r="O128" s="4">
        <f>+F120*(1-F124)*L123</f>
        <v>39746.038780561175</v>
      </c>
      <c r="P128" s="4">
        <f>+F120*(1-F124)*M123</f>
        <v>39746.038780561175</v>
      </c>
      <c r="Q128" s="4">
        <f>+F120*(1-F124)*N123</f>
        <v>39746.038780561175</v>
      </c>
      <c r="R128" s="4">
        <f>+F120*(1-F124)*O123</f>
        <v>39746.038780561175</v>
      </c>
      <c r="S128" s="4">
        <f>+F120*(1-F124)*P123</f>
        <v>39746.038780561175</v>
      </c>
      <c r="T128" s="4">
        <f>+F120*(1-F124)*Q123</f>
        <v>39746.038780561175</v>
      </c>
      <c r="U128" s="4">
        <f>+F120*(1-F124)*R123</f>
        <v>39746.038780561175</v>
      </c>
      <c r="V128" s="4">
        <f>+F120*(1-F124)*S123</f>
        <v>39746.038780561175</v>
      </c>
      <c r="W128" s="4">
        <f>+F120*(1-F124)*T123</f>
        <v>39746.038780561175</v>
      </c>
      <c r="X128" s="4">
        <f>+F120*(1-F124)*U123</f>
        <v>39746.038780561175</v>
      </c>
      <c r="Y128" s="4">
        <f>+F120*(1-F124)*V123</f>
        <v>39746.038780561175</v>
      </c>
      <c r="Z128" s="4">
        <f>+F120*(1-F124)*W123</f>
        <v>39746.038780561175</v>
      </c>
      <c r="AA128" s="4">
        <f>+F120*(1-F124)*X123</f>
        <v>39746.038780561175</v>
      </c>
      <c r="AB128" s="4">
        <f>+F120*(1-F124)*Y123</f>
        <v>39746.038780561175</v>
      </c>
      <c r="AC128" s="4">
        <f>+F120*(1-F124)*Z123</f>
        <v>39746.038780561175</v>
      </c>
      <c r="AD128" s="4">
        <f>+F120*(1-F124)*AA123</f>
        <v>39746.038780561175</v>
      </c>
      <c r="AE128" s="4">
        <f>+F120*(1-F124)*AB123</f>
        <v>39746.038780561175</v>
      </c>
      <c r="AF128" s="4">
        <f>+F120*(1-F124)*AC123</f>
        <v>39746.038780561175</v>
      </c>
      <c r="AG128" s="4">
        <f t="shared" si="60"/>
        <v>1073143.0470751517</v>
      </c>
      <c r="AH128" s="252">
        <f t="shared" si="62"/>
        <v>476952.46536673419</v>
      </c>
    </row>
    <row r="129" spans="1:34">
      <c r="A129" s="6">
        <f t="shared" si="63"/>
        <v>2026</v>
      </c>
      <c r="B129" s="4">
        <f t="shared" si="61"/>
        <v>0</v>
      </c>
      <c r="G129" s="4">
        <f>G120*G124+G120*(1-G124)*C123</f>
        <v>0</v>
      </c>
      <c r="H129" s="4">
        <f>+G120*(1-G124)*D123</f>
        <v>0</v>
      </c>
      <c r="I129" s="4">
        <f>+G120*(1-G124)*E123</f>
        <v>0</v>
      </c>
      <c r="J129" s="4">
        <f>+G120*(1-G124)*F123</f>
        <v>0</v>
      </c>
      <c r="K129" s="4">
        <f>+G120*(1-G124)*G123</f>
        <v>0</v>
      </c>
      <c r="L129" s="4">
        <f>+G120*(1-G124)*H123</f>
        <v>0</v>
      </c>
      <c r="M129" s="4">
        <f>+G120*(1-G124)*I123</f>
        <v>0</v>
      </c>
      <c r="N129" s="4">
        <f>+G120*(1-G124)*J123</f>
        <v>0</v>
      </c>
      <c r="O129" s="4">
        <f>+G120*(1-G124)*K123</f>
        <v>0</v>
      </c>
      <c r="P129" s="4">
        <f>+G120*(1-G124)*L123</f>
        <v>0</v>
      </c>
      <c r="Q129" s="4">
        <f>+G120*(1-G124)*M123</f>
        <v>0</v>
      </c>
      <c r="R129" s="4">
        <f>+G120*(1-G124)*N123</f>
        <v>0</v>
      </c>
      <c r="S129" s="4">
        <f>+G120*(1-G124)*O123</f>
        <v>0</v>
      </c>
      <c r="T129" s="4">
        <f>+G120*(1-G124)*P123</f>
        <v>0</v>
      </c>
      <c r="U129" s="4">
        <f>+G120*(1-G124)*Q123</f>
        <v>0</v>
      </c>
      <c r="V129" s="4">
        <f>+G120*(1-G124)*R123</f>
        <v>0</v>
      </c>
      <c r="W129" s="4">
        <f>+G120*(1-G124)*S123</f>
        <v>0</v>
      </c>
      <c r="X129" s="4">
        <f>+G120*(1-G124)*T123</f>
        <v>0</v>
      </c>
      <c r="Y129" s="4">
        <f>+G120*(1-G124)*U123</f>
        <v>0</v>
      </c>
      <c r="Z129" s="4">
        <f>+G120*(1-G124)*V123</f>
        <v>0</v>
      </c>
      <c r="AA129" s="4">
        <f>+G120*(1-G124)*W123</f>
        <v>0</v>
      </c>
      <c r="AB129" s="4">
        <f>+G120*(1-G124)*X123</f>
        <v>0</v>
      </c>
      <c r="AC129" s="4">
        <f>+G120*(1-G124)*Y123</f>
        <v>0</v>
      </c>
      <c r="AD129" s="4">
        <f>+G120*(1-G124)*Z123</f>
        <v>0</v>
      </c>
      <c r="AE129" s="4">
        <f>+G120*(1-G124)*AA123</f>
        <v>0</v>
      </c>
      <c r="AF129" s="4">
        <f>+G120*(1-G124)*AB123</f>
        <v>0</v>
      </c>
      <c r="AG129" s="4">
        <f t="shared" si="60"/>
        <v>0</v>
      </c>
      <c r="AH129" s="252">
        <f t="shared" si="62"/>
        <v>0</v>
      </c>
    </row>
    <row r="130" spans="1:34">
      <c r="A130" s="6">
        <f t="shared" si="63"/>
        <v>2027</v>
      </c>
      <c r="B130" s="4">
        <f t="shared" si="61"/>
        <v>0</v>
      </c>
      <c r="H130" s="4">
        <f>H120*H124+H120*(1-H124)*C123</f>
        <v>0</v>
      </c>
      <c r="I130" s="4">
        <f>+H120*(1-H124)*D123</f>
        <v>0</v>
      </c>
      <c r="J130" s="4">
        <f>+H120*(1-H124)*E123</f>
        <v>0</v>
      </c>
      <c r="K130" s="4">
        <f>+H120*(1-H124)*F123</f>
        <v>0</v>
      </c>
      <c r="L130" s="4">
        <f>+H120*(1-H124)*G123</f>
        <v>0</v>
      </c>
      <c r="M130" s="4">
        <f>+H120*(1-H124)*H123</f>
        <v>0</v>
      </c>
      <c r="N130" s="4">
        <f>+H120*(1-H124)*I123</f>
        <v>0</v>
      </c>
      <c r="O130" s="4">
        <f>+H120*(1-H124)*J123</f>
        <v>0</v>
      </c>
      <c r="P130" s="4">
        <f>+H120*(1-H124)*K123</f>
        <v>0</v>
      </c>
      <c r="Q130" s="4">
        <f>+H120*(1-H124)*L123</f>
        <v>0</v>
      </c>
      <c r="R130" s="4">
        <f>+H120*(1-H124)*M123</f>
        <v>0</v>
      </c>
      <c r="S130" s="4">
        <f>+H120*(1-H124)*N123</f>
        <v>0</v>
      </c>
      <c r="T130" s="4">
        <f>+H120*(1-H124)*O123</f>
        <v>0</v>
      </c>
      <c r="U130" s="4">
        <f>+H120*(1-H124)*P123</f>
        <v>0</v>
      </c>
      <c r="V130" s="4">
        <f>+H120*(1-H124)*Q123</f>
        <v>0</v>
      </c>
      <c r="W130" s="4">
        <f>+H120*(1-H124)*R123</f>
        <v>0</v>
      </c>
      <c r="X130" s="4">
        <f>+H120*(1-H124)*S123</f>
        <v>0</v>
      </c>
      <c r="Y130" s="4">
        <f>+H120*(1-H124)*T123</f>
        <v>0</v>
      </c>
      <c r="Z130" s="4">
        <f>+H120*(1-H124)*U123</f>
        <v>0</v>
      </c>
      <c r="AA130" s="4">
        <f>+H120*(1-H124)*V123</f>
        <v>0</v>
      </c>
      <c r="AB130" s="4">
        <f>+H120*(1-H124)*W123</f>
        <v>0</v>
      </c>
      <c r="AC130" s="4">
        <f>+H120*(1-H124)*X123</f>
        <v>0</v>
      </c>
      <c r="AD130" s="4">
        <f>+H120*(1-H124)*Y123</f>
        <v>0</v>
      </c>
      <c r="AE130" s="4">
        <f>+H120*(1-H124)*Z123</f>
        <v>0</v>
      </c>
      <c r="AF130" s="4">
        <f>+H120*(1-H124)*AA123</f>
        <v>0</v>
      </c>
      <c r="AG130" s="4">
        <f t="shared" si="60"/>
        <v>0</v>
      </c>
      <c r="AH130" s="252">
        <f t="shared" si="62"/>
        <v>0</v>
      </c>
    </row>
    <row r="131" spans="1:34">
      <c r="A131" s="6">
        <f t="shared" si="63"/>
        <v>2028</v>
      </c>
      <c r="B131" s="4">
        <f t="shared" si="61"/>
        <v>0</v>
      </c>
      <c r="I131" s="4">
        <f>I120*I124+I120*(1-I124)*C123</f>
        <v>0</v>
      </c>
      <c r="J131" s="4">
        <f>+I120*(1-I124)*D123</f>
        <v>0</v>
      </c>
      <c r="K131" s="4">
        <f>+I120*(1-I124)*E123</f>
        <v>0</v>
      </c>
      <c r="L131" s="4">
        <f>+I120*(1-I124)*F123</f>
        <v>0</v>
      </c>
      <c r="M131" s="4">
        <f>+I120*(1-I124)*G123</f>
        <v>0</v>
      </c>
      <c r="N131" s="4">
        <f>+I120*(1-I124)*H123</f>
        <v>0</v>
      </c>
      <c r="O131" s="4">
        <f>+I120*(1-I124)*I123</f>
        <v>0</v>
      </c>
      <c r="P131" s="4">
        <f>+I120*(1-I124)*J123</f>
        <v>0</v>
      </c>
      <c r="Q131" s="4">
        <f>+I120*(1-I124)*K123</f>
        <v>0</v>
      </c>
      <c r="R131" s="4">
        <f>+I120*(1-I124)*L123</f>
        <v>0</v>
      </c>
      <c r="S131" s="4">
        <f>+I120*(1-I124)*M123</f>
        <v>0</v>
      </c>
      <c r="T131" s="4">
        <f>+I120*(1-I124)*N123</f>
        <v>0</v>
      </c>
      <c r="U131" s="4">
        <f>+I120*(1-I124)*O123</f>
        <v>0</v>
      </c>
      <c r="V131" s="4">
        <f>+I120*(1-I124)*P123</f>
        <v>0</v>
      </c>
      <c r="W131" s="4">
        <f>+I120*(1-I124)*Q123</f>
        <v>0</v>
      </c>
      <c r="X131" s="4">
        <f>+I120*(1-I124)*R123</f>
        <v>0</v>
      </c>
      <c r="Y131" s="4">
        <f>+I120*(1-I124)*S123</f>
        <v>0</v>
      </c>
      <c r="Z131" s="4">
        <f>+I120*(1-I124)*T123</f>
        <v>0</v>
      </c>
      <c r="AA131" s="4">
        <f>+I120*(1-I124)*U123</f>
        <v>0</v>
      </c>
      <c r="AB131" s="4">
        <f>+I120*(1-I124)*V123</f>
        <v>0</v>
      </c>
      <c r="AC131" s="4">
        <f>+I120*(1-I124)*W123</f>
        <v>0</v>
      </c>
      <c r="AD131" s="4">
        <f>+I120*(1-I124)*X123</f>
        <v>0</v>
      </c>
      <c r="AE131" s="4">
        <f>+I120*(1-I124)*Y123</f>
        <v>0</v>
      </c>
      <c r="AF131" s="4">
        <f>+I120*(1-I124)*Z123</f>
        <v>0</v>
      </c>
      <c r="AG131" s="4">
        <f t="shared" si="60"/>
        <v>0</v>
      </c>
      <c r="AH131" s="252">
        <f t="shared" si="62"/>
        <v>0</v>
      </c>
    </row>
    <row r="132" spans="1:34">
      <c r="A132" s="6">
        <f t="shared" si="63"/>
        <v>2029</v>
      </c>
      <c r="B132" s="4">
        <f t="shared" si="61"/>
        <v>0</v>
      </c>
      <c r="J132" s="4">
        <f>J120*J124+J120*(1-J124)*C123</f>
        <v>0</v>
      </c>
      <c r="K132" s="4">
        <f>K120*K124+J120*(1-K124)*D123</f>
        <v>0</v>
      </c>
      <c r="L132" s="4">
        <f>L120*L124+J120*(1-L124)*E123</f>
        <v>0</v>
      </c>
      <c r="M132" s="4">
        <f>M120*M124+J120*(1-M124)*F123</f>
        <v>0</v>
      </c>
      <c r="N132" s="4">
        <f>N120*N124+J120*(1-N124)*G123</f>
        <v>0</v>
      </c>
      <c r="O132" s="4">
        <f>O120*O124+J120*(1-O124)*H123</f>
        <v>0</v>
      </c>
      <c r="P132" s="4">
        <f>P120*P124+J120*(1-P124)*I123</f>
        <v>0</v>
      </c>
      <c r="Q132" s="4">
        <f>Q120*Q124+J120*(1-Q124)*J123</f>
        <v>0</v>
      </c>
      <c r="R132" s="4">
        <f>R120*R124+J120*(1-R124)*K123</f>
        <v>0</v>
      </c>
      <c r="S132" s="4">
        <f>S120*S124+J120*(1-S124)*L123</f>
        <v>0</v>
      </c>
      <c r="T132" s="4">
        <f>T120*T124+J120*(1-T124)*M123</f>
        <v>0</v>
      </c>
      <c r="U132" s="4">
        <f>U120*U124+J120*(1-U124)*N123</f>
        <v>0</v>
      </c>
      <c r="V132" s="4">
        <f>V120*V124+J120*(1-V124)*O123</f>
        <v>0</v>
      </c>
      <c r="W132" s="4">
        <f>W120*W124+J120*(1-W124)*P123</f>
        <v>0</v>
      </c>
      <c r="X132" s="4">
        <f>X120*X124+J120*(1-X124)*Q123</f>
        <v>0</v>
      </c>
      <c r="Y132" s="4">
        <f>Y120*Y124+J120*(1-Y124)*R123</f>
        <v>0</v>
      </c>
      <c r="Z132" s="4">
        <f>Z120*Z124+J120*(1-Z124)*S123</f>
        <v>0</v>
      </c>
      <c r="AA132" s="4">
        <f>AA120*AA124+J120*(1-AA124)*T123</f>
        <v>0</v>
      </c>
      <c r="AB132" s="4">
        <f>AB120*AB124+J120*(1-AB124)*U123</f>
        <v>0</v>
      </c>
      <c r="AC132" s="4">
        <f>AC120*AC124+J120*(1-AC124)*V123</f>
        <v>0</v>
      </c>
      <c r="AD132" s="4">
        <f>AD120*AD124+J120*(1-AD124)*W123</f>
        <v>0</v>
      </c>
      <c r="AE132" s="4">
        <f>AE120*AE124+J120*(1-AE124)*X123</f>
        <v>0</v>
      </c>
      <c r="AF132" s="4">
        <f>AF120*AF124+J120*(1-AF124)*Y123</f>
        <v>0</v>
      </c>
      <c r="AG132" s="4">
        <f t="shared" si="60"/>
        <v>0</v>
      </c>
      <c r="AH132" s="252">
        <f t="shared" si="62"/>
        <v>0</v>
      </c>
    </row>
    <row r="133" spans="1:34">
      <c r="A133" s="6">
        <f t="shared" si="63"/>
        <v>2030</v>
      </c>
      <c r="B133" s="4">
        <f t="shared" si="61"/>
        <v>0</v>
      </c>
      <c r="K133" s="4">
        <f>K120*K124+K120*(1-K124)*C123</f>
        <v>0</v>
      </c>
      <c r="L133" s="4">
        <f>+K120*(1-K124)*D123</f>
        <v>0</v>
      </c>
      <c r="M133" s="4">
        <f>+K120*(1-K124)*E123</f>
        <v>0</v>
      </c>
      <c r="N133" s="4">
        <f>+K120*(1-K124)*F123</f>
        <v>0</v>
      </c>
      <c r="O133" s="4">
        <f>+K120*(1-K124)*G123</f>
        <v>0</v>
      </c>
      <c r="P133" s="4">
        <f>+K120*(1-K124)*H123</f>
        <v>0</v>
      </c>
      <c r="Q133" s="4">
        <f>+K120*(1-K124)*I123</f>
        <v>0</v>
      </c>
      <c r="R133" s="4">
        <f>+K120*(1-K124)*J123</f>
        <v>0</v>
      </c>
      <c r="S133" s="4">
        <f>+K120*(1-K124)*K123</f>
        <v>0</v>
      </c>
      <c r="T133" s="4">
        <f>+K120*(1-K124)*L123</f>
        <v>0</v>
      </c>
      <c r="U133" s="4">
        <f>+K120*(1-K124)*M123</f>
        <v>0</v>
      </c>
      <c r="V133" s="4">
        <f>+K120*(1-K124)*N123</f>
        <v>0</v>
      </c>
      <c r="W133" s="4">
        <f>+K120*(1-K124)*O123</f>
        <v>0</v>
      </c>
      <c r="X133" s="4">
        <f>+K120*(1-K124)*P123</f>
        <v>0</v>
      </c>
      <c r="Y133" s="4">
        <f>+K120*(1-K124)*Q123</f>
        <v>0</v>
      </c>
      <c r="Z133" s="4">
        <f>+K120*(1-K124)*R123</f>
        <v>0</v>
      </c>
      <c r="AA133" s="4">
        <f>+K120*(1-K124)*S123</f>
        <v>0</v>
      </c>
      <c r="AB133" s="4">
        <f>+K120*(1-K124)*T123</f>
        <v>0</v>
      </c>
      <c r="AC133" s="4">
        <f>+K120*(1-K124)*U123</f>
        <v>0</v>
      </c>
      <c r="AD133" s="4">
        <f>+K120*(1-K124)*V123</f>
        <v>0</v>
      </c>
      <c r="AE133" s="4">
        <f>+K120*(1-K124)*W123</f>
        <v>0</v>
      </c>
      <c r="AF133" s="4">
        <f>+K120*(1-K124)*X123</f>
        <v>0</v>
      </c>
      <c r="AG133" s="4">
        <f t="shared" si="60"/>
        <v>0</v>
      </c>
      <c r="AH133" s="252">
        <f t="shared" si="62"/>
        <v>0</v>
      </c>
    </row>
    <row r="134" spans="1:34">
      <c r="A134" s="6">
        <f t="shared" si="63"/>
        <v>2031</v>
      </c>
      <c r="B134" s="4">
        <f t="shared" si="61"/>
        <v>0</v>
      </c>
      <c r="L134" s="4">
        <f>L120*L124+L120*(1-L124)*C123</f>
        <v>0</v>
      </c>
      <c r="M134" s="4">
        <f>+L120*(1-L124)*D123</f>
        <v>0</v>
      </c>
      <c r="N134" s="4">
        <f>+L120*(1-L124)*E123</f>
        <v>0</v>
      </c>
      <c r="O134" s="4">
        <f>+L120*(1-L124)*F123</f>
        <v>0</v>
      </c>
      <c r="P134" s="4">
        <f>+L120*(1-L124)*G123</f>
        <v>0</v>
      </c>
      <c r="Q134" s="4">
        <f>+L120*(1-L124)*H123</f>
        <v>0</v>
      </c>
      <c r="R134" s="4">
        <f>+L120*(1-L124)*I123</f>
        <v>0</v>
      </c>
      <c r="S134" s="4">
        <f>+L120*(1-L124)*J123</f>
        <v>0</v>
      </c>
      <c r="T134" s="4">
        <f>+L120*(1-L124)*K123</f>
        <v>0</v>
      </c>
      <c r="U134" s="4">
        <f>+L120*(1-L124)*L123</f>
        <v>0</v>
      </c>
      <c r="V134" s="4">
        <f>+L120*(1-L124)*M123</f>
        <v>0</v>
      </c>
      <c r="W134" s="4">
        <f>+L120*(1-L124)*N123</f>
        <v>0</v>
      </c>
      <c r="X134" s="4">
        <f>+L120*(1-L124)*O123</f>
        <v>0</v>
      </c>
      <c r="Y134" s="4">
        <f>+L120*(1-L124)*P123</f>
        <v>0</v>
      </c>
      <c r="Z134" s="4">
        <f>+L120*(1-L124)*Q123</f>
        <v>0</v>
      </c>
      <c r="AA134" s="4">
        <f>+L120*(1-L124)*R123</f>
        <v>0</v>
      </c>
      <c r="AB134" s="4">
        <f>+L120*(1-L124)*S123</f>
        <v>0</v>
      </c>
      <c r="AC134" s="4">
        <f>+L120*(1-L124)*T123</f>
        <v>0</v>
      </c>
      <c r="AD134" s="4">
        <f>+L120*(1-L124)*U123</f>
        <v>0</v>
      </c>
      <c r="AE134" s="4">
        <f>+L120*(1-L124)*V123</f>
        <v>0</v>
      </c>
      <c r="AF134" s="4">
        <f>+L120*(1-L124)*W123</f>
        <v>0</v>
      </c>
      <c r="AG134" s="4">
        <f t="shared" si="60"/>
        <v>0</v>
      </c>
      <c r="AH134" s="252">
        <f t="shared" si="62"/>
        <v>0</v>
      </c>
    </row>
    <row r="135" spans="1:34">
      <c r="A135" s="6">
        <f t="shared" si="63"/>
        <v>2032</v>
      </c>
      <c r="B135" s="4">
        <f t="shared" si="61"/>
        <v>0</v>
      </c>
      <c r="M135" s="4">
        <f>M120*M124+M120*(1-M124)*C123</f>
        <v>0</v>
      </c>
      <c r="N135" s="4">
        <f>+M120*(1-M124)*D123</f>
        <v>0</v>
      </c>
      <c r="O135" s="4">
        <f>+M120*(1-M124)*E123</f>
        <v>0</v>
      </c>
      <c r="P135" s="4">
        <f>+M120*(1-M124)*F123</f>
        <v>0</v>
      </c>
      <c r="Q135" s="4">
        <f>+M120*(1-M124)*G123</f>
        <v>0</v>
      </c>
      <c r="R135" s="4">
        <f>+M120*(1-M124)*H123</f>
        <v>0</v>
      </c>
      <c r="S135" s="4">
        <f>+M120*(1-M124)*I123</f>
        <v>0</v>
      </c>
      <c r="T135" s="4">
        <f>+M120*(1-M124)*J123</f>
        <v>0</v>
      </c>
      <c r="U135" s="4">
        <f>+M120*(1-M124)*K123</f>
        <v>0</v>
      </c>
      <c r="V135" s="4">
        <f>+M120*(1-M124)*L123</f>
        <v>0</v>
      </c>
      <c r="W135" s="4">
        <f>+M120*(1-M124)*M123</f>
        <v>0</v>
      </c>
      <c r="X135" s="4">
        <f>+M120*(1-M124)*N123</f>
        <v>0</v>
      </c>
      <c r="Y135" s="4">
        <f>+M120*(1-M124)*O123</f>
        <v>0</v>
      </c>
      <c r="Z135" s="4">
        <f>+M120*(1-M124)*P123</f>
        <v>0</v>
      </c>
      <c r="AA135" s="4">
        <f>+M120*(1-M124)*Q123</f>
        <v>0</v>
      </c>
      <c r="AB135" s="4">
        <f>+M120*(1-M124)*R123</f>
        <v>0</v>
      </c>
      <c r="AC135" s="4">
        <f>+M120*(1-M124)*S123</f>
        <v>0</v>
      </c>
      <c r="AD135" s="4">
        <f>+M120*(1-M124)*T123</f>
        <v>0</v>
      </c>
      <c r="AE135" s="4">
        <f>+M120*(1-M124)*U123</f>
        <v>0</v>
      </c>
      <c r="AF135" s="4">
        <f>+M120*(1-M124)*V123</f>
        <v>0</v>
      </c>
      <c r="AG135" s="4">
        <f t="shared" si="60"/>
        <v>0</v>
      </c>
      <c r="AH135" s="252">
        <f t="shared" si="62"/>
        <v>0</v>
      </c>
    </row>
    <row r="136" spans="1:34">
      <c r="A136" s="6">
        <f t="shared" si="63"/>
        <v>2033</v>
      </c>
      <c r="B136" s="4">
        <f t="shared" si="61"/>
        <v>0</v>
      </c>
      <c r="N136" s="4">
        <f>N120*N124+N120*(1-N124)*C123</f>
        <v>0</v>
      </c>
      <c r="O136" s="4">
        <f>+N120*(1-N124)*D123</f>
        <v>0</v>
      </c>
      <c r="P136" s="4">
        <f>+N120*(1-N124)*E123</f>
        <v>0</v>
      </c>
      <c r="Q136" s="4">
        <f>+N120*(1-N124)*F123</f>
        <v>0</v>
      </c>
      <c r="R136" s="4">
        <f>+N120*(1-N124)*G123</f>
        <v>0</v>
      </c>
      <c r="S136" s="4">
        <f>+N120*(1-N124)*H123</f>
        <v>0</v>
      </c>
      <c r="T136" s="4">
        <f>+N120*(1-N124)*I123</f>
        <v>0</v>
      </c>
      <c r="U136" s="4">
        <f>+N120*(1-N124)*J123</f>
        <v>0</v>
      </c>
      <c r="V136" s="4">
        <f>+N120*(1-N124)*K123</f>
        <v>0</v>
      </c>
      <c r="W136" s="4">
        <f>+N120*(1-N124)*L123</f>
        <v>0</v>
      </c>
      <c r="X136" s="4">
        <f>+N120*(1-N124)*M123</f>
        <v>0</v>
      </c>
      <c r="Y136" s="4">
        <f>+N120*(1-N124)*N123</f>
        <v>0</v>
      </c>
      <c r="Z136" s="4">
        <f>+N120*(1-N124)*O123</f>
        <v>0</v>
      </c>
      <c r="AA136" s="4">
        <f>+N120*(1-N124)*P123</f>
        <v>0</v>
      </c>
      <c r="AB136" s="4">
        <f>+N120*(1-N124)*Q123</f>
        <v>0</v>
      </c>
      <c r="AC136" s="4">
        <f>+N120*(1-N124)*R123</f>
        <v>0</v>
      </c>
      <c r="AD136" s="4">
        <f>+N120*(1-N124)*S123</f>
        <v>0</v>
      </c>
      <c r="AE136" s="4">
        <f>+N120*(1-N124)*T123</f>
        <v>0</v>
      </c>
      <c r="AF136" s="4">
        <f>+N120*(1-N124)*U123</f>
        <v>0</v>
      </c>
      <c r="AG136" s="4">
        <f t="shared" si="60"/>
        <v>0</v>
      </c>
      <c r="AH136" s="252">
        <f t="shared" si="62"/>
        <v>0</v>
      </c>
    </row>
    <row r="137" spans="1:34">
      <c r="A137" s="6">
        <f t="shared" si="63"/>
        <v>2034</v>
      </c>
      <c r="B137" s="4">
        <f t="shared" si="61"/>
        <v>0</v>
      </c>
      <c r="O137" s="4">
        <f>O120*O124+O120*(1-O124)*C123</f>
        <v>0</v>
      </c>
      <c r="P137" s="4">
        <f>+O120*(1-O124)*D123</f>
        <v>0</v>
      </c>
      <c r="Q137" s="4">
        <f>+O120*(1-O124)*E123</f>
        <v>0</v>
      </c>
      <c r="R137" s="4">
        <f>+O120*(1-O124)*F123</f>
        <v>0</v>
      </c>
      <c r="S137" s="4">
        <f>+O120*(1-O124)*G123</f>
        <v>0</v>
      </c>
      <c r="T137" s="4">
        <f>+O120*(1-O124)*H123</f>
        <v>0</v>
      </c>
      <c r="U137" s="4">
        <f>+O120*(1-O124)*I123</f>
        <v>0</v>
      </c>
      <c r="V137" s="4">
        <f>+O120*(1-O124)*J123</f>
        <v>0</v>
      </c>
      <c r="W137" s="4">
        <f>+O120*(1-O124)*K123</f>
        <v>0</v>
      </c>
      <c r="X137" s="4">
        <f>+O120*(1-O124)*L123</f>
        <v>0</v>
      </c>
      <c r="Y137" s="4">
        <f>+O120*(1-O124)*M123</f>
        <v>0</v>
      </c>
      <c r="Z137" s="4">
        <f>+O120*(1-O124)*N123</f>
        <v>0</v>
      </c>
      <c r="AA137" s="4">
        <f>+O120*(1-O124)*O123</f>
        <v>0</v>
      </c>
      <c r="AB137" s="4">
        <f>+O120*(1-O124)*P123</f>
        <v>0</v>
      </c>
      <c r="AC137" s="4">
        <f>+O120*(1-O124)*Q123</f>
        <v>0</v>
      </c>
      <c r="AD137" s="4">
        <f>+O120*(1-O124)*R123</f>
        <v>0</v>
      </c>
      <c r="AE137" s="4">
        <f>+O120*(1-O124)*S123</f>
        <v>0</v>
      </c>
      <c r="AF137" s="4">
        <f>+O120*(1-O124)*T123</f>
        <v>0</v>
      </c>
      <c r="AG137" s="4">
        <f t="shared" si="60"/>
        <v>0</v>
      </c>
      <c r="AH137" s="252">
        <f t="shared" si="62"/>
        <v>0</v>
      </c>
    </row>
    <row r="138" spans="1:34">
      <c r="A138" s="6">
        <f t="shared" si="63"/>
        <v>2035</v>
      </c>
      <c r="B138" s="4">
        <f t="shared" si="61"/>
        <v>0</v>
      </c>
      <c r="P138" s="4">
        <f>P120*P124+P120*(1-P124)*C123</f>
        <v>0</v>
      </c>
      <c r="Q138" s="4">
        <f>+P120*(1-P124)*D123</f>
        <v>0</v>
      </c>
      <c r="R138" s="4">
        <f>+P120*(1-P124)*E123</f>
        <v>0</v>
      </c>
      <c r="S138" s="4">
        <f>+P120*(1-P124)*F123</f>
        <v>0</v>
      </c>
      <c r="T138" s="4">
        <f>+P120*(1-P124)*G123</f>
        <v>0</v>
      </c>
      <c r="U138" s="4">
        <f>+P120*(1-P124)*H123</f>
        <v>0</v>
      </c>
      <c r="V138" s="4">
        <f>+P120*(1-P124)*I123</f>
        <v>0</v>
      </c>
      <c r="W138" s="4">
        <f>+P120*(1-P124)*J123</f>
        <v>0</v>
      </c>
      <c r="X138" s="4">
        <f>+P120*(1-P124)*K123</f>
        <v>0</v>
      </c>
      <c r="Y138" s="4">
        <f>+P120*(1-P124)*L123</f>
        <v>0</v>
      </c>
      <c r="Z138" s="4">
        <f>+P120*(1-P124)*M123</f>
        <v>0</v>
      </c>
      <c r="AA138" s="4">
        <f>+P120*(1-P124)*N123</f>
        <v>0</v>
      </c>
      <c r="AB138" s="4">
        <f>+P120*(1-P124)*O123</f>
        <v>0</v>
      </c>
      <c r="AC138" s="4">
        <f>+P120*(1-P124)*P123</f>
        <v>0</v>
      </c>
      <c r="AD138" s="4">
        <f>+P120*(1-P124)*Q123</f>
        <v>0</v>
      </c>
      <c r="AE138" s="4">
        <f>+P120*(1-P124)*R123</f>
        <v>0</v>
      </c>
      <c r="AF138" s="4">
        <f>+P120*(1-P124)*S123</f>
        <v>0</v>
      </c>
      <c r="AG138" s="4">
        <f t="shared" si="60"/>
        <v>0</v>
      </c>
      <c r="AH138" s="252">
        <f t="shared" si="62"/>
        <v>0</v>
      </c>
    </row>
    <row r="139" spans="1:34">
      <c r="A139" s="6">
        <f t="shared" si="63"/>
        <v>2036</v>
      </c>
      <c r="B139" s="4">
        <f t="shared" si="61"/>
        <v>0</v>
      </c>
      <c r="Q139" s="4">
        <f>Q120*Q124+Q120*(1-Q124)*C123</f>
        <v>0</v>
      </c>
      <c r="R139" s="4">
        <f>Q120*(1-Q124)*D123</f>
        <v>0</v>
      </c>
      <c r="S139" s="4">
        <f>Q120*(1-Q124)*E123</f>
        <v>0</v>
      </c>
      <c r="T139" s="4">
        <f>Q120*(1-Q124)*F123</f>
        <v>0</v>
      </c>
      <c r="U139" s="4">
        <f>Q120*(1-Q124)*G123</f>
        <v>0</v>
      </c>
      <c r="V139" s="4">
        <f>Q120*(1-Q124)*H123</f>
        <v>0</v>
      </c>
      <c r="W139" s="4">
        <f>Q120*(1-Q124)*I123</f>
        <v>0</v>
      </c>
      <c r="X139" s="4">
        <f>Q120*(1-Q124)*J123</f>
        <v>0</v>
      </c>
      <c r="Y139" s="4">
        <f>Q120*(1-Q124)*K123</f>
        <v>0</v>
      </c>
      <c r="Z139" s="4">
        <f>Q120*(1-Q124)*L123</f>
        <v>0</v>
      </c>
      <c r="AA139" s="4">
        <f>Q120*(1-Q124)*M123</f>
        <v>0</v>
      </c>
      <c r="AB139" s="4">
        <f>Q120*(1-Q124)*N123</f>
        <v>0</v>
      </c>
      <c r="AC139" s="4">
        <f>Q120*(1-Q124)*O123</f>
        <v>0</v>
      </c>
      <c r="AD139" s="4">
        <f>Q120*(1-Q124)*P123</f>
        <v>0</v>
      </c>
      <c r="AE139" s="4">
        <f>Q120*(1-Q124)*Q123</f>
        <v>0</v>
      </c>
      <c r="AF139" s="4">
        <f>Q120*(1-Q124)*R123</f>
        <v>0</v>
      </c>
      <c r="AG139" s="4">
        <f t="shared" si="60"/>
        <v>0</v>
      </c>
      <c r="AH139" s="252">
        <f t="shared" si="62"/>
        <v>0</v>
      </c>
    </row>
    <row r="140" spans="1:34">
      <c r="A140" s="6">
        <f t="shared" si="63"/>
        <v>2037</v>
      </c>
      <c r="B140" s="4">
        <f t="shared" si="61"/>
        <v>0</v>
      </c>
      <c r="R140" s="4">
        <f>R120*R124+R120*(1-R124)*C123</f>
        <v>0</v>
      </c>
      <c r="S140" s="4">
        <f>R120*(1-R124)*D123</f>
        <v>0</v>
      </c>
      <c r="T140" s="4">
        <f>R120*(1-R124)*E123</f>
        <v>0</v>
      </c>
      <c r="U140" s="4">
        <f>R120*(1-R124)*F123</f>
        <v>0</v>
      </c>
      <c r="V140" s="4">
        <f>R120*(1-R124)*G123</f>
        <v>0</v>
      </c>
      <c r="W140" s="4">
        <f>R120*(1-R124)*H123</f>
        <v>0</v>
      </c>
      <c r="X140" s="4">
        <f>R120*(1-R124)*I123</f>
        <v>0</v>
      </c>
      <c r="Y140" s="4">
        <f>R120*(1-R124)*J123</f>
        <v>0</v>
      </c>
      <c r="Z140" s="4">
        <f>R120*(1-R124)*K123</f>
        <v>0</v>
      </c>
      <c r="AA140" s="4">
        <f>R120*(1-R124)*L123</f>
        <v>0</v>
      </c>
      <c r="AB140" s="4">
        <f>R120*(1-R124)*M123</f>
        <v>0</v>
      </c>
      <c r="AC140" s="4">
        <f>R120*(1-R124)*N123</f>
        <v>0</v>
      </c>
      <c r="AD140" s="4">
        <f>R120*(1-R124)*O123</f>
        <v>0</v>
      </c>
      <c r="AE140" s="4">
        <f>R120*(1-R124)*P123</f>
        <v>0</v>
      </c>
      <c r="AF140" s="4">
        <f>R120*(1-R124)*Q123</f>
        <v>0</v>
      </c>
      <c r="AG140" s="4">
        <f t="shared" si="60"/>
        <v>0</v>
      </c>
      <c r="AH140" s="252">
        <f t="shared" si="62"/>
        <v>0</v>
      </c>
    </row>
    <row r="141" spans="1:34">
      <c r="A141" s="6">
        <f t="shared" si="63"/>
        <v>2038</v>
      </c>
      <c r="B141" s="4">
        <f t="shared" si="61"/>
        <v>0</v>
      </c>
      <c r="S141" s="4">
        <f>S120*S124+S120*(1-S124)*C123</f>
        <v>0</v>
      </c>
      <c r="T141" s="4">
        <f>+S120*(1-S124)*D123</f>
        <v>0</v>
      </c>
      <c r="U141" s="4">
        <f>+S120*(1-S124)*E123</f>
        <v>0</v>
      </c>
      <c r="V141" s="4">
        <f>+S120*(1-S124)*F123</f>
        <v>0</v>
      </c>
      <c r="W141" s="4">
        <f>+S120*(1-S124)*G123</f>
        <v>0</v>
      </c>
      <c r="X141" s="4">
        <f>+S120*(1-S124)*H123</f>
        <v>0</v>
      </c>
      <c r="Y141" s="4">
        <f>+S120*(1-S124)*I123</f>
        <v>0</v>
      </c>
      <c r="Z141" s="4">
        <f>+S120*(1-S124)*J123</f>
        <v>0</v>
      </c>
      <c r="AA141" s="4">
        <f>+S120*(1-S124)*K123</f>
        <v>0</v>
      </c>
      <c r="AB141" s="4">
        <f>+S120*(1-S124)*L123</f>
        <v>0</v>
      </c>
      <c r="AC141" s="4">
        <f>+S120*(1-S124)*M123</f>
        <v>0</v>
      </c>
      <c r="AD141" s="4">
        <f>+S120*(1-S124)*N123</f>
        <v>0</v>
      </c>
      <c r="AE141" s="4">
        <f>+S120*(1-S124)*O123</f>
        <v>0</v>
      </c>
      <c r="AF141" s="4">
        <f>+S120*(1-S124)*P123</f>
        <v>0</v>
      </c>
      <c r="AG141" s="4">
        <f t="shared" si="60"/>
        <v>0</v>
      </c>
      <c r="AH141" s="252">
        <f t="shared" si="62"/>
        <v>0</v>
      </c>
    </row>
    <row r="142" spans="1:34">
      <c r="A142" s="6">
        <f t="shared" si="63"/>
        <v>2039</v>
      </c>
      <c r="B142" s="4">
        <f t="shared" si="61"/>
        <v>0</v>
      </c>
      <c r="T142" s="4">
        <f>T120*T124+T120*(1-T124)*C123</f>
        <v>0</v>
      </c>
      <c r="U142" s="4">
        <f>+T120*(1-T124)*D123</f>
        <v>0</v>
      </c>
      <c r="V142" s="4">
        <f>+T120*(1-T124)*E123</f>
        <v>0</v>
      </c>
      <c r="W142" s="4">
        <f>+T120*(1-T124)*F123</f>
        <v>0</v>
      </c>
      <c r="X142" s="4">
        <f>+T120*(1-T124)*G123</f>
        <v>0</v>
      </c>
      <c r="Y142" s="4">
        <f>+T120*(1-T124)*H123</f>
        <v>0</v>
      </c>
      <c r="Z142" s="4">
        <f>+T120*(1-T124)*I123</f>
        <v>0</v>
      </c>
      <c r="AA142" s="4">
        <f>+T120*(1-T124)*J123</f>
        <v>0</v>
      </c>
      <c r="AB142" s="4">
        <f>+T120*(1-T124)*K123</f>
        <v>0</v>
      </c>
      <c r="AC142" s="4">
        <f>+T120*(1-T124)*L123</f>
        <v>0</v>
      </c>
      <c r="AD142" s="4">
        <f>+T120*(1-T124)*M123</f>
        <v>0</v>
      </c>
      <c r="AE142" s="4">
        <f>+T120*(1-T124)*N123</f>
        <v>0</v>
      </c>
      <c r="AF142" s="4">
        <f>+T120*(1-T124)*O123</f>
        <v>0</v>
      </c>
      <c r="AG142" s="4">
        <f t="shared" si="60"/>
        <v>0</v>
      </c>
      <c r="AH142" s="252">
        <f t="shared" si="62"/>
        <v>0</v>
      </c>
    </row>
    <row r="143" spans="1:34">
      <c r="A143" s="6">
        <f t="shared" si="63"/>
        <v>2040</v>
      </c>
      <c r="B143" s="4">
        <f t="shared" si="61"/>
        <v>0</v>
      </c>
      <c r="U143" s="4">
        <f>U120*U124+U120*(1-U124)*C123</f>
        <v>0</v>
      </c>
      <c r="V143" s="4">
        <f>+U120*(1-U124)*D123</f>
        <v>0</v>
      </c>
      <c r="W143" s="4">
        <f>+U120*(1-U124)*E123</f>
        <v>0</v>
      </c>
      <c r="X143" s="4">
        <f>+U120*(1-U124)*F123</f>
        <v>0</v>
      </c>
      <c r="Y143" s="4">
        <f>+U120*(1-U124)*G123</f>
        <v>0</v>
      </c>
      <c r="Z143" s="4">
        <f>+U120*(1-U124)*H123</f>
        <v>0</v>
      </c>
      <c r="AA143" s="4">
        <f>+U120*(1-U124)*I123</f>
        <v>0</v>
      </c>
      <c r="AB143" s="4">
        <f>+U120*(1-U124)*J123</f>
        <v>0</v>
      </c>
      <c r="AC143" s="4">
        <f>+U120*(1-U124)*K123</f>
        <v>0</v>
      </c>
      <c r="AD143" s="4">
        <f>+U120*(1-U124)*L123</f>
        <v>0</v>
      </c>
      <c r="AE143" s="4">
        <f>+U120*(1-U124)*M123</f>
        <v>0</v>
      </c>
      <c r="AF143" s="4">
        <f>+U120*(1-U124)*N123</f>
        <v>0</v>
      </c>
      <c r="AG143" s="4">
        <f t="shared" si="60"/>
        <v>0</v>
      </c>
      <c r="AH143" s="252">
        <f t="shared" si="62"/>
        <v>0</v>
      </c>
    </row>
    <row r="144" spans="1:34">
      <c r="A144" s="6">
        <f t="shared" si="63"/>
        <v>2041</v>
      </c>
      <c r="B144" s="4">
        <f t="shared" si="61"/>
        <v>0</v>
      </c>
      <c r="V144" s="4">
        <f>V120*V124+V120*(1-V124)*C123</f>
        <v>0</v>
      </c>
      <c r="W144" s="4">
        <f>+V120*(1-V124)*D123</f>
        <v>0</v>
      </c>
      <c r="X144" s="4">
        <f>+V120*(1-V124)*E123</f>
        <v>0</v>
      </c>
      <c r="Y144" s="4">
        <f>+V120*(1-V124)*F123</f>
        <v>0</v>
      </c>
      <c r="Z144" s="4">
        <f>+V120*(1-V124)*G123</f>
        <v>0</v>
      </c>
      <c r="AA144" s="4">
        <f>+V120*(1-V124)*H123</f>
        <v>0</v>
      </c>
      <c r="AB144" s="4">
        <f>+V120*(1-V124)*I123</f>
        <v>0</v>
      </c>
      <c r="AC144" s="4">
        <f>+V120*(1-V124)*J123</f>
        <v>0</v>
      </c>
      <c r="AD144" s="4">
        <f>+V120*(1-V124)*K123</f>
        <v>0</v>
      </c>
      <c r="AE144" s="4">
        <f>+V120*(1-V124)*L123</f>
        <v>0</v>
      </c>
      <c r="AF144" s="4">
        <f>+V120*(1-V124)*M123</f>
        <v>0</v>
      </c>
      <c r="AG144" s="4">
        <f t="shared" si="60"/>
        <v>0</v>
      </c>
      <c r="AH144" s="252">
        <f t="shared" si="62"/>
        <v>0</v>
      </c>
    </row>
    <row r="145" spans="1:34">
      <c r="A145" s="6">
        <f t="shared" si="63"/>
        <v>2042</v>
      </c>
      <c r="B145" s="4">
        <f t="shared" si="61"/>
        <v>0</v>
      </c>
      <c r="W145" s="4">
        <f>W120*W124+W120*(1-W124)*C123</f>
        <v>0</v>
      </c>
      <c r="X145" s="4">
        <f>+W120*(1-W124)*D123</f>
        <v>0</v>
      </c>
      <c r="Y145" s="4">
        <f>+W120*(1-W124)*E123</f>
        <v>0</v>
      </c>
      <c r="Z145" s="4">
        <f>+W120*(1-W124)*F123</f>
        <v>0</v>
      </c>
      <c r="AA145" s="4">
        <f>+W120*(1-W124)*G123</f>
        <v>0</v>
      </c>
      <c r="AB145" s="4">
        <f>+W120*(1-W124)*H123</f>
        <v>0</v>
      </c>
      <c r="AC145" s="4">
        <f>+W120*(1-W124)*I123</f>
        <v>0</v>
      </c>
      <c r="AD145" s="4">
        <f>+W120*(1-W124)*J123</f>
        <v>0</v>
      </c>
      <c r="AE145" s="4">
        <f>+W120*(1-W124)*K123</f>
        <v>0</v>
      </c>
      <c r="AF145" s="4">
        <f>+W120*(1-W124)*L123</f>
        <v>0</v>
      </c>
      <c r="AG145" s="4">
        <f t="shared" si="60"/>
        <v>0</v>
      </c>
      <c r="AH145" s="252">
        <f t="shared" si="62"/>
        <v>0</v>
      </c>
    </row>
    <row r="146" spans="1:34">
      <c r="A146" s="6">
        <f t="shared" si="63"/>
        <v>2043</v>
      </c>
      <c r="B146" s="4">
        <f t="shared" si="61"/>
        <v>0</v>
      </c>
      <c r="X146" s="4">
        <f>X120*X124+X120*(1-X124)*C123</f>
        <v>0</v>
      </c>
      <c r="Y146" s="4">
        <f>+X120*(1-X124)*D123</f>
        <v>0</v>
      </c>
      <c r="Z146" s="4">
        <f>+X120*(1-X124)*E123</f>
        <v>0</v>
      </c>
      <c r="AA146" s="4">
        <f>+X120*(1-X124)*F123</f>
        <v>0</v>
      </c>
      <c r="AB146" s="4">
        <f>+X120*(1-X124)*G123</f>
        <v>0</v>
      </c>
      <c r="AC146" s="4">
        <f>+X120*(1-X124)*H123</f>
        <v>0</v>
      </c>
      <c r="AD146" s="4">
        <f>+X120*(1-X124)*I123</f>
        <v>0</v>
      </c>
      <c r="AE146" s="4">
        <f>+X120*(1-X124)*J123</f>
        <v>0</v>
      </c>
      <c r="AF146" s="4">
        <f>+X120*(1-X124)*K123</f>
        <v>0</v>
      </c>
      <c r="AG146" s="4">
        <f t="shared" si="60"/>
        <v>0</v>
      </c>
      <c r="AH146" s="252">
        <f t="shared" si="62"/>
        <v>0</v>
      </c>
    </row>
    <row r="147" spans="1:34">
      <c r="A147" s="6">
        <f t="shared" si="63"/>
        <v>2044</v>
      </c>
      <c r="B147" s="4">
        <f t="shared" si="61"/>
        <v>0</v>
      </c>
      <c r="Y147" s="4">
        <f>Y120*Y124+Y120*(1-Y124)*C123</f>
        <v>0</v>
      </c>
      <c r="Z147" s="4">
        <f>+Y120*(1-Y124)*D123</f>
        <v>0</v>
      </c>
      <c r="AA147" s="4">
        <f>+Y120*(1-Y124)*E123</f>
        <v>0</v>
      </c>
      <c r="AB147" s="4">
        <f>+Y120*(1-Y124)*F123</f>
        <v>0</v>
      </c>
      <c r="AC147" s="4">
        <f>+Y120*(1-Y124)*G123</f>
        <v>0</v>
      </c>
      <c r="AD147" s="4">
        <f>+Y120*(1-Y124)*H123</f>
        <v>0</v>
      </c>
      <c r="AE147" s="4">
        <f>+Y120*(1-Y124)*I123</f>
        <v>0</v>
      </c>
      <c r="AF147" s="4">
        <f>+Y120*(1-Y124)*J123</f>
        <v>0</v>
      </c>
      <c r="AG147" s="4">
        <f t="shared" si="60"/>
        <v>0</v>
      </c>
      <c r="AH147" s="252">
        <f t="shared" si="62"/>
        <v>0</v>
      </c>
    </row>
    <row r="148" spans="1:34">
      <c r="A148" s="6">
        <f t="shared" si="63"/>
        <v>2045</v>
      </c>
      <c r="B148" s="4">
        <f t="shared" si="61"/>
        <v>0</v>
      </c>
      <c r="Z148" s="4">
        <f>Z120*Z124+Z120*(1-Z124)*C123</f>
        <v>0</v>
      </c>
      <c r="AA148" s="4">
        <f>+Z120*(1-Z124)*D123</f>
        <v>0</v>
      </c>
      <c r="AB148" s="4">
        <f>+Z120*(1-Z124)*E123</f>
        <v>0</v>
      </c>
      <c r="AC148" s="4">
        <f>+Z120*(1-Z124)*F123</f>
        <v>0</v>
      </c>
      <c r="AD148" s="4">
        <f>+Z120*(1-Z124)*G123</f>
        <v>0</v>
      </c>
      <c r="AE148" s="4">
        <f>+Z120*(1-Z124)*H123</f>
        <v>0</v>
      </c>
      <c r="AF148" s="4">
        <f>+Z120*(1-Z124)*I123</f>
        <v>0</v>
      </c>
      <c r="AG148" s="4">
        <f t="shared" si="60"/>
        <v>0</v>
      </c>
      <c r="AH148" s="252">
        <f t="shared" si="62"/>
        <v>0</v>
      </c>
    </row>
    <row r="149" spans="1:34">
      <c r="A149" s="6">
        <f t="shared" si="63"/>
        <v>2046</v>
      </c>
      <c r="B149" s="4">
        <f t="shared" si="61"/>
        <v>0</v>
      </c>
      <c r="AA149" s="4">
        <f>AA120*AA124+AA120*(1-AA124)*C123</f>
        <v>0</v>
      </c>
      <c r="AB149" s="4">
        <f>+AA120*(1-AA124)*D123</f>
        <v>0</v>
      </c>
      <c r="AC149" s="4">
        <f>+AA120*(1-AA124)*E123</f>
        <v>0</v>
      </c>
      <c r="AD149" s="4">
        <f>+AA120*(1-AA124)*F123</f>
        <v>0</v>
      </c>
      <c r="AE149" s="4">
        <f>+AA120*(1-AA124)*G123</f>
        <v>0</v>
      </c>
      <c r="AF149" s="4">
        <f>+AA120*(1-AA124)*H123</f>
        <v>0</v>
      </c>
      <c r="AG149" s="4">
        <f t="shared" si="60"/>
        <v>0</v>
      </c>
      <c r="AH149" s="252">
        <f t="shared" si="62"/>
        <v>0</v>
      </c>
    </row>
    <row r="150" spans="1:34">
      <c r="A150" s="6">
        <f t="shared" si="63"/>
        <v>2047</v>
      </c>
      <c r="B150" s="4">
        <f t="shared" si="61"/>
        <v>0</v>
      </c>
      <c r="AB150" s="4">
        <f>AB120*AB124+AB120*(1-AB124)*C123</f>
        <v>0</v>
      </c>
      <c r="AC150" s="4">
        <f>+AB120*(1-AB124)*D123</f>
        <v>0</v>
      </c>
      <c r="AD150" s="4">
        <f>+AB120*(1-AB124)*E123</f>
        <v>0</v>
      </c>
      <c r="AE150" s="4">
        <f>+AB120*(1-AB124)*F123</f>
        <v>0</v>
      </c>
      <c r="AF150" s="4">
        <f>+AB120*(1-AB124)*G123</f>
        <v>0</v>
      </c>
      <c r="AG150" s="4">
        <f t="shared" ref="AG150:AG154" si="64">SUM(C150:AF150)</f>
        <v>0</v>
      </c>
      <c r="AH150" s="252">
        <f t="shared" si="62"/>
        <v>0</v>
      </c>
    </row>
    <row r="151" spans="1:34">
      <c r="A151" s="6">
        <f t="shared" si="63"/>
        <v>2048</v>
      </c>
      <c r="B151" s="4">
        <f t="shared" si="61"/>
        <v>0</v>
      </c>
      <c r="AC151" s="4">
        <f>AC120*AC124+AC120*(1-AC124)*C123</f>
        <v>0</v>
      </c>
      <c r="AD151" s="4">
        <f>+AC120*(1-AC124)*D123</f>
        <v>0</v>
      </c>
      <c r="AE151" s="4">
        <f>+AC120*(1-AC124)*E123</f>
        <v>0</v>
      </c>
      <c r="AF151" s="4">
        <f>+AC120*(1-AC124)*F123</f>
        <v>0</v>
      </c>
      <c r="AG151" s="4">
        <f t="shared" si="64"/>
        <v>0</v>
      </c>
      <c r="AH151" s="252">
        <f t="shared" si="62"/>
        <v>0</v>
      </c>
    </row>
    <row r="152" spans="1:34">
      <c r="A152" s="6">
        <f t="shared" si="63"/>
        <v>2049</v>
      </c>
      <c r="B152" s="4">
        <f t="shared" si="61"/>
        <v>0</v>
      </c>
      <c r="AD152" s="4">
        <f>AD120*AD124+AD120*(1-AD124)*C123</f>
        <v>0</v>
      </c>
      <c r="AE152" s="4">
        <f>+AD120*(1-AD124)*D123</f>
        <v>0</v>
      </c>
      <c r="AF152" s="4">
        <f>+AD120*(1-AD124)*E123</f>
        <v>0</v>
      </c>
      <c r="AG152" s="4">
        <f t="shared" si="64"/>
        <v>0</v>
      </c>
      <c r="AH152" s="252">
        <f t="shared" si="62"/>
        <v>0</v>
      </c>
    </row>
    <row r="153" spans="1:34">
      <c r="A153" s="6">
        <f t="shared" si="63"/>
        <v>2050</v>
      </c>
      <c r="B153" s="4">
        <f t="shared" si="61"/>
        <v>0</v>
      </c>
      <c r="AE153" s="4">
        <f>AE120*AE124+AE120*(1-AE124)*C123</f>
        <v>0</v>
      </c>
      <c r="AF153" s="4">
        <f>+AE120*(1-AE124)*D123</f>
        <v>0</v>
      </c>
      <c r="AG153" s="4">
        <f t="shared" si="64"/>
        <v>0</v>
      </c>
      <c r="AH153" s="252">
        <f t="shared" si="62"/>
        <v>0</v>
      </c>
    </row>
    <row r="154" spans="1:34">
      <c r="A154" s="6">
        <f t="shared" si="63"/>
        <v>2051</v>
      </c>
      <c r="B154" s="4">
        <f t="shared" si="61"/>
        <v>0</v>
      </c>
      <c r="AF154" s="4">
        <f>AF120*AF124+AF120*(1-AF124)*C123</f>
        <v>0</v>
      </c>
      <c r="AG154" s="4">
        <f t="shared" si="64"/>
        <v>0</v>
      </c>
      <c r="AH154" s="252">
        <f t="shared" si="62"/>
        <v>0</v>
      </c>
    </row>
    <row r="155" spans="1:34">
      <c r="A155" s="6" t="str">
        <f>"Total Depreciation - "&amp;A119</f>
        <v>Total Depreciation - LEED Design Costs</v>
      </c>
      <c r="B155" s="49">
        <f>SUM(B125:B154)</f>
        <v>1550095.5124418859</v>
      </c>
      <c r="C155" s="49">
        <f>SUM(C125:C154)</f>
        <v>0</v>
      </c>
      <c r="D155" s="49">
        <f t="shared" ref="D155:AH155" si="65">SUM(D125:D154)</f>
        <v>0</v>
      </c>
      <c r="E155" s="49">
        <f t="shared" si="65"/>
        <v>0</v>
      </c>
      <c r="F155" s="49">
        <f t="shared" si="65"/>
        <v>39746.038780561175</v>
      </c>
      <c r="G155" s="49">
        <f t="shared" si="65"/>
        <v>39746.038780561175</v>
      </c>
      <c r="H155" s="49">
        <f t="shared" si="65"/>
        <v>39746.038780561175</v>
      </c>
      <c r="I155" s="49">
        <f t="shared" si="65"/>
        <v>39746.038780561175</v>
      </c>
      <c r="J155" s="49">
        <f t="shared" si="65"/>
        <v>39746.038780561175</v>
      </c>
      <c r="K155" s="49">
        <f t="shared" si="65"/>
        <v>39746.038780561175</v>
      </c>
      <c r="L155" s="49">
        <f t="shared" si="65"/>
        <v>39746.038780561175</v>
      </c>
      <c r="M155" s="49">
        <f t="shared" si="65"/>
        <v>39746.038780561175</v>
      </c>
      <c r="N155" s="49">
        <f t="shared" si="65"/>
        <v>39746.038780561175</v>
      </c>
      <c r="O155" s="49">
        <f t="shared" si="65"/>
        <v>39746.038780561175</v>
      </c>
      <c r="P155" s="49">
        <f t="shared" si="65"/>
        <v>39746.038780561175</v>
      </c>
      <c r="Q155" s="49">
        <f t="shared" si="65"/>
        <v>39746.038780561175</v>
      </c>
      <c r="R155" s="49">
        <f t="shared" si="65"/>
        <v>39746.038780561175</v>
      </c>
      <c r="S155" s="49">
        <f t="shared" si="65"/>
        <v>39746.038780561175</v>
      </c>
      <c r="T155" s="49">
        <f t="shared" si="65"/>
        <v>39746.038780561175</v>
      </c>
      <c r="U155" s="49">
        <f t="shared" si="65"/>
        <v>39746.038780561175</v>
      </c>
      <c r="V155" s="49">
        <f t="shared" si="65"/>
        <v>39746.038780561175</v>
      </c>
      <c r="W155" s="49">
        <f t="shared" si="65"/>
        <v>39746.038780561175</v>
      </c>
      <c r="X155" s="49">
        <f t="shared" si="65"/>
        <v>39746.038780561175</v>
      </c>
      <c r="Y155" s="49">
        <f t="shared" si="65"/>
        <v>39746.038780561175</v>
      </c>
      <c r="Z155" s="49">
        <f t="shared" si="65"/>
        <v>39746.038780561175</v>
      </c>
      <c r="AA155" s="49">
        <f t="shared" si="65"/>
        <v>39746.038780561175</v>
      </c>
      <c r="AB155" s="49">
        <f t="shared" si="65"/>
        <v>39746.038780561175</v>
      </c>
      <c r="AC155" s="49">
        <f t="shared" si="65"/>
        <v>39746.038780561175</v>
      </c>
      <c r="AD155" s="49">
        <f t="shared" si="65"/>
        <v>39746.038780561175</v>
      </c>
      <c r="AE155" s="49">
        <f t="shared" si="65"/>
        <v>39746.038780561175</v>
      </c>
      <c r="AF155" s="49">
        <f t="shared" si="65"/>
        <v>39746.038780561175</v>
      </c>
      <c r="AG155" s="49">
        <f t="shared" si="65"/>
        <v>1073143.0470751517</v>
      </c>
      <c r="AH155" s="49">
        <f t="shared" si="65"/>
        <v>476952.46536673419</v>
      </c>
    </row>
    <row r="157" spans="1:34">
      <c r="A157" s="302" t="str">
        <f>+Book!A149</f>
        <v>Capital Plug</v>
      </c>
    </row>
    <row r="158" spans="1:34">
      <c r="A158" s="6" t="s">
        <v>406</v>
      </c>
      <c r="C158" s="40">
        <f>IF(Capex!$F$10="y",Book!C150*(1-C$446),Book!C150)</f>
        <v>0</v>
      </c>
      <c r="D158" s="40">
        <f>IF(Capex!$F$10="y",Book!D150*(1-D$446),Book!D150)</f>
        <v>0</v>
      </c>
      <c r="E158" s="40">
        <f>IF(Capex!$F$10="y",Book!E150*(1-E$446),Book!E150)</f>
        <v>0</v>
      </c>
      <c r="F158" s="40">
        <f>IF(Capex!$F$10="y",Book!F150*(1-F$446),Book!F150)</f>
        <v>5435990.2360561565</v>
      </c>
      <c r="G158" s="40">
        <f>IF(Capex!$F$10="y",Book!G150*(1-G$446),Book!G150)</f>
        <v>0</v>
      </c>
      <c r="H158" s="40">
        <f>IF(Capex!$F$10="y",Book!H150*(1-H$446),Book!H150)</f>
        <v>0</v>
      </c>
      <c r="I158" s="40">
        <f>IF(Capex!$F$10="y",Book!I150*(1-I$446),Book!I150)</f>
        <v>0</v>
      </c>
      <c r="J158" s="40">
        <f>IF(Capex!$F$10="y",Book!J150*(1-J$446),Book!J150)</f>
        <v>0</v>
      </c>
      <c r="K158" s="40">
        <f>IF(Capex!$F$10="y",Book!K150*(1-K$446),Book!K150)</f>
        <v>0</v>
      </c>
      <c r="L158" s="40">
        <f>IF(Capex!$F$10="y",Book!L150*(1-L$446),Book!L150)</f>
        <v>0</v>
      </c>
      <c r="M158" s="40">
        <f>IF(Capex!$F$10="y",Book!M150*(1-M$446),Book!M150)</f>
        <v>0</v>
      </c>
      <c r="N158" s="40">
        <f>IF(Capex!$F$10="y",Book!N150*(1-N$446),Book!N150)</f>
        <v>0</v>
      </c>
      <c r="O158" s="40">
        <f>IF(Capex!$F$10="y",Book!O150*(1-O$446),Book!O150)</f>
        <v>0</v>
      </c>
      <c r="P158" s="40">
        <f>IF(Capex!$F$10="y",Book!P150*(1-P$446),Book!P150)</f>
        <v>0</v>
      </c>
      <c r="Q158" s="40">
        <f>IF(Capex!$F$10="y",Book!Q150*(1-Q$446),Book!Q150)</f>
        <v>0</v>
      </c>
      <c r="R158" s="40">
        <f>IF(Capex!$F$10="y",Book!R150*(1-R$446),Book!R150)</f>
        <v>0</v>
      </c>
      <c r="S158" s="40">
        <f>IF(Capex!$F$10="y",Book!S150*(1-S$446),Book!S150)</f>
        <v>0</v>
      </c>
      <c r="T158" s="40">
        <f>IF(Capex!$F$10="y",Book!T150*(1-T$446),Book!T150)</f>
        <v>0</v>
      </c>
      <c r="U158" s="40">
        <f>IF(Capex!$F$10="y",Book!U150*(1-U$446),Book!U150)</f>
        <v>0</v>
      </c>
      <c r="V158" s="40">
        <f>IF(Capex!$F$10="y",Book!V150*(1-V$446),Book!V150)</f>
        <v>0</v>
      </c>
      <c r="W158" s="40">
        <f>IF(Capex!$F$10="y",Book!W150*(1-W$446),Book!W150)</f>
        <v>0</v>
      </c>
      <c r="X158" s="40">
        <f>IF(Capex!$F$10="y",Book!X150*(1-X$446),Book!X150)</f>
        <v>0</v>
      </c>
      <c r="Y158" s="40">
        <f>IF(Capex!$F$10="y",Book!Y150*(1-Y$446),Book!Y150)</f>
        <v>0</v>
      </c>
      <c r="Z158" s="40">
        <f>IF(Capex!$F$10="y",Book!Z150*(1-Z$446),Book!Z150)</f>
        <v>0</v>
      </c>
      <c r="AA158" s="40">
        <f>IF(Capex!$F$10="y",Book!AA150*(1-AA$446),Book!AA150)</f>
        <v>0</v>
      </c>
      <c r="AB158" s="40">
        <f>IF(Capex!$F$10="y",Book!AB150*(1-AB$446),Book!AB150)</f>
        <v>0</v>
      </c>
      <c r="AC158" s="40">
        <f>IF(Capex!$F$10="y",Book!AC150*(1-AC$446),Book!AC150)</f>
        <v>0</v>
      </c>
      <c r="AD158" s="40">
        <f>IF(Capex!$F$10="y",Book!AD150*(1-AD$446),Book!AD150)</f>
        <v>0</v>
      </c>
      <c r="AE158" s="40">
        <f>IF(Capex!$F$10="y",Book!AE150*(1-AE$446),Book!AE150)</f>
        <v>0</v>
      </c>
      <c r="AF158" s="40">
        <f>IF(Capex!$F$10="y",Book!AF150*(1-AF$446),Book!AF150)</f>
        <v>0</v>
      </c>
    </row>
    <row r="159" spans="1:34">
      <c r="A159" s="6" t="s">
        <v>215</v>
      </c>
      <c r="C159" s="49">
        <f>+C158</f>
        <v>0</v>
      </c>
      <c r="D159" s="49">
        <f t="shared" ref="D159:AF159" si="66">+D158+C159</f>
        <v>0</v>
      </c>
      <c r="E159" s="49">
        <f t="shared" si="66"/>
        <v>0</v>
      </c>
      <c r="F159" s="49">
        <f t="shared" si="66"/>
        <v>5435990.2360561565</v>
      </c>
      <c r="G159" s="49">
        <f t="shared" si="66"/>
        <v>5435990.2360561565</v>
      </c>
      <c r="H159" s="49">
        <f t="shared" si="66"/>
        <v>5435990.2360561565</v>
      </c>
      <c r="I159" s="49">
        <f t="shared" si="66"/>
        <v>5435990.2360561565</v>
      </c>
      <c r="J159" s="49">
        <f t="shared" si="66"/>
        <v>5435990.2360561565</v>
      </c>
      <c r="K159" s="49">
        <f t="shared" si="66"/>
        <v>5435990.2360561565</v>
      </c>
      <c r="L159" s="49">
        <f t="shared" si="66"/>
        <v>5435990.2360561565</v>
      </c>
      <c r="M159" s="49">
        <f t="shared" si="66"/>
        <v>5435990.2360561565</v>
      </c>
      <c r="N159" s="49">
        <f t="shared" si="66"/>
        <v>5435990.2360561565</v>
      </c>
      <c r="O159" s="49">
        <f t="shared" si="66"/>
        <v>5435990.2360561565</v>
      </c>
      <c r="P159" s="49">
        <f t="shared" si="66"/>
        <v>5435990.2360561565</v>
      </c>
      <c r="Q159" s="49">
        <f t="shared" si="66"/>
        <v>5435990.2360561565</v>
      </c>
      <c r="R159" s="49">
        <f t="shared" si="66"/>
        <v>5435990.2360561565</v>
      </c>
      <c r="S159" s="49">
        <f t="shared" si="66"/>
        <v>5435990.2360561565</v>
      </c>
      <c r="T159" s="49">
        <f t="shared" si="66"/>
        <v>5435990.2360561565</v>
      </c>
      <c r="U159" s="49">
        <f t="shared" si="66"/>
        <v>5435990.2360561565</v>
      </c>
      <c r="V159" s="49">
        <f t="shared" si="66"/>
        <v>5435990.2360561565</v>
      </c>
      <c r="W159" s="49">
        <f t="shared" si="66"/>
        <v>5435990.2360561565</v>
      </c>
      <c r="X159" s="49">
        <f t="shared" si="66"/>
        <v>5435990.2360561565</v>
      </c>
      <c r="Y159" s="49">
        <f t="shared" si="66"/>
        <v>5435990.2360561565</v>
      </c>
      <c r="Z159" s="49">
        <f t="shared" si="66"/>
        <v>5435990.2360561565</v>
      </c>
      <c r="AA159" s="49">
        <f t="shared" si="66"/>
        <v>5435990.2360561565</v>
      </c>
      <c r="AB159" s="49">
        <f t="shared" si="66"/>
        <v>5435990.2360561565</v>
      </c>
      <c r="AC159" s="49">
        <f t="shared" si="66"/>
        <v>5435990.2360561565</v>
      </c>
      <c r="AD159" s="49">
        <f t="shared" si="66"/>
        <v>5435990.2360561565</v>
      </c>
      <c r="AE159" s="49">
        <f t="shared" si="66"/>
        <v>5435990.2360561565</v>
      </c>
      <c r="AF159" s="49">
        <f t="shared" si="66"/>
        <v>5435990.2360561565</v>
      </c>
    </row>
    <row r="160" spans="1:34">
      <c r="A160" s="6" t="s">
        <v>407</v>
      </c>
    </row>
    <row r="161" spans="1:34">
      <c r="A161" s="6" t="s">
        <v>408</v>
      </c>
      <c r="B161" s="88">
        <f>+Capex!$E$10</f>
        <v>39</v>
      </c>
      <c r="C161" s="5">
        <f>SUMIF($B$459:$I$459,$B161,$B$460:$I$460)</f>
        <v>2.564102564102564E-2</v>
      </c>
      <c r="D161" s="5">
        <f>SUMIF($B$459:$I$459,$B161,$B$461:$I$461)</f>
        <v>2.564102564102564E-2</v>
      </c>
      <c r="E161" s="5">
        <f>SUMIF($B$459:$I$459,$B161,$B$462:$I$462)</f>
        <v>2.564102564102564E-2</v>
      </c>
      <c r="F161" s="5">
        <f>SUMIF($B$459:$I$459,$B161,$B$463:$I$463)</f>
        <v>2.564102564102564E-2</v>
      </c>
      <c r="G161" s="5">
        <f>SUMIF($B$459:$I$459,$B161,$B$464:$I$464)</f>
        <v>2.564102564102564E-2</v>
      </c>
      <c r="H161" s="5">
        <f>SUMIF($B$459:$I$459,$B161,$B$465:$I$465)</f>
        <v>2.564102564102564E-2</v>
      </c>
      <c r="I161" s="5">
        <f>SUMIF($B$459:$I$459,$B161,$B$466:$I$466)</f>
        <v>2.564102564102564E-2</v>
      </c>
      <c r="J161" s="5">
        <f>SUMIF($B$459:$I$459,$B161,$B$467:$I$467)</f>
        <v>2.564102564102564E-2</v>
      </c>
      <c r="K161" s="5">
        <f>SUMIF($B$459:$I$459,$B161,$B$468:$I$468)</f>
        <v>2.564102564102564E-2</v>
      </c>
      <c r="L161" s="5">
        <f>SUMIF($B$459:$I$459,$B161,$B$469:$I$469)</f>
        <v>2.564102564102564E-2</v>
      </c>
      <c r="M161" s="5">
        <f>SUMIF($B$459:$I$459,$B161,$B$470:$I$470)</f>
        <v>2.564102564102564E-2</v>
      </c>
      <c r="N161" s="5">
        <f>SUMIF($B$459:$I$459,$B161,$B$471:$I$471)</f>
        <v>2.564102564102564E-2</v>
      </c>
      <c r="O161" s="5">
        <f>SUMIF($B$459:$I$459,$B161,$B$472:$I$472)</f>
        <v>2.564102564102564E-2</v>
      </c>
      <c r="P161" s="5">
        <f>SUMIF($B$459:$I$459,$B161,$B$473:$I$473)</f>
        <v>2.564102564102564E-2</v>
      </c>
      <c r="Q161" s="5">
        <f>SUMIF($B$459:$I$459,$B161,$B$474:$I$474)</f>
        <v>2.564102564102564E-2</v>
      </c>
      <c r="R161" s="5">
        <f>SUMIF($B$459:$I$459,$B161,$B$475:$I$475)</f>
        <v>2.564102564102564E-2</v>
      </c>
      <c r="S161" s="5">
        <f>SUMIF($B$459:$I$459,$B161,$B$476:$I$476)</f>
        <v>2.564102564102564E-2</v>
      </c>
      <c r="T161" s="5">
        <f>SUMIF($B$459:$I$459,$B161,$B$477:$I$477)</f>
        <v>2.564102564102564E-2</v>
      </c>
      <c r="U161" s="5">
        <f>SUMIF($B$459:$I$459,$B161,$B$478:$I$478)</f>
        <v>2.564102564102564E-2</v>
      </c>
      <c r="V161" s="5">
        <f>SUMIF($B$459:$I$459,$B161,$B$479:$I$479)</f>
        <v>2.564102564102564E-2</v>
      </c>
      <c r="W161" s="5">
        <f>SUMIF($B$459:$I$459,$B161,$B$480:$I$480)</f>
        <v>2.564102564102564E-2</v>
      </c>
      <c r="X161" s="5">
        <f>SUMIF($B$459:$I$459,$B161,$B$481:$I$481)</f>
        <v>2.564102564102564E-2</v>
      </c>
      <c r="Y161" s="5">
        <f>SUMIF($B$459:$I$459,$B161,$B$482:$I$482)</f>
        <v>2.564102564102564E-2</v>
      </c>
      <c r="Z161" s="5">
        <f>SUMIF($B$459:$I$459,$B161,$B$483:$I$483)</f>
        <v>2.564102564102564E-2</v>
      </c>
      <c r="AA161" s="5">
        <f t="shared" ref="AA161:AF161" si="67">SUMIF($B$459:$I$459,$B161,$B$484:$I$484)</f>
        <v>2.564102564102564E-2</v>
      </c>
      <c r="AB161" s="5">
        <f t="shared" si="67"/>
        <v>2.564102564102564E-2</v>
      </c>
      <c r="AC161" s="5">
        <f t="shared" si="67"/>
        <v>2.564102564102564E-2</v>
      </c>
      <c r="AD161" s="5">
        <f t="shared" si="67"/>
        <v>2.564102564102564E-2</v>
      </c>
      <c r="AE161" s="5">
        <f t="shared" si="67"/>
        <v>2.564102564102564E-2</v>
      </c>
      <c r="AF161" s="5">
        <f t="shared" si="67"/>
        <v>2.564102564102564E-2</v>
      </c>
    </row>
    <row r="162" spans="1:34">
      <c r="A162" s="6" t="s">
        <v>409</v>
      </c>
      <c r="B162" s="89"/>
      <c r="C162" s="94">
        <f>IF(C$2&gt;'Input Data'!$M$37,B162,IF($B161=0,0,SUMIF('Input Data'!$C$37:$M$37,C$2,'Input Data'!$C$38:$M$38)))</f>
        <v>0</v>
      </c>
      <c r="D162" s="94">
        <f>IF(D$2&gt;'Input Data'!$M$37,C162,IF($B161=0,0,SUMIF('Input Data'!$C$37:$M$37,D$2,'Input Data'!$C$38:$M$38)))</f>
        <v>0</v>
      </c>
      <c r="E162" s="94">
        <f>IF(E$2&gt;'Input Data'!$M$37,D162,IF($B161=0,0,SUMIF('Input Data'!$C$37:$M$37,E$2,'Input Data'!$C$38:$M$38)))</f>
        <v>0</v>
      </c>
      <c r="F162" s="94">
        <f>IF(F$2&gt;'Input Data'!$M$37,E162,IF($B161=0,0,SUMIF('Input Data'!$C$37:$M$37,F$2,'Input Data'!$C$38:$M$38)))</f>
        <v>0</v>
      </c>
      <c r="G162" s="94">
        <f>IF(G$2&gt;'Input Data'!$M$37,F162,IF($B161=0,0,SUMIF('Input Data'!$C$37:$M$37,G$2,'Input Data'!$C$38:$M$38)))</f>
        <v>0</v>
      </c>
      <c r="H162" s="94">
        <f>IF(H$2&gt;'Input Data'!$M$37,G162,IF($B161=0,0,SUMIF('Input Data'!$C$37:$M$37,H$2,'Input Data'!$C$38:$M$38)))</f>
        <v>0</v>
      </c>
      <c r="I162" s="94">
        <f>IF(I$2&gt;'Input Data'!$M$37,H162,IF($B161=0,0,SUMIF('Input Data'!$C$37:$M$37,I$2,'Input Data'!$C$38:$M$38)))</f>
        <v>0</v>
      </c>
      <c r="J162" s="94">
        <f>IF(J$2&gt;'Input Data'!$M$37,I162,IF($B161=0,0,SUMIF('Input Data'!$C$37:$M$37,J$2,'Input Data'!$C$38:$M$38)))</f>
        <v>0</v>
      </c>
      <c r="K162" s="94">
        <f>IF(K$2&gt;'Input Data'!$M$37,J162,IF($B161=0,0,SUMIF('Input Data'!$C$37:$M$37,K$2,'Input Data'!$C$38:$M$38)))</f>
        <v>0</v>
      </c>
      <c r="L162" s="94">
        <f>IF(L$2&gt;'Input Data'!$M$37,K162,IF($B161=0,0,SUMIF('Input Data'!$C$37:$M$37,L$2,'Input Data'!$C$38:$M$38)))</f>
        <v>0</v>
      </c>
      <c r="M162" s="94">
        <f>IF(M$2&gt;'Input Data'!$M$37,L162,IF($B161=0,0,SUMIF('Input Data'!$C$37:$M$37,M$2,'Input Data'!$C$38:$M$38)))</f>
        <v>0</v>
      </c>
      <c r="N162" s="94">
        <f>IF(N$2&gt;'Input Data'!$M$37,M162,IF($B161=0,0,SUMIF('Input Data'!$C$37:$M$37,N$2,'Input Data'!$C$38:$M$38)))</f>
        <v>0</v>
      </c>
      <c r="O162" s="94">
        <f>IF(O$2&gt;'Input Data'!$M$37,N162,IF($B161=0,0,SUMIF('Input Data'!$C$37:$M$37,O$2,'Input Data'!$C$38:$M$38)))</f>
        <v>0</v>
      </c>
      <c r="P162" s="94">
        <f>IF(P$2&gt;'Input Data'!$M$37,O162,IF($B161=0,0,SUMIF('Input Data'!$C$37:$M$37,P$2,'Input Data'!$C$38:$M$38)))</f>
        <v>0</v>
      </c>
      <c r="Q162" s="94">
        <f>IF(Q$2&gt;'Input Data'!$M$37,P162,IF($B161=0,0,SUMIF('Input Data'!$C$37:$M$37,Q$2,'Input Data'!$C$38:$M$38)))</f>
        <v>0</v>
      </c>
      <c r="R162" s="94">
        <f>IF(R$2&gt;'Input Data'!$M$37,Q162,IF($B161=0,0,SUMIF('Input Data'!$C$37:$M$37,R$2,'Input Data'!$C$38:$M$38)))</f>
        <v>0</v>
      </c>
      <c r="S162" s="94">
        <f>IF(S$2&gt;'Input Data'!$M$37,R162,IF($B161=0,0,SUMIF('Input Data'!$C$37:$M$37,S$2,'Input Data'!$C$38:$M$38)))</f>
        <v>0</v>
      </c>
      <c r="T162" s="94">
        <f>IF(T$2&gt;'Input Data'!$M$37,S162,IF($B161=0,0,SUMIF('Input Data'!$C$37:$M$37,T$2,'Input Data'!$C$38:$M$38)))</f>
        <v>0</v>
      </c>
      <c r="U162" s="94">
        <f>IF(U$2&gt;'Input Data'!$M$37,T162,IF($B161=0,0,SUMIF('Input Data'!$C$37:$M$37,U$2,'Input Data'!$C$38:$M$38)))</f>
        <v>0</v>
      </c>
      <c r="V162" s="94">
        <f>IF(V$2&gt;'Input Data'!$M$37,U162,IF($B161=0,0,SUMIF('Input Data'!$C$37:$M$37,V$2,'Input Data'!$C$38:$M$38)))</f>
        <v>0</v>
      </c>
      <c r="W162" s="94">
        <f>IF(W$2&gt;'Input Data'!$M$37,V162,IF($B161=0,0,SUMIF('Input Data'!$C$37:$M$37,W$2,'Input Data'!$C$38:$M$38)))</f>
        <v>0</v>
      </c>
      <c r="X162" s="94">
        <f>IF(X$2&gt;'Input Data'!$M$37,W162,IF($B161=0,0,SUMIF('Input Data'!$C$37:$M$37,X$2,'Input Data'!$C$38:$M$38)))</f>
        <v>0</v>
      </c>
      <c r="Y162" s="94">
        <f>IF(Y$2&gt;'Input Data'!$M$37,X162,IF($B161=0,0,SUMIF('Input Data'!$C$37:$M$37,Y$2,'Input Data'!$C$38:$M$38)))</f>
        <v>0</v>
      </c>
      <c r="Z162" s="94">
        <f>IF(Z$2&gt;'Input Data'!$M$37,Y162,IF($B161=0,0,SUMIF('Input Data'!$C$37:$M$37,Z$2,'Input Data'!$C$38:$M$38)))</f>
        <v>0</v>
      </c>
      <c r="AA162" s="94">
        <f>IF(AA$2&gt;'Input Data'!$M$37,Z162,IF($B161=0,0,SUMIF('Input Data'!$C$37:$M$37,AA$2,'Input Data'!$C$38:$M$38)))</f>
        <v>0</v>
      </c>
      <c r="AB162" s="94">
        <f>IF(AB$2&gt;'Input Data'!$M$37,AA162,IF($B161=0,0,SUMIF('Input Data'!$C$37:$M$37,AB$2,'Input Data'!$C$38:$M$38)))</f>
        <v>0</v>
      </c>
      <c r="AC162" s="94">
        <f>IF(AC$2&gt;'Input Data'!$M$37,AB162,IF($B161=0,0,SUMIF('Input Data'!$C$37:$M$37,AC$2,'Input Data'!$C$38:$M$38)))</f>
        <v>0</v>
      </c>
      <c r="AD162" s="94">
        <f>IF(AD$2&gt;'Input Data'!$M$37,AC162,IF($B161=0,0,SUMIF('Input Data'!$C$37:$M$37,AD$2,'Input Data'!$C$38:$M$38)))</f>
        <v>0</v>
      </c>
      <c r="AE162" s="94">
        <f>IF(AE$2&gt;'Input Data'!$M$37,AD162,IF($B161=0,0,SUMIF('Input Data'!$C$37:$M$37,AE$2,'Input Data'!$C$38:$M$38)))</f>
        <v>0</v>
      </c>
      <c r="AF162" s="94">
        <f>IF(AF$2&gt;'Input Data'!$M$37,AE162,IF($B161=0,0,SUMIF('Input Data'!$C$37:$M$37,AF$2,'Input Data'!$C$38:$M$38)))</f>
        <v>0</v>
      </c>
    </row>
    <row r="163" spans="1:34">
      <c r="A163" s="6">
        <f>+A49</f>
        <v>2022</v>
      </c>
      <c r="B163" s="4">
        <f>SUMIF($C$2:$AF$2,A163,$C$158:$AF$158)</f>
        <v>0</v>
      </c>
      <c r="C163" s="4">
        <f>C158*C162+C158*(1-C162)*C161</f>
        <v>0</v>
      </c>
      <c r="D163" s="4">
        <f>C158*(1-C162)*D161</f>
        <v>0</v>
      </c>
      <c r="E163" s="4">
        <f>C158*(1-C162)*E161</f>
        <v>0</v>
      </c>
      <c r="F163" s="4">
        <f>C158*(1-C162)*F161</f>
        <v>0</v>
      </c>
      <c r="G163" s="4">
        <f>C158*(1-C162)*G161</f>
        <v>0</v>
      </c>
      <c r="H163" s="4">
        <f>C158*(1-C162)*H161</f>
        <v>0</v>
      </c>
      <c r="I163" s="4">
        <f>C158*(1-C162)*I161</f>
        <v>0</v>
      </c>
      <c r="J163" s="4">
        <f>C158*(1-C162)*J161</f>
        <v>0</v>
      </c>
      <c r="K163" s="4">
        <f>C158*(1-C162)*K161</f>
        <v>0</v>
      </c>
      <c r="L163" s="4">
        <f>C158*(1-C162)*L161</f>
        <v>0</v>
      </c>
      <c r="M163" s="4">
        <f>C158*(1-C162)*M161</f>
        <v>0</v>
      </c>
      <c r="N163" s="4">
        <f>C158*(1-C162)*N161</f>
        <v>0</v>
      </c>
      <c r="O163" s="4">
        <f>C158*(1-C162)*O161</f>
        <v>0</v>
      </c>
      <c r="P163" s="4">
        <f>C158*(1-C162)*P161</f>
        <v>0</v>
      </c>
      <c r="Q163" s="4">
        <f>C158*(1-C162)*Q161</f>
        <v>0</v>
      </c>
      <c r="R163" s="4">
        <f>C158*(1-C162)*R161</f>
        <v>0</v>
      </c>
      <c r="S163" s="4">
        <f>C158*(1-C162)*S161</f>
        <v>0</v>
      </c>
      <c r="T163" s="4">
        <f>C158*(1-C162)*T161</f>
        <v>0</v>
      </c>
      <c r="U163" s="4">
        <f>C158*(1-C162)*U161</f>
        <v>0</v>
      </c>
      <c r="V163" s="4">
        <f>C158*(1-C162)*V161</f>
        <v>0</v>
      </c>
      <c r="W163" s="4">
        <f>C158*(1-C162)*W161</f>
        <v>0</v>
      </c>
      <c r="X163" s="4">
        <f>C158*(1-C162)*X161</f>
        <v>0</v>
      </c>
      <c r="Y163" s="4">
        <f>C158*(1-C162)*Y161</f>
        <v>0</v>
      </c>
      <c r="Z163" s="4">
        <f>C158*(1-C162)*Z161</f>
        <v>0</v>
      </c>
      <c r="AA163" s="4">
        <f>C158*(1-C162)*AA161</f>
        <v>0</v>
      </c>
      <c r="AB163" s="4">
        <f>C158*(1-C162)*AB161</f>
        <v>0</v>
      </c>
      <c r="AC163" s="4">
        <f>C158*(1-C162)*AC161</f>
        <v>0</v>
      </c>
      <c r="AD163" s="4">
        <f>C158*(1-C162)*AD161</f>
        <v>0</v>
      </c>
      <c r="AE163" s="4">
        <f>C158*(1-C162)*AE161</f>
        <v>0</v>
      </c>
      <c r="AF163" s="4">
        <f>C158*(1-C162)*AF161</f>
        <v>0</v>
      </c>
      <c r="AG163" s="4">
        <f t="shared" ref="AG163:AG187" si="68">SUM(C163:AF163)</f>
        <v>0</v>
      </c>
      <c r="AH163" s="252">
        <f>+B163-AG163</f>
        <v>0</v>
      </c>
    </row>
    <row r="164" spans="1:34">
      <c r="A164" s="6">
        <f>+A163+1</f>
        <v>2023</v>
      </c>
      <c r="B164" s="4">
        <f t="shared" ref="B164:B192" si="69">SUMIF($C$2:$AF$2,A164,$C$158:$AF$158)</f>
        <v>0</v>
      </c>
      <c r="D164" s="4">
        <f>D158*D162+D158*(1-D162)*C161</f>
        <v>0</v>
      </c>
      <c r="E164" s="4">
        <f>+D158*(1-D162)*D161</f>
        <v>0</v>
      </c>
      <c r="F164" s="4">
        <f>+D158*(1-D162)*E161</f>
        <v>0</v>
      </c>
      <c r="G164" s="4">
        <f>+D158*(1-D162)*F161</f>
        <v>0</v>
      </c>
      <c r="H164" s="4">
        <f>+D158*(1-D162)*G161</f>
        <v>0</v>
      </c>
      <c r="I164" s="4">
        <f>+D158*(1-D162)*H161</f>
        <v>0</v>
      </c>
      <c r="J164" s="4">
        <f>+D158*(1-D162)*I161</f>
        <v>0</v>
      </c>
      <c r="K164" s="4">
        <f>+D158*(1-D162)*J161</f>
        <v>0</v>
      </c>
      <c r="L164" s="4">
        <f>+D158*(1-D162)*K161</f>
        <v>0</v>
      </c>
      <c r="M164" s="4">
        <f>+D158*(1-D162)*L161</f>
        <v>0</v>
      </c>
      <c r="N164" s="4">
        <f>+D158*(1-D162)*M161</f>
        <v>0</v>
      </c>
      <c r="O164" s="4">
        <f>+D158*(1-D162)*N161</f>
        <v>0</v>
      </c>
      <c r="P164" s="4">
        <f>+D158*(1-D162)*O161</f>
        <v>0</v>
      </c>
      <c r="Q164" s="4">
        <f>+D158*(1-D162)*P161</f>
        <v>0</v>
      </c>
      <c r="R164" s="4">
        <f>+D158*(1-D162)*Q161</f>
        <v>0</v>
      </c>
      <c r="S164" s="4">
        <f>+D158*(1-D162)*R161</f>
        <v>0</v>
      </c>
      <c r="T164" s="4">
        <f>+D158*(1-D162)*S161</f>
        <v>0</v>
      </c>
      <c r="U164" s="4">
        <f>+D158*(1-D162)*T161</f>
        <v>0</v>
      </c>
      <c r="V164" s="4">
        <f>+D158*(1-D162)*U161</f>
        <v>0</v>
      </c>
      <c r="W164" s="4">
        <f>+D158*(1-D162)*V161</f>
        <v>0</v>
      </c>
      <c r="X164" s="4">
        <f>+D158*(1-D162)*W161</f>
        <v>0</v>
      </c>
      <c r="Y164" s="4">
        <f>+D158*(1-D162)*X161</f>
        <v>0</v>
      </c>
      <c r="Z164" s="4">
        <f>+D158*(1-D162)*Y161</f>
        <v>0</v>
      </c>
      <c r="AA164" s="4">
        <f>+D158*(1-D162)*Z161</f>
        <v>0</v>
      </c>
      <c r="AB164" s="4">
        <f>+D158*(1-D162)*AA161</f>
        <v>0</v>
      </c>
      <c r="AC164" s="4">
        <f>+D158*(1-D162)*AB161</f>
        <v>0</v>
      </c>
      <c r="AD164" s="4">
        <f>+D158*(1-D162)*AC161</f>
        <v>0</v>
      </c>
      <c r="AE164" s="4">
        <f>+D158*(1-D162)*AD161</f>
        <v>0</v>
      </c>
      <c r="AF164" s="4">
        <f>+D158*(1-D162)*AE161</f>
        <v>0</v>
      </c>
      <c r="AG164" s="4">
        <f t="shared" si="68"/>
        <v>0</v>
      </c>
      <c r="AH164" s="252">
        <f t="shared" ref="AH164:AH192" si="70">+B164-AG164</f>
        <v>0</v>
      </c>
    </row>
    <row r="165" spans="1:34">
      <c r="A165" s="6">
        <f t="shared" ref="A165:A192" si="71">+A164+1</f>
        <v>2024</v>
      </c>
      <c r="B165" s="4">
        <f t="shared" si="69"/>
        <v>0</v>
      </c>
      <c r="E165" s="4">
        <f>E158*E162+E158*(1-E162)*C161</f>
        <v>0</v>
      </c>
      <c r="F165" s="4">
        <f>+E158*(1-E162)*D161</f>
        <v>0</v>
      </c>
      <c r="G165" s="4">
        <f>+E158*(1-E162)*E161</f>
        <v>0</v>
      </c>
      <c r="H165" s="4">
        <f>+E158*(1-E162)*F161</f>
        <v>0</v>
      </c>
      <c r="I165" s="4">
        <f>+E158*(1-E162)*G161</f>
        <v>0</v>
      </c>
      <c r="J165" s="4">
        <f>+E158*(1-E162)*H161</f>
        <v>0</v>
      </c>
      <c r="K165" s="4">
        <f>+E158*(1-E162)*I161</f>
        <v>0</v>
      </c>
      <c r="L165" s="4">
        <f>+E158*(1-E162)*J161</f>
        <v>0</v>
      </c>
      <c r="M165" s="4">
        <f>+E158*(1-E162)*K161</f>
        <v>0</v>
      </c>
      <c r="N165" s="4">
        <f>+E158*(1-E162)*L161</f>
        <v>0</v>
      </c>
      <c r="O165" s="4">
        <f>+E158*(1-E162)*M161</f>
        <v>0</v>
      </c>
      <c r="P165" s="4">
        <f>+E158*(1-E162)*N161</f>
        <v>0</v>
      </c>
      <c r="Q165" s="4">
        <f>+E158*(1-E162)*O161</f>
        <v>0</v>
      </c>
      <c r="R165" s="4">
        <f>+E158*(1-E162)*P161</f>
        <v>0</v>
      </c>
      <c r="S165" s="4">
        <f>+E158*(1-E162)*Q161</f>
        <v>0</v>
      </c>
      <c r="T165" s="4">
        <f>+E158*(1-E162)*R161</f>
        <v>0</v>
      </c>
      <c r="U165" s="4">
        <f>+E158*(1-E162)*S161</f>
        <v>0</v>
      </c>
      <c r="V165" s="4">
        <f>+E158*(1-E162)*T161</f>
        <v>0</v>
      </c>
      <c r="W165" s="4">
        <f>+E158*(1-E162)*U161</f>
        <v>0</v>
      </c>
      <c r="X165" s="4">
        <f>+E158*(1-E162)*V161</f>
        <v>0</v>
      </c>
      <c r="Y165" s="4">
        <f>+E158*(1-E162)*W161</f>
        <v>0</v>
      </c>
      <c r="Z165" s="4">
        <f>+E158*(1-E162)*X161</f>
        <v>0</v>
      </c>
      <c r="AA165" s="4">
        <f>+E158*(1-E162)*Y161</f>
        <v>0</v>
      </c>
      <c r="AB165" s="4">
        <f>+E158*(1-E162)*Z161</f>
        <v>0</v>
      </c>
      <c r="AC165" s="4">
        <f>+E158*(1-E162)*AA161</f>
        <v>0</v>
      </c>
      <c r="AD165" s="4">
        <f>+E158*(1-E162)*AB161</f>
        <v>0</v>
      </c>
      <c r="AE165" s="4">
        <f>+E158*(1-E162)*AC161</f>
        <v>0</v>
      </c>
      <c r="AF165" s="4">
        <f>+E158*(1-E162)*AD161</f>
        <v>0</v>
      </c>
      <c r="AG165" s="4">
        <f t="shared" si="68"/>
        <v>0</v>
      </c>
      <c r="AH165" s="252">
        <f t="shared" si="70"/>
        <v>0</v>
      </c>
    </row>
    <row r="166" spans="1:34">
      <c r="A166" s="6">
        <f t="shared" si="71"/>
        <v>2025</v>
      </c>
      <c r="B166" s="4">
        <f t="shared" si="69"/>
        <v>5435990.2360561565</v>
      </c>
      <c r="F166" s="4">
        <f>F158*F162+F158*(1-F162)*C161</f>
        <v>139384.36502708093</v>
      </c>
      <c r="G166" s="4">
        <f>+F158*(1-F162)*D161</f>
        <v>139384.36502708093</v>
      </c>
      <c r="H166" s="4">
        <f>+F158*(1-F162)*E161</f>
        <v>139384.36502708093</v>
      </c>
      <c r="I166" s="4">
        <f>+F158*(1-F162)*F161</f>
        <v>139384.36502708093</v>
      </c>
      <c r="J166" s="4">
        <f>+F158*(1-F162)*G161</f>
        <v>139384.36502708093</v>
      </c>
      <c r="K166" s="4">
        <f>+F158*(1-F162)*H161</f>
        <v>139384.36502708093</v>
      </c>
      <c r="L166" s="4">
        <f>+F158*(1-F162)*I161</f>
        <v>139384.36502708093</v>
      </c>
      <c r="M166" s="4">
        <f>+F158*(1-F162)*J161</f>
        <v>139384.36502708093</v>
      </c>
      <c r="N166" s="4">
        <f>+F158*(1-F162)*K161</f>
        <v>139384.36502708093</v>
      </c>
      <c r="O166" s="4">
        <f>+F158*(1-F162)*L161</f>
        <v>139384.36502708093</v>
      </c>
      <c r="P166" s="4">
        <f>+F158*(1-F162)*M161</f>
        <v>139384.36502708093</v>
      </c>
      <c r="Q166" s="4">
        <f>+F158*(1-F162)*N161</f>
        <v>139384.36502708093</v>
      </c>
      <c r="R166" s="4">
        <f>+F158*(1-F162)*O161</f>
        <v>139384.36502708093</v>
      </c>
      <c r="S166" s="4">
        <f>+F158*(1-F162)*P161</f>
        <v>139384.36502708093</v>
      </c>
      <c r="T166" s="4">
        <f>+F158*(1-F162)*Q161</f>
        <v>139384.36502708093</v>
      </c>
      <c r="U166" s="4">
        <f>+F158*(1-F162)*R161</f>
        <v>139384.36502708093</v>
      </c>
      <c r="V166" s="4">
        <f>+F158*(1-F162)*S161</f>
        <v>139384.36502708093</v>
      </c>
      <c r="W166" s="4">
        <f>+F158*(1-F162)*T161</f>
        <v>139384.36502708093</v>
      </c>
      <c r="X166" s="4">
        <f>+F158*(1-F162)*U161</f>
        <v>139384.36502708093</v>
      </c>
      <c r="Y166" s="4">
        <f>+F158*(1-F162)*V161</f>
        <v>139384.36502708093</v>
      </c>
      <c r="Z166" s="4">
        <f>+F158*(1-F162)*W161</f>
        <v>139384.36502708093</v>
      </c>
      <c r="AA166" s="4">
        <f>+F158*(1-F162)*X161</f>
        <v>139384.36502708093</v>
      </c>
      <c r="AB166" s="4">
        <f>+F158*(1-F162)*Y161</f>
        <v>139384.36502708093</v>
      </c>
      <c r="AC166" s="4">
        <f>+F158*(1-F162)*Z161</f>
        <v>139384.36502708093</v>
      </c>
      <c r="AD166" s="4">
        <f>+F158*(1-F162)*AA161</f>
        <v>139384.36502708093</v>
      </c>
      <c r="AE166" s="4">
        <f>+F158*(1-F162)*AB161</f>
        <v>139384.36502708093</v>
      </c>
      <c r="AF166" s="4">
        <f>+F158*(1-F162)*AC161</f>
        <v>139384.36502708093</v>
      </c>
      <c r="AG166" s="4">
        <f t="shared" si="68"/>
        <v>3763377.8557311837</v>
      </c>
      <c r="AH166" s="252">
        <f t="shared" si="70"/>
        <v>1672612.3803249728</v>
      </c>
    </row>
    <row r="167" spans="1:34">
      <c r="A167" s="6">
        <f t="shared" si="71"/>
        <v>2026</v>
      </c>
      <c r="B167" s="4">
        <f t="shared" si="69"/>
        <v>0</v>
      </c>
      <c r="G167" s="4">
        <f>G158*G162+G158*(1-G162)*C161</f>
        <v>0</v>
      </c>
      <c r="H167" s="4">
        <f>+G158*(1-G162)*D161</f>
        <v>0</v>
      </c>
      <c r="I167" s="4">
        <f>+G158*(1-G162)*E161</f>
        <v>0</v>
      </c>
      <c r="J167" s="4">
        <f>+G158*(1-G162)*F161</f>
        <v>0</v>
      </c>
      <c r="K167" s="4">
        <f>+G158*(1-G162)*G161</f>
        <v>0</v>
      </c>
      <c r="L167" s="4">
        <f>+G158*(1-G162)*H161</f>
        <v>0</v>
      </c>
      <c r="M167" s="4">
        <f>+G158*(1-G162)*I161</f>
        <v>0</v>
      </c>
      <c r="N167" s="4">
        <f>+G158*(1-G162)*J161</f>
        <v>0</v>
      </c>
      <c r="O167" s="4">
        <f>+G158*(1-G162)*K161</f>
        <v>0</v>
      </c>
      <c r="P167" s="4">
        <f>+G158*(1-G162)*L161</f>
        <v>0</v>
      </c>
      <c r="Q167" s="4">
        <f>+G158*(1-G162)*M161</f>
        <v>0</v>
      </c>
      <c r="R167" s="4">
        <f>+G158*(1-G162)*N161</f>
        <v>0</v>
      </c>
      <c r="S167" s="4">
        <f>+G158*(1-G162)*O161</f>
        <v>0</v>
      </c>
      <c r="T167" s="4">
        <f>+G158*(1-G162)*P161</f>
        <v>0</v>
      </c>
      <c r="U167" s="4">
        <f>+G158*(1-G162)*Q161</f>
        <v>0</v>
      </c>
      <c r="V167" s="4">
        <f>+G158*(1-G162)*R161</f>
        <v>0</v>
      </c>
      <c r="W167" s="4">
        <f>+G158*(1-G162)*S161</f>
        <v>0</v>
      </c>
      <c r="X167" s="4">
        <f>+G158*(1-G162)*T161</f>
        <v>0</v>
      </c>
      <c r="Y167" s="4">
        <f>+G158*(1-G162)*U161</f>
        <v>0</v>
      </c>
      <c r="Z167" s="4">
        <f>+G158*(1-G162)*V161</f>
        <v>0</v>
      </c>
      <c r="AA167" s="4">
        <f>+G158*(1-G162)*W161</f>
        <v>0</v>
      </c>
      <c r="AB167" s="4">
        <f>+G158*(1-G162)*X161</f>
        <v>0</v>
      </c>
      <c r="AC167" s="4">
        <f>+G158*(1-G162)*Y161</f>
        <v>0</v>
      </c>
      <c r="AD167" s="4">
        <f>+G158*(1-G162)*Z161</f>
        <v>0</v>
      </c>
      <c r="AE167" s="4">
        <f>+G158*(1-G162)*AA161</f>
        <v>0</v>
      </c>
      <c r="AF167" s="4">
        <f>+G158*(1-G162)*AB161</f>
        <v>0</v>
      </c>
      <c r="AG167" s="4">
        <f t="shared" si="68"/>
        <v>0</v>
      </c>
      <c r="AH167" s="252">
        <f t="shared" si="70"/>
        <v>0</v>
      </c>
    </row>
    <row r="168" spans="1:34">
      <c r="A168" s="6">
        <f t="shared" si="71"/>
        <v>2027</v>
      </c>
      <c r="B168" s="4">
        <f t="shared" si="69"/>
        <v>0</v>
      </c>
      <c r="H168" s="4">
        <f>H158*H162+H158*(1-H162)*C161</f>
        <v>0</v>
      </c>
      <c r="I168" s="4">
        <f>+H158*(1-H162)*D161</f>
        <v>0</v>
      </c>
      <c r="J168" s="4">
        <f>+H158*(1-H162)*E161</f>
        <v>0</v>
      </c>
      <c r="K168" s="4">
        <f>+H158*(1-H162)*F161</f>
        <v>0</v>
      </c>
      <c r="L168" s="4">
        <f>+H158*(1-H162)*G161</f>
        <v>0</v>
      </c>
      <c r="M168" s="4">
        <f>+H158*(1-H162)*H161</f>
        <v>0</v>
      </c>
      <c r="N168" s="4">
        <f>+H158*(1-H162)*I161</f>
        <v>0</v>
      </c>
      <c r="O168" s="4">
        <f>+H158*(1-H162)*J161</f>
        <v>0</v>
      </c>
      <c r="P168" s="4">
        <f>+H158*(1-H162)*K161</f>
        <v>0</v>
      </c>
      <c r="Q168" s="4">
        <f>+H158*(1-H162)*L161</f>
        <v>0</v>
      </c>
      <c r="R168" s="4">
        <f>+H158*(1-H162)*M161</f>
        <v>0</v>
      </c>
      <c r="S168" s="4">
        <f>+H158*(1-H162)*N161</f>
        <v>0</v>
      </c>
      <c r="T168" s="4">
        <f>+H158*(1-H162)*O161</f>
        <v>0</v>
      </c>
      <c r="U168" s="4">
        <f>+H158*(1-H162)*P161</f>
        <v>0</v>
      </c>
      <c r="V168" s="4">
        <f>+H158*(1-H162)*Q161</f>
        <v>0</v>
      </c>
      <c r="W168" s="4">
        <f>+H158*(1-H162)*R161</f>
        <v>0</v>
      </c>
      <c r="X168" s="4">
        <f>+H158*(1-H162)*S161</f>
        <v>0</v>
      </c>
      <c r="Y168" s="4">
        <f>+H158*(1-H162)*T161</f>
        <v>0</v>
      </c>
      <c r="Z168" s="4">
        <f>+H158*(1-H162)*U161</f>
        <v>0</v>
      </c>
      <c r="AA168" s="4">
        <f>+H158*(1-H162)*V161</f>
        <v>0</v>
      </c>
      <c r="AB168" s="4">
        <f>+H158*(1-H162)*W161</f>
        <v>0</v>
      </c>
      <c r="AC168" s="4">
        <f>+H158*(1-H162)*X161</f>
        <v>0</v>
      </c>
      <c r="AD168" s="4">
        <f>+H158*(1-H162)*Y161</f>
        <v>0</v>
      </c>
      <c r="AE168" s="4">
        <f>+H158*(1-H162)*Z161</f>
        <v>0</v>
      </c>
      <c r="AF168" s="4">
        <f>+H158*(1-H162)*AA161</f>
        <v>0</v>
      </c>
      <c r="AG168" s="4">
        <f t="shared" si="68"/>
        <v>0</v>
      </c>
      <c r="AH168" s="252">
        <f t="shared" si="70"/>
        <v>0</v>
      </c>
    </row>
    <row r="169" spans="1:34">
      <c r="A169" s="6">
        <f t="shared" si="71"/>
        <v>2028</v>
      </c>
      <c r="B169" s="4">
        <f t="shared" si="69"/>
        <v>0</v>
      </c>
      <c r="I169" s="4">
        <f>I158*I162+I158*(1-I162)*C161</f>
        <v>0</v>
      </c>
      <c r="J169" s="4">
        <f>+I158*(1-I162)*D161</f>
        <v>0</v>
      </c>
      <c r="K169" s="4">
        <f>+I158*(1-I162)*E161</f>
        <v>0</v>
      </c>
      <c r="L169" s="4">
        <f>+I158*(1-I162)*F161</f>
        <v>0</v>
      </c>
      <c r="M169" s="4">
        <f>+I158*(1-I162)*G161</f>
        <v>0</v>
      </c>
      <c r="N169" s="4">
        <f>+I158*(1-I162)*H161</f>
        <v>0</v>
      </c>
      <c r="O169" s="4">
        <f>+I158*(1-I162)*I161</f>
        <v>0</v>
      </c>
      <c r="P169" s="4">
        <f>+I158*(1-I162)*J161</f>
        <v>0</v>
      </c>
      <c r="Q169" s="4">
        <f>+I158*(1-I162)*K161</f>
        <v>0</v>
      </c>
      <c r="R169" s="4">
        <f>+I158*(1-I162)*L161</f>
        <v>0</v>
      </c>
      <c r="S169" s="4">
        <f>+I158*(1-I162)*M161</f>
        <v>0</v>
      </c>
      <c r="T169" s="4">
        <f>+I158*(1-I162)*N161</f>
        <v>0</v>
      </c>
      <c r="U169" s="4">
        <f>+I158*(1-I162)*O161</f>
        <v>0</v>
      </c>
      <c r="V169" s="4">
        <f>+I158*(1-I162)*P161</f>
        <v>0</v>
      </c>
      <c r="W169" s="4">
        <f>+I158*(1-I162)*Q161</f>
        <v>0</v>
      </c>
      <c r="X169" s="4">
        <f>+I158*(1-I162)*R161</f>
        <v>0</v>
      </c>
      <c r="Y169" s="4">
        <f>+I158*(1-I162)*S161</f>
        <v>0</v>
      </c>
      <c r="Z169" s="4">
        <f>+I158*(1-I162)*T161</f>
        <v>0</v>
      </c>
      <c r="AA169" s="4">
        <f>+I158*(1-I162)*U161</f>
        <v>0</v>
      </c>
      <c r="AB169" s="4">
        <f>+I158*(1-I162)*V161</f>
        <v>0</v>
      </c>
      <c r="AC169" s="4">
        <f>+I158*(1-I162)*W161</f>
        <v>0</v>
      </c>
      <c r="AD169" s="4">
        <f>+I158*(1-I162)*X161</f>
        <v>0</v>
      </c>
      <c r="AE169" s="4">
        <f>+I158*(1-I162)*Y161</f>
        <v>0</v>
      </c>
      <c r="AF169" s="4">
        <f>+I158*(1-I162)*Z161</f>
        <v>0</v>
      </c>
      <c r="AG169" s="4">
        <f t="shared" si="68"/>
        <v>0</v>
      </c>
      <c r="AH169" s="252">
        <f t="shared" si="70"/>
        <v>0</v>
      </c>
    </row>
    <row r="170" spans="1:34">
      <c r="A170" s="6">
        <f t="shared" si="71"/>
        <v>2029</v>
      </c>
      <c r="B170" s="4">
        <f t="shared" si="69"/>
        <v>0</v>
      </c>
      <c r="J170" s="4">
        <f>J158*J162+J158*(1-J162)*C161</f>
        <v>0</v>
      </c>
      <c r="K170" s="4">
        <f>K158*K162+J158*(1-K162)*D161</f>
        <v>0</v>
      </c>
      <c r="L170" s="4">
        <f>L158*L162+J158*(1-L162)*E161</f>
        <v>0</v>
      </c>
      <c r="M170" s="4">
        <f>M158*M162+J158*(1-M162)*F161</f>
        <v>0</v>
      </c>
      <c r="N170" s="4">
        <f>N158*N162+J158*(1-N162)*G161</f>
        <v>0</v>
      </c>
      <c r="O170" s="4">
        <f>O158*O162+J158*(1-O162)*H161</f>
        <v>0</v>
      </c>
      <c r="P170" s="4">
        <f>P158*P162+J158*(1-P162)*I161</f>
        <v>0</v>
      </c>
      <c r="Q170" s="4">
        <f>Q158*Q162+J158*(1-Q162)*J161</f>
        <v>0</v>
      </c>
      <c r="R170" s="4">
        <f>R158*R162+J158*(1-R162)*K161</f>
        <v>0</v>
      </c>
      <c r="S170" s="4">
        <f>S158*S162+J158*(1-S162)*L161</f>
        <v>0</v>
      </c>
      <c r="T170" s="4">
        <f>T158*T162+J158*(1-T162)*M161</f>
        <v>0</v>
      </c>
      <c r="U170" s="4">
        <f>U158*U162+J158*(1-U162)*N161</f>
        <v>0</v>
      </c>
      <c r="V170" s="4">
        <f>V158*V162+J158*(1-V162)*O161</f>
        <v>0</v>
      </c>
      <c r="W170" s="4">
        <f>W158*W162+J158*(1-W162)*P161</f>
        <v>0</v>
      </c>
      <c r="X170" s="4">
        <f>X158*X162+J158*(1-X162)*Q161</f>
        <v>0</v>
      </c>
      <c r="Y170" s="4">
        <f>Y158*Y162+J158*(1-Y162)*R161</f>
        <v>0</v>
      </c>
      <c r="Z170" s="4">
        <f>Z158*Z162+J158*(1-Z162)*S161</f>
        <v>0</v>
      </c>
      <c r="AA170" s="4">
        <f>AA158*AA162+J158*(1-AA162)*T161</f>
        <v>0</v>
      </c>
      <c r="AB170" s="4">
        <f>AB158*AB162+J158*(1-AB162)*U161</f>
        <v>0</v>
      </c>
      <c r="AC170" s="4">
        <f>AC158*AC162+J158*(1-AC162)*V161</f>
        <v>0</v>
      </c>
      <c r="AD170" s="4">
        <f>AD158*AD162+J158*(1-AD162)*W161</f>
        <v>0</v>
      </c>
      <c r="AE170" s="4">
        <f>AE158*AE162+J158*(1-AE162)*X161</f>
        <v>0</v>
      </c>
      <c r="AF170" s="4">
        <f>AF158*AF162+J158*(1-AF162)*Y161</f>
        <v>0</v>
      </c>
      <c r="AG170" s="4">
        <f t="shared" si="68"/>
        <v>0</v>
      </c>
      <c r="AH170" s="252">
        <f t="shared" si="70"/>
        <v>0</v>
      </c>
    </row>
    <row r="171" spans="1:34">
      <c r="A171" s="6">
        <f t="shared" si="71"/>
        <v>2030</v>
      </c>
      <c r="B171" s="4">
        <f t="shared" si="69"/>
        <v>0</v>
      </c>
      <c r="K171" s="4">
        <f>K158*K162+K158*(1-K162)*C161</f>
        <v>0</v>
      </c>
      <c r="L171" s="4">
        <f>+K158*(1-K162)*D161</f>
        <v>0</v>
      </c>
      <c r="M171" s="4">
        <f>+K158*(1-K162)*E161</f>
        <v>0</v>
      </c>
      <c r="N171" s="4">
        <f>+K158*(1-K162)*F161</f>
        <v>0</v>
      </c>
      <c r="O171" s="4">
        <f>+K158*(1-K162)*G161</f>
        <v>0</v>
      </c>
      <c r="P171" s="4">
        <f>+K158*(1-K162)*H161</f>
        <v>0</v>
      </c>
      <c r="Q171" s="4">
        <f>+K158*(1-K162)*I161</f>
        <v>0</v>
      </c>
      <c r="R171" s="4">
        <f>+K158*(1-K162)*J161</f>
        <v>0</v>
      </c>
      <c r="S171" s="4">
        <f>+K158*(1-K162)*K161</f>
        <v>0</v>
      </c>
      <c r="T171" s="4">
        <f>+K158*(1-K162)*L161</f>
        <v>0</v>
      </c>
      <c r="U171" s="4">
        <f>+K158*(1-K162)*M161</f>
        <v>0</v>
      </c>
      <c r="V171" s="4">
        <f>+K158*(1-K162)*N161</f>
        <v>0</v>
      </c>
      <c r="W171" s="4">
        <f>+K158*(1-K162)*O161</f>
        <v>0</v>
      </c>
      <c r="X171" s="4">
        <f>+K158*(1-K162)*P161</f>
        <v>0</v>
      </c>
      <c r="Y171" s="4">
        <f>+K158*(1-K162)*Q161</f>
        <v>0</v>
      </c>
      <c r="Z171" s="4">
        <f>+K158*(1-K162)*R161</f>
        <v>0</v>
      </c>
      <c r="AA171" s="4">
        <f>+K158*(1-K162)*S161</f>
        <v>0</v>
      </c>
      <c r="AB171" s="4">
        <f>+K158*(1-K162)*T161</f>
        <v>0</v>
      </c>
      <c r="AC171" s="4">
        <f>+K158*(1-K162)*U161</f>
        <v>0</v>
      </c>
      <c r="AD171" s="4">
        <f>+K158*(1-K162)*V161</f>
        <v>0</v>
      </c>
      <c r="AE171" s="4">
        <f>+K158*(1-K162)*W161</f>
        <v>0</v>
      </c>
      <c r="AF171" s="4">
        <f>+K158*(1-K162)*X161</f>
        <v>0</v>
      </c>
      <c r="AG171" s="4">
        <f t="shared" si="68"/>
        <v>0</v>
      </c>
      <c r="AH171" s="252">
        <f t="shared" si="70"/>
        <v>0</v>
      </c>
    </row>
    <row r="172" spans="1:34">
      <c r="A172" s="6">
        <f t="shared" si="71"/>
        <v>2031</v>
      </c>
      <c r="B172" s="4">
        <f t="shared" si="69"/>
        <v>0</v>
      </c>
      <c r="L172" s="4">
        <f>L158*L162+L158*(1-L162)*C161</f>
        <v>0</v>
      </c>
      <c r="M172" s="4">
        <f>+L158*(1-L162)*D161</f>
        <v>0</v>
      </c>
      <c r="N172" s="4">
        <f>+L158*(1-L162)*E161</f>
        <v>0</v>
      </c>
      <c r="O172" s="4">
        <f>+L158*(1-L162)*F161</f>
        <v>0</v>
      </c>
      <c r="P172" s="4">
        <f>+L158*(1-L162)*G161</f>
        <v>0</v>
      </c>
      <c r="Q172" s="4">
        <f>+L158*(1-L162)*H161</f>
        <v>0</v>
      </c>
      <c r="R172" s="4">
        <f>+L158*(1-L162)*I161</f>
        <v>0</v>
      </c>
      <c r="S172" s="4">
        <f>+L158*(1-L162)*J161</f>
        <v>0</v>
      </c>
      <c r="T172" s="4">
        <f>+L158*(1-L162)*K161</f>
        <v>0</v>
      </c>
      <c r="U172" s="4">
        <f>+L158*(1-L162)*L161</f>
        <v>0</v>
      </c>
      <c r="V172" s="4">
        <f>+L158*(1-L162)*M161</f>
        <v>0</v>
      </c>
      <c r="W172" s="4">
        <f>+L158*(1-L162)*N161</f>
        <v>0</v>
      </c>
      <c r="X172" s="4">
        <f>+L158*(1-L162)*O161</f>
        <v>0</v>
      </c>
      <c r="Y172" s="4">
        <f>+L158*(1-L162)*P161</f>
        <v>0</v>
      </c>
      <c r="Z172" s="4">
        <f>+L158*(1-L162)*Q161</f>
        <v>0</v>
      </c>
      <c r="AA172" s="4">
        <f>+L158*(1-L162)*R161</f>
        <v>0</v>
      </c>
      <c r="AB172" s="4">
        <f>+L158*(1-L162)*S161</f>
        <v>0</v>
      </c>
      <c r="AC172" s="4">
        <f>+L158*(1-L162)*T161</f>
        <v>0</v>
      </c>
      <c r="AD172" s="4">
        <f>+L158*(1-L162)*U161</f>
        <v>0</v>
      </c>
      <c r="AE172" s="4">
        <f>+L158*(1-L162)*V161</f>
        <v>0</v>
      </c>
      <c r="AF172" s="4">
        <f>+L158*(1-L162)*W161</f>
        <v>0</v>
      </c>
      <c r="AG172" s="4">
        <f t="shared" si="68"/>
        <v>0</v>
      </c>
      <c r="AH172" s="252">
        <f t="shared" si="70"/>
        <v>0</v>
      </c>
    </row>
    <row r="173" spans="1:34">
      <c r="A173" s="6">
        <f t="shared" si="71"/>
        <v>2032</v>
      </c>
      <c r="B173" s="4">
        <f t="shared" si="69"/>
        <v>0</v>
      </c>
      <c r="M173" s="4">
        <f>M158*M162+M158*(1-M162)*C161</f>
        <v>0</v>
      </c>
      <c r="N173" s="4">
        <f>+M158*(1-M162)*D161</f>
        <v>0</v>
      </c>
      <c r="O173" s="4">
        <f>+M158*(1-M162)*E161</f>
        <v>0</v>
      </c>
      <c r="P173" s="4">
        <f>+M158*(1-M162)*F161</f>
        <v>0</v>
      </c>
      <c r="Q173" s="4">
        <f>+M158*(1-M162)*G161</f>
        <v>0</v>
      </c>
      <c r="R173" s="4">
        <f>+M158*(1-M162)*H161</f>
        <v>0</v>
      </c>
      <c r="S173" s="4">
        <f>+M158*(1-M162)*I161</f>
        <v>0</v>
      </c>
      <c r="T173" s="4">
        <f>+M158*(1-M162)*J161</f>
        <v>0</v>
      </c>
      <c r="U173" s="4">
        <f>+M158*(1-M162)*K161</f>
        <v>0</v>
      </c>
      <c r="V173" s="4">
        <f>+M158*(1-M162)*L161</f>
        <v>0</v>
      </c>
      <c r="W173" s="4">
        <f>+M158*(1-M162)*M161</f>
        <v>0</v>
      </c>
      <c r="X173" s="4">
        <f>+M158*(1-M162)*N161</f>
        <v>0</v>
      </c>
      <c r="Y173" s="4">
        <f>+M158*(1-M162)*O161</f>
        <v>0</v>
      </c>
      <c r="Z173" s="4">
        <f>+M158*(1-M162)*P161</f>
        <v>0</v>
      </c>
      <c r="AA173" s="4">
        <f>+M158*(1-M162)*Q161</f>
        <v>0</v>
      </c>
      <c r="AB173" s="4">
        <f>+M158*(1-M162)*R161</f>
        <v>0</v>
      </c>
      <c r="AC173" s="4">
        <f>+M158*(1-M162)*S161</f>
        <v>0</v>
      </c>
      <c r="AD173" s="4">
        <f>+M158*(1-M162)*T161</f>
        <v>0</v>
      </c>
      <c r="AE173" s="4">
        <f>+M158*(1-M162)*U161</f>
        <v>0</v>
      </c>
      <c r="AF173" s="4">
        <f>+M158*(1-M162)*V161</f>
        <v>0</v>
      </c>
      <c r="AG173" s="4">
        <f t="shared" si="68"/>
        <v>0</v>
      </c>
      <c r="AH173" s="252">
        <f t="shared" si="70"/>
        <v>0</v>
      </c>
    </row>
    <row r="174" spans="1:34">
      <c r="A174" s="6">
        <f t="shared" si="71"/>
        <v>2033</v>
      </c>
      <c r="B174" s="4">
        <f t="shared" si="69"/>
        <v>0</v>
      </c>
      <c r="N174" s="4">
        <f>N158*N162+N158*(1-N162)*C161</f>
        <v>0</v>
      </c>
      <c r="O174" s="4">
        <f>+N158*(1-N162)*D161</f>
        <v>0</v>
      </c>
      <c r="P174" s="4">
        <f>+N158*(1-N162)*E161</f>
        <v>0</v>
      </c>
      <c r="Q174" s="4">
        <f>+N158*(1-N162)*F161</f>
        <v>0</v>
      </c>
      <c r="R174" s="4">
        <f>+N158*(1-N162)*G161</f>
        <v>0</v>
      </c>
      <c r="S174" s="4">
        <f>+N158*(1-N162)*H161</f>
        <v>0</v>
      </c>
      <c r="T174" s="4">
        <f>+N158*(1-N162)*I161</f>
        <v>0</v>
      </c>
      <c r="U174" s="4">
        <f>+N158*(1-N162)*J161</f>
        <v>0</v>
      </c>
      <c r="V174" s="4">
        <f>+N158*(1-N162)*K161</f>
        <v>0</v>
      </c>
      <c r="W174" s="4">
        <f>+N158*(1-N162)*L161</f>
        <v>0</v>
      </c>
      <c r="X174" s="4">
        <f>+N158*(1-N162)*M161</f>
        <v>0</v>
      </c>
      <c r="Y174" s="4">
        <f>+N158*(1-N162)*N161</f>
        <v>0</v>
      </c>
      <c r="Z174" s="4">
        <f>+N158*(1-N162)*O161</f>
        <v>0</v>
      </c>
      <c r="AA174" s="4">
        <f>+N158*(1-N162)*P161</f>
        <v>0</v>
      </c>
      <c r="AB174" s="4">
        <f>+N158*(1-N162)*Q161</f>
        <v>0</v>
      </c>
      <c r="AC174" s="4">
        <f>+N158*(1-N162)*R161</f>
        <v>0</v>
      </c>
      <c r="AD174" s="4">
        <f>+N158*(1-N162)*S161</f>
        <v>0</v>
      </c>
      <c r="AE174" s="4">
        <f>+N158*(1-N162)*T161</f>
        <v>0</v>
      </c>
      <c r="AF174" s="4">
        <f>+N158*(1-N162)*U161</f>
        <v>0</v>
      </c>
      <c r="AG174" s="4">
        <f t="shared" si="68"/>
        <v>0</v>
      </c>
      <c r="AH174" s="252">
        <f t="shared" si="70"/>
        <v>0</v>
      </c>
    </row>
    <row r="175" spans="1:34">
      <c r="A175" s="6">
        <f t="shared" si="71"/>
        <v>2034</v>
      </c>
      <c r="B175" s="4">
        <f t="shared" si="69"/>
        <v>0</v>
      </c>
      <c r="O175" s="4">
        <f>O158*O162+O158*(1-O162)*C161</f>
        <v>0</v>
      </c>
      <c r="P175" s="4">
        <f>+O158*(1-O162)*D161</f>
        <v>0</v>
      </c>
      <c r="Q175" s="4">
        <f>+O158*(1-O162)*E161</f>
        <v>0</v>
      </c>
      <c r="R175" s="4">
        <f>+O158*(1-O162)*F161</f>
        <v>0</v>
      </c>
      <c r="S175" s="4">
        <f>+O158*(1-O162)*G161</f>
        <v>0</v>
      </c>
      <c r="T175" s="4">
        <f>+O158*(1-O162)*H161</f>
        <v>0</v>
      </c>
      <c r="U175" s="4">
        <f>+O158*(1-O162)*I161</f>
        <v>0</v>
      </c>
      <c r="V175" s="4">
        <f>+O158*(1-O162)*J161</f>
        <v>0</v>
      </c>
      <c r="W175" s="4">
        <f>+O158*(1-O162)*K161</f>
        <v>0</v>
      </c>
      <c r="X175" s="4">
        <f>+O158*(1-O162)*L161</f>
        <v>0</v>
      </c>
      <c r="Y175" s="4">
        <f>+O158*(1-O162)*M161</f>
        <v>0</v>
      </c>
      <c r="Z175" s="4">
        <f>+O158*(1-O162)*N161</f>
        <v>0</v>
      </c>
      <c r="AA175" s="4">
        <f>+O158*(1-O162)*O161</f>
        <v>0</v>
      </c>
      <c r="AB175" s="4">
        <f>+O158*(1-O162)*P161</f>
        <v>0</v>
      </c>
      <c r="AC175" s="4">
        <f>+O158*(1-O162)*Q161</f>
        <v>0</v>
      </c>
      <c r="AD175" s="4">
        <f>+O158*(1-O162)*R161</f>
        <v>0</v>
      </c>
      <c r="AE175" s="4">
        <f>+O158*(1-O162)*S161</f>
        <v>0</v>
      </c>
      <c r="AF175" s="4">
        <f>+O158*(1-O162)*T161</f>
        <v>0</v>
      </c>
      <c r="AG175" s="4">
        <f t="shared" si="68"/>
        <v>0</v>
      </c>
      <c r="AH175" s="252">
        <f t="shared" si="70"/>
        <v>0</v>
      </c>
    </row>
    <row r="176" spans="1:34">
      <c r="A176" s="6">
        <f t="shared" si="71"/>
        <v>2035</v>
      </c>
      <c r="B176" s="4">
        <f t="shared" si="69"/>
        <v>0</v>
      </c>
      <c r="P176" s="4">
        <f>P158*P162+P158*(1-P162)*C161</f>
        <v>0</v>
      </c>
      <c r="Q176" s="4">
        <f>+P158*(1-P162)*D161</f>
        <v>0</v>
      </c>
      <c r="R176" s="4">
        <f>+P158*(1-P162)*E161</f>
        <v>0</v>
      </c>
      <c r="S176" s="4">
        <f>+P158*(1-P162)*F161</f>
        <v>0</v>
      </c>
      <c r="T176" s="4">
        <f>+P158*(1-P162)*G161</f>
        <v>0</v>
      </c>
      <c r="U176" s="4">
        <f>+P158*(1-P162)*H161</f>
        <v>0</v>
      </c>
      <c r="V176" s="4">
        <f>+P158*(1-P162)*I161</f>
        <v>0</v>
      </c>
      <c r="W176" s="4">
        <f>+P158*(1-P162)*J161</f>
        <v>0</v>
      </c>
      <c r="X176" s="4">
        <f>+P158*(1-P162)*K161</f>
        <v>0</v>
      </c>
      <c r="Y176" s="4">
        <f>+P158*(1-P162)*L161</f>
        <v>0</v>
      </c>
      <c r="Z176" s="4">
        <f>+P158*(1-P162)*M161</f>
        <v>0</v>
      </c>
      <c r="AA176" s="4">
        <f>+P158*(1-P162)*N161</f>
        <v>0</v>
      </c>
      <c r="AB176" s="4">
        <f>+P158*(1-P162)*O161</f>
        <v>0</v>
      </c>
      <c r="AC176" s="4">
        <f>+P158*(1-P162)*P161</f>
        <v>0</v>
      </c>
      <c r="AD176" s="4">
        <f>+P158*(1-P162)*Q161</f>
        <v>0</v>
      </c>
      <c r="AE176" s="4">
        <f>+P158*(1-P162)*R161</f>
        <v>0</v>
      </c>
      <c r="AF176" s="4">
        <f>+P158*(1-P162)*S161</f>
        <v>0</v>
      </c>
      <c r="AG176" s="4">
        <f t="shared" si="68"/>
        <v>0</v>
      </c>
      <c r="AH176" s="252">
        <f t="shared" si="70"/>
        <v>0</v>
      </c>
    </row>
    <row r="177" spans="1:34">
      <c r="A177" s="6">
        <f t="shared" si="71"/>
        <v>2036</v>
      </c>
      <c r="B177" s="4">
        <f t="shared" si="69"/>
        <v>0</v>
      </c>
      <c r="Q177" s="4">
        <f>Q158*Q162+Q158*(1-Q162)*C161</f>
        <v>0</v>
      </c>
      <c r="R177" s="4">
        <f>Q158*(1-Q162)*D161</f>
        <v>0</v>
      </c>
      <c r="S177" s="4">
        <f>Q158*(1-Q162)*E161</f>
        <v>0</v>
      </c>
      <c r="T177" s="4">
        <f>Q158*(1-Q162)*F161</f>
        <v>0</v>
      </c>
      <c r="U177" s="4">
        <f>Q158*(1-Q162)*G161</f>
        <v>0</v>
      </c>
      <c r="V177" s="4">
        <f>Q158*(1-Q162)*H161</f>
        <v>0</v>
      </c>
      <c r="W177" s="4">
        <f>Q158*(1-Q162)*I161</f>
        <v>0</v>
      </c>
      <c r="X177" s="4">
        <f>Q158*(1-Q162)*J161</f>
        <v>0</v>
      </c>
      <c r="Y177" s="4">
        <f>Q158*(1-Q162)*K161</f>
        <v>0</v>
      </c>
      <c r="Z177" s="4">
        <f>Q158*(1-Q162)*L161</f>
        <v>0</v>
      </c>
      <c r="AA177" s="4">
        <f>Q158*(1-Q162)*M161</f>
        <v>0</v>
      </c>
      <c r="AB177" s="4">
        <f>Q158*(1-Q162)*N161</f>
        <v>0</v>
      </c>
      <c r="AC177" s="4">
        <f>Q158*(1-Q162)*O161</f>
        <v>0</v>
      </c>
      <c r="AD177" s="4">
        <f>Q158*(1-Q162)*P161</f>
        <v>0</v>
      </c>
      <c r="AE177" s="4">
        <f>Q158*(1-Q162)*Q161</f>
        <v>0</v>
      </c>
      <c r="AF177" s="4">
        <f>Q158*(1-Q162)*R161</f>
        <v>0</v>
      </c>
      <c r="AG177" s="4">
        <f t="shared" si="68"/>
        <v>0</v>
      </c>
      <c r="AH177" s="252">
        <f t="shared" si="70"/>
        <v>0</v>
      </c>
    </row>
    <row r="178" spans="1:34">
      <c r="A178" s="6">
        <f t="shared" si="71"/>
        <v>2037</v>
      </c>
      <c r="B178" s="4">
        <f t="shared" si="69"/>
        <v>0</v>
      </c>
      <c r="R178" s="4">
        <f>R158*R162+R158*(1-R162)*C161</f>
        <v>0</v>
      </c>
      <c r="S178" s="4">
        <f>R158*(1-R162)*D161</f>
        <v>0</v>
      </c>
      <c r="T178" s="4">
        <f>R158*(1-R162)*E161</f>
        <v>0</v>
      </c>
      <c r="U178" s="4">
        <f>R158*(1-R162)*F161</f>
        <v>0</v>
      </c>
      <c r="V178" s="4">
        <f>R158*(1-R162)*G161</f>
        <v>0</v>
      </c>
      <c r="W178" s="4">
        <f>R158*(1-R162)*H161</f>
        <v>0</v>
      </c>
      <c r="X178" s="4">
        <f>R158*(1-R162)*I161</f>
        <v>0</v>
      </c>
      <c r="Y178" s="4">
        <f>R158*(1-R162)*J161</f>
        <v>0</v>
      </c>
      <c r="Z178" s="4">
        <f>R158*(1-R162)*K161</f>
        <v>0</v>
      </c>
      <c r="AA178" s="4">
        <f>R158*(1-R162)*L161</f>
        <v>0</v>
      </c>
      <c r="AB178" s="4">
        <f>R158*(1-R162)*M161</f>
        <v>0</v>
      </c>
      <c r="AC178" s="4">
        <f>R158*(1-R162)*N161</f>
        <v>0</v>
      </c>
      <c r="AD178" s="4">
        <f>R158*(1-R162)*O161</f>
        <v>0</v>
      </c>
      <c r="AE178" s="4">
        <f>R158*(1-R162)*P161</f>
        <v>0</v>
      </c>
      <c r="AF178" s="4">
        <f>R158*(1-R162)*Q161</f>
        <v>0</v>
      </c>
      <c r="AG178" s="4">
        <f t="shared" si="68"/>
        <v>0</v>
      </c>
      <c r="AH178" s="252">
        <f t="shared" si="70"/>
        <v>0</v>
      </c>
    </row>
    <row r="179" spans="1:34">
      <c r="A179" s="6">
        <f t="shared" si="71"/>
        <v>2038</v>
      </c>
      <c r="B179" s="4">
        <f t="shared" si="69"/>
        <v>0</v>
      </c>
      <c r="S179" s="4">
        <f>S158*S162+S158*(1-S162)*C161</f>
        <v>0</v>
      </c>
      <c r="T179" s="4">
        <f>+S158*(1-S162)*D161</f>
        <v>0</v>
      </c>
      <c r="U179" s="4">
        <f>+S158*(1-S162)*E161</f>
        <v>0</v>
      </c>
      <c r="V179" s="4">
        <f>+S158*(1-S162)*F161</f>
        <v>0</v>
      </c>
      <c r="W179" s="4">
        <f>+S158*(1-S162)*G161</f>
        <v>0</v>
      </c>
      <c r="X179" s="4">
        <f>+S158*(1-S162)*H161</f>
        <v>0</v>
      </c>
      <c r="Y179" s="4">
        <f>+S158*(1-S162)*I161</f>
        <v>0</v>
      </c>
      <c r="Z179" s="4">
        <f>+S158*(1-S162)*J161</f>
        <v>0</v>
      </c>
      <c r="AA179" s="4">
        <f>+S158*(1-S162)*K161</f>
        <v>0</v>
      </c>
      <c r="AB179" s="4">
        <f>+S158*(1-S162)*L161</f>
        <v>0</v>
      </c>
      <c r="AC179" s="4">
        <f>+S158*(1-S162)*M161</f>
        <v>0</v>
      </c>
      <c r="AD179" s="4">
        <f>+S158*(1-S162)*N161</f>
        <v>0</v>
      </c>
      <c r="AE179" s="4">
        <f>+S158*(1-S162)*O161</f>
        <v>0</v>
      </c>
      <c r="AF179" s="4">
        <f>+S158*(1-S162)*P161</f>
        <v>0</v>
      </c>
      <c r="AG179" s="4">
        <f t="shared" si="68"/>
        <v>0</v>
      </c>
      <c r="AH179" s="252">
        <f t="shared" si="70"/>
        <v>0</v>
      </c>
    </row>
    <row r="180" spans="1:34">
      <c r="A180" s="6">
        <f t="shared" si="71"/>
        <v>2039</v>
      </c>
      <c r="B180" s="4">
        <f t="shared" si="69"/>
        <v>0</v>
      </c>
      <c r="T180" s="4">
        <f>T158*T162+T158*(1-T162)*C161</f>
        <v>0</v>
      </c>
      <c r="U180" s="4">
        <f>+T158*(1-T162)*D161</f>
        <v>0</v>
      </c>
      <c r="V180" s="4">
        <f>+T158*(1-T162)*E161</f>
        <v>0</v>
      </c>
      <c r="W180" s="4">
        <f>+T158*(1-T162)*F161</f>
        <v>0</v>
      </c>
      <c r="X180" s="4">
        <f>+T158*(1-T162)*G161</f>
        <v>0</v>
      </c>
      <c r="Y180" s="4">
        <f>+T158*(1-T162)*H161</f>
        <v>0</v>
      </c>
      <c r="Z180" s="4">
        <f>+T158*(1-T162)*I161</f>
        <v>0</v>
      </c>
      <c r="AA180" s="4">
        <f>+T158*(1-T162)*J161</f>
        <v>0</v>
      </c>
      <c r="AB180" s="4">
        <f>+T158*(1-T162)*K161</f>
        <v>0</v>
      </c>
      <c r="AC180" s="4">
        <f>+T158*(1-T162)*L161</f>
        <v>0</v>
      </c>
      <c r="AD180" s="4">
        <f>+T158*(1-T162)*M161</f>
        <v>0</v>
      </c>
      <c r="AE180" s="4">
        <f>+T158*(1-T162)*N161</f>
        <v>0</v>
      </c>
      <c r="AF180" s="4">
        <f>+T158*(1-T162)*O161</f>
        <v>0</v>
      </c>
      <c r="AG180" s="4">
        <f t="shared" si="68"/>
        <v>0</v>
      </c>
      <c r="AH180" s="252">
        <f t="shared" si="70"/>
        <v>0</v>
      </c>
    </row>
    <row r="181" spans="1:34">
      <c r="A181" s="6">
        <f t="shared" si="71"/>
        <v>2040</v>
      </c>
      <c r="B181" s="4">
        <f t="shared" si="69"/>
        <v>0</v>
      </c>
      <c r="U181" s="4">
        <f>U158*U162+U158*(1-U162)*C161</f>
        <v>0</v>
      </c>
      <c r="V181" s="4">
        <f>+U158*(1-U162)*D161</f>
        <v>0</v>
      </c>
      <c r="W181" s="4">
        <f>+U158*(1-U162)*E161</f>
        <v>0</v>
      </c>
      <c r="X181" s="4">
        <f>+U158*(1-U162)*F161</f>
        <v>0</v>
      </c>
      <c r="Y181" s="4">
        <f>+U158*(1-U162)*G161</f>
        <v>0</v>
      </c>
      <c r="Z181" s="4">
        <f>+U158*(1-U162)*H161</f>
        <v>0</v>
      </c>
      <c r="AA181" s="4">
        <f>+U158*(1-U162)*I161</f>
        <v>0</v>
      </c>
      <c r="AB181" s="4">
        <f>+U158*(1-U162)*J161</f>
        <v>0</v>
      </c>
      <c r="AC181" s="4">
        <f>+U158*(1-U162)*K161</f>
        <v>0</v>
      </c>
      <c r="AD181" s="4">
        <f>+U158*(1-U162)*L161</f>
        <v>0</v>
      </c>
      <c r="AE181" s="4">
        <f>+U158*(1-U162)*M161</f>
        <v>0</v>
      </c>
      <c r="AF181" s="4">
        <f>+U158*(1-U162)*N161</f>
        <v>0</v>
      </c>
      <c r="AG181" s="4">
        <f t="shared" si="68"/>
        <v>0</v>
      </c>
      <c r="AH181" s="252">
        <f t="shared" si="70"/>
        <v>0</v>
      </c>
    </row>
    <row r="182" spans="1:34">
      <c r="A182" s="6">
        <f t="shared" si="71"/>
        <v>2041</v>
      </c>
      <c r="B182" s="4">
        <f t="shared" si="69"/>
        <v>0</v>
      </c>
      <c r="V182" s="4">
        <f>V158*V162+V158*(1-V162)*C161</f>
        <v>0</v>
      </c>
      <c r="W182" s="4">
        <f>+V158*(1-V162)*D161</f>
        <v>0</v>
      </c>
      <c r="X182" s="4">
        <f>+V158*(1-V162)*E161</f>
        <v>0</v>
      </c>
      <c r="Y182" s="4">
        <f>+V158*(1-V162)*F161</f>
        <v>0</v>
      </c>
      <c r="Z182" s="4">
        <f>+V158*(1-V162)*G161</f>
        <v>0</v>
      </c>
      <c r="AA182" s="4">
        <f>+V158*(1-V162)*H161</f>
        <v>0</v>
      </c>
      <c r="AB182" s="4">
        <f>+V158*(1-V162)*I161</f>
        <v>0</v>
      </c>
      <c r="AC182" s="4">
        <f>+V158*(1-V162)*J161</f>
        <v>0</v>
      </c>
      <c r="AD182" s="4">
        <f>+V158*(1-V162)*K161</f>
        <v>0</v>
      </c>
      <c r="AE182" s="4">
        <f>+V158*(1-V162)*L161</f>
        <v>0</v>
      </c>
      <c r="AF182" s="4">
        <f>+V158*(1-V162)*M161</f>
        <v>0</v>
      </c>
      <c r="AG182" s="4">
        <f t="shared" si="68"/>
        <v>0</v>
      </c>
      <c r="AH182" s="252">
        <f t="shared" si="70"/>
        <v>0</v>
      </c>
    </row>
    <row r="183" spans="1:34">
      <c r="A183" s="6">
        <f t="shared" si="71"/>
        <v>2042</v>
      </c>
      <c r="B183" s="4">
        <f t="shared" si="69"/>
        <v>0</v>
      </c>
      <c r="W183" s="4">
        <f>W158*W162+W158*(1-W162)*C161</f>
        <v>0</v>
      </c>
      <c r="X183" s="4">
        <f>+W158*(1-W162)*D161</f>
        <v>0</v>
      </c>
      <c r="Y183" s="4">
        <f>+W158*(1-W162)*E161</f>
        <v>0</v>
      </c>
      <c r="Z183" s="4">
        <f>+W158*(1-W162)*F161</f>
        <v>0</v>
      </c>
      <c r="AA183" s="4">
        <f>+W158*(1-W162)*G161</f>
        <v>0</v>
      </c>
      <c r="AB183" s="4">
        <f>+W158*(1-W162)*H161</f>
        <v>0</v>
      </c>
      <c r="AC183" s="4">
        <f>+W158*(1-W162)*I161</f>
        <v>0</v>
      </c>
      <c r="AD183" s="4">
        <f>+W158*(1-W162)*J161</f>
        <v>0</v>
      </c>
      <c r="AE183" s="4">
        <f>+W158*(1-W162)*K161</f>
        <v>0</v>
      </c>
      <c r="AF183" s="4">
        <f>+W158*(1-W162)*L161</f>
        <v>0</v>
      </c>
      <c r="AG183" s="4">
        <f t="shared" si="68"/>
        <v>0</v>
      </c>
      <c r="AH183" s="252">
        <f t="shared" si="70"/>
        <v>0</v>
      </c>
    </row>
    <row r="184" spans="1:34">
      <c r="A184" s="6">
        <f t="shared" si="71"/>
        <v>2043</v>
      </c>
      <c r="B184" s="4">
        <f t="shared" si="69"/>
        <v>0</v>
      </c>
      <c r="X184" s="4">
        <f>X158*X162+X158*(1-X162)*C161</f>
        <v>0</v>
      </c>
      <c r="Y184" s="4">
        <f>+X158*(1-X162)*D161</f>
        <v>0</v>
      </c>
      <c r="Z184" s="4">
        <f>+X158*(1-X162)*E161</f>
        <v>0</v>
      </c>
      <c r="AA184" s="4">
        <f>+X158*(1-X162)*F161</f>
        <v>0</v>
      </c>
      <c r="AB184" s="4">
        <f>+X158*(1-X162)*G161</f>
        <v>0</v>
      </c>
      <c r="AC184" s="4">
        <f>+X158*(1-X162)*H161</f>
        <v>0</v>
      </c>
      <c r="AD184" s="4">
        <f>+X158*(1-X162)*I161</f>
        <v>0</v>
      </c>
      <c r="AE184" s="4">
        <f>+X158*(1-X162)*J161</f>
        <v>0</v>
      </c>
      <c r="AF184" s="4">
        <f>+X158*(1-X162)*K161</f>
        <v>0</v>
      </c>
      <c r="AG184" s="4">
        <f t="shared" si="68"/>
        <v>0</v>
      </c>
      <c r="AH184" s="252">
        <f t="shared" si="70"/>
        <v>0</v>
      </c>
    </row>
    <row r="185" spans="1:34">
      <c r="A185" s="6">
        <f t="shared" si="71"/>
        <v>2044</v>
      </c>
      <c r="B185" s="4">
        <f t="shared" si="69"/>
        <v>0</v>
      </c>
      <c r="Y185" s="4">
        <f>Y158*Y162+Y158*(1-Y162)*C161</f>
        <v>0</v>
      </c>
      <c r="Z185" s="4">
        <f>+Y158*(1-Y162)*D161</f>
        <v>0</v>
      </c>
      <c r="AA185" s="4">
        <f>+Y158*(1-Y162)*E161</f>
        <v>0</v>
      </c>
      <c r="AB185" s="4">
        <f>+Y158*(1-Y162)*F161</f>
        <v>0</v>
      </c>
      <c r="AC185" s="4">
        <f>+Y158*(1-Y162)*G161</f>
        <v>0</v>
      </c>
      <c r="AD185" s="4">
        <f>+Y158*(1-Y162)*H161</f>
        <v>0</v>
      </c>
      <c r="AE185" s="4">
        <f>+Y158*(1-Y162)*I161</f>
        <v>0</v>
      </c>
      <c r="AF185" s="4">
        <f>+Y158*(1-Y162)*J161</f>
        <v>0</v>
      </c>
      <c r="AG185" s="4">
        <f t="shared" si="68"/>
        <v>0</v>
      </c>
      <c r="AH185" s="252">
        <f t="shared" si="70"/>
        <v>0</v>
      </c>
    </row>
    <row r="186" spans="1:34">
      <c r="A186" s="6">
        <f t="shared" si="71"/>
        <v>2045</v>
      </c>
      <c r="B186" s="4">
        <f t="shared" si="69"/>
        <v>0</v>
      </c>
      <c r="Z186" s="4">
        <f>Z158*Z162+Z158*(1-Z162)*C161</f>
        <v>0</v>
      </c>
      <c r="AA186" s="4">
        <f>+Z158*(1-Z162)*D161</f>
        <v>0</v>
      </c>
      <c r="AB186" s="4">
        <f>+Z158*(1-Z162)*E161</f>
        <v>0</v>
      </c>
      <c r="AC186" s="4">
        <f>+Z158*(1-Z162)*F161</f>
        <v>0</v>
      </c>
      <c r="AD186" s="4">
        <f>+Z158*(1-Z162)*G161</f>
        <v>0</v>
      </c>
      <c r="AE186" s="4">
        <f>+Z158*(1-Z162)*H161</f>
        <v>0</v>
      </c>
      <c r="AF186" s="4">
        <f>+Z158*(1-Z162)*I161</f>
        <v>0</v>
      </c>
      <c r="AG186" s="4">
        <f t="shared" si="68"/>
        <v>0</v>
      </c>
      <c r="AH186" s="252">
        <f t="shared" si="70"/>
        <v>0</v>
      </c>
    </row>
    <row r="187" spans="1:34">
      <c r="A187" s="6">
        <f t="shared" si="71"/>
        <v>2046</v>
      </c>
      <c r="B187" s="4">
        <f t="shared" si="69"/>
        <v>0</v>
      </c>
      <c r="AA187" s="4">
        <f>AA158*AA162+AA158*(1-AA162)*C161</f>
        <v>0</v>
      </c>
      <c r="AB187" s="4">
        <f>+AA158*(1-AA162)*D161</f>
        <v>0</v>
      </c>
      <c r="AC187" s="4">
        <f>+AA158*(1-AA162)*E161</f>
        <v>0</v>
      </c>
      <c r="AD187" s="4">
        <f>+AA158*(1-AA162)*F161</f>
        <v>0</v>
      </c>
      <c r="AE187" s="4">
        <f>+AA158*(1-AA162)*G161</f>
        <v>0</v>
      </c>
      <c r="AF187" s="4">
        <f>+AA158*(1-AA162)*H161</f>
        <v>0</v>
      </c>
      <c r="AG187" s="4">
        <f t="shared" si="68"/>
        <v>0</v>
      </c>
      <c r="AH187" s="252">
        <f t="shared" si="70"/>
        <v>0</v>
      </c>
    </row>
    <row r="188" spans="1:34">
      <c r="A188" s="6">
        <f t="shared" si="71"/>
        <v>2047</v>
      </c>
      <c r="B188" s="4">
        <f t="shared" si="69"/>
        <v>0</v>
      </c>
      <c r="AB188" s="4">
        <f>AB158*AB162+AB158*(1-AB162)*C161</f>
        <v>0</v>
      </c>
      <c r="AC188" s="4">
        <f>+AB158*(1-AB162)*D161</f>
        <v>0</v>
      </c>
      <c r="AD188" s="4">
        <f>+AB158*(1-AB162)*E161</f>
        <v>0</v>
      </c>
      <c r="AE188" s="4">
        <f>+AB158*(1-AB162)*F161</f>
        <v>0</v>
      </c>
      <c r="AF188" s="4">
        <f>+AB158*(1-AB162)*G161</f>
        <v>0</v>
      </c>
      <c r="AG188" s="4">
        <f t="shared" ref="AG188:AG192" si="72">SUM(C188:AF188)</f>
        <v>0</v>
      </c>
      <c r="AH188" s="252">
        <f t="shared" si="70"/>
        <v>0</v>
      </c>
    </row>
    <row r="189" spans="1:34">
      <c r="A189" s="6">
        <f t="shared" si="71"/>
        <v>2048</v>
      </c>
      <c r="B189" s="4">
        <f t="shared" si="69"/>
        <v>0</v>
      </c>
      <c r="AC189" s="4">
        <f>AC158*AC162+AC158*(1-AC162)*C161</f>
        <v>0</v>
      </c>
      <c r="AD189" s="4">
        <f>+AC158*(1-AC162)*D161</f>
        <v>0</v>
      </c>
      <c r="AE189" s="4">
        <f>+AC158*(1-AC162)*E161</f>
        <v>0</v>
      </c>
      <c r="AF189" s="4">
        <f>+AC158*(1-AC162)*F161</f>
        <v>0</v>
      </c>
      <c r="AG189" s="4">
        <f t="shared" si="72"/>
        <v>0</v>
      </c>
      <c r="AH189" s="252">
        <f t="shared" si="70"/>
        <v>0</v>
      </c>
    </row>
    <row r="190" spans="1:34">
      <c r="A190" s="6">
        <f t="shared" si="71"/>
        <v>2049</v>
      </c>
      <c r="B190" s="4">
        <f t="shared" si="69"/>
        <v>0</v>
      </c>
      <c r="AD190" s="4">
        <f>AD158*AD162+AD158*(1-AD162)*C161</f>
        <v>0</v>
      </c>
      <c r="AE190" s="4">
        <f>+AD158*(1-AD162)*D161</f>
        <v>0</v>
      </c>
      <c r="AF190" s="4">
        <f>+AD158*(1-AD162)*E161</f>
        <v>0</v>
      </c>
      <c r="AG190" s="4">
        <f t="shared" si="72"/>
        <v>0</v>
      </c>
      <c r="AH190" s="252">
        <f t="shared" si="70"/>
        <v>0</v>
      </c>
    </row>
    <row r="191" spans="1:34">
      <c r="A191" s="6">
        <f t="shared" si="71"/>
        <v>2050</v>
      </c>
      <c r="B191" s="4">
        <f t="shared" si="69"/>
        <v>0</v>
      </c>
      <c r="AE191" s="4">
        <f>AE158*AE162+AE158*(1-AE162)*C161</f>
        <v>0</v>
      </c>
      <c r="AF191" s="4">
        <f>+AE158*(1-AE162)*D161</f>
        <v>0</v>
      </c>
      <c r="AG191" s="4">
        <f t="shared" si="72"/>
        <v>0</v>
      </c>
      <c r="AH191" s="252">
        <f t="shared" si="70"/>
        <v>0</v>
      </c>
    </row>
    <row r="192" spans="1:34">
      <c r="A192" s="6">
        <f t="shared" si="71"/>
        <v>2051</v>
      </c>
      <c r="B192" s="4">
        <f t="shared" si="69"/>
        <v>0</v>
      </c>
      <c r="AF192" s="4">
        <f>AF158*AF162+AF158*(1-AF162)*C161</f>
        <v>0</v>
      </c>
      <c r="AG192" s="4">
        <f t="shared" si="72"/>
        <v>0</v>
      </c>
      <c r="AH192" s="252">
        <f t="shared" si="70"/>
        <v>0</v>
      </c>
    </row>
    <row r="193" spans="1:34">
      <c r="A193" s="6" t="str">
        <f>"Total Depreciation - "&amp;A157</f>
        <v>Total Depreciation - Capital Plug</v>
      </c>
      <c r="B193" s="49">
        <f>SUM(B163:B192)</f>
        <v>5435990.2360561565</v>
      </c>
      <c r="C193" s="49">
        <f>SUM(C163:C192)</f>
        <v>0</v>
      </c>
      <c r="D193" s="49">
        <f t="shared" ref="D193:AH193" si="73">SUM(D163:D192)</f>
        <v>0</v>
      </c>
      <c r="E193" s="49">
        <f t="shared" si="73"/>
        <v>0</v>
      </c>
      <c r="F193" s="49">
        <f t="shared" si="73"/>
        <v>139384.36502708093</v>
      </c>
      <c r="G193" s="49">
        <f t="shared" si="73"/>
        <v>139384.36502708093</v>
      </c>
      <c r="H193" s="49">
        <f t="shared" si="73"/>
        <v>139384.36502708093</v>
      </c>
      <c r="I193" s="49">
        <f t="shared" si="73"/>
        <v>139384.36502708093</v>
      </c>
      <c r="J193" s="49">
        <f t="shared" si="73"/>
        <v>139384.36502708093</v>
      </c>
      <c r="K193" s="49">
        <f t="shared" si="73"/>
        <v>139384.36502708093</v>
      </c>
      <c r="L193" s="49">
        <f t="shared" si="73"/>
        <v>139384.36502708093</v>
      </c>
      <c r="M193" s="49">
        <f t="shared" si="73"/>
        <v>139384.36502708093</v>
      </c>
      <c r="N193" s="49">
        <f t="shared" si="73"/>
        <v>139384.36502708093</v>
      </c>
      <c r="O193" s="49">
        <f t="shared" si="73"/>
        <v>139384.36502708093</v>
      </c>
      <c r="P193" s="49">
        <f t="shared" si="73"/>
        <v>139384.36502708093</v>
      </c>
      <c r="Q193" s="49">
        <f t="shared" si="73"/>
        <v>139384.36502708093</v>
      </c>
      <c r="R193" s="49">
        <f t="shared" si="73"/>
        <v>139384.36502708093</v>
      </c>
      <c r="S193" s="49">
        <f t="shared" si="73"/>
        <v>139384.36502708093</v>
      </c>
      <c r="T193" s="49">
        <f t="shared" si="73"/>
        <v>139384.36502708093</v>
      </c>
      <c r="U193" s="49">
        <f t="shared" si="73"/>
        <v>139384.36502708093</v>
      </c>
      <c r="V193" s="49">
        <f t="shared" si="73"/>
        <v>139384.36502708093</v>
      </c>
      <c r="W193" s="49">
        <f t="shared" si="73"/>
        <v>139384.36502708093</v>
      </c>
      <c r="X193" s="49">
        <f t="shared" si="73"/>
        <v>139384.36502708093</v>
      </c>
      <c r="Y193" s="49">
        <f t="shared" si="73"/>
        <v>139384.36502708093</v>
      </c>
      <c r="Z193" s="49">
        <f t="shared" si="73"/>
        <v>139384.36502708093</v>
      </c>
      <c r="AA193" s="49">
        <f t="shared" si="73"/>
        <v>139384.36502708093</v>
      </c>
      <c r="AB193" s="49">
        <f t="shared" si="73"/>
        <v>139384.36502708093</v>
      </c>
      <c r="AC193" s="49">
        <f t="shared" si="73"/>
        <v>139384.36502708093</v>
      </c>
      <c r="AD193" s="49">
        <f t="shared" si="73"/>
        <v>139384.36502708093</v>
      </c>
      <c r="AE193" s="49">
        <f t="shared" si="73"/>
        <v>139384.36502708093</v>
      </c>
      <c r="AF193" s="49">
        <f t="shared" si="73"/>
        <v>139384.36502708093</v>
      </c>
      <c r="AG193" s="49">
        <f t="shared" si="73"/>
        <v>3763377.8557311837</v>
      </c>
      <c r="AH193" s="49">
        <f t="shared" si="73"/>
        <v>1672612.3803249728</v>
      </c>
    </row>
    <row r="195" spans="1:34">
      <c r="A195" s="302" t="str">
        <f>+Book!A185</f>
        <v>Parking Garage (1,000 Spaces)</v>
      </c>
    </row>
    <row r="196" spans="1:34">
      <c r="A196" s="6" t="s">
        <v>406</v>
      </c>
      <c r="C196" s="40">
        <f>IF(Capex!$F$11="y",Book!C186*(1-C$446),Book!C186)</f>
        <v>0</v>
      </c>
      <c r="D196" s="40">
        <f>IF(Capex!$F$11="y",Book!D186*(1-D$446),Book!D186)</f>
        <v>0</v>
      </c>
      <c r="E196" s="40">
        <f>IF(Capex!$F$11="y",Book!E186*(1-E$446),Book!E186)</f>
        <v>22497924.584127281</v>
      </c>
      <c r="F196" s="40">
        <f>IF(Capex!$F$11="y",Book!F186*(1-F$446),Book!F186)</f>
        <v>0</v>
      </c>
      <c r="G196" s="40">
        <f>IF(Capex!$F$11="y",Book!G186*(1-G$446),Book!G186)</f>
        <v>0</v>
      </c>
      <c r="H196" s="40">
        <f>IF(Capex!$F$11="y",Book!H186*(1-H$446),Book!H186)</f>
        <v>0</v>
      </c>
      <c r="I196" s="40">
        <f>IF(Capex!$F$11="y",Book!I186*(1-I$446),Book!I186)</f>
        <v>0</v>
      </c>
      <c r="J196" s="40">
        <f>IF(Capex!$F$11="y",Book!J186*(1-J$446),Book!J186)</f>
        <v>0</v>
      </c>
      <c r="K196" s="40">
        <f>IF(Capex!$F$11="y",Book!K186*(1-K$446),Book!K186)</f>
        <v>0</v>
      </c>
      <c r="L196" s="40">
        <f>IF(Capex!$F$11="y",Book!L186*(1-L$446),Book!L186)</f>
        <v>0</v>
      </c>
      <c r="M196" s="40">
        <f>IF(Capex!$F$11="y",Book!M186*(1-M$446),Book!M186)</f>
        <v>0</v>
      </c>
      <c r="N196" s="40">
        <f>IF(Capex!$F$11="y",Book!N186*(1-N$446),Book!N186)</f>
        <v>0</v>
      </c>
      <c r="O196" s="40">
        <f>IF(Capex!$F$11="y",Book!O186*(1-O$446),Book!O186)</f>
        <v>0</v>
      </c>
      <c r="P196" s="40">
        <f>IF(Capex!$F$11="y",Book!P186*(1-P$446),Book!P186)</f>
        <v>0</v>
      </c>
      <c r="Q196" s="40">
        <f>IF(Capex!$F$11="y",Book!Q186*(1-Q$446),Book!Q186)</f>
        <v>0</v>
      </c>
      <c r="R196" s="40">
        <f>IF(Capex!$F$11="y",Book!R186*(1-R$446),Book!R186)</f>
        <v>0</v>
      </c>
      <c r="S196" s="40">
        <f>IF(Capex!$F$11="y",Book!S186*(1-S$446),Book!S186)</f>
        <v>0</v>
      </c>
      <c r="T196" s="40">
        <f>IF(Capex!$F$11="y",Book!T186*(1-T$446),Book!T186)</f>
        <v>0</v>
      </c>
      <c r="U196" s="40">
        <f>IF(Capex!$F$11="y",Book!U186*(1-U$446),Book!U186)</f>
        <v>0</v>
      </c>
      <c r="V196" s="40">
        <f>IF(Capex!$F$11="y",Book!V186*(1-V$446),Book!V186)</f>
        <v>0</v>
      </c>
      <c r="W196" s="40">
        <f>IF(Capex!$F$11="y",Book!W186*(1-W$446),Book!W186)</f>
        <v>0</v>
      </c>
      <c r="X196" s="40">
        <f>IF(Capex!$F$11="y",Book!X186*(1-X$446),Book!X186)</f>
        <v>0</v>
      </c>
      <c r="Y196" s="40">
        <f>IF(Capex!$F$11="y",Book!Y186*(1-Y$446),Book!Y186)</f>
        <v>0</v>
      </c>
      <c r="Z196" s="40">
        <f>IF(Capex!$F$11="y",Book!Z186*(1-Z$446),Book!Z186)</f>
        <v>0</v>
      </c>
      <c r="AA196" s="40">
        <f>IF(Capex!$F$11="y",Book!AA186*(1-AA$446),Book!AA186)</f>
        <v>0</v>
      </c>
      <c r="AB196" s="40">
        <f>IF(Capex!$F$11="y",Book!AB186*(1-AB$446),Book!AB186)</f>
        <v>0</v>
      </c>
      <c r="AC196" s="40">
        <f>IF(Capex!$F$11="y",Book!AC186*(1-AC$446),Book!AC186)</f>
        <v>0</v>
      </c>
      <c r="AD196" s="40">
        <f>IF(Capex!$F$11="y",Book!AD186*(1-AD$446),Book!AD186)</f>
        <v>0</v>
      </c>
      <c r="AE196" s="40">
        <f>IF(Capex!$F$11="y",Book!AE186*(1-AE$446),Book!AE186)</f>
        <v>0</v>
      </c>
      <c r="AF196" s="40">
        <f>IF(Capex!$F$11="y",Book!AF186*(1-AF$446),Book!AF186)</f>
        <v>0</v>
      </c>
    </row>
    <row r="197" spans="1:34">
      <c r="A197" s="6" t="s">
        <v>215</v>
      </c>
      <c r="C197" s="49">
        <f>+C196</f>
        <v>0</v>
      </c>
      <c r="D197" s="49">
        <f t="shared" ref="D197:AF197" si="74">+D196+C197</f>
        <v>0</v>
      </c>
      <c r="E197" s="49">
        <f t="shared" si="74"/>
        <v>22497924.584127281</v>
      </c>
      <c r="F197" s="49">
        <f t="shared" si="74"/>
        <v>22497924.584127281</v>
      </c>
      <c r="G197" s="49">
        <f t="shared" si="74"/>
        <v>22497924.584127281</v>
      </c>
      <c r="H197" s="49">
        <f t="shared" si="74"/>
        <v>22497924.584127281</v>
      </c>
      <c r="I197" s="49">
        <f t="shared" si="74"/>
        <v>22497924.584127281</v>
      </c>
      <c r="J197" s="49">
        <f t="shared" si="74"/>
        <v>22497924.584127281</v>
      </c>
      <c r="K197" s="49">
        <f t="shared" si="74"/>
        <v>22497924.584127281</v>
      </c>
      <c r="L197" s="49">
        <f t="shared" si="74"/>
        <v>22497924.584127281</v>
      </c>
      <c r="M197" s="49">
        <f t="shared" si="74"/>
        <v>22497924.584127281</v>
      </c>
      <c r="N197" s="49">
        <f t="shared" si="74"/>
        <v>22497924.584127281</v>
      </c>
      <c r="O197" s="49">
        <f t="shared" si="74"/>
        <v>22497924.584127281</v>
      </c>
      <c r="P197" s="49">
        <f t="shared" si="74"/>
        <v>22497924.584127281</v>
      </c>
      <c r="Q197" s="49">
        <f t="shared" si="74"/>
        <v>22497924.584127281</v>
      </c>
      <c r="R197" s="49">
        <f t="shared" si="74"/>
        <v>22497924.584127281</v>
      </c>
      <c r="S197" s="49">
        <f t="shared" si="74"/>
        <v>22497924.584127281</v>
      </c>
      <c r="T197" s="49">
        <f t="shared" si="74"/>
        <v>22497924.584127281</v>
      </c>
      <c r="U197" s="49">
        <f t="shared" si="74"/>
        <v>22497924.584127281</v>
      </c>
      <c r="V197" s="49">
        <f t="shared" si="74"/>
        <v>22497924.584127281</v>
      </c>
      <c r="W197" s="49">
        <f t="shared" si="74"/>
        <v>22497924.584127281</v>
      </c>
      <c r="X197" s="49">
        <f t="shared" si="74"/>
        <v>22497924.584127281</v>
      </c>
      <c r="Y197" s="49">
        <f t="shared" si="74"/>
        <v>22497924.584127281</v>
      </c>
      <c r="Z197" s="49">
        <f t="shared" si="74"/>
        <v>22497924.584127281</v>
      </c>
      <c r="AA197" s="49">
        <f t="shared" si="74"/>
        <v>22497924.584127281</v>
      </c>
      <c r="AB197" s="49">
        <f t="shared" si="74"/>
        <v>22497924.584127281</v>
      </c>
      <c r="AC197" s="49">
        <f t="shared" si="74"/>
        <v>22497924.584127281</v>
      </c>
      <c r="AD197" s="49">
        <f t="shared" si="74"/>
        <v>22497924.584127281</v>
      </c>
      <c r="AE197" s="49">
        <f t="shared" si="74"/>
        <v>22497924.584127281</v>
      </c>
      <c r="AF197" s="49">
        <f t="shared" si="74"/>
        <v>22497924.584127281</v>
      </c>
    </row>
    <row r="198" spans="1:34">
      <c r="A198" s="6" t="s">
        <v>407</v>
      </c>
    </row>
    <row r="199" spans="1:34">
      <c r="A199" s="6" t="s">
        <v>408</v>
      </c>
      <c r="B199" s="88">
        <f>+Capex!$E$11</f>
        <v>39</v>
      </c>
      <c r="C199" s="5">
        <f>SUMIF($B$459:$I$459,$B199,$B$460:$I$460)</f>
        <v>2.564102564102564E-2</v>
      </c>
      <c r="D199" s="5">
        <f>SUMIF($B$459:$I$459,$B199,$B$461:$I$461)</f>
        <v>2.564102564102564E-2</v>
      </c>
      <c r="E199" s="5">
        <f>SUMIF($B$459:$I$459,$B199,$B$462:$I$462)</f>
        <v>2.564102564102564E-2</v>
      </c>
      <c r="F199" s="5">
        <f>SUMIF($B$459:$I$459,$B199,$B$463:$I$463)</f>
        <v>2.564102564102564E-2</v>
      </c>
      <c r="G199" s="5">
        <f>SUMIF($B$459:$I$459,$B199,$B$464:$I$464)</f>
        <v>2.564102564102564E-2</v>
      </c>
      <c r="H199" s="5">
        <f>SUMIF($B$459:$I$459,$B199,$B$465:$I$465)</f>
        <v>2.564102564102564E-2</v>
      </c>
      <c r="I199" s="5">
        <f>SUMIF($B$459:$I$459,$B199,$B$466:$I$466)</f>
        <v>2.564102564102564E-2</v>
      </c>
      <c r="J199" s="5">
        <f>SUMIF($B$459:$I$459,$B199,$B$467:$I$467)</f>
        <v>2.564102564102564E-2</v>
      </c>
      <c r="K199" s="5">
        <f>SUMIF($B$459:$I$459,$B199,$B$468:$I$468)</f>
        <v>2.564102564102564E-2</v>
      </c>
      <c r="L199" s="5">
        <f>SUMIF($B$459:$I$459,$B199,$B$469:$I$469)</f>
        <v>2.564102564102564E-2</v>
      </c>
      <c r="M199" s="5">
        <f>SUMIF($B$459:$I$459,$B199,$B$470:$I$470)</f>
        <v>2.564102564102564E-2</v>
      </c>
      <c r="N199" s="5">
        <f>SUMIF($B$459:$I$459,$B199,$B$471:$I$471)</f>
        <v>2.564102564102564E-2</v>
      </c>
      <c r="O199" s="5">
        <f>SUMIF($B$459:$I$459,$B199,$B$472:$I$472)</f>
        <v>2.564102564102564E-2</v>
      </c>
      <c r="P199" s="5">
        <f>SUMIF($B$459:$I$459,$B199,$B$473:$I$473)</f>
        <v>2.564102564102564E-2</v>
      </c>
      <c r="Q199" s="5">
        <f>SUMIF($B$459:$I$459,$B199,$B$474:$I$474)</f>
        <v>2.564102564102564E-2</v>
      </c>
      <c r="R199" s="5">
        <f>SUMIF($B$459:$I$459,$B199,$B$475:$I$475)</f>
        <v>2.564102564102564E-2</v>
      </c>
      <c r="S199" s="5">
        <f>SUMIF($B$459:$I$459,$B199,$B$476:$I$476)</f>
        <v>2.564102564102564E-2</v>
      </c>
      <c r="T199" s="5">
        <f>SUMIF($B$459:$I$459,$B199,$B$477:$I$477)</f>
        <v>2.564102564102564E-2</v>
      </c>
      <c r="U199" s="5">
        <f>SUMIF($B$459:$I$459,$B199,$B$478:$I$478)</f>
        <v>2.564102564102564E-2</v>
      </c>
      <c r="V199" s="5">
        <f>SUMIF($B$459:$I$459,$B199,$B$479:$I$479)</f>
        <v>2.564102564102564E-2</v>
      </c>
      <c r="W199" s="5">
        <f>SUMIF($B$459:$I$459,$B199,$B$480:$I$480)</f>
        <v>2.564102564102564E-2</v>
      </c>
      <c r="X199" s="5">
        <f>SUMIF($B$459:$I$459,$B199,$B$481:$I$481)</f>
        <v>2.564102564102564E-2</v>
      </c>
      <c r="Y199" s="5">
        <f>SUMIF($B$459:$I$459,$B199,$B$482:$I$482)</f>
        <v>2.564102564102564E-2</v>
      </c>
      <c r="Z199" s="5">
        <f>SUMIF($B$459:$I$459,$B199,$B$483:$I$483)</f>
        <v>2.564102564102564E-2</v>
      </c>
      <c r="AA199" s="5">
        <f t="shared" ref="AA199:AF199" si="75">SUMIF($B$459:$I$459,$B199,$B$484:$I$484)</f>
        <v>2.564102564102564E-2</v>
      </c>
      <c r="AB199" s="5">
        <f t="shared" si="75"/>
        <v>2.564102564102564E-2</v>
      </c>
      <c r="AC199" s="5">
        <f t="shared" si="75"/>
        <v>2.564102564102564E-2</v>
      </c>
      <c r="AD199" s="5">
        <f t="shared" si="75"/>
        <v>2.564102564102564E-2</v>
      </c>
      <c r="AE199" s="5">
        <f t="shared" si="75"/>
        <v>2.564102564102564E-2</v>
      </c>
      <c r="AF199" s="5">
        <f t="shared" si="75"/>
        <v>2.564102564102564E-2</v>
      </c>
    </row>
    <row r="200" spans="1:34">
      <c r="A200" s="6" t="s">
        <v>409</v>
      </c>
      <c r="B200" s="89"/>
      <c r="C200" s="94">
        <f>IF(C$2&gt;'Input Data'!$M$37,B200,IF($B199=0,0,SUMIF('Input Data'!$C$37:$M$37,C$2,'Input Data'!$C$38:$M$38)))</f>
        <v>0</v>
      </c>
      <c r="D200" s="94">
        <f>IF(D$2&gt;'Input Data'!$M$37,C200,IF($B199=0,0,SUMIF('Input Data'!$C$37:$M$37,D$2,'Input Data'!$C$38:$M$38)))</f>
        <v>0</v>
      </c>
      <c r="E200" s="94">
        <f>IF(E$2&gt;'Input Data'!$M$37,D200,IF($B199=0,0,SUMIF('Input Data'!$C$37:$M$37,E$2,'Input Data'!$C$38:$M$38)))</f>
        <v>0</v>
      </c>
      <c r="F200" s="94">
        <f>IF(F$2&gt;'Input Data'!$M$37,E200,IF($B199=0,0,SUMIF('Input Data'!$C$37:$M$37,F$2,'Input Data'!$C$38:$M$38)))</f>
        <v>0</v>
      </c>
      <c r="G200" s="94">
        <f>IF(G$2&gt;'Input Data'!$M$37,F200,IF($B199=0,0,SUMIF('Input Data'!$C$37:$M$37,G$2,'Input Data'!$C$38:$M$38)))</f>
        <v>0</v>
      </c>
      <c r="H200" s="94">
        <f>IF(H$2&gt;'Input Data'!$M$37,G200,IF($B199=0,0,SUMIF('Input Data'!$C$37:$M$37,H$2,'Input Data'!$C$38:$M$38)))</f>
        <v>0</v>
      </c>
      <c r="I200" s="94">
        <f>IF(I$2&gt;'Input Data'!$M$37,H200,IF($B199=0,0,SUMIF('Input Data'!$C$37:$M$37,I$2,'Input Data'!$C$38:$M$38)))</f>
        <v>0</v>
      </c>
      <c r="J200" s="94">
        <f>IF(J$2&gt;'Input Data'!$M$37,I200,IF($B199=0,0,SUMIF('Input Data'!$C$37:$M$37,J$2,'Input Data'!$C$38:$M$38)))</f>
        <v>0</v>
      </c>
      <c r="K200" s="94">
        <f>IF(K$2&gt;'Input Data'!$M$37,J200,IF($B199=0,0,SUMIF('Input Data'!$C$37:$M$37,K$2,'Input Data'!$C$38:$M$38)))</f>
        <v>0</v>
      </c>
      <c r="L200" s="94">
        <f>IF(L$2&gt;'Input Data'!$M$37,K200,IF($B199=0,0,SUMIF('Input Data'!$C$37:$M$37,L$2,'Input Data'!$C$38:$M$38)))</f>
        <v>0</v>
      </c>
      <c r="M200" s="94">
        <f>IF(M$2&gt;'Input Data'!$M$37,L200,IF($B199=0,0,SUMIF('Input Data'!$C$37:$M$37,M$2,'Input Data'!$C$38:$M$38)))</f>
        <v>0</v>
      </c>
      <c r="N200" s="94">
        <f>IF(N$2&gt;'Input Data'!$M$37,M200,IF($B199=0,0,SUMIF('Input Data'!$C$37:$M$37,N$2,'Input Data'!$C$38:$M$38)))</f>
        <v>0</v>
      </c>
      <c r="O200" s="94">
        <f>IF(O$2&gt;'Input Data'!$M$37,N200,IF($B199=0,0,SUMIF('Input Data'!$C$37:$M$37,O$2,'Input Data'!$C$38:$M$38)))</f>
        <v>0</v>
      </c>
      <c r="P200" s="94">
        <f>IF(P$2&gt;'Input Data'!$M$37,O200,IF($B199=0,0,SUMIF('Input Data'!$C$37:$M$37,P$2,'Input Data'!$C$38:$M$38)))</f>
        <v>0</v>
      </c>
      <c r="Q200" s="94">
        <f>IF(Q$2&gt;'Input Data'!$M$37,P200,IF($B199=0,0,SUMIF('Input Data'!$C$37:$M$37,Q$2,'Input Data'!$C$38:$M$38)))</f>
        <v>0</v>
      </c>
      <c r="R200" s="94">
        <f>IF(R$2&gt;'Input Data'!$M$37,Q200,IF($B199=0,0,SUMIF('Input Data'!$C$37:$M$37,R$2,'Input Data'!$C$38:$M$38)))</f>
        <v>0</v>
      </c>
      <c r="S200" s="94">
        <f>IF(S$2&gt;'Input Data'!$M$37,R200,IF($B199=0,0,SUMIF('Input Data'!$C$37:$M$37,S$2,'Input Data'!$C$38:$M$38)))</f>
        <v>0</v>
      </c>
      <c r="T200" s="94">
        <f>IF(T$2&gt;'Input Data'!$M$37,S200,IF($B199=0,0,SUMIF('Input Data'!$C$37:$M$37,T$2,'Input Data'!$C$38:$M$38)))</f>
        <v>0</v>
      </c>
      <c r="U200" s="94">
        <f>IF(U$2&gt;'Input Data'!$M$37,T200,IF($B199=0,0,SUMIF('Input Data'!$C$37:$M$37,U$2,'Input Data'!$C$38:$M$38)))</f>
        <v>0</v>
      </c>
      <c r="V200" s="94">
        <f>IF(V$2&gt;'Input Data'!$M$37,U200,IF($B199=0,0,SUMIF('Input Data'!$C$37:$M$37,V$2,'Input Data'!$C$38:$M$38)))</f>
        <v>0</v>
      </c>
      <c r="W200" s="94">
        <f>IF(W$2&gt;'Input Data'!$M$37,V200,IF($B199=0,0,SUMIF('Input Data'!$C$37:$M$37,W$2,'Input Data'!$C$38:$M$38)))</f>
        <v>0</v>
      </c>
      <c r="X200" s="94">
        <f>IF(X$2&gt;'Input Data'!$M$37,W200,IF($B199=0,0,SUMIF('Input Data'!$C$37:$M$37,X$2,'Input Data'!$C$38:$M$38)))</f>
        <v>0</v>
      </c>
      <c r="Y200" s="94">
        <f>IF(Y$2&gt;'Input Data'!$M$37,X200,IF($B199=0,0,SUMIF('Input Data'!$C$37:$M$37,Y$2,'Input Data'!$C$38:$M$38)))</f>
        <v>0</v>
      </c>
      <c r="Z200" s="94">
        <f>IF(Z$2&gt;'Input Data'!$M$37,Y200,IF($B199=0,0,SUMIF('Input Data'!$C$37:$M$37,Z$2,'Input Data'!$C$38:$M$38)))</f>
        <v>0</v>
      </c>
      <c r="AA200" s="94">
        <f>IF(AA$2&gt;'Input Data'!$M$37,Z200,IF($B199=0,0,SUMIF('Input Data'!$C$37:$M$37,AA$2,'Input Data'!$C$38:$M$38)))</f>
        <v>0</v>
      </c>
      <c r="AB200" s="94">
        <f>IF(AB$2&gt;'Input Data'!$M$37,AA200,IF($B199=0,0,SUMIF('Input Data'!$C$37:$M$37,AB$2,'Input Data'!$C$38:$M$38)))</f>
        <v>0</v>
      </c>
      <c r="AC200" s="94">
        <f>IF(AC$2&gt;'Input Data'!$M$37,AB200,IF($B199=0,0,SUMIF('Input Data'!$C$37:$M$37,AC$2,'Input Data'!$C$38:$M$38)))</f>
        <v>0</v>
      </c>
      <c r="AD200" s="94">
        <f>IF(AD$2&gt;'Input Data'!$M$37,AC200,IF($B199=0,0,SUMIF('Input Data'!$C$37:$M$37,AD$2,'Input Data'!$C$38:$M$38)))</f>
        <v>0</v>
      </c>
      <c r="AE200" s="94">
        <f>IF(AE$2&gt;'Input Data'!$M$37,AD200,IF($B199=0,0,SUMIF('Input Data'!$C$37:$M$37,AE$2,'Input Data'!$C$38:$M$38)))</f>
        <v>0</v>
      </c>
      <c r="AF200" s="94">
        <f>IF(AF$2&gt;'Input Data'!$M$37,AE200,IF($B199=0,0,SUMIF('Input Data'!$C$37:$M$37,AF$2,'Input Data'!$C$38:$M$38)))</f>
        <v>0</v>
      </c>
    </row>
    <row r="201" spans="1:34">
      <c r="A201" s="6">
        <f>+A87</f>
        <v>2022</v>
      </c>
      <c r="B201" s="4">
        <f>SUMIF($C$2:$AF$2,A201,$C$196:$AF$196)</f>
        <v>0</v>
      </c>
      <c r="C201" s="4">
        <f>C196*C200+C196*(1-C200)*C199</f>
        <v>0</v>
      </c>
      <c r="D201" s="4">
        <f>C196*(1-C200)*D199</f>
        <v>0</v>
      </c>
      <c r="E201" s="4">
        <f>C196*(1-C200)*E199</f>
        <v>0</v>
      </c>
      <c r="F201" s="4">
        <f>C196*(1-C200)*F199</f>
        <v>0</v>
      </c>
      <c r="G201" s="4">
        <f>C196*(1-C200)*G199</f>
        <v>0</v>
      </c>
      <c r="H201" s="4">
        <f>C196*(1-C200)*H199</f>
        <v>0</v>
      </c>
      <c r="I201" s="4">
        <f>C196*(1-C200)*I199</f>
        <v>0</v>
      </c>
      <c r="J201" s="4">
        <f>C196*(1-C200)*J199</f>
        <v>0</v>
      </c>
      <c r="K201" s="4">
        <f>C196*(1-C200)*K199</f>
        <v>0</v>
      </c>
      <c r="L201" s="4">
        <f>C196*(1-C200)*L199</f>
        <v>0</v>
      </c>
      <c r="M201" s="4">
        <f>C196*(1-C200)*M199</f>
        <v>0</v>
      </c>
      <c r="N201" s="4">
        <f>C196*(1-C200)*N199</f>
        <v>0</v>
      </c>
      <c r="O201" s="4">
        <f>C196*(1-C200)*O199</f>
        <v>0</v>
      </c>
      <c r="P201" s="4">
        <f>C196*(1-C200)*P199</f>
        <v>0</v>
      </c>
      <c r="Q201" s="4">
        <f>C196*(1-C200)*Q199</f>
        <v>0</v>
      </c>
      <c r="R201" s="4">
        <f>C196*(1-C200)*R199</f>
        <v>0</v>
      </c>
      <c r="S201" s="4">
        <f>C196*(1-C200)*S199</f>
        <v>0</v>
      </c>
      <c r="T201" s="4">
        <f>C196*(1-C200)*T199</f>
        <v>0</v>
      </c>
      <c r="U201" s="4">
        <f>C196*(1-C200)*U199</f>
        <v>0</v>
      </c>
      <c r="V201" s="4">
        <f>C196*(1-C200)*V199</f>
        <v>0</v>
      </c>
      <c r="W201" s="4">
        <f>C196*(1-C200)*W199</f>
        <v>0</v>
      </c>
      <c r="X201" s="4">
        <f>C196*(1-C200)*X199</f>
        <v>0</v>
      </c>
      <c r="Y201" s="4">
        <f>C196*(1-C200)*Y199</f>
        <v>0</v>
      </c>
      <c r="Z201" s="4">
        <f>C196*(1-C200)*Z199</f>
        <v>0</v>
      </c>
      <c r="AA201" s="4">
        <f>C196*(1-C200)*AA199</f>
        <v>0</v>
      </c>
      <c r="AB201" s="4">
        <f>C196*(1-C200)*AB199</f>
        <v>0</v>
      </c>
      <c r="AC201" s="4">
        <f>C196*(1-C200)*AC199</f>
        <v>0</v>
      </c>
      <c r="AD201" s="4">
        <f>C196*(1-C200)*AD199</f>
        <v>0</v>
      </c>
      <c r="AE201" s="4">
        <f>C196*(1-C200)*AE199</f>
        <v>0</v>
      </c>
      <c r="AF201" s="4">
        <f>C196*(1-C200)*AF199</f>
        <v>0</v>
      </c>
      <c r="AG201" s="4">
        <f t="shared" ref="AG201:AG225" si="76">SUM(C201:AF201)</f>
        <v>0</v>
      </c>
      <c r="AH201" s="252">
        <f>+B201-AG201</f>
        <v>0</v>
      </c>
    </row>
    <row r="202" spans="1:34">
      <c r="A202" s="6">
        <f t="shared" ref="A202:A230" si="77">+A88</f>
        <v>2023</v>
      </c>
      <c r="B202" s="4">
        <f t="shared" ref="B202:B230" si="78">SUMIF($C$2:$AF$2,A202,$C$196:$AF$196)</f>
        <v>0</v>
      </c>
      <c r="D202" s="4">
        <f>D196*D200+D196*(1-D200)*C199</f>
        <v>0</v>
      </c>
      <c r="E202" s="4">
        <f>+D196*(1-D200)*D199</f>
        <v>0</v>
      </c>
      <c r="F202" s="4">
        <f>+D196*(1-D200)*E199</f>
        <v>0</v>
      </c>
      <c r="G202" s="4">
        <f>+D196*(1-D200)*F199</f>
        <v>0</v>
      </c>
      <c r="H202" s="4">
        <f>+D196*(1-D200)*G199</f>
        <v>0</v>
      </c>
      <c r="I202" s="4">
        <f>+D196*(1-D200)*H199</f>
        <v>0</v>
      </c>
      <c r="J202" s="4">
        <f>+D196*(1-D200)*I199</f>
        <v>0</v>
      </c>
      <c r="K202" s="4">
        <f>+D196*(1-D200)*J199</f>
        <v>0</v>
      </c>
      <c r="L202" s="4">
        <f>+D196*(1-D200)*K199</f>
        <v>0</v>
      </c>
      <c r="M202" s="4">
        <f>+D196*(1-D200)*L199</f>
        <v>0</v>
      </c>
      <c r="N202" s="4">
        <f>+D196*(1-D200)*M199</f>
        <v>0</v>
      </c>
      <c r="O202" s="4">
        <f>+D196*(1-D200)*N199</f>
        <v>0</v>
      </c>
      <c r="P202" s="4">
        <f>+D196*(1-D200)*O199</f>
        <v>0</v>
      </c>
      <c r="Q202" s="4">
        <f>+D196*(1-D200)*P199</f>
        <v>0</v>
      </c>
      <c r="R202" s="4">
        <f>+D196*(1-D200)*Q199</f>
        <v>0</v>
      </c>
      <c r="S202" s="4">
        <f>+D196*(1-D200)*R199</f>
        <v>0</v>
      </c>
      <c r="T202" s="4">
        <f>+D196*(1-D200)*S199</f>
        <v>0</v>
      </c>
      <c r="U202" s="4">
        <f>+D196*(1-D200)*T199</f>
        <v>0</v>
      </c>
      <c r="V202" s="4">
        <f>+D196*(1-D200)*U199</f>
        <v>0</v>
      </c>
      <c r="W202" s="4">
        <f>+D196*(1-D200)*V199</f>
        <v>0</v>
      </c>
      <c r="X202" s="4">
        <f>+D196*(1-D200)*W199</f>
        <v>0</v>
      </c>
      <c r="Y202" s="4">
        <f>+D196*(1-D200)*X199</f>
        <v>0</v>
      </c>
      <c r="Z202" s="4">
        <f>+D196*(1-D200)*Y199</f>
        <v>0</v>
      </c>
      <c r="AA202" s="4">
        <f>+D196*(1-D200)*Z199</f>
        <v>0</v>
      </c>
      <c r="AB202" s="4">
        <f>+D196*(1-D200)*AA199</f>
        <v>0</v>
      </c>
      <c r="AC202" s="4">
        <f>+D196*(1-D200)*AB199</f>
        <v>0</v>
      </c>
      <c r="AD202" s="4">
        <f>+D196*(1-D200)*AC199</f>
        <v>0</v>
      </c>
      <c r="AE202" s="4">
        <f>+D196*(1-D200)*AD199</f>
        <v>0</v>
      </c>
      <c r="AF202" s="4">
        <f>+D196*(1-D200)*AE199</f>
        <v>0</v>
      </c>
      <c r="AG202" s="4">
        <f t="shared" si="76"/>
        <v>0</v>
      </c>
      <c r="AH202" s="252">
        <f t="shared" ref="AH202:AH230" si="79">+B202-AG202</f>
        <v>0</v>
      </c>
    </row>
    <row r="203" spans="1:34">
      <c r="A203" s="6">
        <f t="shared" si="77"/>
        <v>2024</v>
      </c>
      <c r="B203" s="4">
        <f t="shared" si="78"/>
        <v>22497924.584127281</v>
      </c>
      <c r="E203" s="4">
        <f>E196*E200+E196*(1-E200)*C199</f>
        <v>576869.86113146867</v>
      </c>
      <c r="F203" s="4">
        <f>+E196*(1-E200)*D199</f>
        <v>576869.86113146867</v>
      </c>
      <c r="G203" s="4">
        <f>+E196*(1-E200)*E199</f>
        <v>576869.86113146867</v>
      </c>
      <c r="H203" s="4">
        <f>+E196*(1-E200)*F199</f>
        <v>576869.86113146867</v>
      </c>
      <c r="I203" s="4">
        <f>+E196*(1-E200)*G199</f>
        <v>576869.86113146867</v>
      </c>
      <c r="J203" s="4">
        <f>+E196*(1-E200)*H199</f>
        <v>576869.86113146867</v>
      </c>
      <c r="K203" s="4">
        <f>+E196*(1-E200)*I199</f>
        <v>576869.86113146867</v>
      </c>
      <c r="L203" s="4">
        <f>+E196*(1-E200)*J199</f>
        <v>576869.86113146867</v>
      </c>
      <c r="M203" s="4">
        <f>+E196*(1-E200)*K199</f>
        <v>576869.86113146867</v>
      </c>
      <c r="N203" s="4">
        <f>+E196*(1-E200)*L199</f>
        <v>576869.86113146867</v>
      </c>
      <c r="O203" s="4">
        <f>+E196*(1-E200)*M199</f>
        <v>576869.86113146867</v>
      </c>
      <c r="P203" s="4">
        <f>+E196*(1-E200)*N199</f>
        <v>576869.86113146867</v>
      </c>
      <c r="Q203" s="4">
        <f>+E196*(1-E200)*O199</f>
        <v>576869.86113146867</v>
      </c>
      <c r="R203" s="4">
        <f>+E196*(1-E200)*P199</f>
        <v>576869.86113146867</v>
      </c>
      <c r="S203" s="4">
        <f>+E196*(1-E200)*Q199</f>
        <v>576869.86113146867</v>
      </c>
      <c r="T203" s="4">
        <f>+E196*(1-E200)*R199</f>
        <v>576869.86113146867</v>
      </c>
      <c r="U203" s="4">
        <f>+E196*(1-E200)*S199</f>
        <v>576869.86113146867</v>
      </c>
      <c r="V203" s="4">
        <f>+E196*(1-E200)*T199</f>
        <v>576869.86113146867</v>
      </c>
      <c r="W203" s="4">
        <f>+E196*(1-E200)*U199</f>
        <v>576869.86113146867</v>
      </c>
      <c r="X203" s="4">
        <f>+E196*(1-E200)*V199</f>
        <v>576869.86113146867</v>
      </c>
      <c r="Y203" s="4">
        <f>+E196*(1-E200)*W199</f>
        <v>576869.86113146867</v>
      </c>
      <c r="Z203" s="4">
        <f>+E196*(1-E200)*X199</f>
        <v>576869.86113146867</v>
      </c>
      <c r="AA203" s="4">
        <f>+E196*(1-E200)*Y199</f>
        <v>576869.86113146867</v>
      </c>
      <c r="AB203" s="4">
        <f>+E196*(1-E200)*Z199</f>
        <v>576869.86113146867</v>
      </c>
      <c r="AC203" s="4">
        <f>+E196*(1-E200)*AA199</f>
        <v>576869.86113146867</v>
      </c>
      <c r="AD203" s="4">
        <f>+E196*(1-E200)*AB199</f>
        <v>576869.86113146867</v>
      </c>
      <c r="AE203" s="4">
        <f>+E196*(1-E200)*AC199</f>
        <v>576869.86113146867</v>
      </c>
      <c r="AF203" s="4">
        <f>+E196*(1-E200)*AD199</f>
        <v>576869.86113146867</v>
      </c>
      <c r="AG203" s="4">
        <f t="shared" si="76"/>
        <v>16152356.111681124</v>
      </c>
      <c r="AH203" s="252">
        <f t="shared" si="79"/>
        <v>6345568.4724461567</v>
      </c>
    </row>
    <row r="204" spans="1:34">
      <c r="A204" s="6">
        <f t="shared" si="77"/>
        <v>2025</v>
      </c>
      <c r="B204" s="4">
        <f t="shared" si="78"/>
        <v>0</v>
      </c>
      <c r="F204" s="4">
        <f>F196*F200+F196*(1-F200)*C199</f>
        <v>0</v>
      </c>
      <c r="G204" s="4">
        <f>+F196*(1-F200)*D199</f>
        <v>0</v>
      </c>
      <c r="H204" s="4">
        <f>+F196*(1-F200)*E199</f>
        <v>0</v>
      </c>
      <c r="I204" s="4">
        <f>+F196*(1-F200)*F199</f>
        <v>0</v>
      </c>
      <c r="J204" s="4">
        <f>+F196*(1-F200)*G199</f>
        <v>0</v>
      </c>
      <c r="K204" s="4">
        <f>+F196*(1-F200)*H199</f>
        <v>0</v>
      </c>
      <c r="L204" s="4">
        <f>+F196*(1-F200)*I199</f>
        <v>0</v>
      </c>
      <c r="M204" s="4">
        <f>+F196*(1-F200)*J199</f>
        <v>0</v>
      </c>
      <c r="N204" s="4">
        <f>+F196*(1-F200)*K199</f>
        <v>0</v>
      </c>
      <c r="O204" s="4">
        <f>+F196*(1-F200)*L199</f>
        <v>0</v>
      </c>
      <c r="P204" s="4">
        <f>+F196*(1-F200)*M199</f>
        <v>0</v>
      </c>
      <c r="Q204" s="4">
        <f>+F196*(1-F200)*N199</f>
        <v>0</v>
      </c>
      <c r="R204" s="4">
        <f>+F196*(1-F200)*O199</f>
        <v>0</v>
      </c>
      <c r="S204" s="4">
        <f>+F196*(1-F200)*P199</f>
        <v>0</v>
      </c>
      <c r="T204" s="4">
        <f>+F196*(1-F200)*Q199</f>
        <v>0</v>
      </c>
      <c r="U204" s="4">
        <f>+F196*(1-F200)*R199</f>
        <v>0</v>
      </c>
      <c r="V204" s="4">
        <f>+F196*(1-F200)*S199</f>
        <v>0</v>
      </c>
      <c r="W204" s="4">
        <f>+F196*(1-F200)*T199</f>
        <v>0</v>
      </c>
      <c r="X204" s="4">
        <f>+F196*(1-F200)*U199</f>
        <v>0</v>
      </c>
      <c r="Y204" s="4">
        <f>+F196*(1-F200)*V199</f>
        <v>0</v>
      </c>
      <c r="Z204" s="4">
        <f>+F196*(1-F200)*W199</f>
        <v>0</v>
      </c>
      <c r="AA204" s="4">
        <f>+F196*(1-F200)*X199</f>
        <v>0</v>
      </c>
      <c r="AB204" s="4">
        <f>+F196*(1-F200)*Y199</f>
        <v>0</v>
      </c>
      <c r="AC204" s="4">
        <f>+F196*(1-F200)*Z199</f>
        <v>0</v>
      </c>
      <c r="AD204" s="4">
        <f>+F196*(1-F200)*AA199</f>
        <v>0</v>
      </c>
      <c r="AE204" s="4">
        <f>+F196*(1-F200)*AB199</f>
        <v>0</v>
      </c>
      <c r="AF204" s="4">
        <f>+F196*(1-F200)*AC199</f>
        <v>0</v>
      </c>
      <c r="AG204" s="4">
        <f t="shared" si="76"/>
        <v>0</v>
      </c>
      <c r="AH204" s="252">
        <f t="shared" si="79"/>
        <v>0</v>
      </c>
    </row>
    <row r="205" spans="1:34">
      <c r="A205" s="6">
        <f t="shared" si="77"/>
        <v>2026</v>
      </c>
      <c r="B205" s="4">
        <f t="shared" si="78"/>
        <v>0</v>
      </c>
      <c r="G205" s="4">
        <f>G196*G200+G196*(1-G200)*C199</f>
        <v>0</v>
      </c>
      <c r="H205" s="4">
        <f>+G196*(1-G200)*D199</f>
        <v>0</v>
      </c>
      <c r="I205" s="4">
        <f>+G196*(1-G200)*E199</f>
        <v>0</v>
      </c>
      <c r="J205" s="4">
        <f>+G196*(1-G200)*F199</f>
        <v>0</v>
      </c>
      <c r="K205" s="4">
        <f>+G196*(1-G200)*G199</f>
        <v>0</v>
      </c>
      <c r="L205" s="4">
        <f>+G196*(1-G200)*H199</f>
        <v>0</v>
      </c>
      <c r="M205" s="4">
        <f>+G196*(1-G200)*I199</f>
        <v>0</v>
      </c>
      <c r="N205" s="4">
        <f>+G196*(1-G200)*J199</f>
        <v>0</v>
      </c>
      <c r="O205" s="4">
        <f>+G196*(1-G200)*K199</f>
        <v>0</v>
      </c>
      <c r="P205" s="4">
        <f>+G196*(1-G200)*L199</f>
        <v>0</v>
      </c>
      <c r="Q205" s="4">
        <f>+G196*(1-G200)*M199</f>
        <v>0</v>
      </c>
      <c r="R205" s="4">
        <f>+G196*(1-G200)*N199</f>
        <v>0</v>
      </c>
      <c r="S205" s="4">
        <f>+G196*(1-G200)*O199</f>
        <v>0</v>
      </c>
      <c r="T205" s="4">
        <f>+G196*(1-G200)*P199</f>
        <v>0</v>
      </c>
      <c r="U205" s="4">
        <f>+G196*(1-G200)*Q199</f>
        <v>0</v>
      </c>
      <c r="V205" s="4">
        <f>+G196*(1-G200)*R199</f>
        <v>0</v>
      </c>
      <c r="W205" s="4">
        <f>+G196*(1-G200)*S199</f>
        <v>0</v>
      </c>
      <c r="X205" s="4">
        <f>+G196*(1-G200)*T199</f>
        <v>0</v>
      </c>
      <c r="Y205" s="4">
        <f>+G196*(1-G200)*U199</f>
        <v>0</v>
      </c>
      <c r="Z205" s="4">
        <f>+G196*(1-G200)*V199</f>
        <v>0</v>
      </c>
      <c r="AA205" s="4">
        <f>+G196*(1-G200)*W199</f>
        <v>0</v>
      </c>
      <c r="AB205" s="4">
        <f>+G196*(1-G200)*X199</f>
        <v>0</v>
      </c>
      <c r="AC205" s="4">
        <f>+G196*(1-G200)*Y199</f>
        <v>0</v>
      </c>
      <c r="AD205" s="4">
        <f>+G196*(1-G200)*Z199</f>
        <v>0</v>
      </c>
      <c r="AE205" s="4">
        <f>+G196*(1-G200)*AA199</f>
        <v>0</v>
      </c>
      <c r="AF205" s="4">
        <f>+G196*(1-G200)*AB199</f>
        <v>0</v>
      </c>
      <c r="AG205" s="4">
        <f t="shared" si="76"/>
        <v>0</v>
      </c>
      <c r="AH205" s="252">
        <f t="shared" si="79"/>
        <v>0</v>
      </c>
    </row>
    <row r="206" spans="1:34">
      <c r="A206" s="6">
        <f t="shared" si="77"/>
        <v>2027</v>
      </c>
      <c r="B206" s="4">
        <f t="shared" si="78"/>
        <v>0</v>
      </c>
      <c r="H206" s="4">
        <f>H196*H200+H196*(1-H200)*C199</f>
        <v>0</v>
      </c>
      <c r="I206" s="4">
        <f>+H196*(1-H200)*D199</f>
        <v>0</v>
      </c>
      <c r="J206" s="4">
        <f>+H196*(1-H200)*E199</f>
        <v>0</v>
      </c>
      <c r="K206" s="4">
        <f>+H196*(1-H200)*F199</f>
        <v>0</v>
      </c>
      <c r="L206" s="4">
        <f>+H196*(1-H200)*G199</f>
        <v>0</v>
      </c>
      <c r="M206" s="4">
        <f>+H196*(1-H200)*H199</f>
        <v>0</v>
      </c>
      <c r="N206" s="4">
        <f>+H196*(1-H200)*I199</f>
        <v>0</v>
      </c>
      <c r="O206" s="4">
        <f>+H196*(1-H200)*J199</f>
        <v>0</v>
      </c>
      <c r="P206" s="4">
        <f>+H196*(1-H200)*K199</f>
        <v>0</v>
      </c>
      <c r="Q206" s="4">
        <f>+H196*(1-H200)*L199</f>
        <v>0</v>
      </c>
      <c r="R206" s="4">
        <f>+H196*(1-H200)*M199</f>
        <v>0</v>
      </c>
      <c r="S206" s="4">
        <f>+H196*(1-H200)*N199</f>
        <v>0</v>
      </c>
      <c r="T206" s="4">
        <f>+H196*(1-H200)*O199</f>
        <v>0</v>
      </c>
      <c r="U206" s="4">
        <f>+H196*(1-H200)*P199</f>
        <v>0</v>
      </c>
      <c r="V206" s="4">
        <f>+H196*(1-H200)*Q199</f>
        <v>0</v>
      </c>
      <c r="W206" s="4">
        <f>+H196*(1-H200)*R199</f>
        <v>0</v>
      </c>
      <c r="X206" s="4">
        <f>+H196*(1-H200)*S199</f>
        <v>0</v>
      </c>
      <c r="Y206" s="4">
        <f>+H196*(1-H200)*T199</f>
        <v>0</v>
      </c>
      <c r="Z206" s="4">
        <f>+H196*(1-H200)*U199</f>
        <v>0</v>
      </c>
      <c r="AA206" s="4">
        <f>+H196*(1-H200)*V199</f>
        <v>0</v>
      </c>
      <c r="AB206" s="4">
        <f>+H196*(1-H200)*W199</f>
        <v>0</v>
      </c>
      <c r="AC206" s="4">
        <f>+H196*(1-H200)*X199</f>
        <v>0</v>
      </c>
      <c r="AD206" s="4">
        <f>+H196*(1-H200)*Y199</f>
        <v>0</v>
      </c>
      <c r="AE206" s="4">
        <f>+H196*(1-H200)*Z199</f>
        <v>0</v>
      </c>
      <c r="AF206" s="4">
        <f>+H196*(1-H200)*AA199</f>
        <v>0</v>
      </c>
      <c r="AG206" s="4">
        <f t="shared" si="76"/>
        <v>0</v>
      </c>
      <c r="AH206" s="252">
        <f t="shared" si="79"/>
        <v>0</v>
      </c>
    </row>
    <row r="207" spans="1:34">
      <c r="A207" s="6">
        <f t="shared" si="77"/>
        <v>2028</v>
      </c>
      <c r="B207" s="4">
        <f t="shared" si="78"/>
        <v>0</v>
      </c>
      <c r="I207" s="4">
        <f>I196*I200+I196*(1-I200)*C199</f>
        <v>0</v>
      </c>
      <c r="J207" s="4">
        <f>+I196*(1-I200)*D199</f>
        <v>0</v>
      </c>
      <c r="K207" s="4">
        <f>+I196*(1-I200)*E199</f>
        <v>0</v>
      </c>
      <c r="L207" s="4">
        <f>+I196*(1-I200)*F199</f>
        <v>0</v>
      </c>
      <c r="M207" s="4">
        <f>+I196*(1-I200)*G199</f>
        <v>0</v>
      </c>
      <c r="N207" s="4">
        <f>+I196*(1-I200)*H199</f>
        <v>0</v>
      </c>
      <c r="O207" s="4">
        <f>+I196*(1-I200)*I199</f>
        <v>0</v>
      </c>
      <c r="P207" s="4">
        <f>+I196*(1-I200)*J199</f>
        <v>0</v>
      </c>
      <c r="Q207" s="4">
        <f>+I196*(1-I200)*K199</f>
        <v>0</v>
      </c>
      <c r="R207" s="4">
        <f>+I196*(1-I200)*L199</f>
        <v>0</v>
      </c>
      <c r="S207" s="4">
        <f>+I196*(1-I200)*M199</f>
        <v>0</v>
      </c>
      <c r="T207" s="4">
        <f>+I196*(1-I200)*N199</f>
        <v>0</v>
      </c>
      <c r="U207" s="4">
        <f>+I196*(1-I200)*O199</f>
        <v>0</v>
      </c>
      <c r="V207" s="4">
        <f>+I196*(1-I200)*P199</f>
        <v>0</v>
      </c>
      <c r="W207" s="4">
        <f>+I196*(1-I200)*Q199</f>
        <v>0</v>
      </c>
      <c r="X207" s="4">
        <f>+I196*(1-I200)*R199</f>
        <v>0</v>
      </c>
      <c r="Y207" s="4">
        <f>+I196*(1-I200)*S199</f>
        <v>0</v>
      </c>
      <c r="Z207" s="4">
        <f>+I196*(1-I200)*T199</f>
        <v>0</v>
      </c>
      <c r="AA207" s="4">
        <f>+I196*(1-I200)*U199</f>
        <v>0</v>
      </c>
      <c r="AB207" s="4">
        <f>+I196*(1-I200)*V199</f>
        <v>0</v>
      </c>
      <c r="AC207" s="4">
        <f>+I196*(1-I200)*W199</f>
        <v>0</v>
      </c>
      <c r="AD207" s="4">
        <f>+I196*(1-I200)*X199</f>
        <v>0</v>
      </c>
      <c r="AE207" s="4">
        <f>+I196*(1-I200)*Y199</f>
        <v>0</v>
      </c>
      <c r="AF207" s="4">
        <f>+I196*(1-I200)*Z199</f>
        <v>0</v>
      </c>
      <c r="AG207" s="4">
        <f t="shared" si="76"/>
        <v>0</v>
      </c>
      <c r="AH207" s="252">
        <f t="shared" si="79"/>
        <v>0</v>
      </c>
    </row>
    <row r="208" spans="1:34">
      <c r="A208" s="6">
        <f t="shared" si="77"/>
        <v>2029</v>
      </c>
      <c r="B208" s="4">
        <f t="shared" si="78"/>
        <v>0</v>
      </c>
      <c r="J208" s="4">
        <f>J196*J200+J196*(1-J200)*C199</f>
        <v>0</v>
      </c>
      <c r="K208" s="4">
        <f>K196*K200+J196*(1-K200)*D199</f>
        <v>0</v>
      </c>
      <c r="L208" s="4">
        <f>L196*L200+J196*(1-L200)*E199</f>
        <v>0</v>
      </c>
      <c r="M208" s="4">
        <f>M196*M200+J196*(1-M200)*F199</f>
        <v>0</v>
      </c>
      <c r="N208" s="4">
        <f>N196*N200+J196*(1-N200)*G199</f>
        <v>0</v>
      </c>
      <c r="O208" s="4">
        <f>O196*O200+J196*(1-O200)*H199</f>
        <v>0</v>
      </c>
      <c r="P208" s="4">
        <f>P196*P200+J196*(1-P200)*I199</f>
        <v>0</v>
      </c>
      <c r="Q208" s="4">
        <f>Q196*Q200+J196*(1-Q200)*J199</f>
        <v>0</v>
      </c>
      <c r="R208" s="4">
        <f>R196*R200+J196*(1-R200)*K199</f>
        <v>0</v>
      </c>
      <c r="S208" s="4">
        <f>S196*S200+J196*(1-S200)*L199</f>
        <v>0</v>
      </c>
      <c r="T208" s="4">
        <f>T196*T200+J196*(1-T200)*M199</f>
        <v>0</v>
      </c>
      <c r="U208" s="4">
        <f>U196*U200+J196*(1-U200)*N199</f>
        <v>0</v>
      </c>
      <c r="V208" s="4">
        <f>V196*V200+J196*(1-V200)*O199</f>
        <v>0</v>
      </c>
      <c r="W208" s="4">
        <f>W196*W200+J196*(1-W200)*P199</f>
        <v>0</v>
      </c>
      <c r="X208" s="4">
        <f>X196*X200+J196*(1-X200)*Q199</f>
        <v>0</v>
      </c>
      <c r="Y208" s="4">
        <f>Y196*Y200+J196*(1-Y200)*R199</f>
        <v>0</v>
      </c>
      <c r="Z208" s="4">
        <f>Z196*Z200+J196*(1-Z200)*S199</f>
        <v>0</v>
      </c>
      <c r="AA208" s="4">
        <f>AA196*AA200+J196*(1-AA200)*T199</f>
        <v>0</v>
      </c>
      <c r="AB208" s="4">
        <f>AB196*AB200+J196*(1-AB200)*U199</f>
        <v>0</v>
      </c>
      <c r="AC208" s="4">
        <f>AC196*AC200+J196*(1-AC200)*V199</f>
        <v>0</v>
      </c>
      <c r="AD208" s="4">
        <f>AD196*AD200+J196*(1-AD200)*W199</f>
        <v>0</v>
      </c>
      <c r="AE208" s="4">
        <f>AE196*AE200+J196*(1-AE200)*X199</f>
        <v>0</v>
      </c>
      <c r="AF208" s="4">
        <f>AF196*AF200+J196*(1-AF200)*Y199</f>
        <v>0</v>
      </c>
      <c r="AG208" s="4">
        <f t="shared" si="76"/>
        <v>0</v>
      </c>
      <c r="AH208" s="252">
        <f t="shared" si="79"/>
        <v>0</v>
      </c>
    </row>
    <row r="209" spans="1:34">
      <c r="A209" s="6">
        <f t="shared" si="77"/>
        <v>2030</v>
      </c>
      <c r="B209" s="4">
        <f t="shared" si="78"/>
        <v>0</v>
      </c>
      <c r="K209" s="4">
        <f>K196*K200+K196*(1-K200)*C199</f>
        <v>0</v>
      </c>
      <c r="L209" s="4">
        <f>+K196*(1-K200)*D199</f>
        <v>0</v>
      </c>
      <c r="M209" s="4">
        <f>+K196*(1-K200)*E199</f>
        <v>0</v>
      </c>
      <c r="N209" s="4">
        <f>+K196*(1-K200)*F199</f>
        <v>0</v>
      </c>
      <c r="O209" s="4">
        <f>+K196*(1-K200)*G199</f>
        <v>0</v>
      </c>
      <c r="P209" s="4">
        <f>+K196*(1-K200)*H199</f>
        <v>0</v>
      </c>
      <c r="Q209" s="4">
        <f>+K196*(1-K200)*I199</f>
        <v>0</v>
      </c>
      <c r="R209" s="4">
        <f>+K196*(1-K200)*J199</f>
        <v>0</v>
      </c>
      <c r="S209" s="4">
        <f>+K196*(1-K200)*K199</f>
        <v>0</v>
      </c>
      <c r="T209" s="4">
        <f>+K196*(1-K200)*L199</f>
        <v>0</v>
      </c>
      <c r="U209" s="4">
        <f>+K196*(1-K200)*M199</f>
        <v>0</v>
      </c>
      <c r="V209" s="4">
        <f>+K196*(1-K200)*N199</f>
        <v>0</v>
      </c>
      <c r="W209" s="4">
        <f>+K196*(1-K200)*O199</f>
        <v>0</v>
      </c>
      <c r="X209" s="4">
        <f>+K196*(1-K200)*P199</f>
        <v>0</v>
      </c>
      <c r="Y209" s="4">
        <f>+K196*(1-K200)*Q199</f>
        <v>0</v>
      </c>
      <c r="Z209" s="4">
        <f>+K196*(1-K200)*R199</f>
        <v>0</v>
      </c>
      <c r="AA209" s="4">
        <f>+K196*(1-K200)*S199</f>
        <v>0</v>
      </c>
      <c r="AB209" s="4">
        <f>+K196*(1-K200)*T199</f>
        <v>0</v>
      </c>
      <c r="AC209" s="4">
        <f>+K196*(1-K200)*U199</f>
        <v>0</v>
      </c>
      <c r="AD209" s="4">
        <f>+K196*(1-K200)*V199</f>
        <v>0</v>
      </c>
      <c r="AE209" s="4">
        <f>+K196*(1-K200)*W199</f>
        <v>0</v>
      </c>
      <c r="AF209" s="4">
        <f>+K196*(1-K200)*X199</f>
        <v>0</v>
      </c>
      <c r="AG209" s="4">
        <f t="shared" si="76"/>
        <v>0</v>
      </c>
      <c r="AH209" s="252">
        <f t="shared" si="79"/>
        <v>0</v>
      </c>
    </row>
    <row r="210" spans="1:34">
      <c r="A210" s="6">
        <f t="shared" si="77"/>
        <v>2031</v>
      </c>
      <c r="B210" s="4">
        <f t="shared" si="78"/>
        <v>0</v>
      </c>
      <c r="L210" s="4">
        <f>L196*L200+L196*(1-L200)*C199</f>
        <v>0</v>
      </c>
      <c r="M210" s="4">
        <f>+L196*(1-L200)*D199</f>
        <v>0</v>
      </c>
      <c r="N210" s="4">
        <f>+L196*(1-L200)*E199</f>
        <v>0</v>
      </c>
      <c r="O210" s="4">
        <f>+L196*(1-L200)*F199</f>
        <v>0</v>
      </c>
      <c r="P210" s="4">
        <f>+L196*(1-L200)*G199</f>
        <v>0</v>
      </c>
      <c r="Q210" s="4">
        <f>+L196*(1-L200)*H199</f>
        <v>0</v>
      </c>
      <c r="R210" s="4">
        <f>+L196*(1-L200)*I199</f>
        <v>0</v>
      </c>
      <c r="S210" s="4">
        <f>+L196*(1-L200)*J199</f>
        <v>0</v>
      </c>
      <c r="T210" s="4">
        <f>+L196*(1-L200)*K199</f>
        <v>0</v>
      </c>
      <c r="U210" s="4">
        <f>+L196*(1-L200)*L199</f>
        <v>0</v>
      </c>
      <c r="V210" s="4">
        <f>+L196*(1-L200)*M199</f>
        <v>0</v>
      </c>
      <c r="W210" s="4">
        <f>+L196*(1-L200)*N199</f>
        <v>0</v>
      </c>
      <c r="X210" s="4">
        <f>+L196*(1-L200)*O199</f>
        <v>0</v>
      </c>
      <c r="Y210" s="4">
        <f>+L196*(1-L200)*P199</f>
        <v>0</v>
      </c>
      <c r="Z210" s="4">
        <f>+L196*(1-L200)*Q199</f>
        <v>0</v>
      </c>
      <c r="AA210" s="4">
        <f>+L196*(1-L200)*R199</f>
        <v>0</v>
      </c>
      <c r="AB210" s="4">
        <f>+L196*(1-L200)*S199</f>
        <v>0</v>
      </c>
      <c r="AC210" s="4">
        <f>+L196*(1-L200)*T199</f>
        <v>0</v>
      </c>
      <c r="AD210" s="4">
        <f>+L196*(1-L200)*U199</f>
        <v>0</v>
      </c>
      <c r="AE210" s="4">
        <f>+L196*(1-L200)*V199</f>
        <v>0</v>
      </c>
      <c r="AF210" s="4">
        <f>+L196*(1-L200)*W199</f>
        <v>0</v>
      </c>
      <c r="AG210" s="4">
        <f t="shared" si="76"/>
        <v>0</v>
      </c>
      <c r="AH210" s="252">
        <f t="shared" si="79"/>
        <v>0</v>
      </c>
    </row>
    <row r="211" spans="1:34">
      <c r="A211" s="6">
        <f t="shared" si="77"/>
        <v>2032</v>
      </c>
      <c r="B211" s="4">
        <f t="shared" si="78"/>
        <v>0</v>
      </c>
      <c r="M211" s="4">
        <f>M196*M200+M196*(1-M200)*C199</f>
        <v>0</v>
      </c>
      <c r="N211" s="4">
        <f>+M196*(1-M200)*D199</f>
        <v>0</v>
      </c>
      <c r="O211" s="4">
        <f>+M196*(1-M200)*E199</f>
        <v>0</v>
      </c>
      <c r="P211" s="4">
        <f>+M196*(1-M200)*F199</f>
        <v>0</v>
      </c>
      <c r="Q211" s="4">
        <f>+M196*(1-M200)*G199</f>
        <v>0</v>
      </c>
      <c r="R211" s="4">
        <f>+M196*(1-M200)*H199</f>
        <v>0</v>
      </c>
      <c r="S211" s="4">
        <f>+M196*(1-M200)*I199</f>
        <v>0</v>
      </c>
      <c r="T211" s="4">
        <f>+M196*(1-M200)*J199</f>
        <v>0</v>
      </c>
      <c r="U211" s="4">
        <f>+M196*(1-M200)*K199</f>
        <v>0</v>
      </c>
      <c r="V211" s="4">
        <f>+M196*(1-M200)*L199</f>
        <v>0</v>
      </c>
      <c r="W211" s="4">
        <f>+M196*(1-M200)*M199</f>
        <v>0</v>
      </c>
      <c r="X211" s="4">
        <f>+M196*(1-M200)*N199</f>
        <v>0</v>
      </c>
      <c r="Y211" s="4">
        <f>+M196*(1-M200)*O199</f>
        <v>0</v>
      </c>
      <c r="Z211" s="4">
        <f>+M196*(1-M200)*P199</f>
        <v>0</v>
      </c>
      <c r="AA211" s="4">
        <f>+M196*(1-M200)*Q199</f>
        <v>0</v>
      </c>
      <c r="AB211" s="4">
        <f>+M196*(1-M200)*R199</f>
        <v>0</v>
      </c>
      <c r="AC211" s="4">
        <f>+M196*(1-M200)*S199</f>
        <v>0</v>
      </c>
      <c r="AD211" s="4">
        <f>+M196*(1-M200)*T199</f>
        <v>0</v>
      </c>
      <c r="AE211" s="4">
        <f>+M196*(1-M200)*U199</f>
        <v>0</v>
      </c>
      <c r="AF211" s="4">
        <f>+M196*(1-M200)*V199</f>
        <v>0</v>
      </c>
      <c r="AG211" s="4">
        <f t="shared" si="76"/>
        <v>0</v>
      </c>
      <c r="AH211" s="252">
        <f t="shared" si="79"/>
        <v>0</v>
      </c>
    </row>
    <row r="212" spans="1:34">
      <c r="A212" s="6">
        <f t="shared" si="77"/>
        <v>2033</v>
      </c>
      <c r="B212" s="4">
        <f t="shared" si="78"/>
        <v>0</v>
      </c>
      <c r="N212" s="4">
        <f>N196*N200+N196*(1-N200)*C199</f>
        <v>0</v>
      </c>
      <c r="O212" s="4">
        <f>+N196*(1-N200)*D199</f>
        <v>0</v>
      </c>
      <c r="P212" s="4">
        <f>+N196*(1-N200)*E199</f>
        <v>0</v>
      </c>
      <c r="Q212" s="4">
        <f>+N196*(1-N200)*F199</f>
        <v>0</v>
      </c>
      <c r="R212" s="4">
        <f>+N196*(1-N200)*G199</f>
        <v>0</v>
      </c>
      <c r="S212" s="4">
        <f>+N196*(1-N200)*H199</f>
        <v>0</v>
      </c>
      <c r="T212" s="4">
        <f>+N196*(1-N200)*I199</f>
        <v>0</v>
      </c>
      <c r="U212" s="4">
        <f>+N196*(1-N200)*J199</f>
        <v>0</v>
      </c>
      <c r="V212" s="4">
        <f>+N196*(1-N200)*K199</f>
        <v>0</v>
      </c>
      <c r="W212" s="4">
        <f>+N196*(1-N200)*L199</f>
        <v>0</v>
      </c>
      <c r="X212" s="4">
        <f>+N196*(1-N200)*M199</f>
        <v>0</v>
      </c>
      <c r="Y212" s="4">
        <f>+N196*(1-N200)*N199</f>
        <v>0</v>
      </c>
      <c r="Z212" s="4">
        <f>+N196*(1-N200)*O199</f>
        <v>0</v>
      </c>
      <c r="AA212" s="4">
        <f>+N196*(1-N200)*P199</f>
        <v>0</v>
      </c>
      <c r="AB212" s="4">
        <f>+N196*(1-N200)*Q199</f>
        <v>0</v>
      </c>
      <c r="AC212" s="4">
        <f>+N196*(1-N200)*R199</f>
        <v>0</v>
      </c>
      <c r="AD212" s="4">
        <f>+N196*(1-N200)*S199</f>
        <v>0</v>
      </c>
      <c r="AE212" s="4">
        <f>+N196*(1-N200)*T199</f>
        <v>0</v>
      </c>
      <c r="AF212" s="4">
        <f>+N196*(1-N200)*U199</f>
        <v>0</v>
      </c>
      <c r="AG212" s="4">
        <f t="shared" si="76"/>
        <v>0</v>
      </c>
      <c r="AH212" s="252">
        <f t="shared" si="79"/>
        <v>0</v>
      </c>
    </row>
    <row r="213" spans="1:34">
      <c r="A213" s="6">
        <f t="shared" si="77"/>
        <v>2034</v>
      </c>
      <c r="B213" s="4">
        <f t="shared" si="78"/>
        <v>0</v>
      </c>
      <c r="O213" s="4">
        <f>O196*O200+O196*(1-O200)*C199</f>
        <v>0</v>
      </c>
      <c r="P213" s="4">
        <f>+O196*(1-O200)*D199</f>
        <v>0</v>
      </c>
      <c r="Q213" s="4">
        <f>+O196*(1-O200)*E199</f>
        <v>0</v>
      </c>
      <c r="R213" s="4">
        <f>+O196*(1-O200)*F199</f>
        <v>0</v>
      </c>
      <c r="S213" s="4">
        <f>+O196*(1-O200)*G199</f>
        <v>0</v>
      </c>
      <c r="T213" s="4">
        <f>+O196*(1-O200)*H199</f>
        <v>0</v>
      </c>
      <c r="U213" s="4">
        <f>+O196*(1-O200)*I199</f>
        <v>0</v>
      </c>
      <c r="V213" s="4">
        <f>+O196*(1-O200)*J199</f>
        <v>0</v>
      </c>
      <c r="W213" s="4">
        <f>+O196*(1-O200)*K199</f>
        <v>0</v>
      </c>
      <c r="X213" s="4">
        <f>+O196*(1-O200)*L199</f>
        <v>0</v>
      </c>
      <c r="Y213" s="4">
        <f>+O196*(1-O200)*M199</f>
        <v>0</v>
      </c>
      <c r="Z213" s="4">
        <f>+O196*(1-O200)*N199</f>
        <v>0</v>
      </c>
      <c r="AA213" s="4">
        <f>+O196*(1-O200)*O199</f>
        <v>0</v>
      </c>
      <c r="AB213" s="4">
        <f>+O196*(1-O200)*P199</f>
        <v>0</v>
      </c>
      <c r="AC213" s="4">
        <f>+O196*(1-O200)*Q199</f>
        <v>0</v>
      </c>
      <c r="AD213" s="4">
        <f>+O196*(1-O200)*R199</f>
        <v>0</v>
      </c>
      <c r="AE213" s="4">
        <f>+O196*(1-O200)*S199</f>
        <v>0</v>
      </c>
      <c r="AF213" s="4">
        <f>+O196*(1-O200)*T199</f>
        <v>0</v>
      </c>
      <c r="AG213" s="4">
        <f t="shared" si="76"/>
        <v>0</v>
      </c>
      <c r="AH213" s="252">
        <f t="shared" si="79"/>
        <v>0</v>
      </c>
    </row>
    <row r="214" spans="1:34">
      <c r="A214" s="6">
        <f t="shared" si="77"/>
        <v>2035</v>
      </c>
      <c r="B214" s="4">
        <f t="shared" si="78"/>
        <v>0</v>
      </c>
      <c r="P214" s="4">
        <f>P196*P200+P196*(1-P200)*C199</f>
        <v>0</v>
      </c>
      <c r="Q214" s="4">
        <f>+P196*(1-P200)*D199</f>
        <v>0</v>
      </c>
      <c r="R214" s="4">
        <f>+P196*(1-P200)*E199</f>
        <v>0</v>
      </c>
      <c r="S214" s="4">
        <f>+P196*(1-P200)*F199</f>
        <v>0</v>
      </c>
      <c r="T214" s="4">
        <f>+P196*(1-P200)*G199</f>
        <v>0</v>
      </c>
      <c r="U214" s="4">
        <f>+P196*(1-P200)*H199</f>
        <v>0</v>
      </c>
      <c r="V214" s="4">
        <f>+P196*(1-P200)*I199</f>
        <v>0</v>
      </c>
      <c r="W214" s="4">
        <f>+P196*(1-P200)*J199</f>
        <v>0</v>
      </c>
      <c r="X214" s="4">
        <f>+P196*(1-P200)*K199</f>
        <v>0</v>
      </c>
      <c r="Y214" s="4">
        <f>+P196*(1-P200)*L199</f>
        <v>0</v>
      </c>
      <c r="Z214" s="4">
        <f>+P196*(1-P200)*M199</f>
        <v>0</v>
      </c>
      <c r="AA214" s="4">
        <f>+P196*(1-P200)*N199</f>
        <v>0</v>
      </c>
      <c r="AB214" s="4">
        <f>+P196*(1-P200)*O199</f>
        <v>0</v>
      </c>
      <c r="AC214" s="4">
        <f>+P196*(1-P200)*P199</f>
        <v>0</v>
      </c>
      <c r="AD214" s="4">
        <f>+P196*(1-P200)*Q199</f>
        <v>0</v>
      </c>
      <c r="AE214" s="4">
        <f>+P196*(1-P200)*R199</f>
        <v>0</v>
      </c>
      <c r="AF214" s="4">
        <f>+P196*(1-P200)*S199</f>
        <v>0</v>
      </c>
      <c r="AG214" s="4">
        <f t="shared" si="76"/>
        <v>0</v>
      </c>
      <c r="AH214" s="252">
        <f t="shared" si="79"/>
        <v>0</v>
      </c>
    </row>
    <row r="215" spans="1:34">
      <c r="A215" s="6">
        <f t="shared" si="77"/>
        <v>2036</v>
      </c>
      <c r="B215" s="4">
        <f t="shared" si="78"/>
        <v>0</v>
      </c>
      <c r="Q215" s="4">
        <f>Q196*Q200+Q196*(1-Q200)*C199</f>
        <v>0</v>
      </c>
      <c r="R215" s="4">
        <f>Q196*(1-Q200)*D199</f>
        <v>0</v>
      </c>
      <c r="S215" s="4">
        <f>Q196*(1-Q200)*E199</f>
        <v>0</v>
      </c>
      <c r="T215" s="4">
        <f>Q196*(1-Q200)*F199</f>
        <v>0</v>
      </c>
      <c r="U215" s="4">
        <f>Q196*(1-Q200)*G199</f>
        <v>0</v>
      </c>
      <c r="V215" s="4">
        <f>Q196*(1-Q200)*H199</f>
        <v>0</v>
      </c>
      <c r="W215" s="4">
        <f>Q196*(1-Q200)*I199</f>
        <v>0</v>
      </c>
      <c r="X215" s="4">
        <f>Q196*(1-Q200)*J199</f>
        <v>0</v>
      </c>
      <c r="Y215" s="4">
        <f>Q196*(1-Q200)*K199</f>
        <v>0</v>
      </c>
      <c r="Z215" s="4">
        <f>Q196*(1-Q200)*L199</f>
        <v>0</v>
      </c>
      <c r="AA215" s="4">
        <f>Q196*(1-Q200)*M199</f>
        <v>0</v>
      </c>
      <c r="AB215" s="4">
        <f>Q196*(1-Q200)*N199</f>
        <v>0</v>
      </c>
      <c r="AC215" s="4">
        <f>Q196*(1-Q200)*O199</f>
        <v>0</v>
      </c>
      <c r="AD215" s="4">
        <f>Q196*(1-Q200)*P199</f>
        <v>0</v>
      </c>
      <c r="AE215" s="4">
        <f>Q196*(1-Q200)*Q199</f>
        <v>0</v>
      </c>
      <c r="AF215" s="4">
        <f>Q196*(1-Q200)*R199</f>
        <v>0</v>
      </c>
      <c r="AG215" s="4">
        <f t="shared" si="76"/>
        <v>0</v>
      </c>
      <c r="AH215" s="252">
        <f t="shared" si="79"/>
        <v>0</v>
      </c>
    </row>
    <row r="216" spans="1:34">
      <c r="A216" s="6">
        <f t="shared" si="77"/>
        <v>2037</v>
      </c>
      <c r="B216" s="4">
        <f t="shared" si="78"/>
        <v>0</v>
      </c>
      <c r="R216" s="4">
        <f>R196*R200+R196*(1-R200)*C199</f>
        <v>0</v>
      </c>
      <c r="S216" s="4">
        <f>R196*(1-R200)*D199</f>
        <v>0</v>
      </c>
      <c r="T216" s="4">
        <f>R196*(1-R200)*E199</f>
        <v>0</v>
      </c>
      <c r="U216" s="4">
        <f>R196*(1-R200)*F199</f>
        <v>0</v>
      </c>
      <c r="V216" s="4">
        <f>R196*(1-R200)*G199</f>
        <v>0</v>
      </c>
      <c r="W216" s="4">
        <f>R196*(1-R200)*H199</f>
        <v>0</v>
      </c>
      <c r="X216" s="4">
        <f>R196*(1-R200)*I199</f>
        <v>0</v>
      </c>
      <c r="Y216" s="4">
        <f>R196*(1-R200)*J199</f>
        <v>0</v>
      </c>
      <c r="Z216" s="4">
        <f>R196*(1-R200)*K199</f>
        <v>0</v>
      </c>
      <c r="AA216" s="4">
        <f>R196*(1-R200)*L199</f>
        <v>0</v>
      </c>
      <c r="AB216" s="4">
        <f>R196*(1-R200)*M199</f>
        <v>0</v>
      </c>
      <c r="AC216" s="4">
        <f>R196*(1-R200)*N199</f>
        <v>0</v>
      </c>
      <c r="AD216" s="4">
        <f>R196*(1-R200)*O199</f>
        <v>0</v>
      </c>
      <c r="AE216" s="4">
        <f>R196*(1-R200)*P199</f>
        <v>0</v>
      </c>
      <c r="AF216" s="4">
        <f>R196*(1-R200)*Q199</f>
        <v>0</v>
      </c>
      <c r="AG216" s="4">
        <f t="shared" si="76"/>
        <v>0</v>
      </c>
      <c r="AH216" s="252">
        <f t="shared" si="79"/>
        <v>0</v>
      </c>
    </row>
    <row r="217" spans="1:34">
      <c r="A217" s="6">
        <f t="shared" si="77"/>
        <v>2038</v>
      </c>
      <c r="B217" s="4">
        <f t="shared" si="78"/>
        <v>0</v>
      </c>
      <c r="S217" s="4">
        <f>S196*S200+S196*(1-S200)*C199</f>
        <v>0</v>
      </c>
      <c r="T217" s="4">
        <f>+S196*(1-S200)*D199</f>
        <v>0</v>
      </c>
      <c r="U217" s="4">
        <f>+S196*(1-S200)*E199</f>
        <v>0</v>
      </c>
      <c r="V217" s="4">
        <f>+S196*(1-S200)*F199</f>
        <v>0</v>
      </c>
      <c r="W217" s="4">
        <f>+S196*(1-S200)*G199</f>
        <v>0</v>
      </c>
      <c r="X217" s="4">
        <f>+S196*(1-S200)*H199</f>
        <v>0</v>
      </c>
      <c r="Y217" s="4">
        <f>+S196*(1-S200)*I199</f>
        <v>0</v>
      </c>
      <c r="Z217" s="4">
        <f>+S196*(1-S200)*J199</f>
        <v>0</v>
      </c>
      <c r="AA217" s="4">
        <f>+S196*(1-S200)*K199</f>
        <v>0</v>
      </c>
      <c r="AB217" s="4">
        <f>+S196*(1-S200)*L199</f>
        <v>0</v>
      </c>
      <c r="AC217" s="4">
        <f>+S196*(1-S200)*M199</f>
        <v>0</v>
      </c>
      <c r="AD217" s="4">
        <f>+S196*(1-S200)*N199</f>
        <v>0</v>
      </c>
      <c r="AE217" s="4">
        <f>+S196*(1-S200)*O199</f>
        <v>0</v>
      </c>
      <c r="AF217" s="4">
        <f>+S196*(1-S200)*P199</f>
        <v>0</v>
      </c>
      <c r="AG217" s="4">
        <f t="shared" si="76"/>
        <v>0</v>
      </c>
      <c r="AH217" s="252">
        <f t="shared" si="79"/>
        <v>0</v>
      </c>
    </row>
    <row r="218" spans="1:34">
      <c r="A218" s="6">
        <f t="shared" si="77"/>
        <v>2039</v>
      </c>
      <c r="B218" s="4">
        <f t="shared" si="78"/>
        <v>0</v>
      </c>
      <c r="T218" s="4">
        <f>T196*T200+T196*(1-T200)*C199</f>
        <v>0</v>
      </c>
      <c r="U218" s="4">
        <f>+T196*(1-T200)*D199</f>
        <v>0</v>
      </c>
      <c r="V218" s="4">
        <f>+T196*(1-T200)*E199</f>
        <v>0</v>
      </c>
      <c r="W218" s="4">
        <f>+T196*(1-T200)*F199</f>
        <v>0</v>
      </c>
      <c r="X218" s="4">
        <f>+T196*(1-T200)*G199</f>
        <v>0</v>
      </c>
      <c r="Y218" s="4">
        <f>+T196*(1-T200)*H199</f>
        <v>0</v>
      </c>
      <c r="Z218" s="4">
        <f>+T196*(1-T200)*I199</f>
        <v>0</v>
      </c>
      <c r="AA218" s="4">
        <f>+T196*(1-T200)*J199</f>
        <v>0</v>
      </c>
      <c r="AB218" s="4">
        <f>+T196*(1-T200)*K199</f>
        <v>0</v>
      </c>
      <c r="AC218" s="4">
        <f>+T196*(1-T200)*L199</f>
        <v>0</v>
      </c>
      <c r="AD218" s="4">
        <f>+T196*(1-T200)*M199</f>
        <v>0</v>
      </c>
      <c r="AE218" s="4">
        <f>+T196*(1-T200)*N199</f>
        <v>0</v>
      </c>
      <c r="AF218" s="4">
        <f>+T196*(1-T200)*O199</f>
        <v>0</v>
      </c>
      <c r="AG218" s="4">
        <f t="shared" si="76"/>
        <v>0</v>
      </c>
      <c r="AH218" s="252">
        <f t="shared" si="79"/>
        <v>0</v>
      </c>
    </row>
    <row r="219" spans="1:34">
      <c r="A219" s="6">
        <f t="shared" si="77"/>
        <v>2040</v>
      </c>
      <c r="B219" s="4">
        <f t="shared" si="78"/>
        <v>0</v>
      </c>
      <c r="U219" s="4">
        <f>U196*U200+U196*(1-U200)*C199</f>
        <v>0</v>
      </c>
      <c r="V219" s="4">
        <f>+U196*(1-U200)*D199</f>
        <v>0</v>
      </c>
      <c r="W219" s="4">
        <f>+U196*(1-U200)*E199</f>
        <v>0</v>
      </c>
      <c r="X219" s="4">
        <f>+U196*(1-U200)*F199</f>
        <v>0</v>
      </c>
      <c r="Y219" s="4">
        <f>+U196*(1-U200)*G199</f>
        <v>0</v>
      </c>
      <c r="Z219" s="4">
        <f>+U196*(1-U200)*H199</f>
        <v>0</v>
      </c>
      <c r="AA219" s="4">
        <f>+U196*(1-U200)*I199</f>
        <v>0</v>
      </c>
      <c r="AB219" s="4">
        <f>+U196*(1-U200)*J199</f>
        <v>0</v>
      </c>
      <c r="AC219" s="4">
        <f>+U196*(1-U200)*K199</f>
        <v>0</v>
      </c>
      <c r="AD219" s="4">
        <f>+U196*(1-U200)*L199</f>
        <v>0</v>
      </c>
      <c r="AE219" s="4">
        <f>+U196*(1-U200)*M199</f>
        <v>0</v>
      </c>
      <c r="AF219" s="4">
        <f>+U196*(1-U200)*N199</f>
        <v>0</v>
      </c>
      <c r="AG219" s="4">
        <f t="shared" si="76"/>
        <v>0</v>
      </c>
      <c r="AH219" s="252">
        <f t="shared" si="79"/>
        <v>0</v>
      </c>
    </row>
    <row r="220" spans="1:34">
      <c r="A220" s="6">
        <f t="shared" si="77"/>
        <v>2041</v>
      </c>
      <c r="B220" s="4">
        <f t="shared" si="78"/>
        <v>0</v>
      </c>
      <c r="V220" s="4">
        <f>V196*V200+V196*(1-V200)*C199</f>
        <v>0</v>
      </c>
      <c r="W220" s="4">
        <f>+V196*(1-V200)*D199</f>
        <v>0</v>
      </c>
      <c r="X220" s="4">
        <f>+V196*(1-V200)*E199</f>
        <v>0</v>
      </c>
      <c r="Y220" s="4">
        <f>+V196*(1-V200)*F199</f>
        <v>0</v>
      </c>
      <c r="Z220" s="4">
        <f>+V196*(1-V200)*G199</f>
        <v>0</v>
      </c>
      <c r="AA220" s="4">
        <f>+V196*(1-V200)*H199</f>
        <v>0</v>
      </c>
      <c r="AB220" s="4">
        <f>+V196*(1-V200)*I199</f>
        <v>0</v>
      </c>
      <c r="AC220" s="4">
        <f>+V196*(1-V200)*J199</f>
        <v>0</v>
      </c>
      <c r="AD220" s="4">
        <f>+V196*(1-V200)*K199</f>
        <v>0</v>
      </c>
      <c r="AE220" s="4">
        <f>+V196*(1-V200)*L199</f>
        <v>0</v>
      </c>
      <c r="AF220" s="4">
        <f>+V196*(1-V200)*M199</f>
        <v>0</v>
      </c>
      <c r="AG220" s="4">
        <f t="shared" si="76"/>
        <v>0</v>
      </c>
      <c r="AH220" s="252">
        <f t="shared" si="79"/>
        <v>0</v>
      </c>
    </row>
    <row r="221" spans="1:34">
      <c r="A221" s="6">
        <f t="shared" si="77"/>
        <v>2042</v>
      </c>
      <c r="B221" s="4">
        <f t="shared" si="78"/>
        <v>0</v>
      </c>
      <c r="W221" s="4">
        <f>W196*W200+W196*(1-W200)*C199</f>
        <v>0</v>
      </c>
      <c r="X221" s="4">
        <f>+W196*(1-W200)*D199</f>
        <v>0</v>
      </c>
      <c r="Y221" s="4">
        <f>+W196*(1-W200)*E199</f>
        <v>0</v>
      </c>
      <c r="Z221" s="4">
        <f>+W196*(1-W200)*F199</f>
        <v>0</v>
      </c>
      <c r="AA221" s="4">
        <f>+W196*(1-W200)*G199</f>
        <v>0</v>
      </c>
      <c r="AB221" s="4">
        <f>+W196*(1-W200)*H199</f>
        <v>0</v>
      </c>
      <c r="AC221" s="4">
        <f>+W196*(1-W200)*I199</f>
        <v>0</v>
      </c>
      <c r="AD221" s="4">
        <f>+W196*(1-W200)*J199</f>
        <v>0</v>
      </c>
      <c r="AE221" s="4">
        <f>+W196*(1-W200)*K199</f>
        <v>0</v>
      </c>
      <c r="AF221" s="4">
        <f>+W196*(1-W200)*L199</f>
        <v>0</v>
      </c>
      <c r="AG221" s="4">
        <f t="shared" si="76"/>
        <v>0</v>
      </c>
      <c r="AH221" s="252">
        <f t="shared" si="79"/>
        <v>0</v>
      </c>
    </row>
    <row r="222" spans="1:34">
      <c r="A222" s="6">
        <f t="shared" si="77"/>
        <v>2043</v>
      </c>
      <c r="B222" s="4">
        <f t="shared" si="78"/>
        <v>0</v>
      </c>
      <c r="X222" s="4">
        <f>X196*X200+X196*(1-X200)*C199</f>
        <v>0</v>
      </c>
      <c r="Y222" s="4">
        <f>+X196*(1-X200)*D199</f>
        <v>0</v>
      </c>
      <c r="Z222" s="4">
        <f>+X196*(1-X200)*E199</f>
        <v>0</v>
      </c>
      <c r="AA222" s="4">
        <f>+X196*(1-X200)*F199</f>
        <v>0</v>
      </c>
      <c r="AB222" s="4">
        <f>+X196*(1-X200)*G199</f>
        <v>0</v>
      </c>
      <c r="AC222" s="4">
        <f>+X196*(1-X200)*H199</f>
        <v>0</v>
      </c>
      <c r="AD222" s="4">
        <f>+X196*(1-X200)*I199</f>
        <v>0</v>
      </c>
      <c r="AE222" s="4">
        <f>+X196*(1-X200)*J199</f>
        <v>0</v>
      </c>
      <c r="AF222" s="4">
        <f>+X196*(1-X200)*K199</f>
        <v>0</v>
      </c>
      <c r="AG222" s="4">
        <f t="shared" si="76"/>
        <v>0</v>
      </c>
      <c r="AH222" s="252">
        <f t="shared" si="79"/>
        <v>0</v>
      </c>
    </row>
    <row r="223" spans="1:34">
      <c r="A223" s="6">
        <f t="shared" si="77"/>
        <v>2044</v>
      </c>
      <c r="B223" s="4">
        <f t="shared" si="78"/>
        <v>0</v>
      </c>
      <c r="Y223" s="4">
        <f>Y196*Y200+Y196*(1-Y200)*C199</f>
        <v>0</v>
      </c>
      <c r="Z223" s="4">
        <f>+Y196*(1-Y200)*D199</f>
        <v>0</v>
      </c>
      <c r="AA223" s="4">
        <f>+Y196*(1-Y200)*E199</f>
        <v>0</v>
      </c>
      <c r="AB223" s="4">
        <f>+Y196*(1-Y200)*F199</f>
        <v>0</v>
      </c>
      <c r="AC223" s="4">
        <f>+Y196*(1-Y200)*G199</f>
        <v>0</v>
      </c>
      <c r="AD223" s="4">
        <f>+Y196*(1-Y200)*H199</f>
        <v>0</v>
      </c>
      <c r="AE223" s="4">
        <f>+Y196*(1-Y200)*I199</f>
        <v>0</v>
      </c>
      <c r="AF223" s="4">
        <f>+Y196*(1-Y200)*J199</f>
        <v>0</v>
      </c>
      <c r="AG223" s="4">
        <f t="shared" si="76"/>
        <v>0</v>
      </c>
      <c r="AH223" s="252">
        <f t="shared" si="79"/>
        <v>0</v>
      </c>
    </row>
    <row r="224" spans="1:34">
      <c r="A224" s="6">
        <f t="shared" si="77"/>
        <v>2045</v>
      </c>
      <c r="B224" s="4">
        <f t="shared" si="78"/>
        <v>0</v>
      </c>
      <c r="Z224" s="4">
        <f>Z196*Z200+Z196*(1-Z200)*C199</f>
        <v>0</v>
      </c>
      <c r="AA224" s="4">
        <f>+Z196*(1-Z200)*D199</f>
        <v>0</v>
      </c>
      <c r="AB224" s="4">
        <f>+Z196*(1-Z200)*E199</f>
        <v>0</v>
      </c>
      <c r="AC224" s="4">
        <f>+Z196*(1-Z200)*F199</f>
        <v>0</v>
      </c>
      <c r="AD224" s="4">
        <f>+Z196*(1-Z200)*G199</f>
        <v>0</v>
      </c>
      <c r="AE224" s="4">
        <f>+Z196*(1-Z200)*H199</f>
        <v>0</v>
      </c>
      <c r="AF224" s="4">
        <f>+Z196*(1-Z200)*I199</f>
        <v>0</v>
      </c>
      <c r="AG224" s="4">
        <f t="shared" si="76"/>
        <v>0</v>
      </c>
      <c r="AH224" s="252">
        <f t="shared" si="79"/>
        <v>0</v>
      </c>
    </row>
    <row r="225" spans="1:34">
      <c r="A225" s="6">
        <f t="shared" si="77"/>
        <v>2046</v>
      </c>
      <c r="B225" s="4">
        <f t="shared" si="78"/>
        <v>0</v>
      </c>
      <c r="AA225" s="4">
        <f>AA196*AA200+AA196*(1-AA200)*C199</f>
        <v>0</v>
      </c>
      <c r="AB225" s="4">
        <f>+AA196*(1-AA200)*D199</f>
        <v>0</v>
      </c>
      <c r="AC225" s="4">
        <f>+AA196*(1-AA200)*E199</f>
        <v>0</v>
      </c>
      <c r="AD225" s="4">
        <f>+AA196*(1-AA200)*F199</f>
        <v>0</v>
      </c>
      <c r="AE225" s="4">
        <f>+AA196*(1-AA200)*G199</f>
        <v>0</v>
      </c>
      <c r="AF225" s="4">
        <f>+AA196*(1-AA200)*H199</f>
        <v>0</v>
      </c>
      <c r="AG225" s="4">
        <f t="shared" si="76"/>
        <v>0</v>
      </c>
      <c r="AH225" s="252">
        <f t="shared" si="79"/>
        <v>0</v>
      </c>
    </row>
    <row r="226" spans="1:34">
      <c r="A226" s="6">
        <f t="shared" si="77"/>
        <v>2047</v>
      </c>
      <c r="B226" s="4">
        <f t="shared" si="78"/>
        <v>0</v>
      </c>
      <c r="AB226" s="4">
        <f>AB196*AB200+AB196*(1-AB200)*C199</f>
        <v>0</v>
      </c>
      <c r="AC226" s="4">
        <f>+AB196*(1-AB200)*D199</f>
        <v>0</v>
      </c>
      <c r="AD226" s="4">
        <f>+AB196*(1-AB200)*E199</f>
        <v>0</v>
      </c>
      <c r="AE226" s="4">
        <f>+AB196*(1-AB200)*F199</f>
        <v>0</v>
      </c>
      <c r="AF226" s="4">
        <f>+AB196*(1-AB200)*G199</f>
        <v>0</v>
      </c>
      <c r="AG226" s="4">
        <f t="shared" ref="AG226:AG230" si="80">SUM(C226:AF226)</f>
        <v>0</v>
      </c>
      <c r="AH226" s="252">
        <f t="shared" si="79"/>
        <v>0</v>
      </c>
    </row>
    <row r="227" spans="1:34">
      <c r="A227" s="6">
        <f t="shared" si="77"/>
        <v>2048</v>
      </c>
      <c r="B227" s="4">
        <f t="shared" si="78"/>
        <v>0</v>
      </c>
      <c r="AC227" s="4">
        <f>AC196*AC200+AC196*(1-AC200)*C199</f>
        <v>0</v>
      </c>
      <c r="AD227" s="4">
        <f>+AC196*(1-AC200)*D199</f>
        <v>0</v>
      </c>
      <c r="AE227" s="4">
        <f>+AC196*(1-AC200)*E199</f>
        <v>0</v>
      </c>
      <c r="AF227" s="4">
        <f>+AC196*(1-AC200)*F199</f>
        <v>0</v>
      </c>
      <c r="AG227" s="4">
        <f t="shared" si="80"/>
        <v>0</v>
      </c>
      <c r="AH227" s="252">
        <f t="shared" si="79"/>
        <v>0</v>
      </c>
    </row>
    <row r="228" spans="1:34">
      <c r="A228" s="6">
        <f t="shared" si="77"/>
        <v>2049</v>
      </c>
      <c r="B228" s="4">
        <f t="shared" si="78"/>
        <v>0</v>
      </c>
      <c r="AD228" s="4">
        <f>AD196*AD200+AD196*(1-AD200)*C199</f>
        <v>0</v>
      </c>
      <c r="AE228" s="4">
        <f>+AD196*(1-AD200)*D199</f>
        <v>0</v>
      </c>
      <c r="AF228" s="4">
        <f>+AD196*(1-AD200)*E199</f>
        <v>0</v>
      </c>
      <c r="AG228" s="4">
        <f t="shared" si="80"/>
        <v>0</v>
      </c>
      <c r="AH228" s="252">
        <f t="shared" si="79"/>
        <v>0</v>
      </c>
    </row>
    <row r="229" spans="1:34">
      <c r="A229" s="6">
        <f t="shared" si="77"/>
        <v>2050</v>
      </c>
      <c r="B229" s="4">
        <f t="shared" si="78"/>
        <v>0</v>
      </c>
      <c r="AE229" s="4">
        <f>AE196*AE200+AE196*(1-AE200)*C199</f>
        <v>0</v>
      </c>
      <c r="AF229" s="4">
        <f>+AE196*(1-AE200)*D199</f>
        <v>0</v>
      </c>
      <c r="AG229" s="4">
        <f t="shared" si="80"/>
        <v>0</v>
      </c>
      <c r="AH229" s="252">
        <f t="shared" si="79"/>
        <v>0</v>
      </c>
    </row>
    <row r="230" spans="1:34">
      <c r="A230" s="6">
        <f t="shared" si="77"/>
        <v>2051</v>
      </c>
      <c r="B230" s="4">
        <f t="shared" si="78"/>
        <v>0</v>
      </c>
      <c r="AF230" s="4">
        <f>AF196*AF200+AF196*(1-AF200)*C199</f>
        <v>0</v>
      </c>
      <c r="AG230" s="4">
        <f t="shared" si="80"/>
        <v>0</v>
      </c>
      <c r="AH230" s="252">
        <f t="shared" si="79"/>
        <v>0</v>
      </c>
    </row>
    <row r="231" spans="1:34">
      <c r="A231" s="6" t="str">
        <f>"Total Depreciation - "&amp;A195</f>
        <v>Total Depreciation - Parking Garage (1,000 Spaces)</v>
      </c>
      <c r="B231" s="49">
        <f>SUM(B201:B230)</f>
        <v>22497924.584127281</v>
      </c>
      <c r="C231" s="49">
        <f>SUM(C201:C230)</f>
        <v>0</v>
      </c>
      <c r="D231" s="49">
        <f t="shared" ref="D231:AH231" si="81">SUM(D201:D230)</f>
        <v>0</v>
      </c>
      <c r="E231" s="49">
        <f t="shared" si="81"/>
        <v>576869.86113146867</v>
      </c>
      <c r="F231" s="49">
        <f t="shared" si="81"/>
        <v>576869.86113146867</v>
      </c>
      <c r="G231" s="49">
        <f t="shared" si="81"/>
        <v>576869.86113146867</v>
      </c>
      <c r="H231" s="49">
        <f t="shared" si="81"/>
        <v>576869.86113146867</v>
      </c>
      <c r="I231" s="49">
        <f t="shared" si="81"/>
        <v>576869.86113146867</v>
      </c>
      <c r="J231" s="49">
        <f t="shared" si="81"/>
        <v>576869.86113146867</v>
      </c>
      <c r="K231" s="49">
        <f t="shared" si="81"/>
        <v>576869.86113146867</v>
      </c>
      <c r="L231" s="49">
        <f t="shared" si="81"/>
        <v>576869.86113146867</v>
      </c>
      <c r="M231" s="49">
        <f t="shared" si="81"/>
        <v>576869.86113146867</v>
      </c>
      <c r="N231" s="49">
        <f t="shared" si="81"/>
        <v>576869.86113146867</v>
      </c>
      <c r="O231" s="49">
        <f t="shared" si="81"/>
        <v>576869.86113146867</v>
      </c>
      <c r="P231" s="49">
        <f t="shared" si="81"/>
        <v>576869.86113146867</v>
      </c>
      <c r="Q231" s="49">
        <f t="shared" si="81"/>
        <v>576869.86113146867</v>
      </c>
      <c r="R231" s="49">
        <f t="shared" si="81"/>
        <v>576869.86113146867</v>
      </c>
      <c r="S231" s="49">
        <f t="shared" si="81"/>
        <v>576869.86113146867</v>
      </c>
      <c r="T231" s="49">
        <f t="shared" si="81"/>
        <v>576869.86113146867</v>
      </c>
      <c r="U231" s="49">
        <f t="shared" si="81"/>
        <v>576869.86113146867</v>
      </c>
      <c r="V231" s="49">
        <f t="shared" si="81"/>
        <v>576869.86113146867</v>
      </c>
      <c r="W231" s="49">
        <f t="shared" si="81"/>
        <v>576869.86113146867</v>
      </c>
      <c r="X231" s="49">
        <f t="shared" si="81"/>
        <v>576869.86113146867</v>
      </c>
      <c r="Y231" s="49">
        <f t="shared" si="81"/>
        <v>576869.86113146867</v>
      </c>
      <c r="Z231" s="49">
        <f t="shared" si="81"/>
        <v>576869.86113146867</v>
      </c>
      <c r="AA231" s="49">
        <f t="shared" si="81"/>
        <v>576869.86113146867</v>
      </c>
      <c r="AB231" s="49">
        <f t="shared" si="81"/>
        <v>576869.86113146867</v>
      </c>
      <c r="AC231" s="49">
        <f t="shared" si="81"/>
        <v>576869.86113146867</v>
      </c>
      <c r="AD231" s="49">
        <f t="shared" si="81"/>
        <v>576869.86113146867</v>
      </c>
      <c r="AE231" s="49">
        <f t="shared" si="81"/>
        <v>576869.86113146867</v>
      </c>
      <c r="AF231" s="49">
        <f t="shared" si="81"/>
        <v>576869.86113146867</v>
      </c>
      <c r="AG231" s="49">
        <f t="shared" si="81"/>
        <v>16152356.111681124</v>
      </c>
      <c r="AH231" s="49">
        <f t="shared" si="81"/>
        <v>6345568.4724461567</v>
      </c>
    </row>
    <row r="233" spans="1:34">
      <c r="A233" s="302" t="str">
        <f>+Book!A221</f>
        <v>Interior Costs - Soft Costs</v>
      </c>
    </row>
    <row r="234" spans="1:34">
      <c r="A234" s="6" t="s">
        <v>406</v>
      </c>
      <c r="C234" s="40">
        <f>IF(Capex!$F$12="y",Book!C222*(1-C$446),Book!C222)</f>
        <v>0</v>
      </c>
      <c r="D234" s="40">
        <f>IF(Capex!$F$12="y",Book!D222*(1-D$446),Book!D222)</f>
        <v>0</v>
      </c>
      <c r="E234" s="40">
        <f>IF(Capex!$F$12="y",Book!E222*(1-E$446),Book!E222)</f>
        <v>0</v>
      </c>
      <c r="F234" s="40">
        <f>IF(Capex!$F$12="y",Book!F222*(1-F$446),Book!F222)</f>
        <v>9701578.8821190707</v>
      </c>
      <c r="G234" s="40">
        <f>IF(Capex!$F$12="y",Book!G222*(1-G$446),Book!G222)</f>
        <v>0</v>
      </c>
      <c r="H234" s="40">
        <f>IF(Capex!$F$12="y",Book!H222*(1-H$446),Book!H222)</f>
        <v>0</v>
      </c>
      <c r="I234" s="40">
        <f>IF(Capex!$F$12="y",Book!I222*(1-I$446),Book!I222)</f>
        <v>0</v>
      </c>
      <c r="J234" s="40">
        <f>IF(Capex!$F$12="y",Book!J222*(1-J$446),Book!J222)</f>
        <v>0</v>
      </c>
      <c r="K234" s="40">
        <f>IF(Capex!$F$12="y",Book!K222*(1-K$446),Book!K222)</f>
        <v>0</v>
      </c>
      <c r="L234" s="40">
        <f>IF(Capex!$F$12="y",Book!L222*(1-L$446),Book!L222)</f>
        <v>0</v>
      </c>
      <c r="M234" s="40">
        <f>IF(Capex!$F$12="y",Book!M222*(1-M$446),Book!M222)</f>
        <v>0</v>
      </c>
      <c r="N234" s="40">
        <f>IF(Capex!$F$12="y",Book!N222*(1-N$446),Book!N222)</f>
        <v>0</v>
      </c>
      <c r="O234" s="40">
        <f>IF(Capex!$F$12="y",Book!O222*(1-O$446),Book!O222)</f>
        <v>0</v>
      </c>
      <c r="P234" s="40">
        <f>IF(Capex!$F$12="y",Book!P222*(1-P$446),Book!P222)</f>
        <v>0</v>
      </c>
      <c r="Q234" s="40">
        <f>IF(Capex!$F$12="y",Book!Q222*(1-Q$446),Book!Q222)</f>
        <v>0</v>
      </c>
      <c r="R234" s="40">
        <f>IF(Capex!$F$12="y",Book!R222*(1-R$446),Book!R222)</f>
        <v>0</v>
      </c>
      <c r="S234" s="40">
        <f>IF(Capex!$F$12="y",Book!S222*(1-S$446),Book!S222)</f>
        <v>0</v>
      </c>
      <c r="T234" s="40">
        <f>IF(Capex!$F$12="y",Book!T222*(1-T$446),Book!T222)</f>
        <v>0</v>
      </c>
      <c r="U234" s="40">
        <f>IF(Capex!$F$12="y",Book!U222*(1-U$446),Book!U222)</f>
        <v>0</v>
      </c>
      <c r="V234" s="40">
        <f>IF(Capex!$F$12="y",Book!V222*(1-V$446),Book!V222)</f>
        <v>0</v>
      </c>
      <c r="W234" s="40">
        <f>IF(Capex!$F$12="y",Book!W222*(1-W$446),Book!W222)</f>
        <v>0</v>
      </c>
      <c r="X234" s="40">
        <f>IF(Capex!$F$12="y",Book!X222*(1-X$446),Book!X222)</f>
        <v>0</v>
      </c>
      <c r="Y234" s="40">
        <f>IF(Capex!$F$12="y",Book!Y222*(1-Y$446),Book!Y222)</f>
        <v>0</v>
      </c>
      <c r="Z234" s="40">
        <f>IF(Capex!$F$12="y",Book!Z222*(1-Z$446),Book!Z222)</f>
        <v>0</v>
      </c>
      <c r="AA234" s="40">
        <f>IF(Capex!$F$12="y",Book!AA222*(1-AA$446),Book!AA222)</f>
        <v>0</v>
      </c>
      <c r="AB234" s="40">
        <f>IF(Capex!$F$12="y",Book!AB222*(1-AB$446),Book!AB222)</f>
        <v>0</v>
      </c>
      <c r="AC234" s="40">
        <f>IF(Capex!$F$12="y",Book!AC222*(1-AC$446),Book!AC222)</f>
        <v>0</v>
      </c>
      <c r="AD234" s="40">
        <f>IF(Capex!$F$12="y",Book!AD222*(1-AD$446),Book!AD222)</f>
        <v>0</v>
      </c>
      <c r="AE234" s="40">
        <f>IF(Capex!$F$12="y",Book!AE222*(1-AE$446),Book!AE222)</f>
        <v>0</v>
      </c>
      <c r="AF234" s="40">
        <f>IF(Capex!$F$12="y",Book!AF222*(1-AF$446),Book!AF222)</f>
        <v>0</v>
      </c>
    </row>
    <row r="235" spans="1:34">
      <c r="A235" s="6" t="s">
        <v>215</v>
      </c>
      <c r="C235" s="49">
        <f>+C234</f>
        <v>0</v>
      </c>
      <c r="D235" s="49">
        <f t="shared" ref="D235:AF235" si="82">+D234+C235</f>
        <v>0</v>
      </c>
      <c r="E235" s="49">
        <f t="shared" si="82"/>
        <v>0</v>
      </c>
      <c r="F235" s="49">
        <f t="shared" si="82"/>
        <v>9701578.8821190707</v>
      </c>
      <c r="G235" s="49">
        <f t="shared" si="82"/>
        <v>9701578.8821190707</v>
      </c>
      <c r="H235" s="49">
        <f t="shared" si="82"/>
        <v>9701578.8821190707</v>
      </c>
      <c r="I235" s="49">
        <f t="shared" si="82"/>
        <v>9701578.8821190707</v>
      </c>
      <c r="J235" s="49">
        <f t="shared" si="82"/>
        <v>9701578.8821190707</v>
      </c>
      <c r="K235" s="49">
        <f t="shared" si="82"/>
        <v>9701578.8821190707</v>
      </c>
      <c r="L235" s="49">
        <f t="shared" si="82"/>
        <v>9701578.8821190707</v>
      </c>
      <c r="M235" s="49">
        <f t="shared" si="82"/>
        <v>9701578.8821190707</v>
      </c>
      <c r="N235" s="49">
        <f t="shared" si="82"/>
        <v>9701578.8821190707</v>
      </c>
      <c r="O235" s="49">
        <f t="shared" si="82"/>
        <v>9701578.8821190707</v>
      </c>
      <c r="P235" s="49">
        <f t="shared" si="82"/>
        <v>9701578.8821190707</v>
      </c>
      <c r="Q235" s="49">
        <f t="shared" si="82"/>
        <v>9701578.8821190707</v>
      </c>
      <c r="R235" s="49">
        <f t="shared" si="82"/>
        <v>9701578.8821190707</v>
      </c>
      <c r="S235" s="49">
        <f t="shared" si="82"/>
        <v>9701578.8821190707</v>
      </c>
      <c r="T235" s="49">
        <f t="shared" si="82"/>
        <v>9701578.8821190707</v>
      </c>
      <c r="U235" s="49">
        <f t="shared" si="82"/>
        <v>9701578.8821190707</v>
      </c>
      <c r="V235" s="49">
        <f t="shared" si="82"/>
        <v>9701578.8821190707</v>
      </c>
      <c r="W235" s="49">
        <f t="shared" si="82"/>
        <v>9701578.8821190707</v>
      </c>
      <c r="X235" s="49">
        <f t="shared" si="82"/>
        <v>9701578.8821190707</v>
      </c>
      <c r="Y235" s="49">
        <f t="shared" si="82"/>
        <v>9701578.8821190707</v>
      </c>
      <c r="Z235" s="49">
        <f t="shared" si="82"/>
        <v>9701578.8821190707</v>
      </c>
      <c r="AA235" s="49">
        <f t="shared" si="82"/>
        <v>9701578.8821190707</v>
      </c>
      <c r="AB235" s="49">
        <f t="shared" si="82"/>
        <v>9701578.8821190707</v>
      </c>
      <c r="AC235" s="49">
        <f t="shared" si="82"/>
        <v>9701578.8821190707</v>
      </c>
      <c r="AD235" s="49">
        <f t="shared" si="82"/>
        <v>9701578.8821190707</v>
      </c>
      <c r="AE235" s="49">
        <f t="shared" si="82"/>
        <v>9701578.8821190707</v>
      </c>
      <c r="AF235" s="49">
        <f t="shared" si="82"/>
        <v>9701578.8821190707</v>
      </c>
    </row>
    <row r="236" spans="1:34">
      <c r="A236" s="6" t="s">
        <v>407</v>
      </c>
    </row>
    <row r="237" spans="1:34">
      <c r="A237" s="6" t="s">
        <v>408</v>
      </c>
      <c r="B237" s="88">
        <f>+Capex!$E$12</f>
        <v>39</v>
      </c>
      <c r="C237" s="5">
        <f>SUMIF($B$459:$I$459,$B237,$B$460:$I$460)</f>
        <v>2.564102564102564E-2</v>
      </c>
      <c r="D237" s="5">
        <f>SUMIF($B$459:$I$459,$B237,$B$461:$I$461)</f>
        <v>2.564102564102564E-2</v>
      </c>
      <c r="E237" s="5">
        <f>SUMIF($B$459:$I$459,$B237,$B$462:$I$462)</f>
        <v>2.564102564102564E-2</v>
      </c>
      <c r="F237" s="5">
        <f>SUMIF($B$459:$I$459,$B237,$B$463:$I$463)</f>
        <v>2.564102564102564E-2</v>
      </c>
      <c r="G237" s="5">
        <f>SUMIF($B$459:$I$459,$B237,$B$464:$I$464)</f>
        <v>2.564102564102564E-2</v>
      </c>
      <c r="H237" s="5">
        <f>SUMIF($B$459:$I$459,$B237,$B$465:$I$465)</f>
        <v>2.564102564102564E-2</v>
      </c>
      <c r="I237" s="5">
        <f>SUMIF($B$459:$I$459,$B237,$B$466:$I$466)</f>
        <v>2.564102564102564E-2</v>
      </c>
      <c r="J237" s="5">
        <f>SUMIF($B$459:$I$459,$B237,$B$467:$I$467)</f>
        <v>2.564102564102564E-2</v>
      </c>
      <c r="K237" s="5">
        <f>SUMIF($B$459:$I$459,$B237,$B$468:$I$468)</f>
        <v>2.564102564102564E-2</v>
      </c>
      <c r="L237" s="5">
        <f>SUMIF($B$459:$I$459,$B237,$B$469:$I$469)</f>
        <v>2.564102564102564E-2</v>
      </c>
      <c r="M237" s="5">
        <f>SUMIF($B$459:$I$459,$B237,$B$470:$I$470)</f>
        <v>2.564102564102564E-2</v>
      </c>
      <c r="N237" s="5">
        <f>SUMIF($B$459:$I$459,$B237,$B$471:$I$471)</f>
        <v>2.564102564102564E-2</v>
      </c>
      <c r="O237" s="5">
        <f>SUMIF($B$459:$I$459,$B237,$B$472:$I$472)</f>
        <v>2.564102564102564E-2</v>
      </c>
      <c r="P237" s="5">
        <f>SUMIF($B$459:$I$459,$B237,$B$473:$I$473)</f>
        <v>2.564102564102564E-2</v>
      </c>
      <c r="Q237" s="5">
        <f>SUMIF($B$459:$I$459,$B237,$B$474:$I$474)</f>
        <v>2.564102564102564E-2</v>
      </c>
      <c r="R237" s="5">
        <f>SUMIF($B$459:$I$459,$B237,$B$475:$I$475)</f>
        <v>2.564102564102564E-2</v>
      </c>
      <c r="S237" s="5">
        <f>SUMIF($B$459:$I$459,$B237,$B$476:$I$476)</f>
        <v>2.564102564102564E-2</v>
      </c>
      <c r="T237" s="5">
        <f>SUMIF($B$459:$I$459,$B237,$B$477:$I$477)</f>
        <v>2.564102564102564E-2</v>
      </c>
      <c r="U237" s="5">
        <f>SUMIF($B$459:$I$459,$B237,$B$478:$I$478)</f>
        <v>2.564102564102564E-2</v>
      </c>
      <c r="V237" s="5">
        <f>SUMIF($B$459:$I$459,$B237,$B$479:$I$479)</f>
        <v>2.564102564102564E-2</v>
      </c>
      <c r="W237" s="5">
        <f>SUMIF($B$459:$I$459,$B237,$B$480:$I$480)</f>
        <v>2.564102564102564E-2</v>
      </c>
      <c r="X237" s="5">
        <f>SUMIF($B$459:$I$459,$B237,$B$481:$I$481)</f>
        <v>2.564102564102564E-2</v>
      </c>
      <c r="Y237" s="5">
        <f>SUMIF($B$459:$I$459,$B237,$B$482:$I$482)</f>
        <v>2.564102564102564E-2</v>
      </c>
      <c r="Z237" s="5">
        <f>SUMIF($B$459:$I$459,$B237,$B$483:$I$483)</f>
        <v>2.564102564102564E-2</v>
      </c>
      <c r="AA237" s="5">
        <f t="shared" ref="AA237:AF237" si="83">SUMIF($B$459:$I$459,$B237,$B$484:$I$484)</f>
        <v>2.564102564102564E-2</v>
      </c>
      <c r="AB237" s="5">
        <f t="shared" si="83"/>
        <v>2.564102564102564E-2</v>
      </c>
      <c r="AC237" s="5">
        <f t="shared" si="83"/>
        <v>2.564102564102564E-2</v>
      </c>
      <c r="AD237" s="5">
        <f t="shared" si="83"/>
        <v>2.564102564102564E-2</v>
      </c>
      <c r="AE237" s="5">
        <f t="shared" si="83"/>
        <v>2.564102564102564E-2</v>
      </c>
      <c r="AF237" s="5">
        <f t="shared" si="83"/>
        <v>2.564102564102564E-2</v>
      </c>
    </row>
    <row r="238" spans="1:34">
      <c r="A238" s="6" t="s">
        <v>409</v>
      </c>
      <c r="B238" s="89"/>
      <c r="C238" s="94">
        <f>IF(C$2&gt;'Input Data'!$M$37,B238,IF($B237=0,0,SUMIF('Input Data'!$C$37:$M$37,C$2,'Input Data'!$C$38:$M$38)))</f>
        <v>0</v>
      </c>
      <c r="D238" s="94">
        <f>IF(D$2&gt;'Input Data'!$M$37,C238,IF($B237=0,0,SUMIF('Input Data'!$C$37:$M$37,D$2,'Input Data'!$C$38:$M$38)))</f>
        <v>0</v>
      </c>
      <c r="E238" s="94">
        <f>IF(E$2&gt;'Input Data'!$M$37,D238,IF($B237=0,0,SUMIF('Input Data'!$C$37:$M$37,E$2,'Input Data'!$C$38:$M$38)))</f>
        <v>0</v>
      </c>
      <c r="F238" s="94">
        <f>IF(F$2&gt;'Input Data'!$M$37,E238,IF($B237=0,0,SUMIF('Input Data'!$C$37:$M$37,F$2,'Input Data'!$C$38:$M$38)))</f>
        <v>0</v>
      </c>
      <c r="G238" s="94">
        <f>IF(G$2&gt;'Input Data'!$M$37,F238,IF($B237=0,0,SUMIF('Input Data'!$C$37:$M$37,G$2,'Input Data'!$C$38:$M$38)))</f>
        <v>0</v>
      </c>
      <c r="H238" s="94">
        <f>IF(H$2&gt;'Input Data'!$M$37,G238,IF($B237=0,0,SUMIF('Input Data'!$C$37:$M$37,H$2,'Input Data'!$C$38:$M$38)))</f>
        <v>0</v>
      </c>
      <c r="I238" s="94">
        <f>IF(I$2&gt;'Input Data'!$M$37,H238,IF($B237=0,0,SUMIF('Input Data'!$C$37:$M$37,I$2,'Input Data'!$C$38:$M$38)))</f>
        <v>0</v>
      </c>
      <c r="J238" s="94">
        <f>IF(J$2&gt;'Input Data'!$M$37,I238,IF($B237=0,0,SUMIF('Input Data'!$C$37:$M$37,J$2,'Input Data'!$C$38:$M$38)))</f>
        <v>0</v>
      </c>
      <c r="K238" s="94">
        <f>IF(K$2&gt;'Input Data'!$M$37,J238,IF($B237=0,0,SUMIF('Input Data'!$C$37:$M$37,K$2,'Input Data'!$C$38:$M$38)))</f>
        <v>0</v>
      </c>
      <c r="L238" s="94">
        <f>IF(L$2&gt;'Input Data'!$M$37,K238,IF($B237=0,0,SUMIF('Input Data'!$C$37:$M$37,L$2,'Input Data'!$C$38:$M$38)))</f>
        <v>0</v>
      </c>
      <c r="M238" s="94">
        <f>IF(M$2&gt;'Input Data'!$M$37,L238,IF($B237=0,0,SUMIF('Input Data'!$C$37:$M$37,M$2,'Input Data'!$C$38:$M$38)))</f>
        <v>0</v>
      </c>
      <c r="N238" s="94">
        <f>IF(N$2&gt;'Input Data'!$M$37,M238,IF($B237=0,0,SUMIF('Input Data'!$C$37:$M$37,N$2,'Input Data'!$C$38:$M$38)))</f>
        <v>0</v>
      </c>
      <c r="O238" s="94">
        <f>IF(O$2&gt;'Input Data'!$M$37,N238,IF($B237=0,0,SUMIF('Input Data'!$C$37:$M$37,O$2,'Input Data'!$C$38:$M$38)))</f>
        <v>0</v>
      </c>
      <c r="P238" s="94">
        <f>IF(P$2&gt;'Input Data'!$M$37,O238,IF($B237=0,0,SUMIF('Input Data'!$C$37:$M$37,P$2,'Input Data'!$C$38:$M$38)))</f>
        <v>0</v>
      </c>
      <c r="Q238" s="94">
        <f>IF(Q$2&gt;'Input Data'!$M$37,P238,IF($B237=0,0,SUMIF('Input Data'!$C$37:$M$37,Q$2,'Input Data'!$C$38:$M$38)))</f>
        <v>0</v>
      </c>
      <c r="R238" s="94">
        <f>IF(R$2&gt;'Input Data'!$M$37,Q238,IF($B237=0,0,SUMIF('Input Data'!$C$37:$M$37,R$2,'Input Data'!$C$38:$M$38)))</f>
        <v>0</v>
      </c>
      <c r="S238" s="94">
        <f>IF(S$2&gt;'Input Data'!$M$37,R238,IF($B237=0,0,SUMIF('Input Data'!$C$37:$M$37,S$2,'Input Data'!$C$38:$M$38)))</f>
        <v>0</v>
      </c>
      <c r="T238" s="94">
        <f>IF(T$2&gt;'Input Data'!$M$37,S238,IF($B237=0,0,SUMIF('Input Data'!$C$37:$M$37,T$2,'Input Data'!$C$38:$M$38)))</f>
        <v>0</v>
      </c>
      <c r="U238" s="94">
        <f>IF(U$2&gt;'Input Data'!$M$37,T238,IF($B237=0,0,SUMIF('Input Data'!$C$37:$M$37,U$2,'Input Data'!$C$38:$M$38)))</f>
        <v>0</v>
      </c>
      <c r="V238" s="94">
        <f>IF(V$2&gt;'Input Data'!$M$37,U238,IF($B237=0,0,SUMIF('Input Data'!$C$37:$M$37,V$2,'Input Data'!$C$38:$M$38)))</f>
        <v>0</v>
      </c>
      <c r="W238" s="94">
        <f>IF(W$2&gt;'Input Data'!$M$37,V238,IF($B237=0,0,SUMIF('Input Data'!$C$37:$M$37,W$2,'Input Data'!$C$38:$M$38)))</f>
        <v>0</v>
      </c>
      <c r="X238" s="94">
        <f>IF(X$2&gt;'Input Data'!$M$37,W238,IF($B237=0,0,SUMIF('Input Data'!$C$37:$M$37,X$2,'Input Data'!$C$38:$M$38)))</f>
        <v>0</v>
      </c>
      <c r="Y238" s="94">
        <f>IF(Y$2&gt;'Input Data'!$M$37,X238,IF($B237=0,0,SUMIF('Input Data'!$C$37:$M$37,Y$2,'Input Data'!$C$38:$M$38)))</f>
        <v>0</v>
      </c>
      <c r="Z238" s="94">
        <f>IF(Z$2&gt;'Input Data'!$M$37,Y238,IF($B237=0,0,SUMIF('Input Data'!$C$37:$M$37,Z$2,'Input Data'!$C$38:$M$38)))</f>
        <v>0</v>
      </c>
      <c r="AA238" s="94">
        <f>IF(AA$2&gt;'Input Data'!$M$37,Z238,IF($B237=0,0,SUMIF('Input Data'!$C$37:$M$37,AA$2,'Input Data'!$C$38:$M$38)))</f>
        <v>0</v>
      </c>
      <c r="AB238" s="94">
        <f>IF(AB$2&gt;'Input Data'!$M$37,AA238,IF($B237=0,0,SUMIF('Input Data'!$C$37:$M$37,AB$2,'Input Data'!$C$38:$M$38)))</f>
        <v>0</v>
      </c>
      <c r="AC238" s="94">
        <f>IF(AC$2&gt;'Input Data'!$M$37,AB238,IF($B237=0,0,SUMIF('Input Data'!$C$37:$M$37,AC$2,'Input Data'!$C$38:$M$38)))</f>
        <v>0</v>
      </c>
      <c r="AD238" s="94">
        <f>IF(AD$2&gt;'Input Data'!$M$37,AC238,IF($B237=0,0,SUMIF('Input Data'!$C$37:$M$37,AD$2,'Input Data'!$C$38:$M$38)))</f>
        <v>0</v>
      </c>
      <c r="AE238" s="94">
        <f>IF(AE$2&gt;'Input Data'!$M$37,AD238,IF($B237=0,0,SUMIF('Input Data'!$C$37:$M$37,AE$2,'Input Data'!$C$38:$M$38)))</f>
        <v>0</v>
      </c>
      <c r="AF238" s="94">
        <f>IF(AF$2&gt;'Input Data'!$M$37,AE238,IF($B237=0,0,SUMIF('Input Data'!$C$37:$M$37,AF$2,'Input Data'!$C$38:$M$38)))</f>
        <v>0</v>
      </c>
    </row>
    <row r="239" spans="1:34">
      <c r="A239" s="6">
        <f>+A125</f>
        <v>2022</v>
      </c>
      <c r="B239" s="4">
        <f>SUMIF($C$2:$AF$2,A239,$C$234:$AF$234)</f>
        <v>0</v>
      </c>
      <c r="C239" s="4">
        <f>C234*C238+C234*(1-C238)*C237</f>
        <v>0</v>
      </c>
      <c r="D239" s="4">
        <f>C234*(1-C238)*D237</f>
        <v>0</v>
      </c>
      <c r="E239" s="4">
        <f>C234*(1-C238)*E237</f>
        <v>0</v>
      </c>
      <c r="F239" s="4">
        <f>C234*(1-C238)*F237</f>
        <v>0</v>
      </c>
      <c r="G239" s="4">
        <f>C234*(1-C238)*G237</f>
        <v>0</v>
      </c>
      <c r="H239" s="4">
        <f>C234*(1-C238)*H237</f>
        <v>0</v>
      </c>
      <c r="I239" s="4">
        <f>C234*(1-C238)*I237</f>
        <v>0</v>
      </c>
      <c r="J239" s="4">
        <f>C234*(1-C238)*J237</f>
        <v>0</v>
      </c>
      <c r="K239" s="4">
        <f>C234*(1-C238)*K237</f>
        <v>0</v>
      </c>
      <c r="L239" s="4">
        <f>C234*(1-C238)*L237</f>
        <v>0</v>
      </c>
      <c r="M239" s="4">
        <f>C234*(1-C238)*M237</f>
        <v>0</v>
      </c>
      <c r="N239" s="4">
        <f>C234*(1-C238)*N237</f>
        <v>0</v>
      </c>
      <c r="O239" s="4">
        <f>C234*(1-C238)*O237</f>
        <v>0</v>
      </c>
      <c r="P239" s="4">
        <f>C234*(1-C238)*P237</f>
        <v>0</v>
      </c>
      <c r="Q239" s="4">
        <f>C234*(1-C238)*Q237</f>
        <v>0</v>
      </c>
      <c r="R239" s="4">
        <f>C234*(1-C238)*R237</f>
        <v>0</v>
      </c>
      <c r="S239" s="4">
        <f>C234*(1-C238)*S237</f>
        <v>0</v>
      </c>
      <c r="T239" s="4">
        <f>C234*(1-C238)*T237</f>
        <v>0</v>
      </c>
      <c r="U239" s="4">
        <f>C234*(1-C238)*U237</f>
        <v>0</v>
      </c>
      <c r="V239" s="4">
        <f>C234*(1-C238)*V237</f>
        <v>0</v>
      </c>
      <c r="W239" s="4">
        <f>C234*(1-C238)*W237</f>
        <v>0</v>
      </c>
      <c r="X239" s="4">
        <f>C234*(1-C238)*X237</f>
        <v>0</v>
      </c>
      <c r="Y239" s="4">
        <f>C234*(1-C238)*Y237</f>
        <v>0</v>
      </c>
      <c r="Z239" s="4">
        <f>C234*(1-C238)*Z237</f>
        <v>0</v>
      </c>
      <c r="AA239" s="4">
        <f>C234*(1-C238)*AA237</f>
        <v>0</v>
      </c>
      <c r="AB239" s="4">
        <f>C234*(1-C238)*AB237</f>
        <v>0</v>
      </c>
      <c r="AC239" s="4">
        <f>C234*(1-C238)*AC237</f>
        <v>0</v>
      </c>
      <c r="AD239" s="4">
        <f>C234*(1-C238)*AD237</f>
        <v>0</v>
      </c>
      <c r="AE239" s="4">
        <f>C234*(1-C238)*AE237</f>
        <v>0</v>
      </c>
      <c r="AF239" s="4">
        <f>C234*(1-C238)*AF237</f>
        <v>0</v>
      </c>
      <c r="AG239" s="4">
        <f t="shared" ref="AG239:AG263" si="84">SUM(C239:AF239)</f>
        <v>0</v>
      </c>
      <c r="AH239" s="252">
        <f>+B239-AG239</f>
        <v>0</v>
      </c>
    </row>
    <row r="240" spans="1:34">
      <c r="A240" s="6">
        <f t="shared" ref="A240:A268" si="85">+A126</f>
        <v>2023</v>
      </c>
      <c r="B240" s="4">
        <f t="shared" ref="B240:B268" si="86">SUMIF($C$2:$AF$2,A240,$C$234:$AF$234)</f>
        <v>0</v>
      </c>
      <c r="D240" s="4">
        <f>D234*D238+D234*(1-D238)*C237</f>
        <v>0</v>
      </c>
      <c r="E240" s="4">
        <f>+D234*(1-D238)*D237</f>
        <v>0</v>
      </c>
      <c r="F240" s="4">
        <f>+D234*(1-D238)*E237</f>
        <v>0</v>
      </c>
      <c r="G240" s="4">
        <f>+D234*(1-D238)*F237</f>
        <v>0</v>
      </c>
      <c r="H240" s="4">
        <f>+D234*(1-D238)*G237</f>
        <v>0</v>
      </c>
      <c r="I240" s="4">
        <f>+D234*(1-D238)*H237</f>
        <v>0</v>
      </c>
      <c r="J240" s="4">
        <f>+D234*(1-D238)*I237</f>
        <v>0</v>
      </c>
      <c r="K240" s="4">
        <f>+D234*(1-D238)*J237</f>
        <v>0</v>
      </c>
      <c r="L240" s="4">
        <f>+D234*(1-D238)*K237</f>
        <v>0</v>
      </c>
      <c r="M240" s="4">
        <f>+D234*(1-D238)*L237</f>
        <v>0</v>
      </c>
      <c r="N240" s="4">
        <f>+D234*(1-D238)*M237</f>
        <v>0</v>
      </c>
      <c r="O240" s="4">
        <f>+D234*(1-D238)*N237</f>
        <v>0</v>
      </c>
      <c r="P240" s="4">
        <f>+D234*(1-D238)*O237</f>
        <v>0</v>
      </c>
      <c r="Q240" s="4">
        <f>+D234*(1-D238)*P237</f>
        <v>0</v>
      </c>
      <c r="R240" s="4">
        <f>+D234*(1-D238)*Q237</f>
        <v>0</v>
      </c>
      <c r="S240" s="4">
        <f>+D234*(1-D238)*R237</f>
        <v>0</v>
      </c>
      <c r="T240" s="4">
        <f>+D234*(1-D238)*S237</f>
        <v>0</v>
      </c>
      <c r="U240" s="4">
        <f>+D234*(1-D238)*T237</f>
        <v>0</v>
      </c>
      <c r="V240" s="4">
        <f>+D234*(1-D238)*U237</f>
        <v>0</v>
      </c>
      <c r="W240" s="4">
        <f>+D234*(1-D238)*V237</f>
        <v>0</v>
      </c>
      <c r="X240" s="4">
        <f>+D234*(1-D238)*W237</f>
        <v>0</v>
      </c>
      <c r="Y240" s="4">
        <f>+D234*(1-D238)*X237</f>
        <v>0</v>
      </c>
      <c r="Z240" s="4">
        <f>+D234*(1-D238)*Y237</f>
        <v>0</v>
      </c>
      <c r="AA240" s="4">
        <f>+D234*(1-D238)*Z237</f>
        <v>0</v>
      </c>
      <c r="AB240" s="4">
        <f>+D234*(1-D238)*AA237</f>
        <v>0</v>
      </c>
      <c r="AC240" s="4">
        <f>+D234*(1-D238)*AB237</f>
        <v>0</v>
      </c>
      <c r="AD240" s="4">
        <f>+D234*(1-D238)*AC237</f>
        <v>0</v>
      </c>
      <c r="AE240" s="4">
        <f>+D234*(1-D238)*AD237</f>
        <v>0</v>
      </c>
      <c r="AF240" s="4">
        <f>+D234*(1-D238)*AE237</f>
        <v>0</v>
      </c>
      <c r="AG240" s="4">
        <f t="shared" si="84"/>
        <v>0</v>
      </c>
      <c r="AH240" s="252">
        <f t="shared" ref="AH240:AH268" si="87">+B240-AG240</f>
        <v>0</v>
      </c>
    </row>
    <row r="241" spans="1:34">
      <c r="A241" s="6">
        <f t="shared" si="85"/>
        <v>2024</v>
      </c>
      <c r="B241" s="4">
        <f t="shared" si="86"/>
        <v>0</v>
      </c>
      <c r="E241" s="4">
        <f>E234*E238+E234*(1-E238)*C237</f>
        <v>0</v>
      </c>
      <c r="F241" s="4">
        <f>+E234*(1-E238)*D237</f>
        <v>0</v>
      </c>
      <c r="G241" s="4">
        <f>+E234*(1-E238)*E237</f>
        <v>0</v>
      </c>
      <c r="H241" s="4">
        <f>+E234*(1-E238)*F237</f>
        <v>0</v>
      </c>
      <c r="I241" s="4">
        <f>+E234*(1-E238)*G237</f>
        <v>0</v>
      </c>
      <c r="J241" s="4">
        <f>+E234*(1-E238)*H237</f>
        <v>0</v>
      </c>
      <c r="K241" s="4">
        <f>+E234*(1-E238)*I237</f>
        <v>0</v>
      </c>
      <c r="L241" s="4">
        <f>+E234*(1-E238)*J237</f>
        <v>0</v>
      </c>
      <c r="M241" s="4">
        <f>+E234*(1-E238)*K237</f>
        <v>0</v>
      </c>
      <c r="N241" s="4">
        <f>+E234*(1-E238)*L237</f>
        <v>0</v>
      </c>
      <c r="O241" s="4">
        <f>+E234*(1-E238)*M237</f>
        <v>0</v>
      </c>
      <c r="P241" s="4">
        <f>+E234*(1-E238)*N237</f>
        <v>0</v>
      </c>
      <c r="Q241" s="4">
        <f>+E234*(1-E238)*O237</f>
        <v>0</v>
      </c>
      <c r="R241" s="4">
        <f>+E234*(1-E238)*P237</f>
        <v>0</v>
      </c>
      <c r="S241" s="4">
        <f>+E234*(1-E238)*Q237</f>
        <v>0</v>
      </c>
      <c r="T241" s="4">
        <f>+E234*(1-E238)*R237</f>
        <v>0</v>
      </c>
      <c r="U241" s="4">
        <f>+E234*(1-E238)*S237</f>
        <v>0</v>
      </c>
      <c r="V241" s="4">
        <f>+E234*(1-E238)*T237</f>
        <v>0</v>
      </c>
      <c r="W241" s="4">
        <f>+E234*(1-E238)*U237</f>
        <v>0</v>
      </c>
      <c r="X241" s="4">
        <f>+E234*(1-E238)*V237</f>
        <v>0</v>
      </c>
      <c r="Y241" s="4">
        <f>+E234*(1-E238)*W237</f>
        <v>0</v>
      </c>
      <c r="Z241" s="4">
        <f>+E234*(1-E238)*X237</f>
        <v>0</v>
      </c>
      <c r="AA241" s="4">
        <f>+E234*(1-E238)*Y237</f>
        <v>0</v>
      </c>
      <c r="AB241" s="4">
        <f>+E234*(1-E238)*Z237</f>
        <v>0</v>
      </c>
      <c r="AC241" s="4">
        <f>+E234*(1-E238)*AA237</f>
        <v>0</v>
      </c>
      <c r="AD241" s="4">
        <f>+E234*(1-E238)*AB237</f>
        <v>0</v>
      </c>
      <c r="AE241" s="4">
        <f>+E234*(1-E238)*AC237</f>
        <v>0</v>
      </c>
      <c r="AF241" s="4">
        <f>+E234*(1-E238)*AD237</f>
        <v>0</v>
      </c>
      <c r="AG241" s="4">
        <f t="shared" si="84"/>
        <v>0</v>
      </c>
      <c r="AH241" s="252">
        <f t="shared" si="87"/>
        <v>0</v>
      </c>
    </row>
    <row r="242" spans="1:34">
      <c r="A242" s="6">
        <f t="shared" si="85"/>
        <v>2025</v>
      </c>
      <c r="B242" s="4">
        <f t="shared" si="86"/>
        <v>9701578.8821190707</v>
      </c>
      <c r="F242" s="4">
        <f>F234*F238+F234*(1-F238)*C237</f>
        <v>248758.43287484796</v>
      </c>
      <c r="G242" s="4">
        <f>+F234*(1-F238)*D237</f>
        <v>248758.43287484796</v>
      </c>
      <c r="H242" s="4">
        <f>+F234*(1-F238)*E237</f>
        <v>248758.43287484796</v>
      </c>
      <c r="I242" s="4">
        <f>+F234*(1-F238)*F237</f>
        <v>248758.43287484796</v>
      </c>
      <c r="J242" s="4">
        <f>+F234*(1-F238)*G237</f>
        <v>248758.43287484796</v>
      </c>
      <c r="K242" s="4">
        <f>+F234*(1-F238)*H237</f>
        <v>248758.43287484796</v>
      </c>
      <c r="L242" s="4">
        <f>+F234*(1-F238)*I237</f>
        <v>248758.43287484796</v>
      </c>
      <c r="M242" s="4">
        <f>+F234*(1-F238)*J237</f>
        <v>248758.43287484796</v>
      </c>
      <c r="N242" s="4">
        <f>+F234*(1-F238)*K237</f>
        <v>248758.43287484796</v>
      </c>
      <c r="O242" s="4">
        <f>+F234*(1-F238)*L237</f>
        <v>248758.43287484796</v>
      </c>
      <c r="P242" s="4">
        <f>+F234*(1-F238)*M237</f>
        <v>248758.43287484796</v>
      </c>
      <c r="Q242" s="4">
        <f>+F234*(1-F238)*N237</f>
        <v>248758.43287484796</v>
      </c>
      <c r="R242" s="4">
        <f>+F234*(1-F238)*O237</f>
        <v>248758.43287484796</v>
      </c>
      <c r="S242" s="4">
        <f>+F234*(1-F238)*P237</f>
        <v>248758.43287484796</v>
      </c>
      <c r="T242" s="4">
        <f>+F234*(1-F238)*Q237</f>
        <v>248758.43287484796</v>
      </c>
      <c r="U242" s="4">
        <f>+F234*(1-F238)*R237</f>
        <v>248758.43287484796</v>
      </c>
      <c r="V242" s="4">
        <f>+F234*(1-F238)*S237</f>
        <v>248758.43287484796</v>
      </c>
      <c r="W242" s="4">
        <f>+F234*(1-F238)*T237</f>
        <v>248758.43287484796</v>
      </c>
      <c r="X242" s="4">
        <f>+F234*(1-F238)*U237</f>
        <v>248758.43287484796</v>
      </c>
      <c r="Y242" s="4">
        <f>+F234*(1-F238)*V237</f>
        <v>248758.43287484796</v>
      </c>
      <c r="Z242" s="4">
        <f>+F234*(1-F238)*W237</f>
        <v>248758.43287484796</v>
      </c>
      <c r="AA242" s="4">
        <f>+F234*(1-F238)*X237</f>
        <v>248758.43287484796</v>
      </c>
      <c r="AB242" s="4">
        <f>+F234*(1-F238)*Y237</f>
        <v>248758.43287484796</v>
      </c>
      <c r="AC242" s="4">
        <f>+F234*(1-F238)*Z237</f>
        <v>248758.43287484796</v>
      </c>
      <c r="AD242" s="4">
        <f>+F234*(1-F238)*AA237</f>
        <v>248758.43287484796</v>
      </c>
      <c r="AE242" s="4">
        <f>+F234*(1-F238)*AB237</f>
        <v>248758.43287484796</v>
      </c>
      <c r="AF242" s="4">
        <f>+F234*(1-F238)*AC237</f>
        <v>248758.43287484796</v>
      </c>
      <c r="AG242" s="4">
        <f t="shared" si="84"/>
        <v>6716477.6876208978</v>
      </c>
      <c r="AH242" s="252">
        <f t="shared" si="87"/>
        <v>2985101.194498173</v>
      </c>
    </row>
    <row r="243" spans="1:34">
      <c r="A243" s="6">
        <f t="shared" si="85"/>
        <v>2026</v>
      </c>
      <c r="B243" s="4">
        <f t="shared" si="86"/>
        <v>0</v>
      </c>
      <c r="G243" s="4">
        <f>G234*G238+G234*(1-G238)*C237</f>
        <v>0</v>
      </c>
      <c r="H243" s="4">
        <f>+G234*(1-G238)*D237</f>
        <v>0</v>
      </c>
      <c r="I243" s="4">
        <f>+G234*(1-G238)*E237</f>
        <v>0</v>
      </c>
      <c r="J243" s="4">
        <f>+G234*(1-G238)*F237</f>
        <v>0</v>
      </c>
      <c r="K243" s="4">
        <f>+G234*(1-G238)*G237</f>
        <v>0</v>
      </c>
      <c r="L243" s="4">
        <f>+G234*(1-G238)*H237</f>
        <v>0</v>
      </c>
      <c r="M243" s="4">
        <f>+G234*(1-G238)*I237</f>
        <v>0</v>
      </c>
      <c r="N243" s="4">
        <f>+G234*(1-G238)*J237</f>
        <v>0</v>
      </c>
      <c r="O243" s="4">
        <f>+G234*(1-G238)*K237</f>
        <v>0</v>
      </c>
      <c r="P243" s="4">
        <f>+G234*(1-G238)*L237</f>
        <v>0</v>
      </c>
      <c r="Q243" s="4">
        <f>+G234*(1-G238)*M237</f>
        <v>0</v>
      </c>
      <c r="R243" s="4">
        <f>+G234*(1-G238)*N237</f>
        <v>0</v>
      </c>
      <c r="S243" s="4">
        <f>+G234*(1-G238)*O237</f>
        <v>0</v>
      </c>
      <c r="T243" s="4">
        <f>+G234*(1-G238)*P237</f>
        <v>0</v>
      </c>
      <c r="U243" s="4">
        <f>+G234*(1-G238)*Q237</f>
        <v>0</v>
      </c>
      <c r="V243" s="4">
        <f>+G234*(1-G238)*R237</f>
        <v>0</v>
      </c>
      <c r="W243" s="4">
        <f>+G234*(1-G238)*S237</f>
        <v>0</v>
      </c>
      <c r="X243" s="4">
        <f>+G234*(1-G238)*T237</f>
        <v>0</v>
      </c>
      <c r="Y243" s="4">
        <f>+G234*(1-G238)*U237</f>
        <v>0</v>
      </c>
      <c r="Z243" s="4">
        <f>+G234*(1-G238)*V237</f>
        <v>0</v>
      </c>
      <c r="AA243" s="4">
        <f>+G234*(1-G238)*W237</f>
        <v>0</v>
      </c>
      <c r="AB243" s="4">
        <f>+G234*(1-G238)*X237</f>
        <v>0</v>
      </c>
      <c r="AC243" s="4">
        <f>+G234*(1-G238)*Y237</f>
        <v>0</v>
      </c>
      <c r="AD243" s="4">
        <f>+G234*(1-G238)*Z237</f>
        <v>0</v>
      </c>
      <c r="AE243" s="4">
        <f>+G234*(1-G238)*AA237</f>
        <v>0</v>
      </c>
      <c r="AF243" s="4">
        <f>+G234*(1-G238)*AB237</f>
        <v>0</v>
      </c>
      <c r="AG243" s="4">
        <f t="shared" si="84"/>
        <v>0</v>
      </c>
      <c r="AH243" s="252">
        <f t="shared" si="87"/>
        <v>0</v>
      </c>
    </row>
    <row r="244" spans="1:34">
      <c r="A244" s="6">
        <f t="shared" si="85"/>
        <v>2027</v>
      </c>
      <c r="B244" s="4">
        <f t="shared" si="86"/>
        <v>0</v>
      </c>
      <c r="H244" s="4">
        <f>H234*H238+H234*(1-H238)*C237</f>
        <v>0</v>
      </c>
      <c r="I244" s="4">
        <f>+H234*(1-H238)*D237</f>
        <v>0</v>
      </c>
      <c r="J244" s="4">
        <f>+H234*(1-H238)*E237</f>
        <v>0</v>
      </c>
      <c r="K244" s="4">
        <f>+H234*(1-H238)*F237</f>
        <v>0</v>
      </c>
      <c r="L244" s="4">
        <f>+H234*(1-H238)*G237</f>
        <v>0</v>
      </c>
      <c r="M244" s="4">
        <f>+H234*(1-H238)*H237</f>
        <v>0</v>
      </c>
      <c r="N244" s="4">
        <f>+H234*(1-H238)*I237</f>
        <v>0</v>
      </c>
      <c r="O244" s="4">
        <f>+H234*(1-H238)*J237</f>
        <v>0</v>
      </c>
      <c r="P244" s="4">
        <f>+H234*(1-H238)*K237</f>
        <v>0</v>
      </c>
      <c r="Q244" s="4">
        <f>+H234*(1-H238)*L237</f>
        <v>0</v>
      </c>
      <c r="R244" s="4">
        <f>+H234*(1-H238)*M237</f>
        <v>0</v>
      </c>
      <c r="S244" s="4">
        <f>+H234*(1-H238)*N237</f>
        <v>0</v>
      </c>
      <c r="T244" s="4">
        <f>+H234*(1-H238)*O237</f>
        <v>0</v>
      </c>
      <c r="U244" s="4">
        <f>+H234*(1-H238)*P237</f>
        <v>0</v>
      </c>
      <c r="V244" s="4">
        <f>+H234*(1-H238)*Q237</f>
        <v>0</v>
      </c>
      <c r="W244" s="4">
        <f>+H234*(1-H238)*R237</f>
        <v>0</v>
      </c>
      <c r="X244" s="4">
        <f>+H234*(1-H238)*S237</f>
        <v>0</v>
      </c>
      <c r="Y244" s="4">
        <f>+H234*(1-H238)*T237</f>
        <v>0</v>
      </c>
      <c r="Z244" s="4">
        <f>+H234*(1-H238)*U237</f>
        <v>0</v>
      </c>
      <c r="AA244" s="4">
        <f>+H234*(1-H238)*V237</f>
        <v>0</v>
      </c>
      <c r="AB244" s="4">
        <f>+H234*(1-H238)*W237</f>
        <v>0</v>
      </c>
      <c r="AC244" s="4">
        <f>+H234*(1-H238)*X237</f>
        <v>0</v>
      </c>
      <c r="AD244" s="4">
        <f>+H234*(1-H238)*Y237</f>
        <v>0</v>
      </c>
      <c r="AE244" s="4">
        <f>+H234*(1-H238)*Z237</f>
        <v>0</v>
      </c>
      <c r="AF244" s="4">
        <f>+H234*(1-H238)*AA237</f>
        <v>0</v>
      </c>
      <c r="AG244" s="4">
        <f t="shared" si="84"/>
        <v>0</v>
      </c>
      <c r="AH244" s="252">
        <f t="shared" si="87"/>
        <v>0</v>
      </c>
    </row>
    <row r="245" spans="1:34">
      <c r="A245" s="6">
        <f t="shared" si="85"/>
        <v>2028</v>
      </c>
      <c r="B245" s="4">
        <f t="shared" si="86"/>
        <v>0</v>
      </c>
      <c r="I245" s="4">
        <f>I234*I238+I234*(1-I238)*C237</f>
        <v>0</v>
      </c>
      <c r="J245" s="4">
        <f>+I234*(1-I238)*D237</f>
        <v>0</v>
      </c>
      <c r="K245" s="4">
        <f>+I234*(1-I238)*E237</f>
        <v>0</v>
      </c>
      <c r="L245" s="4">
        <f>+I234*(1-I238)*F237</f>
        <v>0</v>
      </c>
      <c r="M245" s="4">
        <f>+I234*(1-I238)*G237</f>
        <v>0</v>
      </c>
      <c r="N245" s="4">
        <f>+I234*(1-I238)*H237</f>
        <v>0</v>
      </c>
      <c r="O245" s="4">
        <f>+I234*(1-I238)*I237</f>
        <v>0</v>
      </c>
      <c r="P245" s="4">
        <f>+I234*(1-I238)*J237</f>
        <v>0</v>
      </c>
      <c r="Q245" s="4">
        <f>+I234*(1-I238)*K237</f>
        <v>0</v>
      </c>
      <c r="R245" s="4">
        <f>+I234*(1-I238)*L237</f>
        <v>0</v>
      </c>
      <c r="S245" s="4">
        <f>+I234*(1-I238)*M237</f>
        <v>0</v>
      </c>
      <c r="T245" s="4">
        <f>+I234*(1-I238)*N237</f>
        <v>0</v>
      </c>
      <c r="U245" s="4">
        <f>+I234*(1-I238)*O237</f>
        <v>0</v>
      </c>
      <c r="V245" s="4">
        <f>+I234*(1-I238)*P237</f>
        <v>0</v>
      </c>
      <c r="W245" s="4">
        <f>+I234*(1-I238)*Q237</f>
        <v>0</v>
      </c>
      <c r="X245" s="4">
        <f>+I234*(1-I238)*R237</f>
        <v>0</v>
      </c>
      <c r="Y245" s="4">
        <f>+I234*(1-I238)*S237</f>
        <v>0</v>
      </c>
      <c r="Z245" s="4">
        <f>+I234*(1-I238)*T237</f>
        <v>0</v>
      </c>
      <c r="AA245" s="4">
        <f>+I234*(1-I238)*U237</f>
        <v>0</v>
      </c>
      <c r="AB245" s="4">
        <f>+I234*(1-I238)*V237</f>
        <v>0</v>
      </c>
      <c r="AC245" s="4">
        <f>+I234*(1-I238)*W237</f>
        <v>0</v>
      </c>
      <c r="AD245" s="4">
        <f>+I234*(1-I238)*X237</f>
        <v>0</v>
      </c>
      <c r="AE245" s="4">
        <f>+I234*(1-I238)*Y237</f>
        <v>0</v>
      </c>
      <c r="AF245" s="4">
        <f>+I234*(1-I238)*Z237</f>
        <v>0</v>
      </c>
      <c r="AG245" s="4">
        <f t="shared" si="84"/>
        <v>0</v>
      </c>
      <c r="AH245" s="252">
        <f t="shared" si="87"/>
        <v>0</v>
      </c>
    </row>
    <row r="246" spans="1:34">
      <c r="A246" s="6">
        <f t="shared" si="85"/>
        <v>2029</v>
      </c>
      <c r="B246" s="4">
        <f t="shared" si="86"/>
        <v>0</v>
      </c>
      <c r="J246" s="4">
        <f>J234*J238+J234*(1-J238)*C237</f>
        <v>0</v>
      </c>
      <c r="K246" s="4">
        <f>K234*K238+J234*(1-K238)*D237</f>
        <v>0</v>
      </c>
      <c r="L246" s="4">
        <f>L234*L238+J234*(1-L238)*E237</f>
        <v>0</v>
      </c>
      <c r="M246" s="4">
        <f>M234*M238+J234*(1-M238)*F237</f>
        <v>0</v>
      </c>
      <c r="N246" s="4">
        <f>N234*N238+J234*(1-N238)*G237</f>
        <v>0</v>
      </c>
      <c r="O246" s="4">
        <f>O234*O238+J234*(1-O238)*H237</f>
        <v>0</v>
      </c>
      <c r="P246" s="4">
        <f>P234*P238+J234*(1-P238)*I237</f>
        <v>0</v>
      </c>
      <c r="Q246" s="4">
        <f>Q234*Q238+J234*(1-Q238)*J237</f>
        <v>0</v>
      </c>
      <c r="R246" s="4">
        <f>R234*R238+J234*(1-R238)*K237</f>
        <v>0</v>
      </c>
      <c r="S246" s="4">
        <f>S234*S238+J234*(1-S238)*L237</f>
        <v>0</v>
      </c>
      <c r="T246" s="4">
        <f>T234*T238+J234*(1-T238)*M237</f>
        <v>0</v>
      </c>
      <c r="U246" s="4">
        <f>U234*U238+J234*(1-U238)*N237</f>
        <v>0</v>
      </c>
      <c r="V246" s="4">
        <f>V234*V238+J234*(1-V238)*O237</f>
        <v>0</v>
      </c>
      <c r="W246" s="4">
        <f>W234*W238+J234*(1-W238)*P237</f>
        <v>0</v>
      </c>
      <c r="X246" s="4">
        <f>X234*X238+J234*(1-X238)*Q237</f>
        <v>0</v>
      </c>
      <c r="Y246" s="4">
        <f>Y234*Y238+J234*(1-Y238)*R237</f>
        <v>0</v>
      </c>
      <c r="Z246" s="4">
        <f>Z234*Z238+J234*(1-Z238)*S237</f>
        <v>0</v>
      </c>
      <c r="AA246" s="4">
        <f>AA234*AA238+J234*(1-AA238)*T237</f>
        <v>0</v>
      </c>
      <c r="AB246" s="4">
        <f>AB234*AB238+J234*(1-AB238)*U237</f>
        <v>0</v>
      </c>
      <c r="AC246" s="4">
        <f>AC234*AC238+J234*(1-AC238)*V237</f>
        <v>0</v>
      </c>
      <c r="AD246" s="4">
        <f>AD234*AD238+J234*(1-AD238)*W237</f>
        <v>0</v>
      </c>
      <c r="AE246" s="4">
        <f>AE234*AE238+J234*(1-AE238)*X237</f>
        <v>0</v>
      </c>
      <c r="AF246" s="4">
        <f>AF234*AF238+J234*(1-AF238)*Y237</f>
        <v>0</v>
      </c>
      <c r="AG246" s="4">
        <f t="shared" si="84"/>
        <v>0</v>
      </c>
      <c r="AH246" s="252">
        <f t="shared" si="87"/>
        <v>0</v>
      </c>
    </row>
    <row r="247" spans="1:34">
      <c r="A247" s="6">
        <f t="shared" si="85"/>
        <v>2030</v>
      </c>
      <c r="B247" s="4">
        <f t="shared" si="86"/>
        <v>0</v>
      </c>
      <c r="K247" s="4">
        <f>K234*K238+K234*(1-K238)*C237</f>
        <v>0</v>
      </c>
      <c r="L247" s="4">
        <f>+K234*(1-K238)*D237</f>
        <v>0</v>
      </c>
      <c r="M247" s="4">
        <f>+K234*(1-K238)*E237</f>
        <v>0</v>
      </c>
      <c r="N247" s="4">
        <f>+K234*(1-K238)*F237</f>
        <v>0</v>
      </c>
      <c r="O247" s="4">
        <f>+K234*(1-K238)*G237</f>
        <v>0</v>
      </c>
      <c r="P247" s="4">
        <f>+K234*(1-K238)*H237</f>
        <v>0</v>
      </c>
      <c r="Q247" s="4">
        <f>+K234*(1-K238)*I237</f>
        <v>0</v>
      </c>
      <c r="R247" s="4">
        <f>+K234*(1-K238)*J237</f>
        <v>0</v>
      </c>
      <c r="S247" s="4">
        <f>+K234*(1-K238)*K237</f>
        <v>0</v>
      </c>
      <c r="T247" s="4">
        <f>+K234*(1-K238)*L237</f>
        <v>0</v>
      </c>
      <c r="U247" s="4">
        <f>+K234*(1-K238)*M237</f>
        <v>0</v>
      </c>
      <c r="V247" s="4">
        <f>+K234*(1-K238)*N237</f>
        <v>0</v>
      </c>
      <c r="W247" s="4">
        <f>+K234*(1-K238)*O237</f>
        <v>0</v>
      </c>
      <c r="X247" s="4">
        <f>+K234*(1-K238)*P237</f>
        <v>0</v>
      </c>
      <c r="Y247" s="4">
        <f>+K234*(1-K238)*Q237</f>
        <v>0</v>
      </c>
      <c r="Z247" s="4">
        <f>+K234*(1-K238)*R237</f>
        <v>0</v>
      </c>
      <c r="AA247" s="4">
        <f>+K234*(1-K238)*S237</f>
        <v>0</v>
      </c>
      <c r="AB247" s="4">
        <f>+K234*(1-K238)*T237</f>
        <v>0</v>
      </c>
      <c r="AC247" s="4">
        <f>+K234*(1-K238)*U237</f>
        <v>0</v>
      </c>
      <c r="AD247" s="4">
        <f>+K234*(1-K238)*V237</f>
        <v>0</v>
      </c>
      <c r="AE247" s="4">
        <f>+K234*(1-K238)*W237</f>
        <v>0</v>
      </c>
      <c r="AF247" s="4">
        <f>+K234*(1-K238)*X237</f>
        <v>0</v>
      </c>
      <c r="AG247" s="4">
        <f t="shared" si="84"/>
        <v>0</v>
      </c>
      <c r="AH247" s="252">
        <f t="shared" si="87"/>
        <v>0</v>
      </c>
    </row>
    <row r="248" spans="1:34">
      <c r="A248" s="6">
        <f t="shared" si="85"/>
        <v>2031</v>
      </c>
      <c r="B248" s="4">
        <f t="shared" si="86"/>
        <v>0</v>
      </c>
      <c r="L248" s="4">
        <f>L234*L238+L234*(1-L238)*C237</f>
        <v>0</v>
      </c>
      <c r="M248" s="4">
        <f>+L234*(1-L238)*D237</f>
        <v>0</v>
      </c>
      <c r="N248" s="4">
        <f>+L234*(1-L238)*E237</f>
        <v>0</v>
      </c>
      <c r="O248" s="4">
        <f>+L234*(1-L238)*F237</f>
        <v>0</v>
      </c>
      <c r="P248" s="4">
        <f>+L234*(1-L238)*G237</f>
        <v>0</v>
      </c>
      <c r="Q248" s="4">
        <f>+L234*(1-L238)*H237</f>
        <v>0</v>
      </c>
      <c r="R248" s="4">
        <f>+L234*(1-L238)*I237</f>
        <v>0</v>
      </c>
      <c r="S248" s="4">
        <f>+L234*(1-L238)*J237</f>
        <v>0</v>
      </c>
      <c r="T248" s="4">
        <f>+L234*(1-L238)*K237</f>
        <v>0</v>
      </c>
      <c r="U248" s="4">
        <f>+L234*(1-L238)*L237</f>
        <v>0</v>
      </c>
      <c r="V248" s="4">
        <f>+L234*(1-L238)*M237</f>
        <v>0</v>
      </c>
      <c r="W248" s="4">
        <f>+L234*(1-L238)*N237</f>
        <v>0</v>
      </c>
      <c r="X248" s="4">
        <f>+L234*(1-L238)*O237</f>
        <v>0</v>
      </c>
      <c r="Y248" s="4">
        <f>+L234*(1-L238)*P237</f>
        <v>0</v>
      </c>
      <c r="Z248" s="4">
        <f>+L234*(1-L238)*Q237</f>
        <v>0</v>
      </c>
      <c r="AA248" s="4">
        <f>+L234*(1-L238)*R237</f>
        <v>0</v>
      </c>
      <c r="AB248" s="4">
        <f>+L234*(1-L238)*S237</f>
        <v>0</v>
      </c>
      <c r="AC248" s="4">
        <f>+L234*(1-L238)*T237</f>
        <v>0</v>
      </c>
      <c r="AD248" s="4">
        <f>+L234*(1-L238)*U237</f>
        <v>0</v>
      </c>
      <c r="AE248" s="4">
        <f>+L234*(1-L238)*V237</f>
        <v>0</v>
      </c>
      <c r="AF248" s="4">
        <f>+L234*(1-L238)*W237</f>
        <v>0</v>
      </c>
      <c r="AG248" s="4">
        <f t="shared" si="84"/>
        <v>0</v>
      </c>
      <c r="AH248" s="252">
        <f t="shared" si="87"/>
        <v>0</v>
      </c>
    </row>
    <row r="249" spans="1:34">
      <c r="A249" s="6">
        <f t="shared" si="85"/>
        <v>2032</v>
      </c>
      <c r="B249" s="4">
        <f t="shared" si="86"/>
        <v>0</v>
      </c>
      <c r="M249" s="4">
        <f>M234*M238+M234*(1-M238)*C237</f>
        <v>0</v>
      </c>
      <c r="N249" s="4">
        <f>+M234*(1-M238)*D237</f>
        <v>0</v>
      </c>
      <c r="O249" s="4">
        <f>+M234*(1-M238)*E237</f>
        <v>0</v>
      </c>
      <c r="P249" s="4">
        <f>+M234*(1-M238)*F237</f>
        <v>0</v>
      </c>
      <c r="Q249" s="4">
        <f>+M234*(1-M238)*G237</f>
        <v>0</v>
      </c>
      <c r="R249" s="4">
        <f>+M234*(1-M238)*H237</f>
        <v>0</v>
      </c>
      <c r="S249" s="4">
        <f>+M234*(1-M238)*I237</f>
        <v>0</v>
      </c>
      <c r="T249" s="4">
        <f>+M234*(1-M238)*J237</f>
        <v>0</v>
      </c>
      <c r="U249" s="4">
        <f>+M234*(1-M238)*K237</f>
        <v>0</v>
      </c>
      <c r="V249" s="4">
        <f>+M234*(1-M238)*L237</f>
        <v>0</v>
      </c>
      <c r="W249" s="4">
        <f>+M234*(1-M238)*M237</f>
        <v>0</v>
      </c>
      <c r="X249" s="4">
        <f>+M234*(1-M238)*N237</f>
        <v>0</v>
      </c>
      <c r="Y249" s="4">
        <f>+M234*(1-M238)*O237</f>
        <v>0</v>
      </c>
      <c r="Z249" s="4">
        <f>+M234*(1-M238)*P237</f>
        <v>0</v>
      </c>
      <c r="AA249" s="4">
        <f>+M234*(1-M238)*Q237</f>
        <v>0</v>
      </c>
      <c r="AB249" s="4">
        <f>+M234*(1-M238)*R237</f>
        <v>0</v>
      </c>
      <c r="AC249" s="4">
        <f>+M234*(1-M238)*S237</f>
        <v>0</v>
      </c>
      <c r="AD249" s="4">
        <f>+M234*(1-M238)*T237</f>
        <v>0</v>
      </c>
      <c r="AE249" s="4">
        <f>+M234*(1-M238)*U237</f>
        <v>0</v>
      </c>
      <c r="AF249" s="4">
        <f>+M234*(1-M238)*V237</f>
        <v>0</v>
      </c>
      <c r="AG249" s="4">
        <f t="shared" si="84"/>
        <v>0</v>
      </c>
      <c r="AH249" s="252">
        <f t="shared" si="87"/>
        <v>0</v>
      </c>
    </row>
    <row r="250" spans="1:34">
      <c r="A250" s="6">
        <f t="shared" si="85"/>
        <v>2033</v>
      </c>
      <c r="B250" s="4">
        <f t="shared" si="86"/>
        <v>0</v>
      </c>
      <c r="N250" s="4">
        <f>N234*N238+N234*(1-N238)*C237</f>
        <v>0</v>
      </c>
      <c r="O250" s="4">
        <f>+N234*(1-N238)*D237</f>
        <v>0</v>
      </c>
      <c r="P250" s="4">
        <f>+N234*(1-N238)*E237</f>
        <v>0</v>
      </c>
      <c r="Q250" s="4">
        <f>+N234*(1-N238)*F237</f>
        <v>0</v>
      </c>
      <c r="R250" s="4">
        <f>+N234*(1-N238)*G237</f>
        <v>0</v>
      </c>
      <c r="S250" s="4">
        <f>+N234*(1-N238)*H237</f>
        <v>0</v>
      </c>
      <c r="T250" s="4">
        <f>+N234*(1-N238)*I237</f>
        <v>0</v>
      </c>
      <c r="U250" s="4">
        <f>+N234*(1-N238)*J237</f>
        <v>0</v>
      </c>
      <c r="V250" s="4">
        <f>+N234*(1-N238)*K237</f>
        <v>0</v>
      </c>
      <c r="W250" s="4">
        <f>+N234*(1-N238)*L237</f>
        <v>0</v>
      </c>
      <c r="X250" s="4">
        <f>+N234*(1-N238)*M237</f>
        <v>0</v>
      </c>
      <c r="Y250" s="4">
        <f>+N234*(1-N238)*N237</f>
        <v>0</v>
      </c>
      <c r="Z250" s="4">
        <f>+N234*(1-N238)*O237</f>
        <v>0</v>
      </c>
      <c r="AA250" s="4">
        <f>+N234*(1-N238)*P237</f>
        <v>0</v>
      </c>
      <c r="AB250" s="4">
        <f>+N234*(1-N238)*Q237</f>
        <v>0</v>
      </c>
      <c r="AC250" s="4">
        <f>+N234*(1-N238)*R237</f>
        <v>0</v>
      </c>
      <c r="AD250" s="4">
        <f>+N234*(1-N238)*S237</f>
        <v>0</v>
      </c>
      <c r="AE250" s="4">
        <f>+N234*(1-N238)*T237</f>
        <v>0</v>
      </c>
      <c r="AF250" s="4">
        <f>+N234*(1-N238)*U237</f>
        <v>0</v>
      </c>
      <c r="AG250" s="4">
        <f t="shared" si="84"/>
        <v>0</v>
      </c>
      <c r="AH250" s="252">
        <f t="shared" si="87"/>
        <v>0</v>
      </c>
    </row>
    <row r="251" spans="1:34">
      <c r="A251" s="6">
        <f t="shared" si="85"/>
        <v>2034</v>
      </c>
      <c r="B251" s="4">
        <f t="shared" si="86"/>
        <v>0</v>
      </c>
      <c r="O251" s="4">
        <f>O234*O238+O234*(1-O238)*C237</f>
        <v>0</v>
      </c>
      <c r="P251" s="4">
        <f>+O234*(1-O238)*D237</f>
        <v>0</v>
      </c>
      <c r="Q251" s="4">
        <f>+O234*(1-O238)*E237</f>
        <v>0</v>
      </c>
      <c r="R251" s="4">
        <f>+O234*(1-O238)*F237</f>
        <v>0</v>
      </c>
      <c r="S251" s="4">
        <f>+O234*(1-O238)*G237</f>
        <v>0</v>
      </c>
      <c r="T251" s="4">
        <f>+O234*(1-O238)*H237</f>
        <v>0</v>
      </c>
      <c r="U251" s="4">
        <f>+O234*(1-O238)*I237</f>
        <v>0</v>
      </c>
      <c r="V251" s="4">
        <f>+O234*(1-O238)*J237</f>
        <v>0</v>
      </c>
      <c r="W251" s="4">
        <f>+O234*(1-O238)*K237</f>
        <v>0</v>
      </c>
      <c r="X251" s="4">
        <f>+O234*(1-O238)*L237</f>
        <v>0</v>
      </c>
      <c r="Y251" s="4">
        <f>+O234*(1-O238)*M237</f>
        <v>0</v>
      </c>
      <c r="Z251" s="4">
        <f>+O234*(1-O238)*N237</f>
        <v>0</v>
      </c>
      <c r="AA251" s="4">
        <f>+O234*(1-O238)*O237</f>
        <v>0</v>
      </c>
      <c r="AB251" s="4">
        <f>+O234*(1-O238)*P237</f>
        <v>0</v>
      </c>
      <c r="AC251" s="4">
        <f>+O234*(1-O238)*Q237</f>
        <v>0</v>
      </c>
      <c r="AD251" s="4">
        <f>+O234*(1-O238)*R237</f>
        <v>0</v>
      </c>
      <c r="AE251" s="4">
        <f>+O234*(1-O238)*S237</f>
        <v>0</v>
      </c>
      <c r="AF251" s="4">
        <f>+O234*(1-O238)*T237</f>
        <v>0</v>
      </c>
      <c r="AG251" s="4">
        <f t="shared" si="84"/>
        <v>0</v>
      </c>
      <c r="AH251" s="252">
        <f t="shared" si="87"/>
        <v>0</v>
      </c>
    </row>
    <row r="252" spans="1:34">
      <c r="A252" s="6">
        <f t="shared" si="85"/>
        <v>2035</v>
      </c>
      <c r="B252" s="4">
        <f t="shared" si="86"/>
        <v>0</v>
      </c>
      <c r="P252" s="4">
        <f>P234*P238+P234*(1-P238)*C237</f>
        <v>0</v>
      </c>
      <c r="Q252" s="4">
        <f>+P234*(1-P238)*D237</f>
        <v>0</v>
      </c>
      <c r="R252" s="4">
        <f>+P234*(1-P238)*E237</f>
        <v>0</v>
      </c>
      <c r="S252" s="4">
        <f>+P234*(1-P238)*F237</f>
        <v>0</v>
      </c>
      <c r="T252" s="4">
        <f>+P234*(1-P238)*G237</f>
        <v>0</v>
      </c>
      <c r="U252" s="4">
        <f>+P234*(1-P238)*H237</f>
        <v>0</v>
      </c>
      <c r="V252" s="4">
        <f>+P234*(1-P238)*I237</f>
        <v>0</v>
      </c>
      <c r="W252" s="4">
        <f>+P234*(1-P238)*J237</f>
        <v>0</v>
      </c>
      <c r="X252" s="4">
        <f>+P234*(1-P238)*K237</f>
        <v>0</v>
      </c>
      <c r="Y252" s="4">
        <f>+P234*(1-P238)*L237</f>
        <v>0</v>
      </c>
      <c r="Z252" s="4">
        <f>+P234*(1-P238)*M237</f>
        <v>0</v>
      </c>
      <c r="AA252" s="4">
        <f>+P234*(1-P238)*N237</f>
        <v>0</v>
      </c>
      <c r="AB252" s="4">
        <f>+P234*(1-P238)*O237</f>
        <v>0</v>
      </c>
      <c r="AC252" s="4">
        <f>+P234*(1-P238)*P237</f>
        <v>0</v>
      </c>
      <c r="AD252" s="4">
        <f>+P234*(1-P238)*Q237</f>
        <v>0</v>
      </c>
      <c r="AE252" s="4">
        <f>+P234*(1-P238)*R237</f>
        <v>0</v>
      </c>
      <c r="AF252" s="4">
        <f>+P234*(1-P238)*S237</f>
        <v>0</v>
      </c>
      <c r="AG252" s="4">
        <f t="shared" si="84"/>
        <v>0</v>
      </c>
      <c r="AH252" s="252">
        <f t="shared" si="87"/>
        <v>0</v>
      </c>
    </row>
    <row r="253" spans="1:34">
      <c r="A253" s="6">
        <f t="shared" si="85"/>
        <v>2036</v>
      </c>
      <c r="B253" s="4">
        <f t="shared" si="86"/>
        <v>0</v>
      </c>
      <c r="Q253" s="4">
        <f>Q234*Q238+Q234*(1-Q238)*C237</f>
        <v>0</v>
      </c>
      <c r="R253" s="4">
        <f>Q234*(1-Q238)*D237</f>
        <v>0</v>
      </c>
      <c r="S253" s="4">
        <f>Q234*(1-Q238)*E237</f>
        <v>0</v>
      </c>
      <c r="T253" s="4">
        <f>Q234*(1-Q238)*F237</f>
        <v>0</v>
      </c>
      <c r="U253" s="4">
        <f>Q234*(1-Q238)*G237</f>
        <v>0</v>
      </c>
      <c r="V253" s="4">
        <f>Q234*(1-Q238)*H237</f>
        <v>0</v>
      </c>
      <c r="W253" s="4">
        <f>Q234*(1-Q238)*I237</f>
        <v>0</v>
      </c>
      <c r="X253" s="4">
        <f>Q234*(1-Q238)*J237</f>
        <v>0</v>
      </c>
      <c r="Y253" s="4">
        <f>Q234*(1-Q238)*K237</f>
        <v>0</v>
      </c>
      <c r="Z253" s="4">
        <f>Q234*(1-Q238)*L237</f>
        <v>0</v>
      </c>
      <c r="AA253" s="4">
        <f>Q234*(1-Q238)*M237</f>
        <v>0</v>
      </c>
      <c r="AB253" s="4">
        <f>Q234*(1-Q238)*N237</f>
        <v>0</v>
      </c>
      <c r="AC253" s="4">
        <f>Q234*(1-Q238)*O237</f>
        <v>0</v>
      </c>
      <c r="AD253" s="4">
        <f>Q234*(1-Q238)*P237</f>
        <v>0</v>
      </c>
      <c r="AE253" s="4">
        <f>Q234*(1-Q238)*Q237</f>
        <v>0</v>
      </c>
      <c r="AF253" s="4">
        <f>Q234*(1-Q238)*R237</f>
        <v>0</v>
      </c>
      <c r="AG253" s="4">
        <f t="shared" si="84"/>
        <v>0</v>
      </c>
      <c r="AH253" s="252">
        <f t="shared" si="87"/>
        <v>0</v>
      </c>
    </row>
    <row r="254" spans="1:34">
      <c r="A254" s="6">
        <f t="shared" si="85"/>
        <v>2037</v>
      </c>
      <c r="B254" s="4">
        <f t="shared" si="86"/>
        <v>0</v>
      </c>
      <c r="R254" s="4">
        <f>R234*R238+R234*(1-R238)*C237</f>
        <v>0</v>
      </c>
      <c r="S254" s="4">
        <f>R234*(1-R238)*D237</f>
        <v>0</v>
      </c>
      <c r="T254" s="4">
        <f>R234*(1-R238)*E237</f>
        <v>0</v>
      </c>
      <c r="U254" s="4">
        <f>R234*(1-R238)*F237</f>
        <v>0</v>
      </c>
      <c r="V254" s="4">
        <f>R234*(1-R238)*G237</f>
        <v>0</v>
      </c>
      <c r="W254" s="4">
        <f>R234*(1-R238)*H237</f>
        <v>0</v>
      </c>
      <c r="X254" s="4">
        <f>R234*(1-R238)*I237</f>
        <v>0</v>
      </c>
      <c r="Y254" s="4">
        <f>R234*(1-R238)*J237</f>
        <v>0</v>
      </c>
      <c r="Z254" s="4">
        <f>R234*(1-R238)*K237</f>
        <v>0</v>
      </c>
      <c r="AA254" s="4">
        <f>R234*(1-R238)*L237</f>
        <v>0</v>
      </c>
      <c r="AB254" s="4">
        <f>R234*(1-R238)*M237</f>
        <v>0</v>
      </c>
      <c r="AC254" s="4">
        <f>R234*(1-R238)*N237</f>
        <v>0</v>
      </c>
      <c r="AD254" s="4">
        <f>R234*(1-R238)*O237</f>
        <v>0</v>
      </c>
      <c r="AE254" s="4">
        <f>R234*(1-R238)*P237</f>
        <v>0</v>
      </c>
      <c r="AF254" s="4">
        <f>R234*(1-R238)*Q237</f>
        <v>0</v>
      </c>
      <c r="AG254" s="4">
        <f t="shared" si="84"/>
        <v>0</v>
      </c>
      <c r="AH254" s="252">
        <f t="shared" si="87"/>
        <v>0</v>
      </c>
    </row>
    <row r="255" spans="1:34">
      <c r="A255" s="6">
        <f t="shared" si="85"/>
        <v>2038</v>
      </c>
      <c r="B255" s="4">
        <f t="shared" si="86"/>
        <v>0</v>
      </c>
      <c r="S255" s="4">
        <f>S234*S238+S234*(1-S238)*C237</f>
        <v>0</v>
      </c>
      <c r="T255" s="4">
        <f>+S234*(1-S238)*D237</f>
        <v>0</v>
      </c>
      <c r="U255" s="4">
        <f>+S234*(1-S238)*E237</f>
        <v>0</v>
      </c>
      <c r="V255" s="4">
        <f>+S234*(1-S238)*F237</f>
        <v>0</v>
      </c>
      <c r="W255" s="4">
        <f>+S234*(1-S238)*G237</f>
        <v>0</v>
      </c>
      <c r="X255" s="4">
        <f>+S234*(1-S238)*H237</f>
        <v>0</v>
      </c>
      <c r="Y255" s="4">
        <f>+S234*(1-S238)*I237</f>
        <v>0</v>
      </c>
      <c r="Z255" s="4">
        <f>+S234*(1-S238)*J237</f>
        <v>0</v>
      </c>
      <c r="AA255" s="4">
        <f>+S234*(1-S238)*K237</f>
        <v>0</v>
      </c>
      <c r="AB255" s="4">
        <f>+S234*(1-S238)*L237</f>
        <v>0</v>
      </c>
      <c r="AC255" s="4">
        <f>+S234*(1-S238)*M237</f>
        <v>0</v>
      </c>
      <c r="AD255" s="4">
        <f>+S234*(1-S238)*N237</f>
        <v>0</v>
      </c>
      <c r="AE255" s="4">
        <f>+S234*(1-S238)*O237</f>
        <v>0</v>
      </c>
      <c r="AF255" s="4">
        <f>+S234*(1-S238)*P237</f>
        <v>0</v>
      </c>
      <c r="AG255" s="4">
        <f t="shared" si="84"/>
        <v>0</v>
      </c>
      <c r="AH255" s="252">
        <f t="shared" si="87"/>
        <v>0</v>
      </c>
    </row>
    <row r="256" spans="1:34">
      <c r="A256" s="6">
        <f t="shared" si="85"/>
        <v>2039</v>
      </c>
      <c r="B256" s="4">
        <f t="shared" si="86"/>
        <v>0</v>
      </c>
      <c r="T256" s="4">
        <f>T234*T238+T234*(1-T238)*C237</f>
        <v>0</v>
      </c>
      <c r="U256" s="4">
        <f>+T234*(1-T238)*D237</f>
        <v>0</v>
      </c>
      <c r="V256" s="4">
        <f>+T234*(1-T238)*E237</f>
        <v>0</v>
      </c>
      <c r="W256" s="4">
        <f>+T234*(1-T238)*F237</f>
        <v>0</v>
      </c>
      <c r="X256" s="4">
        <f>+T234*(1-T238)*G237</f>
        <v>0</v>
      </c>
      <c r="Y256" s="4">
        <f>+T234*(1-T238)*H237</f>
        <v>0</v>
      </c>
      <c r="Z256" s="4">
        <f>+T234*(1-T238)*I237</f>
        <v>0</v>
      </c>
      <c r="AA256" s="4">
        <f>+T234*(1-T238)*J237</f>
        <v>0</v>
      </c>
      <c r="AB256" s="4">
        <f>+T234*(1-T238)*K237</f>
        <v>0</v>
      </c>
      <c r="AC256" s="4">
        <f>+T234*(1-T238)*L237</f>
        <v>0</v>
      </c>
      <c r="AD256" s="4">
        <f>+T234*(1-T238)*M237</f>
        <v>0</v>
      </c>
      <c r="AE256" s="4">
        <f>+T234*(1-T238)*N237</f>
        <v>0</v>
      </c>
      <c r="AF256" s="4">
        <f>+T234*(1-T238)*O237</f>
        <v>0</v>
      </c>
      <c r="AG256" s="4">
        <f t="shared" si="84"/>
        <v>0</v>
      </c>
      <c r="AH256" s="252">
        <f t="shared" si="87"/>
        <v>0</v>
      </c>
    </row>
    <row r="257" spans="1:34">
      <c r="A257" s="6">
        <f t="shared" si="85"/>
        <v>2040</v>
      </c>
      <c r="B257" s="4">
        <f t="shared" si="86"/>
        <v>0</v>
      </c>
      <c r="U257" s="4">
        <f>U234*U238+U234*(1-U238)*C237</f>
        <v>0</v>
      </c>
      <c r="V257" s="4">
        <f>+U234*(1-U238)*D237</f>
        <v>0</v>
      </c>
      <c r="W257" s="4">
        <f>+U234*(1-U238)*E237</f>
        <v>0</v>
      </c>
      <c r="X257" s="4">
        <f>+U234*(1-U238)*F237</f>
        <v>0</v>
      </c>
      <c r="Y257" s="4">
        <f>+U234*(1-U238)*G237</f>
        <v>0</v>
      </c>
      <c r="Z257" s="4">
        <f>+U234*(1-U238)*H237</f>
        <v>0</v>
      </c>
      <c r="AA257" s="4">
        <f>+U234*(1-U238)*I237</f>
        <v>0</v>
      </c>
      <c r="AB257" s="4">
        <f>+U234*(1-U238)*J237</f>
        <v>0</v>
      </c>
      <c r="AC257" s="4">
        <f>+U234*(1-U238)*K237</f>
        <v>0</v>
      </c>
      <c r="AD257" s="4">
        <f>+U234*(1-U238)*L237</f>
        <v>0</v>
      </c>
      <c r="AE257" s="4">
        <f>+U234*(1-U238)*M237</f>
        <v>0</v>
      </c>
      <c r="AF257" s="4">
        <f>+U234*(1-U238)*N237</f>
        <v>0</v>
      </c>
      <c r="AG257" s="4">
        <f t="shared" si="84"/>
        <v>0</v>
      </c>
      <c r="AH257" s="252">
        <f t="shared" si="87"/>
        <v>0</v>
      </c>
    </row>
    <row r="258" spans="1:34">
      <c r="A258" s="6">
        <f t="shared" si="85"/>
        <v>2041</v>
      </c>
      <c r="B258" s="4">
        <f t="shared" si="86"/>
        <v>0</v>
      </c>
      <c r="V258" s="4">
        <f>V234*V238+V234*(1-V238)*C237</f>
        <v>0</v>
      </c>
      <c r="W258" s="4">
        <f>+V234*(1-V238)*D237</f>
        <v>0</v>
      </c>
      <c r="X258" s="4">
        <f>+V234*(1-V238)*E237</f>
        <v>0</v>
      </c>
      <c r="Y258" s="4">
        <f>+V234*(1-V238)*F237</f>
        <v>0</v>
      </c>
      <c r="Z258" s="4">
        <f>+V234*(1-V238)*G237</f>
        <v>0</v>
      </c>
      <c r="AA258" s="4">
        <f>+V234*(1-V238)*H237</f>
        <v>0</v>
      </c>
      <c r="AB258" s="4">
        <f>+V234*(1-V238)*I237</f>
        <v>0</v>
      </c>
      <c r="AC258" s="4">
        <f>+V234*(1-V238)*J237</f>
        <v>0</v>
      </c>
      <c r="AD258" s="4">
        <f>+V234*(1-V238)*K237</f>
        <v>0</v>
      </c>
      <c r="AE258" s="4">
        <f>+V234*(1-V238)*L237</f>
        <v>0</v>
      </c>
      <c r="AF258" s="4">
        <f>+V234*(1-V238)*M237</f>
        <v>0</v>
      </c>
      <c r="AG258" s="4">
        <f t="shared" si="84"/>
        <v>0</v>
      </c>
      <c r="AH258" s="252">
        <f t="shared" si="87"/>
        <v>0</v>
      </c>
    </row>
    <row r="259" spans="1:34">
      <c r="A259" s="6">
        <f t="shared" si="85"/>
        <v>2042</v>
      </c>
      <c r="B259" s="4">
        <f t="shared" si="86"/>
        <v>0</v>
      </c>
      <c r="W259" s="4">
        <f>W234*W238+W234*(1-W238)*C237</f>
        <v>0</v>
      </c>
      <c r="X259" s="4">
        <f>+W234*(1-W238)*D237</f>
        <v>0</v>
      </c>
      <c r="Y259" s="4">
        <f>+W234*(1-W238)*E237</f>
        <v>0</v>
      </c>
      <c r="Z259" s="4">
        <f>+W234*(1-W238)*F237</f>
        <v>0</v>
      </c>
      <c r="AA259" s="4">
        <f>+W234*(1-W238)*G237</f>
        <v>0</v>
      </c>
      <c r="AB259" s="4">
        <f>+W234*(1-W238)*H237</f>
        <v>0</v>
      </c>
      <c r="AC259" s="4">
        <f>+W234*(1-W238)*I237</f>
        <v>0</v>
      </c>
      <c r="AD259" s="4">
        <f>+W234*(1-W238)*J237</f>
        <v>0</v>
      </c>
      <c r="AE259" s="4">
        <f>+W234*(1-W238)*K237</f>
        <v>0</v>
      </c>
      <c r="AF259" s="4">
        <f>+W234*(1-W238)*L237</f>
        <v>0</v>
      </c>
      <c r="AG259" s="4">
        <f t="shared" si="84"/>
        <v>0</v>
      </c>
      <c r="AH259" s="252">
        <f t="shared" si="87"/>
        <v>0</v>
      </c>
    </row>
    <row r="260" spans="1:34">
      <c r="A260" s="6">
        <f t="shared" si="85"/>
        <v>2043</v>
      </c>
      <c r="B260" s="4">
        <f t="shared" si="86"/>
        <v>0</v>
      </c>
      <c r="X260" s="4">
        <f>X234*X238+X234*(1-X238)*C237</f>
        <v>0</v>
      </c>
      <c r="Y260" s="4">
        <f>+X234*(1-X238)*D237</f>
        <v>0</v>
      </c>
      <c r="Z260" s="4">
        <f>+X234*(1-X238)*E237</f>
        <v>0</v>
      </c>
      <c r="AA260" s="4">
        <f>+X234*(1-X238)*F237</f>
        <v>0</v>
      </c>
      <c r="AB260" s="4">
        <f>+X234*(1-X238)*G237</f>
        <v>0</v>
      </c>
      <c r="AC260" s="4">
        <f>+X234*(1-X238)*H237</f>
        <v>0</v>
      </c>
      <c r="AD260" s="4">
        <f>+X234*(1-X238)*I237</f>
        <v>0</v>
      </c>
      <c r="AE260" s="4">
        <f>+X234*(1-X238)*J237</f>
        <v>0</v>
      </c>
      <c r="AF260" s="4">
        <f>+X234*(1-X238)*K237</f>
        <v>0</v>
      </c>
      <c r="AG260" s="4">
        <f t="shared" si="84"/>
        <v>0</v>
      </c>
      <c r="AH260" s="252">
        <f t="shared" si="87"/>
        <v>0</v>
      </c>
    </row>
    <row r="261" spans="1:34">
      <c r="A261" s="6">
        <f t="shared" si="85"/>
        <v>2044</v>
      </c>
      <c r="B261" s="4">
        <f t="shared" si="86"/>
        <v>0</v>
      </c>
      <c r="Y261" s="4">
        <f>Y234*Y238+Y234*(1-Y238)*C237</f>
        <v>0</v>
      </c>
      <c r="Z261" s="4">
        <f>+Y234*(1-Y238)*D237</f>
        <v>0</v>
      </c>
      <c r="AA261" s="4">
        <f>+Y234*(1-Y238)*E237</f>
        <v>0</v>
      </c>
      <c r="AB261" s="4">
        <f>+Y234*(1-Y238)*F237</f>
        <v>0</v>
      </c>
      <c r="AC261" s="4">
        <f>+Y234*(1-Y238)*G237</f>
        <v>0</v>
      </c>
      <c r="AD261" s="4">
        <f>+Y234*(1-Y238)*H237</f>
        <v>0</v>
      </c>
      <c r="AE261" s="4">
        <f>+Y234*(1-Y238)*I237</f>
        <v>0</v>
      </c>
      <c r="AF261" s="4">
        <f>+Y234*(1-Y238)*J237</f>
        <v>0</v>
      </c>
      <c r="AG261" s="4">
        <f t="shared" si="84"/>
        <v>0</v>
      </c>
      <c r="AH261" s="252">
        <f t="shared" si="87"/>
        <v>0</v>
      </c>
    </row>
    <row r="262" spans="1:34">
      <c r="A262" s="6">
        <f t="shared" si="85"/>
        <v>2045</v>
      </c>
      <c r="B262" s="4">
        <f t="shared" si="86"/>
        <v>0</v>
      </c>
      <c r="Z262" s="4">
        <f>Z234*Z238+Z234*(1-Z238)*C237</f>
        <v>0</v>
      </c>
      <c r="AA262" s="4">
        <f>+Z234*(1-Z238)*D237</f>
        <v>0</v>
      </c>
      <c r="AB262" s="4">
        <f>+Z234*(1-Z238)*E237</f>
        <v>0</v>
      </c>
      <c r="AC262" s="4">
        <f>+Z234*(1-Z238)*F237</f>
        <v>0</v>
      </c>
      <c r="AD262" s="4">
        <f>+Z234*(1-Z238)*G237</f>
        <v>0</v>
      </c>
      <c r="AE262" s="4">
        <f>+Z234*(1-Z238)*H237</f>
        <v>0</v>
      </c>
      <c r="AF262" s="4">
        <f>+Z234*(1-Z238)*I237</f>
        <v>0</v>
      </c>
      <c r="AG262" s="4">
        <f t="shared" si="84"/>
        <v>0</v>
      </c>
      <c r="AH262" s="252">
        <f t="shared" si="87"/>
        <v>0</v>
      </c>
    </row>
    <row r="263" spans="1:34">
      <c r="A263" s="6">
        <f t="shared" si="85"/>
        <v>2046</v>
      </c>
      <c r="B263" s="4">
        <f t="shared" si="86"/>
        <v>0</v>
      </c>
      <c r="AA263" s="4">
        <f>AA234*AA238+AA234*(1-AA238)*C237</f>
        <v>0</v>
      </c>
      <c r="AB263" s="4">
        <f>+AA234*(1-AA238)*D237</f>
        <v>0</v>
      </c>
      <c r="AC263" s="4">
        <f>+AA234*(1-AA238)*E237</f>
        <v>0</v>
      </c>
      <c r="AD263" s="4">
        <f>+AA234*(1-AA238)*F237</f>
        <v>0</v>
      </c>
      <c r="AE263" s="4">
        <f>+AA234*(1-AA238)*G237</f>
        <v>0</v>
      </c>
      <c r="AF263" s="4">
        <f>+AA234*(1-AA238)*H237</f>
        <v>0</v>
      </c>
      <c r="AG263" s="4">
        <f t="shared" si="84"/>
        <v>0</v>
      </c>
      <c r="AH263" s="252">
        <f t="shared" si="87"/>
        <v>0</v>
      </c>
    </row>
    <row r="264" spans="1:34">
      <c r="A264" s="6">
        <f t="shared" si="85"/>
        <v>2047</v>
      </c>
      <c r="B264" s="4">
        <f t="shared" si="86"/>
        <v>0</v>
      </c>
      <c r="AB264" s="4">
        <f>AB234*AB238+AB234*(1-AB238)*C237</f>
        <v>0</v>
      </c>
      <c r="AC264" s="4">
        <f>+AB234*(1-AB238)*D237</f>
        <v>0</v>
      </c>
      <c r="AD264" s="4">
        <f>+AB234*(1-AB238)*E237</f>
        <v>0</v>
      </c>
      <c r="AE264" s="4">
        <f>+AB234*(1-AB238)*F237</f>
        <v>0</v>
      </c>
      <c r="AF264" s="4">
        <f>+AB234*(1-AB238)*G237</f>
        <v>0</v>
      </c>
      <c r="AG264" s="4">
        <f t="shared" ref="AG264:AG268" si="88">SUM(C264:AF264)</f>
        <v>0</v>
      </c>
      <c r="AH264" s="252">
        <f t="shared" si="87"/>
        <v>0</v>
      </c>
    </row>
    <row r="265" spans="1:34">
      <c r="A265" s="6">
        <f t="shared" si="85"/>
        <v>2048</v>
      </c>
      <c r="B265" s="4">
        <f t="shared" si="86"/>
        <v>0</v>
      </c>
      <c r="AC265" s="4">
        <f>AC234*AC238+AC234*(1-AC238)*C237</f>
        <v>0</v>
      </c>
      <c r="AD265" s="4">
        <f>+AC234*(1-AC238)*D237</f>
        <v>0</v>
      </c>
      <c r="AE265" s="4">
        <f>+AC234*(1-AC238)*E237</f>
        <v>0</v>
      </c>
      <c r="AF265" s="4">
        <f>+AC234*(1-AC238)*F237</f>
        <v>0</v>
      </c>
      <c r="AG265" s="4">
        <f t="shared" si="88"/>
        <v>0</v>
      </c>
      <c r="AH265" s="252">
        <f t="shared" si="87"/>
        <v>0</v>
      </c>
    </row>
    <row r="266" spans="1:34">
      <c r="A266" s="6">
        <f t="shared" si="85"/>
        <v>2049</v>
      </c>
      <c r="B266" s="4">
        <f t="shared" si="86"/>
        <v>0</v>
      </c>
      <c r="AD266" s="4">
        <f>AD234*AD238+AD234*(1-AD238)*C237</f>
        <v>0</v>
      </c>
      <c r="AE266" s="4">
        <f>+AD234*(1-AD238)*D237</f>
        <v>0</v>
      </c>
      <c r="AF266" s="4">
        <f>+AD234*(1-AD238)*E237</f>
        <v>0</v>
      </c>
      <c r="AG266" s="4">
        <f t="shared" si="88"/>
        <v>0</v>
      </c>
      <c r="AH266" s="252">
        <f t="shared" si="87"/>
        <v>0</v>
      </c>
    </row>
    <row r="267" spans="1:34">
      <c r="A267" s="6">
        <f t="shared" si="85"/>
        <v>2050</v>
      </c>
      <c r="B267" s="4">
        <f t="shared" si="86"/>
        <v>0</v>
      </c>
      <c r="AE267" s="4">
        <f>AE234*AE238+AE234*(1-AE238)*C237</f>
        <v>0</v>
      </c>
      <c r="AF267" s="4">
        <f>+AE234*(1-AE238)*D237</f>
        <v>0</v>
      </c>
      <c r="AG267" s="4">
        <f t="shared" si="88"/>
        <v>0</v>
      </c>
      <c r="AH267" s="252">
        <f t="shared" si="87"/>
        <v>0</v>
      </c>
    </row>
    <row r="268" spans="1:34">
      <c r="A268" s="6">
        <f t="shared" si="85"/>
        <v>2051</v>
      </c>
      <c r="B268" s="4">
        <f t="shared" si="86"/>
        <v>0</v>
      </c>
      <c r="AF268" s="4">
        <f>AF234*AF238+AF234*(1-AF238)*C237</f>
        <v>0</v>
      </c>
      <c r="AG268" s="4">
        <f t="shared" si="88"/>
        <v>0</v>
      </c>
      <c r="AH268" s="252">
        <f t="shared" si="87"/>
        <v>0</v>
      </c>
    </row>
    <row r="269" spans="1:34">
      <c r="A269" s="6" t="str">
        <f>"Total Depreciation - "&amp;A233</f>
        <v>Total Depreciation - Interior Costs - Soft Costs</v>
      </c>
      <c r="B269" s="49">
        <f>SUM(B239:B268)</f>
        <v>9701578.8821190707</v>
      </c>
      <c r="C269" s="49">
        <f>SUM(C239:C268)</f>
        <v>0</v>
      </c>
      <c r="D269" s="49">
        <f t="shared" ref="D269:AH269" si="89">SUM(D239:D268)</f>
        <v>0</v>
      </c>
      <c r="E269" s="49">
        <f t="shared" si="89"/>
        <v>0</v>
      </c>
      <c r="F269" s="49">
        <f t="shared" si="89"/>
        <v>248758.43287484796</v>
      </c>
      <c r="G269" s="49">
        <f t="shared" si="89"/>
        <v>248758.43287484796</v>
      </c>
      <c r="H269" s="49">
        <f t="shared" si="89"/>
        <v>248758.43287484796</v>
      </c>
      <c r="I269" s="49">
        <f t="shared" si="89"/>
        <v>248758.43287484796</v>
      </c>
      <c r="J269" s="49">
        <f t="shared" si="89"/>
        <v>248758.43287484796</v>
      </c>
      <c r="K269" s="49">
        <f t="shared" si="89"/>
        <v>248758.43287484796</v>
      </c>
      <c r="L269" s="49">
        <f t="shared" si="89"/>
        <v>248758.43287484796</v>
      </c>
      <c r="M269" s="49">
        <f t="shared" si="89"/>
        <v>248758.43287484796</v>
      </c>
      <c r="N269" s="49">
        <f t="shared" si="89"/>
        <v>248758.43287484796</v>
      </c>
      <c r="O269" s="49">
        <f t="shared" si="89"/>
        <v>248758.43287484796</v>
      </c>
      <c r="P269" s="49">
        <f t="shared" si="89"/>
        <v>248758.43287484796</v>
      </c>
      <c r="Q269" s="49">
        <f t="shared" si="89"/>
        <v>248758.43287484796</v>
      </c>
      <c r="R269" s="49">
        <f t="shared" si="89"/>
        <v>248758.43287484796</v>
      </c>
      <c r="S269" s="49">
        <f t="shared" si="89"/>
        <v>248758.43287484796</v>
      </c>
      <c r="T269" s="49">
        <f t="shared" si="89"/>
        <v>248758.43287484796</v>
      </c>
      <c r="U269" s="49">
        <f t="shared" si="89"/>
        <v>248758.43287484796</v>
      </c>
      <c r="V269" s="49">
        <f t="shared" si="89"/>
        <v>248758.43287484796</v>
      </c>
      <c r="W269" s="49">
        <f t="shared" si="89"/>
        <v>248758.43287484796</v>
      </c>
      <c r="X269" s="49">
        <f t="shared" si="89"/>
        <v>248758.43287484796</v>
      </c>
      <c r="Y269" s="49">
        <f t="shared" si="89"/>
        <v>248758.43287484796</v>
      </c>
      <c r="Z269" s="49">
        <f t="shared" si="89"/>
        <v>248758.43287484796</v>
      </c>
      <c r="AA269" s="49">
        <f t="shared" si="89"/>
        <v>248758.43287484796</v>
      </c>
      <c r="AB269" s="49">
        <f t="shared" si="89"/>
        <v>248758.43287484796</v>
      </c>
      <c r="AC269" s="49">
        <f t="shared" si="89"/>
        <v>248758.43287484796</v>
      </c>
      <c r="AD269" s="49">
        <f t="shared" si="89"/>
        <v>248758.43287484796</v>
      </c>
      <c r="AE269" s="49">
        <f t="shared" si="89"/>
        <v>248758.43287484796</v>
      </c>
      <c r="AF269" s="49">
        <f t="shared" si="89"/>
        <v>248758.43287484796</v>
      </c>
      <c r="AG269" s="49">
        <f t="shared" si="89"/>
        <v>6716477.6876208978</v>
      </c>
      <c r="AH269" s="49">
        <f t="shared" si="89"/>
        <v>2985101.194498173</v>
      </c>
    </row>
    <row r="271" spans="1:34">
      <c r="A271" s="302" t="str">
        <f>+Book!A257</f>
        <v>Interior Costs - Construction</v>
      </c>
    </row>
    <row r="272" spans="1:34">
      <c r="A272" s="6" t="s">
        <v>406</v>
      </c>
      <c r="C272" s="40">
        <f>IF(Capex!$F$13="y",Book!C258*(1-C$446),Book!C258)</f>
        <v>0</v>
      </c>
      <c r="D272" s="40">
        <f>IF(Capex!$F$13="y",Book!D258*(1-D$446),Book!D258)</f>
        <v>0</v>
      </c>
      <c r="E272" s="40">
        <f>IF(Capex!$F$13="y",Book!E258*(1-E$446),Book!E258)</f>
        <v>0</v>
      </c>
      <c r="F272" s="40">
        <f>IF(Capex!$F$13="y",Book!F258*(1-F$446),Book!F258)</f>
        <v>76500959.258979723</v>
      </c>
      <c r="G272" s="40">
        <f>IF(Capex!$F$13="y",Book!G258*(1-G$446),Book!G258)</f>
        <v>0</v>
      </c>
      <c r="H272" s="40">
        <f>IF(Capex!$F$13="y",Book!H258*(1-H$446),Book!H258)</f>
        <v>0</v>
      </c>
      <c r="I272" s="40">
        <f>IF(Capex!$F$13="y",Book!I258*(1-I$446),Book!I258)</f>
        <v>0</v>
      </c>
      <c r="J272" s="40">
        <f>IF(Capex!$F$13="y",Book!J258*(1-J$446),Book!J258)</f>
        <v>0</v>
      </c>
      <c r="K272" s="40">
        <f>IF(Capex!$F$13="y",Book!K258*(1-K$446),Book!K258)</f>
        <v>0</v>
      </c>
      <c r="L272" s="40">
        <f>IF(Capex!$F$13="y",Book!L258*(1-L$446),Book!L258)</f>
        <v>0</v>
      </c>
      <c r="M272" s="40">
        <f>IF(Capex!$F$13="y",Book!M258*(1-M$446),Book!M258)</f>
        <v>0</v>
      </c>
      <c r="N272" s="40">
        <f>IF(Capex!$F$13="y",Book!N258*(1-N$446),Book!N258)</f>
        <v>0</v>
      </c>
      <c r="O272" s="40">
        <f>IF(Capex!$F$13="y",Book!O258*(1-O$446),Book!O258)</f>
        <v>0</v>
      </c>
      <c r="P272" s="40">
        <f>IF(Capex!$F$13="y",Book!P258*(1-P$446),Book!P258)</f>
        <v>0</v>
      </c>
      <c r="Q272" s="40">
        <f>IF(Capex!$F$13="y",Book!Q258*(1-Q$446),Book!Q258)</f>
        <v>0</v>
      </c>
      <c r="R272" s="40">
        <f>IF(Capex!$F$13="y",Book!R258*(1-R$446),Book!R258)</f>
        <v>0</v>
      </c>
      <c r="S272" s="40">
        <f>IF(Capex!$F$13="y",Book!S258*(1-S$446),Book!S258)</f>
        <v>0</v>
      </c>
      <c r="T272" s="40">
        <f>IF(Capex!$F$13="y",Book!T258*(1-T$446),Book!T258)</f>
        <v>0</v>
      </c>
      <c r="U272" s="40">
        <f>IF(Capex!$F$13="y",Book!U258*(1-U$446),Book!U258)</f>
        <v>0</v>
      </c>
      <c r="V272" s="40">
        <f>IF(Capex!$F$13="y",Book!V258*(1-V$446),Book!V258)</f>
        <v>0</v>
      </c>
      <c r="W272" s="40">
        <f>IF(Capex!$F$13="y",Book!W258*(1-W$446),Book!W258)</f>
        <v>0</v>
      </c>
      <c r="X272" s="40">
        <f>IF(Capex!$F$13="y",Book!X258*(1-X$446),Book!X258)</f>
        <v>0</v>
      </c>
      <c r="Y272" s="40">
        <f>IF(Capex!$F$13="y",Book!Y258*(1-Y$446),Book!Y258)</f>
        <v>0</v>
      </c>
      <c r="Z272" s="40">
        <f>IF(Capex!$F$13="y",Book!Z258*(1-Z$446),Book!Z258)</f>
        <v>0</v>
      </c>
      <c r="AA272" s="40">
        <f>IF(Capex!$F$13="y",Book!AA258*(1-AA$446),Book!AA258)</f>
        <v>0</v>
      </c>
      <c r="AB272" s="40">
        <f>IF(Capex!$F$13="y",Book!AB258*(1-AB$446),Book!AB258)</f>
        <v>0</v>
      </c>
      <c r="AC272" s="40">
        <f>IF(Capex!$F$13="y",Book!AC258*(1-AC$446),Book!AC258)</f>
        <v>0</v>
      </c>
      <c r="AD272" s="40">
        <f>IF(Capex!$F$13="y",Book!AD258*(1-AD$446),Book!AD258)</f>
        <v>0</v>
      </c>
      <c r="AE272" s="40">
        <f>IF(Capex!$F$13="y",Book!AE258*(1-AE$446),Book!AE258)</f>
        <v>0</v>
      </c>
      <c r="AF272" s="40">
        <f>IF(Capex!$F$13="y",Book!AF258*(1-AF$446),Book!AF258)</f>
        <v>0</v>
      </c>
    </row>
    <row r="273" spans="1:34">
      <c r="A273" s="6" t="s">
        <v>215</v>
      </c>
      <c r="C273" s="49">
        <f>+C272</f>
        <v>0</v>
      </c>
      <c r="D273" s="49">
        <f t="shared" ref="D273:AF273" si="90">+D272+C273</f>
        <v>0</v>
      </c>
      <c r="E273" s="49">
        <f t="shared" si="90"/>
        <v>0</v>
      </c>
      <c r="F273" s="49">
        <f t="shared" si="90"/>
        <v>76500959.258979723</v>
      </c>
      <c r="G273" s="49">
        <f t="shared" si="90"/>
        <v>76500959.258979723</v>
      </c>
      <c r="H273" s="49">
        <f t="shared" si="90"/>
        <v>76500959.258979723</v>
      </c>
      <c r="I273" s="49">
        <f t="shared" si="90"/>
        <v>76500959.258979723</v>
      </c>
      <c r="J273" s="49">
        <f t="shared" si="90"/>
        <v>76500959.258979723</v>
      </c>
      <c r="K273" s="49">
        <f t="shared" si="90"/>
        <v>76500959.258979723</v>
      </c>
      <c r="L273" s="49">
        <f t="shared" si="90"/>
        <v>76500959.258979723</v>
      </c>
      <c r="M273" s="49">
        <f t="shared" si="90"/>
        <v>76500959.258979723</v>
      </c>
      <c r="N273" s="49">
        <f t="shared" si="90"/>
        <v>76500959.258979723</v>
      </c>
      <c r="O273" s="49">
        <f t="shared" si="90"/>
        <v>76500959.258979723</v>
      </c>
      <c r="P273" s="49">
        <f t="shared" si="90"/>
        <v>76500959.258979723</v>
      </c>
      <c r="Q273" s="49">
        <f t="shared" si="90"/>
        <v>76500959.258979723</v>
      </c>
      <c r="R273" s="49">
        <f t="shared" si="90"/>
        <v>76500959.258979723</v>
      </c>
      <c r="S273" s="49">
        <f t="shared" si="90"/>
        <v>76500959.258979723</v>
      </c>
      <c r="T273" s="49">
        <f t="shared" si="90"/>
        <v>76500959.258979723</v>
      </c>
      <c r="U273" s="49">
        <f t="shared" si="90"/>
        <v>76500959.258979723</v>
      </c>
      <c r="V273" s="49">
        <f t="shared" si="90"/>
        <v>76500959.258979723</v>
      </c>
      <c r="W273" s="49">
        <f t="shared" si="90"/>
        <v>76500959.258979723</v>
      </c>
      <c r="X273" s="49">
        <f t="shared" si="90"/>
        <v>76500959.258979723</v>
      </c>
      <c r="Y273" s="49">
        <f t="shared" si="90"/>
        <v>76500959.258979723</v>
      </c>
      <c r="Z273" s="49">
        <f t="shared" si="90"/>
        <v>76500959.258979723</v>
      </c>
      <c r="AA273" s="49">
        <f t="shared" si="90"/>
        <v>76500959.258979723</v>
      </c>
      <c r="AB273" s="49">
        <f t="shared" si="90"/>
        <v>76500959.258979723</v>
      </c>
      <c r="AC273" s="49">
        <f t="shared" si="90"/>
        <v>76500959.258979723</v>
      </c>
      <c r="AD273" s="49">
        <f t="shared" si="90"/>
        <v>76500959.258979723</v>
      </c>
      <c r="AE273" s="49">
        <f t="shared" si="90"/>
        <v>76500959.258979723</v>
      </c>
      <c r="AF273" s="49">
        <f t="shared" si="90"/>
        <v>76500959.258979723</v>
      </c>
    </row>
    <row r="274" spans="1:34">
      <c r="A274" s="6" t="s">
        <v>407</v>
      </c>
    </row>
    <row r="275" spans="1:34">
      <c r="A275" s="6" t="s">
        <v>408</v>
      </c>
      <c r="B275" s="88">
        <f>+Capex!$E$13</f>
        <v>39</v>
      </c>
      <c r="C275" s="5">
        <f>SUMIF($B$459:$I$459,$B275,$B$460:$I$460)</f>
        <v>2.564102564102564E-2</v>
      </c>
      <c r="D275" s="5">
        <f>SUMIF($B$459:$I$459,$B275,$B$461:$I$461)</f>
        <v>2.564102564102564E-2</v>
      </c>
      <c r="E275" s="5">
        <f>SUMIF($B$459:$I$459,$B275,$B$462:$I$462)</f>
        <v>2.564102564102564E-2</v>
      </c>
      <c r="F275" s="5">
        <f>SUMIF($B$459:$I$459,$B275,$B$463:$I$463)</f>
        <v>2.564102564102564E-2</v>
      </c>
      <c r="G275" s="5">
        <f>SUMIF($B$459:$I$459,$B275,$B$464:$I$464)</f>
        <v>2.564102564102564E-2</v>
      </c>
      <c r="H275" s="5">
        <f>SUMIF($B$459:$I$459,$B275,$B$465:$I$465)</f>
        <v>2.564102564102564E-2</v>
      </c>
      <c r="I275" s="5">
        <f>SUMIF($B$459:$I$459,$B275,$B$466:$I$466)</f>
        <v>2.564102564102564E-2</v>
      </c>
      <c r="J275" s="5">
        <f>SUMIF($B$459:$I$459,$B275,$B$467:$I$467)</f>
        <v>2.564102564102564E-2</v>
      </c>
      <c r="K275" s="5">
        <f>SUMIF($B$459:$I$459,$B275,$B$468:$I$468)</f>
        <v>2.564102564102564E-2</v>
      </c>
      <c r="L275" s="5">
        <f>SUMIF($B$459:$I$459,$B275,$B$469:$I$469)</f>
        <v>2.564102564102564E-2</v>
      </c>
      <c r="M275" s="5">
        <f>SUMIF($B$459:$I$459,$B275,$B$470:$I$470)</f>
        <v>2.564102564102564E-2</v>
      </c>
      <c r="N275" s="5">
        <f>SUMIF($B$459:$I$459,$B275,$B$471:$I$471)</f>
        <v>2.564102564102564E-2</v>
      </c>
      <c r="O275" s="5">
        <f>SUMIF($B$459:$I$459,$B275,$B$472:$I$472)</f>
        <v>2.564102564102564E-2</v>
      </c>
      <c r="P275" s="5">
        <f>SUMIF($B$459:$I$459,$B275,$B$473:$I$473)</f>
        <v>2.564102564102564E-2</v>
      </c>
      <c r="Q275" s="5">
        <f>SUMIF($B$459:$I$459,$B275,$B$474:$I$474)</f>
        <v>2.564102564102564E-2</v>
      </c>
      <c r="R275" s="5">
        <f>SUMIF($B$459:$I$459,$B275,$B$475:$I$475)</f>
        <v>2.564102564102564E-2</v>
      </c>
      <c r="S275" s="5">
        <f>SUMIF($B$459:$I$459,$B275,$B$476:$I$476)</f>
        <v>2.564102564102564E-2</v>
      </c>
      <c r="T275" s="5">
        <f>SUMIF($B$459:$I$459,$B275,$B$477:$I$477)</f>
        <v>2.564102564102564E-2</v>
      </c>
      <c r="U275" s="5">
        <f>SUMIF($B$459:$I$459,$B275,$B$478:$I$478)</f>
        <v>2.564102564102564E-2</v>
      </c>
      <c r="V275" s="5">
        <f>SUMIF($B$459:$I$459,$B275,$B$479:$I$479)</f>
        <v>2.564102564102564E-2</v>
      </c>
      <c r="W275" s="5">
        <f>SUMIF($B$459:$I$459,$B275,$B$480:$I$480)</f>
        <v>2.564102564102564E-2</v>
      </c>
      <c r="X275" s="5">
        <f>SUMIF($B$459:$I$459,$B275,$B$481:$I$481)</f>
        <v>2.564102564102564E-2</v>
      </c>
      <c r="Y275" s="5">
        <f>SUMIF($B$459:$I$459,$B275,$B$482:$I$482)</f>
        <v>2.564102564102564E-2</v>
      </c>
      <c r="Z275" s="5">
        <f>SUMIF($B$459:$I$459,$B275,$B$483:$I$483)</f>
        <v>2.564102564102564E-2</v>
      </c>
      <c r="AA275" s="5">
        <f t="shared" ref="AA275:AF275" si="91">SUMIF($B$459:$I$459,$B275,$B$484:$I$484)</f>
        <v>2.564102564102564E-2</v>
      </c>
      <c r="AB275" s="5">
        <f t="shared" si="91"/>
        <v>2.564102564102564E-2</v>
      </c>
      <c r="AC275" s="5">
        <f t="shared" si="91"/>
        <v>2.564102564102564E-2</v>
      </c>
      <c r="AD275" s="5">
        <f t="shared" si="91"/>
        <v>2.564102564102564E-2</v>
      </c>
      <c r="AE275" s="5">
        <f t="shared" si="91"/>
        <v>2.564102564102564E-2</v>
      </c>
      <c r="AF275" s="5">
        <f t="shared" si="91"/>
        <v>2.564102564102564E-2</v>
      </c>
    </row>
    <row r="276" spans="1:34">
      <c r="A276" s="6" t="s">
        <v>409</v>
      </c>
      <c r="B276" s="89"/>
      <c r="C276" s="94">
        <f>IF(C$2&gt;'Input Data'!$M$37,B276,IF($B275=0,0,SUMIF('Input Data'!$C$37:$M$37,C$2,'Input Data'!$C$38:$M$38)))</f>
        <v>0</v>
      </c>
      <c r="D276" s="94">
        <f>IF(D$2&gt;'Input Data'!$M$37,C276,IF($B275=0,0,SUMIF('Input Data'!$C$37:$M$37,D$2,'Input Data'!$C$38:$M$38)))</f>
        <v>0</v>
      </c>
      <c r="E276" s="94">
        <f>IF(E$2&gt;'Input Data'!$M$37,D276,IF($B275=0,0,SUMIF('Input Data'!$C$37:$M$37,E$2,'Input Data'!$C$38:$M$38)))</f>
        <v>0</v>
      </c>
      <c r="F276" s="94">
        <f>IF(F$2&gt;'Input Data'!$M$37,E276,IF($B275=0,0,SUMIF('Input Data'!$C$37:$M$37,F$2,'Input Data'!$C$38:$M$38)))</f>
        <v>0</v>
      </c>
      <c r="G276" s="94">
        <f>IF(G$2&gt;'Input Data'!$M$37,F276,IF($B275=0,0,SUMIF('Input Data'!$C$37:$M$37,G$2,'Input Data'!$C$38:$M$38)))</f>
        <v>0</v>
      </c>
      <c r="H276" s="94">
        <f>IF(H$2&gt;'Input Data'!$M$37,G276,IF($B275=0,0,SUMIF('Input Data'!$C$37:$M$37,H$2,'Input Data'!$C$38:$M$38)))</f>
        <v>0</v>
      </c>
      <c r="I276" s="94">
        <f>IF(I$2&gt;'Input Data'!$M$37,H276,IF($B275=0,0,SUMIF('Input Data'!$C$37:$M$37,I$2,'Input Data'!$C$38:$M$38)))</f>
        <v>0</v>
      </c>
      <c r="J276" s="94">
        <f>IF(J$2&gt;'Input Data'!$M$37,I276,IF($B275=0,0,SUMIF('Input Data'!$C$37:$M$37,J$2,'Input Data'!$C$38:$M$38)))</f>
        <v>0</v>
      </c>
      <c r="K276" s="94">
        <f>IF(K$2&gt;'Input Data'!$M$37,J276,IF($B275=0,0,SUMIF('Input Data'!$C$37:$M$37,K$2,'Input Data'!$C$38:$M$38)))</f>
        <v>0</v>
      </c>
      <c r="L276" s="94">
        <f>IF(L$2&gt;'Input Data'!$M$37,K276,IF($B275=0,0,SUMIF('Input Data'!$C$37:$M$37,L$2,'Input Data'!$C$38:$M$38)))</f>
        <v>0</v>
      </c>
      <c r="M276" s="94">
        <f>IF(M$2&gt;'Input Data'!$M$37,L276,IF($B275=0,0,SUMIF('Input Data'!$C$37:$M$37,M$2,'Input Data'!$C$38:$M$38)))</f>
        <v>0</v>
      </c>
      <c r="N276" s="94">
        <f>IF(N$2&gt;'Input Data'!$M$37,M276,IF($B275=0,0,SUMIF('Input Data'!$C$37:$M$37,N$2,'Input Data'!$C$38:$M$38)))</f>
        <v>0</v>
      </c>
      <c r="O276" s="94">
        <f>IF(O$2&gt;'Input Data'!$M$37,N276,IF($B275=0,0,SUMIF('Input Data'!$C$37:$M$37,O$2,'Input Data'!$C$38:$M$38)))</f>
        <v>0</v>
      </c>
      <c r="P276" s="94">
        <f>IF(P$2&gt;'Input Data'!$M$37,O276,IF($B275=0,0,SUMIF('Input Data'!$C$37:$M$37,P$2,'Input Data'!$C$38:$M$38)))</f>
        <v>0</v>
      </c>
      <c r="Q276" s="94">
        <f>IF(Q$2&gt;'Input Data'!$M$37,P276,IF($B275=0,0,SUMIF('Input Data'!$C$37:$M$37,Q$2,'Input Data'!$C$38:$M$38)))</f>
        <v>0</v>
      </c>
      <c r="R276" s="94">
        <f>IF(R$2&gt;'Input Data'!$M$37,Q276,IF($B275=0,0,SUMIF('Input Data'!$C$37:$M$37,R$2,'Input Data'!$C$38:$M$38)))</f>
        <v>0</v>
      </c>
      <c r="S276" s="94">
        <f>IF(S$2&gt;'Input Data'!$M$37,R276,IF($B275=0,0,SUMIF('Input Data'!$C$37:$M$37,S$2,'Input Data'!$C$38:$M$38)))</f>
        <v>0</v>
      </c>
      <c r="T276" s="94">
        <f>IF(T$2&gt;'Input Data'!$M$37,S276,IF($B275=0,0,SUMIF('Input Data'!$C$37:$M$37,T$2,'Input Data'!$C$38:$M$38)))</f>
        <v>0</v>
      </c>
      <c r="U276" s="94">
        <f>IF(U$2&gt;'Input Data'!$M$37,T276,IF($B275=0,0,SUMIF('Input Data'!$C$37:$M$37,U$2,'Input Data'!$C$38:$M$38)))</f>
        <v>0</v>
      </c>
      <c r="V276" s="94">
        <f>IF(V$2&gt;'Input Data'!$M$37,U276,IF($B275=0,0,SUMIF('Input Data'!$C$37:$M$37,V$2,'Input Data'!$C$38:$M$38)))</f>
        <v>0</v>
      </c>
      <c r="W276" s="94">
        <f>IF(W$2&gt;'Input Data'!$M$37,V276,IF($B275=0,0,SUMIF('Input Data'!$C$37:$M$37,W$2,'Input Data'!$C$38:$M$38)))</f>
        <v>0</v>
      </c>
      <c r="X276" s="94">
        <f>IF(X$2&gt;'Input Data'!$M$37,W276,IF($B275=0,0,SUMIF('Input Data'!$C$37:$M$37,X$2,'Input Data'!$C$38:$M$38)))</f>
        <v>0</v>
      </c>
      <c r="Y276" s="94">
        <f>IF(Y$2&gt;'Input Data'!$M$37,X276,IF($B275=0,0,SUMIF('Input Data'!$C$37:$M$37,Y$2,'Input Data'!$C$38:$M$38)))</f>
        <v>0</v>
      </c>
      <c r="Z276" s="94">
        <f>IF(Z$2&gt;'Input Data'!$M$37,Y276,IF($B275=0,0,SUMIF('Input Data'!$C$37:$M$37,Z$2,'Input Data'!$C$38:$M$38)))</f>
        <v>0</v>
      </c>
      <c r="AA276" s="94">
        <f>IF(AA$2&gt;'Input Data'!$M$37,Z276,IF($B275=0,0,SUMIF('Input Data'!$C$37:$M$37,AA$2,'Input Data'!$C$38:$M$38)))</f>
        <v>0</v>
      </c>
      <c r="AB276" s="94">
        <f>IF(AB$2&gt;'Input Data'!$M$37,AA276,IF($B275=0,0,SUMIF('Input Data'!$C$37:$M$37,AB$2,'Input Data'!$C$38:$M$38)))</f>
        <v>0</v>
      </c>
      <c r="AC276" s="94">
        <f>IF(AC$2&gt;'Input Data'!$M$37,AB276,IF($B275=0,0,SUMIF('Input Data'!$C$37:$M$37,AC$2,'Input Data'!$C$38:$M$38)))</f>
        <v>0</v>
      </c>
      <c r="AD276" s="94">
        <f>IF(AD$2&gt;'Input Data'!$M$37,AC276,IF($B275=0,0,SUMIF('Input Data'!$C$37:$M$37,AD$2,'Input Data'!$C$38:$M$38)))</f>
        <v>0</v>
      </c>
      <c r="AE276" s="94">
        <f>IF(AE$2&gt;'Input Data'!$M$37,AD276,IF($B275=0,0,SUMIF('Input Data'!$C$37:$M$37,AE$2,'Input Data'!$C$38:$M$38)))</f>
        <v>0</v>
      </c>
      <c r="AF276" s="94">
        <f>IF(AF$2&gt;'Input Data'!$M$37,AE276,IF($B275=0,0,SUMIF('Input Data'!$C$37:$M$37,AF$2,'Input Data'!$C$38:$M$38)))</f>
        <v>0</v>
      </c>
    </row>
    <row r="277" spans="1:34">
      <c r="A277" s="6">
        <f>+A163</f>
        <v>2022</v>
      </c>
      <c r="B277" s="4">
        <f>SUMIF($C$2:$AF$2,A277,$C$272:$AF$272)</f>
        <v>0</v>
      </c>
      <c r="C277" s="4">
        <f>C272*C276+C272*(1-C276)*C275</f>
        <v>0</v>
      </c>
      <c r="D277" s="4">
        <f>C272*(1-C276)*D275</f>
        <v>0</v>
      </c>
      <c r="E277" s="4">
        <f>C272*(1-C276)*E275</f>
        <v>0</v>
      </c>
      <c r="F277" s="4">
        <f>C272*(1-C276)*F275</f>
        <v>0</v>
      </c>
      <c r="G277" s="4">
        <f>C272*(1-C276)*G275</f>
        <v>0</v>
      </c>
      <c r="H277" s="4">
        <f>C272*(1-C276)*H275</f>
        <v>0</v>
      </c>
      <c r="I277" s="4">
        <f>C272*(1-C276)*I275</f>
        <v>0</v>
      </c>
      <c r="J277" s="4">
        <f>C272*(1-C276)*J275</f>
        <v>0</v>
      </c>
      <c r="K277" s="4">
        <f>C272*(1-C276)*K275</f>
        <v>0</v>
      </c>
      <c r="L277" s="4">
        <f>C272*(1-C276)*L275</f>
        <v>0</v>
      </c>
      <c r="M277" s="4">
        <f>C272*(1-C276)*M275</f>
        <v>0</v>
      </c>
      <c r="N277" s="4">
        <f>C272*(1-C276)*N275</f>
        <v>0</v>
      </c>
      <c r="O277" s="4">
        <f>C272*(1-C276)*O275</f>
        <v>0</v>
      </c>
      <c r="P277" s="4">
        <f>C272*(1-C276)*P275</f>
        <v>0</v>
      </c>
      <c r="Q277" s="4">
        <f>C272*(1-C276)*Q275</f>
        <v>0</v>
      </c>
      <c r="R277" s="4">
        <f>C272*(1-C276)*R275</f>
        <v>0</v>
      </c>
      <c r="S277" s="4">
        <f>C272*(1-C276)*S275</f>
        <v>0</v>
      </c>
      <c r="T277" s="4">
        <f>C272*(1-C276)*T275</f>
        <v>0</v>
      </c>
      <c r="U277" s="4">
        <f>C272*(1-C276)*U275</f>
        <v>0</v>
      </c>
      <c r="V277" s="4">
        <f>C272*(1-C276)*V275</f>
        <v>0</v>
      </c>
      <c r="W277" s="4">
        <f>C272*(1-C276)*W275</f>
        <v>0</v>
      </c>
      <c r="X277" s="4">
        <f>C272*(1-C276)*X275</f>
        <v>0</v>
      </c>
      <c r="Y277" s="4">
        <f>C272*(1-C276)*Y275</f>
        <v>0</v>
      </c>
      <c r="Z277" s="4">
        <f>C272*(1-C276)*Z275</f>
        <v>0</v>
      </c>
      <c r="AA277" s="4">
        <f>C272*(1-C276)*AA275</f>
        <v>0</v>
      </c>
      <c r="AB277" s="4">
        <f>C272*(1-C276)*AB275</f>
        <v>0</v>
      </c>
      <c r="AC277" s="4">
        <f>C272*(1-C276)*AC275</f>
        <v>0</v>
      </c>
      <c r="AD277" s="4">
        <f>C272*(1-C276)*AD275</f>
        <v>0</v>
      </c>
      <c r="AE277" s="4">
        <f>C272*(1-C276)*AE275</f>
        <v>0</v>
      </c>
      <c r="AF277" s="4">
        <f>C272*(1-C276)*AF275</f>
        <v>0</v>
      </c>
      <c r="AG277" s="4">
        <f t="shared" ref="AG277:AG301" si="92">SUM(C277:AF277)</f>
        <v>0</v>
      </c>
      <c r="AH277" s="252">
        <f>+B277-AG277</f>
        <v>0</v>
      </c>
    </row>
    <row r="278" spans="1:34">
      <c r="A278" s="6">
        <f t="shared" ref="A278:A306" si="93">+A164</f>
        <v>2023</v>
      </c>
      <c r="B278" s="4">
        <f t="shared" ref="B278:B306" si="94">SUMIF($C$2:$AF$2,A278,$C$272:$AF$272)</f>
        <v>0</v>
      </c>
      <c r="D278" s="4">
        <f>D272*D276+D272*(1-D276)*C275</f>
        <v>0</v>
      </c>
      <c r="E278" s="4">
        <f>+D272*(1-D276)*D275</f>
        <v>0</v>
      </c>
      <c r="F278" s="4">
        <f>+D272*(1-D276)*E275</f>
        <v>0</v>
      </c>
      <c r="G278" s="4">
        <f>+D272*(1-D276)*F275</f>
        <v>0</v>
      </c>
      <c r="H278" s="4">
        <f>+D272*(1-D276)*G275</f>
        <v>0</v>
      </c>
      <c r="I278" s="4">
        <f>+D272*(1-D276)*H275</f>
        <v>0</v>
      </c>
      <c r="J278" s="4">
        <f>+D272*(1-D276)*I275</f>
        <v>0</v>
      </c>
      <c r="K278" s="4">
        <f>+D272*(1-D276)*J275</f>
        <v>0</v>
      </c>
      <c r="L278" s="4">
        <f>+D272*(1-D276)*K275</f>
        <v>0</v>
      </c>
      <c r="M278" s="4">
        <f>+D272*(1-D276)*L275</f>
        <v>0</v>
      </c>
      <c r="N278" s="4">
        <f>+D272*(1-D276)*M275</f>
        <v>0</v>
      </c>
      <c r="O278" s="4">
        <f>+D272*(1-D276)*N275</f>
        <v>0</v>
      </c>
      <c r="P278" s="4">
        <f>+D272*(1-D276)*O275</f>
        <v>0</v>
      </c>
      <c r="Q278" s="4">
        <f>+D272*(1-D276)*P275</f>
        <v>0</v>
      </c>
      <c r="R278" s="4">
        <f>+D272*(1-D276)*Q275</f>
        <v>0</v>
      </c>
      <c r="S278" s="4">
        <f>+D272*(1-D276)*R275</f>
        <v>0</v>
      </c>
      <c r="T278" s="4">
        <f>+D272*(1-D276)*S275</f>
        <v>0</v>
      </c>
      <c r="U278" s="4">
        <f>+D272*(1-D276)*T275</f>
        <v>0</v>
      </c>
      <c r="V278" s="4">
        <f>+D272*(1-D276)*U275</f>
        <v>0</v>
      </c>
      <c r="W278" s="4">
        <f>+D272*(1-D276)*V275</f>
        <v>0</v>
      </c>
      <c r="X278" s="4">
        <f>+D272*(1-D276)*W275</f>
        <v>0</v>
      </c>
      <c r="Y278" s="4">
        <f>+D272*(1-D276)*X275</f>
        <v>0</v>
      </c>
      <c r="Z278" s="4">
        <f>+D272*(1-D276)*Y275</f>
        <v>0</v>
      </c>
      <c r="AA278" s="4">
        <f>+D272*(1-D276)*Z275</f>
        <v>0</v>
      </c>
      <c r="AB278" s="4">
        <f>+D272*(1-D276)*AA275</f>
        <v>0</v>
      </c>
      <c r="AC278" s="4">
        <f>+D272*(1-D276)*AB275</f>
        <v>0</v>
      </c>
      <c r="AD278" s="4">
        <f>+D272*(1-D276)*AC275</f>
        <v>0</v>
      </c>
      <c r="AE278" s="4">
        <f>+D272*(1-D276)*AD275</f>
        <v>0</v>
      </c>
      <c r="AF278" s="4">
        <f>+D272*(1-D276)*AE275</f>
        <v>0</v>
      </c>
      <c r="AG278" s="4">
        <f t="shared" si="92"/>
        <v>0</v>
      </c>
      <c r="AH278" s="252">
        <f t="shared" ref="AH278:AH306" si="95">+B278-AG278</f>
        <v>0</v>
      </c>
    </row>
    <row r="279" spans="1:34">
      <c r="A279" s="6">
        <f t="shared" si="93"/>
        <v>2024</v>
      </c>
      <c r="B279" s="4">
        <f t="shared" si="94"/>
        <v>0</v>
      </c>
      <c r="E279" s="4">
        <f>E272*E276+E272*(1-E276)*C275</f>
        <v>0</v>
      </c>
      <c r="F279" s="4">
        <f>+E272*(1-E276)*D275</f>
        <v>0</v>
      </c>
      <c r="G279" s="4">
        <f>+E272*(1-E276)*E275</f>
        <v>0</v>
      </c>
      <c r="H279" s="4">
        <f>+E272*(1-E276)*F275</f>
        <v>0</v>
      </c>
      <c r="I279" s="4">
        <f>+E272*(1-E276)*G275</f>
        <v>0</v>
      </c>
      <c r="J279" s="4">
        <f>+E272*(1-E276)*H275</f>
        <v>0</v>
      </c>
      <c r="K279" s="4">
        <f>+E272*(1-E276)*I275</f>
        <v>0</v>
      </c>
      <c r="L279" s="4">
        <f>+E272*(1-E276)*J275</f>
        <v>0</v>
      </c>
      <c r="M279" s="4">
        <f>+E272*(1-E276)*K275</f>
        <v>0</v>
      </c>
      <c r="N279" s="4">
        <f>+E272*(1-E276)*L275</f>
        <v>0</v>
      </c>
      <c r="O279" s="4">
        <f>+E272*(1-E276)*M275</f>
        <v>0</v>
      </c>
      <c r="P279" s="4">
        <f>+E272*(1-E276)*N275</f>
        <v>0</v>
      </c>
      <c r="Q279" s="4">
        <f>+E272*(1-E276)*O275</f>
        <v>0</v>
      </c>
      <c r="R279" s="4">
        <f>+E272*(1-E276)*P275</f>
        <v>0</v>
      </c>
      <c r="S279" s="4">
        <f>+E272*(1-E276)*Q275</f>
        <v>0</v>
      </c>
      <c r="T279" s="4">
        <f>+E272*(1-E276)*R275</f>
        <v>0</v>
      </c>
      <c r="U279" s="4">
        <f>+E272*(1-E276)*S275</f>
        <v>0</v>
      </c>
      <c r="V279" s="4">
        <f>+E272*(1-E276)*T275</f>
        <v>0</v>
      </c>
      <c r="W279" s="4">
        <f>+E272*(1-E276)*U275</f>
        <v>0</v>
      </c>
      <c r="X279" s="4">
        <f>+E272*(1-E276)*V275</f>
        <v>0</v>
      </c>
      <c r="Y279" s="4">
        <f>+E272*(1-E276)*W275</f>
        <v>0</v>
      </c>
      <c r="Z279" s="4">
        <f>+E272*(1-E276)*X275</f>
        <v>0</v>
      </c>
      <c r="AA279" s="4">
        <f>+E272*(1-E276)*Y275</f>
        <v>0</v>
      </c>
      <c r="AB279" s="4">
        <f>+E272*(1-E276)*Z275</f>
        <v>0</v>
      </c>
      <c r="AC279" s="4">
        <f>+E272*(1-E276)*AA275</f>
        <v>0</v>
      </c>
      <c r="AD279" s="4">
        <f>+E272*(1-E276)*AB275</f>
        <v>0</v>
      </c>
      <c r="AE279" s="4">
        <f>+E272*(1-E276)*AC275</f>
        <v>0</v>
      </c>
      <c r="AF279" s="4">
        <f>+E272*(1-E276)*AD275</f>
        <v>0</v>
      </c>
      <c r="AG279" s="4">
        <f t="shared" si="92"/>
        <v>0</v>
      </c>
      <c r="AH279" s="252">
        <f t="shared" si="95"/>
        <v>0</v>
      </c>
    </row>
    <row r="280" spans="1:34">
      <c r="A280" s="6">
        <f t="shared" si="93"/>
        <v>2025</v>
      </c>
      <c r="B280" s="4">
        <f t="shared" si="94"/>
        <v>76500959.258979723</v>
      </c>
      <c r="F280" s="4">
        <f>F272*F276+F272*(1-F276)*C275</f>
        <v>1961563.057922557</v>
      </c>
      <c r="G280" s="4">
        <f>+F272*(1-F276)*D275</f>
        <v>1961563.057922557</v>
      </c>
      <c r="H280" s="4">
        <f>+F272*(1-F276)*E275</f>
        <v>1961563.057922557</v>
      </c>
      <c r="I280" s="4">
        <f>+F272*(1-F276)*F275</f>
        <v>1961563.057922557</v>
      </c>
      <c r="J280" s="4">
        <f>+F272*(1-F276)*G275</f>
        <v>1961563.057922557</v>
      </c>
      <c r="K280" s="4">
        <f>+F272*(1-F276)*H275</f>
        <v>1961563.057922557</v>
      </c>
      <c r="L280" s="4">
        <f>+F272*(1-F276)*I275</f>
        <v>1961563.057922557</v>
      </c>
      <c r="M280" s="4">
        <f>+F272*(1-F276)*J275</f>
        <v>1961563.057922557</v>
      </c>
      <c r="N280" s="4">
        <f>+F272*(1-F276)*K275</f>
        <v>1961563.057922557</v>
      </c>
      <c r="O280" s="4">
        <f>+F272*(1-F276)*L275</f>
        <v>1961563.057922557</v>
      </c>
      <c r="P280" s="4">
        <f>+F272*(1-F276)*M275</f>
        <v>1961563.057922557</v>
      </c>
      <c r="Q280" s="4">
        <f>+F272*(1-F276)*N275</f>
        <v>1961563.057922557</v>
      </c>
      <c r="R280" s="4">
        <f>+F272*(1-F276)*O275</f>
        <v>1961563.057922557</v>
      </c>
      <c r="S280" s="4">
        <f>+F272*(1-F276)*P275</f>
        <v>1961563.057922557</v>
      </c>
      <c r="T280" s="4">
        <f>+F272*(1-F276)*Q275</f>
        <v>1961563.057922557</v>
      </c>
      <c r="U280" s="4">
        <f>+F272*(1-F276)*R275</f>
        <v>1961563.057922557</v>
      </c>
      <c r="V280" s="4">
        <f>+F272*(1-F276)*S275</f>
        <v>1961563.057922557</v>
      </c>
      <c r="W280" s="4">
        <f>+F272*(1-F276)*T275</f>
        <v>1961563.057922557</v>
      </c>
      <c r="X280" s="4">
        <f>+F272*(1-F276)*U275</f>
        <v>1961563.057922557</v>
      </c>
      <c r="Y280" s="4">
        <f>+F272*(1-F276)*V275</f>
        <v>1961563.057922557</v>
      </c>
      <c r="Z280" s="4">
        <f>+F272*(1-F276)*W275</f>
        <v>1961563.057922557</v>
      </c>
      <c r="AA280" s="4">
        <f>+F272*(1-F276)*X275</f>
        <v>1961563.057922557</v>
      </c>
      <c r="AB280" s="4">
        <f>+F272*(1-F276)*Y275</f>
        <v>1961563.057922557</v>
      </c>
      <c r="AC280" s="4">
        <f>+F272*(1-F276)*Z275</f>
        <v>1961563.057922557</v>
      </c>
      <c r="AD280" s="4">
        <f>+F272*(1-F276)*AA275</f>
        <v>1961563.057922557</v>
      </c>
      <c r="AE280" s="4">
        <f>+F272*(1-F276)*AB275</f>
        <v>1961563.057922557</v>
      </c>
      <c r="AF280" s="4">
        <f>+F272*(1-F276)*AC275</f>
        <v>1961563.057922557</v>
      </c>
      <c r="AG280" s="4">
        <f t="shared" si="92"/>
        <v>52962202.563909039</v>
      </c>
      <c r="AH280" s="252">
        <f t="shared" si="95"/>
        <v>23538756.695070684</v>
      </c>
    </row>
    <row r="281" spans="1:34">
      <c r="A281" s="6">
        <f t="shared" si="93"/>
        <v>2026</v>
      </c>
      <c r="B281" s="4">
        <f t="shared" si="94"/>
        <v>0</v>
      </c>
      <c r="G281" s="4">
        <f>G272*G276+G272*(1-G276)*C275</f>
        <v>0</v>
      </c>
      <c r="H281" s="4">
        <f>+G272*(1-G276)*D275</f>
        <v>0</v>
      </c>
      <c r="I281" s="4">
        <f>+G272*(1-G276)*E275</f>
        <v>0</v>
      </c>
      <c r="J281" s="4">
        <f>+G272*(1-G276)*F275</f>
        <v>0</v>
      </c>
      <c r="K281" s="4">
        <f>+G272*(1-G276)*G275</f>
        <v>0</v>
      </c>
      <c r="L281" s="4">
        <f>+G272*(1-G276)*H275</f>
        <v>0</v>
      </c>
      <c r="M281" s="4">
        <f>+G272*(1-G276)*I275</f>
        <v>0</v>
      </c>
      <c r="N281" s="4">
        <f>+G272*(1-G276)*J275</f>
        <v>0</v>
      </c>
      <c r="O281" s="4">
        <f>+G272*(1-G276)*K275</f>
        <v>0</v>
      </c>
      <c r="P281" s="4">
        <f>+G272*(1-G276)*L275</f>
        <v>0</v>
      </c>
      <c r="Q281" s="4">
        <f>+G272*(1-G276)*M275</f>
        <v>0</v>
      </c>
      <c r="R281" s="4">
        <f>+G272*(1-G276)*N275</f>
        <v>0</v>
      </c>
      <c r="S281" s="4">
        <f>+G272*(1-G276)*O275</f>
        <v>0</v>
      </c>
      <c r="T281" s="4">
        <f>+G272*(1-G276)*P275</f>
        <v>0</v>
      </c>
      <c r="U281" s="4">
        <f>+G272*(1-G276)*Q275</f>
        <v>0</v>
      </c>
      <c r="V281" s="4">
        <f>+G272*(1-G276)*R275</f>
        <v>0</v>
      </c>
      <c r="W281" s="4">
        <f>+G272*(1-G276)*S275</f>
        <v>0</v>
      </c>
      <c r="X281" s="4">
        <f>+G272*(1-G276)*T275</f>
        <v>0</v>
      </c>
      <c r="Y281" s="4">
        <f>+G272*(1-G276)*U275</f>
        <v>0</v>
      </c>
      <c r="Z281" s="4">
        <f>+G272*(1-G276)*V275</f>
        <v>0</v>
      </c>
      <c r="AA281" s="4">
        <f>+G272*(1-G276)*W275</f>
        <v>0</v>
      </c>
      <c r="AB281" s="4">
        <f>+G272*(1-G276)*X275</f>
        <v>0</v>
      </c>
      <c r="AC281" s="4">
        <f>+G272*(1-G276)*Y275</f>
        <v>0</v>
      </c>
      <c r="AD281" s="4">
        <f>+G272*(1-G276)*Z275</f>
        <v>0</v>
      </c>
      <c r="AE281" s="4">
        <f>+G272*(1-G276)*AA275</f>
        <v>0</v>
      </c>
      <c r="AF281" s="4">
        <f>+G272*(1-G276)*AB275</f>
        <v>0</v>
      </c>
      <c r="AG281" s="4">
        <f t="shared" si="92"/>
        <v>0</v>
      </c>
      <c r="AH281" s="252">
        <f t="shared" si="95"/>
        <v>0</v>
      </c>
    </row>
    <row r="282" spans="1:34">
      <c r="A282" s="6">
        <f t="shared" si="93"/>
        <v>2027</v>
      </c>
      <c r="B282" s="4">
        <f t="shared" si="94"/>
        <v>0</v>
      </c>
      <c r="H282" s="4">
        <f>H272*H276+H272*(1-H276)*C275</f>
        <v>0</v>
      </c>
      <c r="I282" s="4">
        <f>+H272*(1-H276)*D275</f>
        <v>0</v>
      </c>
      <c r="J282" s="4">
        <f>+H272*(1-H276)*E275</f>
        <v>0</v>
      </c>
      <c r="K282" s="4">
        <f>+H272*(1-H276)*F275</f>
        <v>0</v>
      </c>
      <c r="L282" s="4">
        <f>+H272*(1-H276)*G275</f>
        <v>0</v>
      </c>
      <c r="M282" s="4">
        <f>+H272*(1-H276)*H275</f>
        <v>0</v>
      </c>
      <c r="N282" s="4">
        <f>+H272*(1-H276)*I275</f>
        <v>0</v>
      </c>
      <c r="O282" s="4">
        <f>+H272*(1-H276)*J275</f>
        <v>0</v>
      </c>
      <c r="P282" s="4">
        <f>+H272*(1-H276)*K275</f>
        <v>0</v>
      </c>
      <c r="Q282" s="4">
        <f>+H272*(1-H276)*L275</f>
        <v>0</v>
      </c>
      <c r="R282" s="4">
        <f>+H272*(1-H276)*M275</f>
        <v>0</v>
      </c>
      <c r="S282" s="4">
        <f>+H272*(1-H276)*N275</f>
        <v>0</v>
      </c>
      <c r="T282" s="4">
        <f>+H272*(1-H276)*O275</f>
        <v>0</v>
      </c>
      <c r="U282" s="4">
        <f>+H272*(1-H276)*P275</f>
        <v>0</v>
      </c>
      <c r="V282" s="4">
        <f>+H272*(1-H276)*Q275</f>
        <v>0</v>
      </c>
      <c r="W282" s="4">
        <f>+H272*(1-H276)*R275</f>
        <v>0</v>
      </c>
      <c r="X282" s="4">
        <f>+H272*(1-H276)*S275</f>
        <v>0</v>
      </c>
      <c r="Y282" s="4">
        <f>+H272*(1-H276)*T275</f>
        <v>0</v>
      </c>
      <c r="Z282" s="4">
        <f>+H272*(1-H276)*U275</f>
        <v>0</v>
      </c>
      <c r="AA282" s="4">
        <f>+H272*(1-H276)*V275</f>
        <v>0</v>
      </c>
      <c r="AB282" s="4">
        <f>+H272*(1-H276)*W275</f>
        <v>0</v>
      </c>
      <c r="AC282" s="4">
        <f>+H272*(1-H276)*X275</f>
        <v>0</v>
      </c>
      <c r="AD282" s="4">
        <f>+H272*(1-H276)*Y275</f>
        <v>0</v>
      </c>
      <c r="AE282" s="4">
        <f>+H272*(1-H276)*Z275</f>
        <v>0</v>
      </c>
      <c r="AF282" s="4">
        <f>+H272*(1-H276)*AA275</f>
        <v>0</v>
      </c>
      <c r="AG282" s="4">
        <f t="shared" si="92"/>
        <v>0</v>
      </c>
      <c r="AH282" s="252">
        <f t="shared" si="95"/>
        <v>0</v>
      </c>
    </row>
    <row r="283" spans="1:34">
      <c r="A283" s="6">
        <f t="shared" si="93"/>
        <v>2028</v>
      </c>
      <c r="B283" s="4">
        <f t="shared" si="94"/>
        <v>0</v>
      </c>
      <c r="I283" s="4">
        <f>I272*I276+I272*(1-I276)*C275</f>
        <v>0</v>
      </c>
      <c r="J283" s="4">
        <f>+I272*(1-I276)*D275</f>
        <v>0</v>
      </c>
      <c r="K283" s="4">
        <f>+I272*(1-I276)*E275</f>
        <v>0</v>
      </c>
      <c r="L283" s="4">
        <f>+I272*(1-I276)*F275</f>
        <v>0</v>
      </c>
      <c r="M283" s="4">
        <f>+I272*(1-I276)*G275</f>
        <v>0</v>
      </c>
      <c r="N283" s="4">
        <f>+I272*(1-I276)*H275</f>
        <v>0</v>
      </c>
      <c r="O283" s="4">
        <f>+I272*(1-I276)*I275</f>
        <v>0</v>
      </c>
      <c r="P283" s="4">
        <f>+I272*(1-I276)*J275</f>
        <v>0</v>
      </c>
      <c r="Q283" s="4">
        <f>+I272*(1-I276)*K275</f>
        <v>0</v>
      </c>
      <c r="R283" s="4">
        <f>+I272*(1-I276)*L275</f>
        <v>0</v>
      </c>
      <c r="S283" s="4">
        <f>+I272*(1-I276)*M275</f>
        <v>0</v>
      </c>
      <c r="T283" s="4">
        <f>+I272*(1-I276)*N275</f>
        <v>0</v>
      </c>
      <c r="U283" s="4">
        <f>+I272*(1-I276)*O275</f>
        <v>0</v>
      </c>
      <c r="V283" s="4">
        <f>+I272*(1-I276)*P275</f>
        <v>0</v>
      </c>
      <c r="W283" s="4">
        <f>+I272*(1-I276)*Q275</f>
        <v>0</v>
      </c>
      <c r="X283" s="4">
        <f>+I272*(1-I276)*R275</f>
        <v>0</v>
      </c>
      <c r="Y283" s="4">
        <f>+I272*(1-I276)*S275</f>
        <v>0</v>
      </c>
      <c r="Z283" s="4">
        <f>+I272*(1-I276)*T275</f>
        <v>0</v>
      </c>
      <c r="AA283" s="4">
        <f>+I272*(1-I276)*U275</f>
        <v>0</v>
      </c>
      <c r="AB283" s="4">
        <f>+I272*(1-I276)*V275</f>
        <v>0</v>
      </c>
      <c r="AC283" s="4">
        <f>+I272*(1-I276)*W275</f>
        <v>0</v>
      </c>
      <c r="AD283" s="4">
        <f>+I272*(1-I276)*X275</f>
        <v>0</v>
      </c>
      <c r="AE283" s="4">
        <f>+I272*(1-I276)*Y275</f>
        <v>0</v>
      </c>
      <c r="AF283" s="4">
        <f>+I272*(1-I276)*Z275</f>
        <v>0</v>
      </c>
      <c r="AG283" s="4">
        <f t="shared" si="92"/>
        <v>0</v>
      </c>
      <c r="AH283" s="252">
        <f t="shared" si="95"/>
        <v>0</v>
      </c>
    </row>
    <row r="284" spans="1:34">
      <c r="A284" s="6">
        <f t="shared" si="93"/>
        <v>2029</v>
      </c>
      <c r="B284" s="4">
        <f t="shared" si="94"/>
        <v>0</v>
      </c>
      <c r="J284" s="4">
        <f>J272*J276+J272*(1-J276)*C275</f>
        <v>0</v>
      </c>
      <c r="K284" s="4">
        <f>K272*K276+J272*(1-K276)*D275</f>
        <v>0</v>
      </c>
      <c r="L284" s="4">
        <f>L272*L276+J272*(1-L276)*E275</f>
        <v>0</v>
      </c>
      <c r="M284" s="4">
        <f>M272*M276+J272*(1-M276)*F275</f>
        <v>0</v>
      </c>
      <c r="N284" s="4">
        <f>N272*N276+J272*(1-N276)*G275</f>
        <v>0</v>
      </c>
      <c r="O284" s="4">
        <f>O272*O276+J272*(1-O276)*H275</f>
        <v>0</v>
      </c>
      <c r="P284" s="4">
        <f>P272*P276+J272*(1-P276)*I275</f>
        <v>0</v>
      </c>
      <c r="Q284" s="4">
        <f>Q272*Q276+J272*(1-Q276)*J275</f>
        <v>0</v>
      </c>
      <c r="R284" s="4">
        <f>R272*R276+J272*(1-R276)*K275</f>
        <v>0</v>
      </c>
      <c r="S284" s="4">
        <f>S272*S276+J272*(1-S276)*L275</f>
        <v>0</v>
      </c>
      <c r="T284" s="4">
        <f>T272*T276+J272*(1-T276)*M275</f>
        <v>0</v>
      </c>
      <c r="U284" s="4">
        <f>U272*U276+J272*(1-U276)*N275</f>
        <v>0</v>
      </c>
      <c r="V284" s="4">
        <f>V272*V276+J272*(1-V276)*O275</f>
        <v>0</v>
      </c>
      <c r="W284" s="4">
        <f>W272*W276+J272*(1-W276)*P275</f>
        <v>0</v>
      </c>
      <c r="X284" s="4">
        <f>X272*X276+J272*(1-X276)*Q275</f>
        <v>0</v>
      </c>
      <c r="Y284" s="4">
        <f>Y272*Y276+J272*(1-Y276)*R275</f>
        <v>0</v>
      </c>
      <c r="Z284" s="4">
        <f>Z272*Z276+J272*(1-Z276)*S275</f>
        <v>0</v>
      </c>
      <c r="AA284" s="4">
        <f>AA272*AA276+J272*(1-AA276)*T275</f>
        <v>0</v>
      </c>
      <c r="AB284" s="4">
        <f>AB272*AB276+J272*(1-AB276)*U275</f>
        <v>0</v>
      </c>
      <c r="AC284" s="4">
        <f>AC272*AC276+J272*(1-AC276)*V275</f>
        <v>0</v>
      </c>
      <c r="AD284" s="4">
        <f>AD272*AD276+J272*(1-AD276)*W275</f>
        <v>0</v>
      </c>
      <c r="AE284" s="4">
        <f>AE272*AE276+J272*(1-AE276)*X275</f>
        <v>0</v>
      </c>
      <c r="AF284" s="4">
        <f>AF272*AF276+J272*(1-AF276)*Y275</f>
        <v>0</v>
      </c>
      <c r="AG284" s="4">
        <f t="shared" si="92"/>
        <v>0</v>
      </c>
      <c r="AH284" s="252">
        <f t="shared" si="95"/>
        <v>0</v>
      </c>
    </row>
    <row r="285" spans="1:34">
      <c r="A285" s="6">
        <f t="shared" si="93"/>
        <v>2030</v>
      </c>
      <c r="B285" s="4">
        <f t="shared" si="94"/>
        <v>0</v>
      </c>
      <c r="K285" s="4">
        <f>K272*K276+K272*(1-K276)*C275</f>
        <v>0</v>
      </c>
      <c r="L285" s="4">
        <f>+K272*(1-K276)*D275</f>
        <v>0</v>
      </c>
      <c r="M285" s="4">
        <f>+K272*(1-K276)*E275</f>
        <v>0</v>
      </c>
      <c r="N285" s="4">
        <f>+K272*(1-K276)*F275</f>
        <v>0</v>
      </c>
      <c r="O285" s="4">
        <f>+K272*(1-K276)*G275</f>
        <v>0</v>
      </c>
      <c r="P285" s="4">
        <f>+K272*(1-K276)*H275</f>
        <v>0</v>
      </c>
      <c r="Q285" s="4">
        <f>+K272*(1-K276)*I275</f>
        <v>0</v>
      </c>
      <c r="R285" s="4">
        <f>+K272*(1-K276)*J275</f>
        <v>0</v>
      </c>
      <c r="S285" s="4">
        <f>+K272*(1-K276)*K275</f>
        <v>0</v>
      </c>
      <c r="T285" s="4">
        <f>+K272*(1-K276)*L275</f>
        <v>0</v>
      </c>
      <c r="U285" s="4">
        <f>+K272*(1-K276)*M275</f>
        <v>0</v>
      </c>
      <c r="V285" s="4">
        <f>+K272*(1-K276)*N275</f>
        <v>0</v>
      </c>
      <c r="W285" s="4">
        <f>+K272*(1-K276)*O275</f>
        <v>0</v>
      </c>
      <c r="X285" s="4">
        <f>+K272*(1-K276)*P275</f>
        <v>0</v>
      </c>
      <c r="Y285" s="4">
        <f>+K272*(1-K276)*Q275</f>
        <v>0</v>
      </c>
      <c r="Z285" s="4">
        <f>+K272*(1-K276)*R275</f>
        <v>0</v>
      </c>
      <c r="AA285" s="4">
        <f>+K272*(1-K276)*S275</f>
        <v>0</v>
      </c>
      <c r="AB285" s="4">
        <f>+K272*(1-K276)*T275</f>
        <v>0</v>
      </c>
      <c r="AC285" s="4">
        <f>+K272*(1-K276)*U275</f>
        <v>0</v>
      </c>
      <c r="AD285" s="4">
        <f>+K272*(1-K276)*V275</f>
        <v>0</v>
      </c>
      <c r="AE285" s="4">
        <f>+K272*(1-K276)*W275</f>
        <v>0</v>
      </c>
      <c r="AF285" s="4">
        <f>+K272*(1-K276)*X275</f>
        <v>0</v>
      </c>
      <c r="AG285" s="4">
        <f t="shared" si="92"/>
        <v>0</v>
      </c>
      <c r="AH285" s="252">
        <f t="shared" si="95"/>
        <v>0</v>
      </c>
    </row>
    <row r="286" spans="1:34">
      <c r="A286" s="6">
        <f t="shared" si="93"/>
        <v>2031</v>
      </c>
      <c r="B286" s="4">
        <f t="shared" si="94"/>
        <v>0</v>
      </c>
      <c r="L286" s="4">
        <f>L272*L276+L272*(1-L276)*C275</f>
        <v>0</v>
      </c>
      <c r="M286" s="4">
        <f>+L272*(1-L276)*D275</f>
        <v>0</v>
      </c>
      <c r="N286" s="4">
        <f>+L272*(1-L276)*E275</f>
        <v>0</v>
      </c>
      <c r="O286" s="4">
        <f>+L272*(1-L276)*F275</f>
        <v>0</v>
      </c>
      <c r="P286" s="4">
        <f>+L272*(1-L276)*G275</f>
        <v>0</v>
      </c>
      <c r="Q286" s="4">
        <f>+L272*(1-L276)*H275</f>
        <v>0</v>
      </c>
      <c r="R286" s="4">
        <f>+L272*(1-L276)*I275</f>
        <v>0</v>
      </c>
      <c r="S286" s="4">
        <f>+L272*(1-L276)*J275</f>
        <v>0</v>
      </c>
      <c r="T286" s="4">
        <f>+L272*(1-L276)*K275</f>
        <v>0</v>
      </c>
      <c r="U286" s="4">
        <f>+L272*(1-L276)*L275</f>
        <v>0</v>
      </c>
      <c r="V286" s="4">
        <f>+L272*(1-L276)*M275</f>
        <v>0</v>
      </c>
      <c r="W286" s="4">
        <f>+L272*(1-L276)*N275</f>
        <v>0</v>
      </c>
      <c r="X286" s="4">
        <f>+L272*(1-L276)*O275</f>
        <v>0</v>
      </c>
      <c r="Y286" s="4">
        <f>+L272*(1-L276)*P275</f>
        <v>0</v>
      </c>
      <c r="Z286" s="4">
        <f>+L272*(1-L276)*Q275</f>
        <v>0</v>
      </c>
      <c r="AA286" s="4">
        <f>+L272*(1-L276)*R275</f>
        <v>0</v>
      </c>
      <c r="AB286" s="4">
        <f>+L272*(1-L276)*S275</f>
        <v>0</v>
      </c>
      <c r="AC286" s="4">
        <f>+L272*(1-L276)*T275</f>
        <v>0</v>
      </c>
      <c r="AD286" s="4">
        <f>+L272*(1-L276)*U275</f>
        <v>0</v>
      </c>
      <c r="AE286" s="4">
        <f>+L272*(1-L276)*V275</f>
        <v>0</v>
      </c>
      <c r="AF286" s="4">
        <f>+L272*(1-L276)*W275</f>
        <v>0</v>
      </c>
      <c r="AG286" s="4">
        <f t="shared" si="92"/>
        <v>0</v>
      </c>
      <c r="AH286" s="252">
        <f t="shared" si="95"/>
        <v>0</v>
      </c>
    </row>
    <row r="287" spans="1:34">
      <c r="A287" s="6">
        <f t="shared" si="93"/>
        <v>2032</v>
      </c>
      <c r="B287" s="4">
        <f t="shared" si="94"/>
        <v>0</v>
      </c>
      <c r="M287" s="4">
        <f>M272*M276+M272*(1-M276)*C275</f>
        <v>0</v>
      </c>
      <c r="N287" s="4">
        <f>+M272*(1-M276)*D275</f>
        <v>0</v>
      </c>
      <c r="O287" s="4">
        <f>+M272*(1-M276)*E275</f>
        <v>0</v>
      </c>
      <c r="P287" s="4">
        <f>+M272*(1-M276)*F275</f>
        <v>0</v>
      </c>
      <c r="Q287" s="4">
        <f>+M272*(1-M276)*G275</f>
        <v>0</v>
      </c>
      <c r="R287" s="4">
        <f>+M272*(1-M276)*H275</f>
        <v>0</v>
      </c>
      <c r="S287" s="4">
        <f>+M272*(1-M276)*I275</f>
        <v>0</v>
      </c>
      <c r="T287" s="4">
        <f>+M272*(1-M276)*J275</f>
        <v>0</v>
      </c>
      <c r="U287" s="4">
        <f>+M272*(1-M276)*K275</f>
        <v>0</v>
      </c>
      <c r="V287" s="4">
        <f>+M272*(1-M276)*L275</f>
        <v>0</v>
      </c>
      <c r="W287" s="4">
        <f>+M272*(1-M276)*M275</f>
        <v>0</v>
      </c>
      <c r="X287" s="4">
        <f>+M272*(1-M276)*N275</f>
        <v>0</v>
      </c>
      <c r="Y287" s="4">
        <f>+M272*(1-M276)*O275</f>
        <v>0</v>
      </c>
      <c r="Z287" s="4">
        <f>+M272*(1-M276)*P275</f>
        <v>0</v>
      </c>
      <c r="AA287" s="4">
        <f>+M272*(1-M276)*Q275</f>
        <v>0</v>
      </c>
      <c r="AB287" s="4">
        <f>+M272*(1-M276)*R275</f>
        <v>0</v>
      </c>
      <c r="AC287" s="4">
        <f>+M272*(1-M276)*S275</f>
        <v>0</v>
      </c>
      <c r="AD287" s="4">
        <f>+M272*(1-M276)*T275</f>
        <v>0</v>
      </c>
      <c r="AE287" s="4">
        <f>+M272*(1-M276)*U275</f>
        <v>0</v>
      </c>
      <c r="AF287" s="4">
        <f>+M272*(1-M276)*V275</f>
        <v>0</v>
      </c>
      <c r="AG287" s="4">
        <f t="shared" si="92"/>
        <v>0</v>
      </c>
      <c r="AH287" s="252">
        <f t="shared" si="95"/>
        <v>0</v>
      </c>
    </row>
    <row r="288" spans="1:34">
      <c r="A288" s="6">
        <f t="shared" si="93"/>
        <v>2033</v>
      </c>
      <c r="B288" s="4">
        <f t="shared" si="94"/>
        <v>0</v>
      </c>
      <c r="N288" s="4">
        <f>N272*N276+N272*(1-N276)*C275</f>
        <v>0</v>
      </c>
      <c r="O288" s="4">
        <f>+N272*(1-N276)*D275</f>
        <v>0</v>
      </c>
      <c r="P288" s="4">
        <f>+N272*(1-N276)*E275</f>
        <v>0</v>
      </c>
      <c r="Q288" s="4">
        <f>+N272*(1-N276)*F275</f>
        <v>0</v>
      </c>
      <c r="R288" s="4">
        <f>+N272*(1-N276)*G275</f>
        <v>0</v>
      </c>
      <c r="S288" s="4">
        <f>+N272*(1-N276)*H275</f>
        <v>0</v>
      </c>
      <c r="T288" s="4">
        <f>+N272*(1-N276)*I275</f>
        <v>0</v>
      </c>
      <c r="U288" s="4">
        <f>+N272*(1-N276)*J275</f>
        <v>0</v>
      </c>
      <c r="V288" s="4">
        <f>+N272*(1-N276)*K275</f>
        <v>0</v>
      </c>
      <c r="W288" s="4">
        <f>+N272*(1-N276)*L275</f>
        <v>0</v>
      </c>
      <c r="X288" s="4">
        <f>+N272*(1-N276)*M275</f>
        <v>0</v>
      </c>
      <c r="Y288" s="4">
        <f>+N272*(1-N276)*N275</f>
        <v>0</v>
      </c>
      <c r="Z288" s="4">
        <f>+N272*(1-N276)*O275</f>
        <v>0</v>
      </c>
      <c r="AA288" s="4">
        <f>+N272*(1-N276)*P275</f>
        <v>0</v>
      </c>
      <c r="AB288" s="4">
        <f>+N272*(1-N276)*Q275</f>
        <v>0</v>
      </c>
      <c r="AC288" s="4">
        <f>+N272*(1-N276)*R275</f>
        <v>0</v>
      </c>
      <c r="AD288" s="4">
        <f>+N272*(1-N276)*S275</f>
        <v>0</v>
      </c>
      <c r="AE288" s="4">
        <f>+N272*(1-N276)*T275</f>
        <v>0</v>
      </c>
      <c r="AF288" s="4">
        <f>+N272*(1-N276)*U275</f>
        <v>0</v>
      </c>
      <c r="AG288" s="4">
        <f t="shared" si="92"/>
        <v>0</v>
      </c>
      <c r="AH288" s="252">
        <f t="shared" si="95"/>
        <v>0</v>
      </c>
    </row>
    <row r="289" spans="1:34">
      <c r="A289" s="6">
        <f t="shared" si="93"/>
        <v>2034</v>
      </c>
      <c r="B289" s="4">
        <f t="shared" si="94"/>
        <v>0</v>
      </c>
      <c r="O289" s="4">
        <f>O272*O276+O272*(1-O276)*C275</f>
        <v>0</v>
      </c>
      <c r="P289" s="4">
        <f>+O272*(1-O276)*D275</f>
        <v>0</v>
      </c>
      <c r="Q289" s="4">
        <f>+O272*(1-O276)*E275</f>
        <v>0</v>
      </c>
      <c r="R289" s="4">
        <f>+O272*(1-O276)*F275</f>
        <v>0</v>
      </c>
      <c r="S289" s="4">
        <f>+O272*(1-O276)*G275</f>
        <v>0</v>
      </c>
      <c r="T289" s="4">
        <f>+O272*(1-O276)*H275</f>
        <v>0</v>
      </c>
      <c r="U289" s="4">
        <f>+O272*(1-O276)*I275</f>
        <v>0</v>
      </c>
      <c r="V289" s="4">
        <f>+O272*(1-O276)*J275</f>
        <v>0</v>
      </c>
      <c r="W289" s="4">
        <f>+O272*(1-O276)*K275</f>
        <v>0</v>
      </c>
      <c r="X289" s="4">
        <f>+O272*(1-O276)*L275</f>
        <v>0</v>
      </c>
      <c r="Y289" s="4">
        <f>+O272*(1-O276)*M275</f>
        <v>0</v>
      </c>
      <c r="Z289" s="4">
        <f>+O272*(1-O276)*N275</f>
        <v>0</v>
      </c>
      <c r="AA289" s="4">
        <f>+O272*(1-O276)*O275</f>
        <v>0</v>
      </c>
      <c r="AB289" s="4">
        <f>+O272*(1-O276)*P275</f>
        <v>0</v>
      </c>
      <c r="AC289" s="4">
        <f>+O272*(1-O276)*Q275</f>
        <v>0</v>
      </c>
      <c r="AD289" s="4">
        <f>+O272*(1-O276)*R275</f>
        <v>0</v>
      </c>
      <c r="AE289" s="4">
        <f>+O272*(1-O276)*S275</f>
        <v>0</v>
      </c>
      <c r="AF289" s="4">
        <f>+O272*(1-O276)*T275</f>
        <v>0</v>
      </c>
      <c r="AG289" s="4">
        <f t="shared" si="92"/>
        <v>0</v>
      </c>
      <c r="AH289" s="252">
        <f t="shared" si="95"/>
        <v>0</v>
      </c>
    </row>
    <row r="290" spans="1:34">
      <c r="A290" s="6">
        <f t="shared" si="93"/>
        <v>2035</v>
      </c>
      <c r="B290" s="4">
        <f t="shared" si="94"/>
        <v>0</v>
      </c>
      <c r="P290" s="4">
        <f>P272*P276+P272*(1-P276)*C275</f>
        <v>0</v>
      </c>
      <c r="Q290" s="4">
        <f>+P272*(1-P276)*D275</f>
        <v>0</v>
      </c>
      <c r="R290" s="4">
        <f>+P272*(1-P276)*E275</f>
        <v>0</v>
      </c>
      <c r="S290" s="4">
        <f>+P272*(1-P276)*F275</f>
        <v>0</v>
      </c>
      <c r="T290" s="4">
        <f>+P272*(1-P276)*G275</f>
        <v>0</v>
      </c>
      <c r="U290" s="4">
        <f>+P272*(1-P276)*H275</f>
        <v>0</v>
      </c>
      <c r="V290" s="4">
        <f>+P272*(1-P276)*I275</f>
        <v>0</v>
      </c>
      <c r="W290" s="4">
        <f>+P272*(1-P276)*J275</f>
        <v>0</v>
      </c>
      <c r="X290" s="4">
        <f>+P272*(1-P276)*K275</f>
        <v>0</v>
      </c>
      <c r="Y290" s="4">
        <f>+P272*(1-P276)*L275</f>
        <v>0</v>
      </c>
      <c r="Z290" s="4">
        <f>+P272*(1-P276)*M275</f>
        <v>0</v>
      </c>
      <c r="AA290" s="4">
        <f>+P272*(1-P276)*N275</f>
        <v>0</v>
      </c>
      <c r="AB290" s="4">
        <f>+P272*(1-P276)*O275</f>
        <v>0</v>
      </c>
      <c r="AC290" s="4">
        <f>+P272*(1-P276)*P275</f>
        <v>0</v>
      </c>
      <c r="AD290" s="4">
        <f>+P272*(1-P276)*Q275</f>
        <v>0</v>
      </c>
      <c r="AE290" s="4">
        <f>+P272*(1-P276)*R275</f>
        <v>0</v>
      </c>
      <c r="AF290" s="4">
        <f>+P272*(1-P276)*S275</f>
        <v>0</v>
      </c>
      <c r="AG290" s="4">
        <f t="shared" si="92"/>
        <v>0</v>
      </c>
      <c r="AH290" s="252">
        <f t="shared" si="95"/>
        <v>0</v>
      </c>
    </row>
    <row r="291" spans="1:34">
      <c r="A291" s="6">
        <f t="shared" si="93"/>
        <v>2036</v>
      </c>
      <c r="B291" s="4">
        <f t="shared" si="94"/>
        <v>0</v>
      </c>
      <c r="Q291" s="4">
        <f>Q272*Q276+Q272*(1-Q276)*C275</f>
        <v>0</v>
      </c>
      <c r="R291" s="4">
        <f>Q272*(1-Q276)*D275</f>
        <v>0</v>
      </c>
      <c r="S291" s="4">
        <f>Q272*(1-Q276)*E275</f>
        <v>0</v>
      </c>
      <c r="T291" s="4">
        <f>Q272*(1-Q276)*F275</f>
        <v>0</v>
      </c>
      <c r="U291" s="4">
        <f>Q272*(1-Q276)*G275</f>
        <v>0</v>
      </c>
      <c r="V291" s="4">
        <f>Q272*(1-Q276)*H275</f>
        <v>0</v>
      </c>
      <c r="W291" s="4">
        <f>Q272*(1-Q276)*I275</f>
        <v>0</v>
      </c>
      <c r="X291" s="4">
        <f>Q272*(1-Q276)*J275</f>
        <v>0</v>
      </c>
      <c r="Y291" s="4">
        <f>Q272*(1-Q276)*K275</f>
        <v>0</v>
      </c>
      <c r="Z291" s="4">
        <f>Q272*(1-Q276)*L275</f>
        <v>0</v>
      </c>
      <c r="AA291" s="4">
        <f>Q272*(1-Q276)*M275</f>
        <v>0</v>
      </c>
      <c r="AB291" s="4">
        <f>Q272*(1-Q276)*N275</f>
        <v>0</v>
      </c>
      <c r="AC291" s="4">
        <f>Q272*(1-Q276)*O275</f>
        <v>0</v>
      </c>
      <c r="AD291" s="4">
        <f>Q272*(1-Q276)*P275</f>
        <v>0</v>
      </c>
      <c r="AE291" s="4">
        <f>Q272*(1-Q276)*Q275</f>
        <v>0</v>
      </c>
      <c r="AF291" s="4">
        <f>Q272*(1-Q276)*R275</f>
        <v>0</v>
      </c>
      <c r="AG291" s="4">
        <f t="shared" si="92"/>
        <v>0</v>
      </c>
      <c r="AH291" s="252">
        <f t="shared" si="95"/>
        <v>0</v>
      </c>
    </row>
    <row r="292" spans="1:34">
      <c r="A292" s="6">
        <f t="shared" si="93"/>
        <v>2037</v>
      </c>
      <c r="B292" s="4">
        <f t="shared" si="94"/>
        <v>0</v>
      </c>
      <c r="R292" s="4">
        <f>R272*R276+R272*(1-R276)*C275</f>
        <v>0</v>
      </c>
      <c r="S292" s="4">
        <f>R272*(1-R276)*D275</f>
        <v>0</v>
      </c>
      <c r="T292" s="4">
        <f>R272*(1-R276)*E275</f>
        <v>0</v>
      </c>
      <c r="U292" s="4">
        <f>R272*(1-R276)*F275</f>
        <v>0</v>
      </c>
      <c r="V292" s="4">
        <f>R272*(1-R276)*G275</f>
        <v>0</v>
      </c>
      <c r="W292" s="4">
        <f>R272*(1-R276)*H275</f>
        <v>0</v>
      </c>
      <c r="X292" s="4">
        <f>R272*(1-R276)*I275</f>
        <v>0</v>
      </c>
      <c r="Y292" s="4">
        <f>R272*(1-R276)*J275</f>
        <v>0</v>
      </c>
      <c r="Z292" s="4">
        <f>R272*(1-R276)*K275</f>
        <v>0</v>
      </c>
      <c r="AA292" s="4">
        <f>R272*(1-R276)*L275</f>
        <v>0</v>
      </c>
      <c r="AB292" s="4">
        <f>R272*(1-R276)*M275</f>
        <v>0</v>
      </c>
      <c r="AC292" s="4">
        <f>R272*(1-R276)*N275</f>
        <v>0</v>
      </c>
      <c r="AD292" s="4">
        <f>R272*(1-R276)*O275</f>
        <v>0</v>
      </c>
      <c r="AE292" s="4">
        <f>R272*(1-R276)*P275</f>
        <v>0</v>
      </c>
      <c r="AF292" s="4">
        <f>R272*(1-R276)*Q275</f>
        <v>0</v>
      </c>
      <c r="AG292" s="4">
        <f t="shared" si="92"/>
        <v>0</v>
      </c>
      <c r="AH292" s="252">
        <f t="shared" si="95"/>
        <v>0</v>
      </c>
    </row>
    <row r="293" spans="1:34">
      <c r="A293" s="6">
        <f t="shared" si="93"/>
        <v>2038</v>
      </c>
      <c r="B293" s="4">
        <f t="shared" si="94"/>
        <v>0</v>
      </c>
      <c r="S293" s="4">
        <f>S272*S276+S272*(1-S276)*C275</f>
        <v>0</v>
      </c>
      <c r="T293" s="4">
        <f>+S272*(1-S276)*D275</f>
        <v>0</v>
      </c>
      <c r="U293" s="4">
        <f>+S272*(1-S276)*E275</f>
        <v>0</v>
      </c>
      <c r="V293" s="4">
        <f>+S272*(1-S276)*F275</f>
        <v>0</v>
      </c>
      <c r="W293" s="4">
        <f>+S272*(1-S276)*G275</f>
        <v>0</v>
      </c>
      <c r="X293" s="4">
        <f>+S272*(1-S276)*H275</f>
        <v>0</v>
      </c>
      <c r="Y293" s="4">
        <f>+S272*(1-S276)*I275</f>
        <v>0</v>
      </c>
      <c r="Z293" s="4">
        <f>+S272*(1-S276)*J275</f>
        <v>0</v>
      </c>
      <c r="AA293" s="4">
        <f>+S272*(1-S276)*K275</f>
        <v>0</v>
      </c>
      <c r="AB293" s="4">
        <f>+S272*(1-S276)*L275</f>
        <v>0</v>
      </c>
      <c r="AC293" s="4">
        <f>+S272*(1-S276)*M275</f>
        <v>0</v>
      </c>
      <c r="AD293" s="4">
        <f>+S272*(1-S276)*N275</f>
        <v>0</v>
      </c>
      <c r="AE293" s="4">
        <f>+S272*(1-S276)*O275</f>
        <v>0</v>
      </c>
      <c r="AF293" s="4">
        <f>+S272*(1-S276)*P275</f>
        <v>0</v>
      </c>
      <c r="AG293" s="4">
        <f t="shared" si="92"/>
        <v>0</v>
      </c>
      <c r="AH293" s="252">
        <f t="shared" si="95"/>
        <v>0</v>
      </c>
    </row>
    <row r="294" spans="1:34">
      <c r="A294" s="6">
        <f t="shared" si="93"/>
        <v>2039</v>
      </c>
      <c r="B294" s="4">
        <f t="shared" si="94"/>
        <v>0</v>
      </c>
      <c r="T294" s="4">
        <f>T272*T276+T272*(1-T276)*C275</f>
        <v>0</v>
      </c>
      <c r="U294" s="4">
        <f>+T272*(1-T276)*D275</f>
        <v>0</v>
      </c>
      <c r="V294" s="4">
        <f>+T272*(1-T276)*E275</f>
        <v>0</v>
      </c>
      <c r="W294" s="4">
        <f>+T272*(1-T276)*F275</f>
        <v>0</v>
      </c>
      <c r="X294" s="4">
        <f>+T272*(1-T276)*G275</f>
        <v>0</v>
      </c>
      <c r="Y294" s="4">
        <f>+T272*(1-T276)*H275</f>
        <v>0</v>
      </c>
      <c r="Z294" s="4">
        <f>+T272*(1-T276)*I275</f>
        <v>0</v>
      </c>
      <c r="AA294" s="4">
        <f>+T272*(1-T276)*J275</f>
        <v>0</v>
      </c>
      <c r="AB294" s="4">
        <f>+T272*(1-T276)*K275</f>
        <v>0</v>
      </c>
      <c r="AC294" s="4">
        <f>+T272*(1-T276)*L275</f>
        <v>0</v>
      </c>
      <c r="AD294" s="4">
        <f>+T272*(1-T276)*M275</f>
        <v>0</v>
      </c>
      <c r="AE294" s="4">
        <f>+T272*(1-T276)*N275</f>
        <v>0</v>
      </c>
      <c r="AF294" s="4">
        <f>+T272*(1-T276)*O275</f>
        <v>0</v>
      </c>
      <c r="AG294" s="4">
        <f t="shared" si="92"/>
        <v>0</v>
      </c>
      <c r="AH294" s="252">
        <f t="shared" si="95"/>
        <v>0</v>
      </c>
    </row>
    <row r="295" spans="1:34">
      <c r="A295" s="6">
        <f t="shared" si="93"/>
        <v>2040</v>
      </c>
      <c r="B295" s="4">
        <f t="shared" si="94"/>
        <v>0</v>
      </c>
      <c r="U295" s="4">
        <f>U272*U276+U272*(1-U276)*C275</f>
        <v>0</v>
      </c>
      <c r="V295" s="4">
        <f>+U272*(1-U276)*D275</f>
        <v>0</v>
      </c>
      <c r="W295" s="4">
        <f>+U272*(1-U276)*E275</f>
        <v>0</v>
      </c>
      <c r="X295" s="4">
        <f>+U272*(1-U276)*F275</f>
        <v>0</v>
      </c>
      <c r="Y295" s="4">
        <f>+U272*(1-U276)*G275</f>
        <v>0</v>
      </c>
      <c r="Z295" s="4">
        <f>+U272*(1-U276)*H275</f>
        <v>0</v>
      </c>
      <c r="AA295" s="4">
        <f>+U272*(1-U276)*I275</f>
        <v>0</v>
      </c>
      <c r="AB295" s="4">
        <f>+U272*(1-U276)*J275</f>
        <v>0</v>
      </c>
      <c r="AC295" s="4">
        <f>+U272*(1-U276)*K275</f>
        <v>0</v>
      </c>
      <c r="AD295" s="4">
        <f>+U272*(1-U276)*L275</f>
        <v>0</v>
      </c>
      <c r="AE295" s="4">
        <f>+U272*(1-U276)*M275</f>
        <v>0</v>
      </c>
      <c r="AF295" s="4">
        <f>+U272*(1-U276)*N275</f>
        <v>0</v>
      </c>
      <c r="AG295" s="4">
        <f t="shared" si="92"/>
        <v>0</v>
      </c>
      <c r="AH295" s="252">
        <f t="shared" si="95"/>
        <v>0</v>
      </c>
    </row>
    <row r="296" spans="1:34">
      <c r="A296" s="6">
        <f t="shared" si="93"/>
        <v>2041</v>
      </c>
      <c r="B296" s="4">
        <f t="shared" si="94"/>
        <v>0</v>
      </c>
      <c r="V296" s="4">
        <f>V272*V276+V272*(1-V276)*C275</f>
        <v>0</v>
      </c>
      <c r="W296" s="4">
        <f>+V272*(1-V276)*D275</f>
        <v>0</v>
      </c>
      <c r="X296" s="4">
        <f>+V272*(1-V276)*E275</f>
        <v>0</v>
      </c>
      <c r="Y296" s="4">
        <f>+V272*(1-V276)*F275</f>
        <v>0</v>
      </c>
      <c r="Z296" s="4">
        <f>+V272*(1-V276)*G275</f>
        <v>0</v>
      </c>
      <c r="AA296" s="4">
        <f>+V272*(1-V276)*H275</f>
        <v>0</v>
      </c>
      <c r="AB296" s="4">
        <f>+V272*(1-V276)*I275</f>
        <v>0</v>
      </c>
      <c r="AC296" s="4">
        <f>+V272*(1-V276)*J275</f>
        <v>0</v>
      </c>
      <c r="AD296" s="4">
        <f>+V272*(1-V276)*K275</f>
        <v>0</v>
      </c>
      <c r="AE296" s="4">
        <f>+V272*(1-V276)*L275</f>
        <v>0</v>
      </c>
      <c r="AF296" s="4">
        <f>+V272*(1-V276)*M275</f>
        <v>0</v>
      </c>
      <c r="AG296" s="4">
        <f t="shared" si="92"/>
        <v>0</v>
      </c>
      <c r="AH296" s="252">
        <f t="shared" si="95"/>
        <v>0</v>
      </c>
    </row>
    <row r="297" spans="1:34">
      <c r="A297" s="6">
        <f t="shared" si="93"/>
        <v>2042</v>
      </c>
      <c r="B297" s="4">
        <f t="shared" si="94"/>
        <v>0</v>
      </c>
      <c r="W297" s="4">
        <f>W272*W276+W272*(1-W276)*C275</f>
        <v>0</v>
      </c>
      <c r="X297" s="4">
        <f>+W272*(1-W276)*D275</f>
        <v>0</v>
      </c>
      <c r="Y297" s="4">
        <f>+W272*(1-W276)*E275</f>
        <v>0</v>
      </c>
      <c r="Z297" s="4">
        <f>+W272*(1-W276)*F275</f>
        <v>0</v>
      </c>
      <c r="AA297" s="4">
        <f>+W272*(1-W276)*G275</f>
        <v>0</v>
      </c>
      <c r="AB297" s="4">
        <f>+W272*(1-W276)*H275</f>
        <v>0</v>
      </c>
      <c r="AC297" s="4">
        <f>+W272*(1-W276)*I275</f>
        <v>0</v>
      </c>
      <c r="AD297" s="4">
        <f>+W272*(1-W276)*J275</f>
        <v>0</v>
      </c>
      <c r="AE297" s="4">
        <f>+W272*(1-W276)*K275</f>
        <v>0</v>
      </c>
      <c r="AF297" s="4">
        <f>+W272*(1-W276)*L275</f>
        <v>0</v>
      </c>
      <c r="AG297" s="4">
        <f t="shared" si="92"/>
        <v>0</v>
      </c>
      <c r="AH297" s="252">
        <f t="shared" si="95"/>
        <v>0</v>
      </c>
    </row>
    <row r="298" spans="1:34">
      <c r="A298" s="6">
        <f t="shared" si="93"/>
        <v>2043</v>
      </c>
      <c r="B298" s="4">
        <f t="shared" si="94"/>
        <v>0</v>
      </c>
      <c r="X298" s="4">
        <f>X272*X276+X272*(1-X276)*C275</f>
        <v>0</v>
      </c>
      <c r="Y298" s="4">
        <f>+X272*(1-X276)*D275</f>
        <v>0</v>
      </c>
      <c r="Z298" s="4">
        <f>+X272*(1-X276)*E275</f>
        <v>0</v>
      </c>
      <c r="AA298" s="4">
        <f>+X272*(1-X276)*F275</f>
        <v>0</v>
      </c>
      <c r="AB298" s="4">
        <f>+X272*(1-X276)*G275</f>
        <v>0</v>
      </c>
      <c r="AC298" s="4">
        <f>+X272*(1-X276)*H275</f>
        <v>0</v>
      </c>
      <c r="AD298" s="4">
        <f>+X272*(1-X276)*I275</f>
        <v>0</v>
      </c>
      <c r="AE298" s="4">
        <f>+X272*(1-X276)*J275</f>
        <v>0</v>
      </c>
      <c r="AF298" s="4">
        <f>+X272*(1-X276)*K275</f>
        <v>0</v>
      </c>
      <c r="AG298" s="4">
        <f t="shared" si="92"/>
        <v>0</v>
      </c>
      <c r="AH298" s="252">
        <f t="shared" si="95"/>
        <v>0</v>
      </c>
    </row>
    <row r="299" spans="1:34">
      <c r="A299" s="6">
        <f t="shared" si="93"/>
        <v>2044</v>
      </c>
      <c r="B299" s="4">
        <f t="shared" si="94"/>
        <v>0</v>
      </c>
      <c r="Y299" s="4">
        <f>Y272*Y276+Y272*(1-Y276)*C275</f>
        <v>0</v>
      </c>
      <c r="Z299" s="4">
        <f>+Y272*(1-Y276)*D275</f>
        <v>0</v>
      </c>
      <c r="AA299" s="4">
        <f>+Y272*(1-Y276)*E275</f>
        <v>0</v>
      </c>
      <c r="AB299" s="4">
        <f>+Y272*(1-Y276)*F275</f>
        <v>0</v>
      </c>
      <c r="AC299" s="4">
        <f>+Y272*(1-Y276)*G275</f>
        <v>0</v>
      </c>
      <c r="AD299" s="4">
        <f>+Y272*(1-Y276)*H275</f>
        <v>0</v>
      </c>
      <c r="AE299" s="4">
        <f>+Y272*(1-Y276)*I275</f>
        <v>0</v>
      </c>
      <c r="AF299" s="4">
        <f>+Y272*(1-Y276)*J275</f>
        <v>0</v>
      </c>
      <c r="AG299" s="4">
        <f t="shared" si="92"/>
        <v>0</v>
      </c>
      <c r="AH299" s="252">
        <f t="shared" si="95"/>
        <v>0</v>
      </c>
    </row>
    <row r="300" spans="1:34">
      <c r="A300" s="6">
        <f t="shared" si="93"/>
        <v>2045</v>
      </c>
      <c r="B300" s="4">
        <f t="shared" si="94"/>
        <v>0</v>
      </c>
      <c r="Z300" s="4">
        <f>Z272*Z276+Z272*(1-Z276)*C275</f>
        <v>0</v>
      </c>
      <c r="AA300" s="4">
        <f>+Z272*(1-Z276)*D275</f>
        <v>0</v>
      </c>
      <c r="AB300" s="4">
        <f>+Z272*(1-Z276)*E275</f>
        <v>0</v>
      </c>
      <c r="AC300" s="4">
        <f>+Z272*(1-Z276)*F275</f>
        <v>0</v>
      </c>
      <c r="AD300" s="4">
        <f>+Z272*(1-Z276)*G275</f>
        <v>0</v>
      </c>
      <c r="AE300" s="4">
        <f>+Z272*(1-Z276)*H275</f>
        <v>0</v>
      </c>
      <c r="AF300" s="4">
        <f>+Z272*(1-Z276)*I275</f>
        <v>0</v>
      </c>
      <c r="AG300" s="4">
        <f t="shared" si="92"/>
        <v>0</v>
      </c>
      <c r="AH300" s="252">
        <f t="shared" si="95"/>
        <v>0</v>
      </c>
    </row>
    <row r="301" spans="1:34">
      <c r="A301" s="6">
        <f t="shared" si="93"/>
        <v>2046</v>
      </c>
      <c r="B301" s="4">
        <f t="shared" si="94"/>
        <v>0</v>
      </c>
      <c r="AA301" s="4">
        <f>AA272*AA276+AA272*(1-AA276)*C275</f>
        <v>0</v>
      </c>
      <c r="AB301" s="4">
        <f>+AA272*(1-AA276)*D275</f>
        <v>0</v>
      </c>
      <c r="AC301" s="4">
        <f>+AA272*(1-AA276)*E275</f>
        <v>0</v>
      </c>
      <c r="AD301" s="4">
        <f>+AA272*(1-AA276)*F275</f>
        <v>0</v>
      </c>
      <c r="AE301" s="4">
        <f>+AA272*(1-AA276)*G275</f>
        <v>0</v>
      </c>
      <c r="AF301" s="4">
        <f>+AA272*(1-AA276)*H275</f>
        <v>0</v>
      </c>
      <c r="AG301" s="4">
        <f t="shared" si="92"/>
        <v>0</v>
      </c>
      <c r="AH301" s="252">
        <f t="shared" si="95"/>
        <v>0</v>
      </c>
    </row>
    <row r="302" spans="1:34">
      <c r="A302" s="6">
        <f t="shared" si="93"/>
        <v>2047</v>
      </c>
      <c r="B302" s="4">
        <f t="shared" si="94"/>
        <v>0</v>
      </c>
      <c r="AB302" s="4">
        <f>AB272*AB276+AB272*(1-AB276)*C275</f>
        <v>0</v>
      </c>
      <c r="AC302" s="4">
        <f>+AB272*(1-AB276)*D275</f>
        <v>0</v>
      </c>
      <c r="AD302" s="4">
        <f>+AB272*(1-AB276)*E275</f>
        <v>0</v>
      </c>
      <c r="AE302" s="4">
        <f>+AB272*(1-AB276)*F275</f>
        <v>0</v>
      </c>
      <c r="AF302" s="4">
        <f>+AB272*(1-AB276)*G275</f>
        <v>0</v>
      </c>
      <c r="AG302" s="4">
        <f t="shared" ref="AG302:AG306" si="96">SUM(C302:AF302)</f>
        <v>0</v>
      </c>
      <c r="AH302" s="252">
        <f t="shared" si="95"/>
        <v>0</v>
      </c>
    </row>
    <row r="303" spans="1:34">
      <c r="A303" s="6">
        <f t="shared" si="93"/>
        <v>2048</v>
      </c>
      <c r="B303" s="4">
        <f t="shared" si="94"/>
        <v>0</v>
      </c>
      <c r="AC303" s="4">
        <f>AC272*AC276+AC272*(1-AC276)*C275</f>
        <v>0</v>
      </c>
      <c r="AD303" s="4">
        <f>+AC272*(1-AC276)*D275</f>
        <v>0</v>
      </c>
      <c r="AE303" s="4">
        <f>+AC272*(1-AC276)*E275</f>
        <v>0</v>
      </c>
      <c r="AF303" s="4">
        <f>+AC272*(1-AC276)*F275</f>
        <v>0</v>
      </c>
      <c r="AG303" s="4">
        <f t="shared" si="96"/>
        <v>0</v>
      </c>
      <c r="AH303" s="252">
        <f t="shared" si="95"/>
        <v>0</v>
      </c>
    </row>
    <row r="304" spans="1:34">
      <c r="A304" s="6">
        <f t="shared" si="93"/>
        <v>2049</v>
      </c>
      <c r="B304" s="4">
        <f t="shared" si="94"/>
        <v>0</v>
      </c>
      <c r="AD304" s="4">
        <f>AD272*AD276+AD272*(1-AD276)*C275</f>
        <v>0</v>
      </c>
      <c r="AE304" s="4">
        <f>+AD272*(1-AD276)*D275</f>
        <v>0</v>
      </c>
      <c r="AF304" s="4">
        <f>+AD272*(1-AD276)*E275</f>
        <v>0</v>
      </c>
      <c r="AG304" s="4">
        <f t="shared" si="96"/>
        <v>0</v>
      </c>
      <c r="AH304" s="252">
        <f t="shared" si="95"/>
        <v>0</v>
      </c>
    </row>
    <row r="305" spans="1:34">
      <c r="A305" s="6">
        <f t="shared" si="93"/>
        <v>2050</v>
      </c>
      <c r="B305" s="4">
        <f t="shared" si="94"/>
        <v>0</v>
      </c>
      <c r="AE305" s="4">
        <f>AE272*AE276+AE272*(1-AE276)*C275</f>
        <v>0</v>
      </c>
      <c r="AF305" s="4">
        <f>+AE272*(1-AE276)*D275</f>
        <v>0</v>
      </c>
      <c r="AG305" s="4">
        <f t="shared" si="96"/>
        <v>0</v>
      </c>
      <c r="AH305" s="252">
        <f t="shared" si="95"/>
        <v>0</v>
      </c>
    </row>
    <row r="306" spans="1:34">
      <c r="A306" s="6">
        <f t="shared" si="93"/>
        <v>2051</v>
      </c>
      <c r="B306" s="4">
        <f t="shared" si="94"/>
        <v>0</v>
      </c>
      <c r="AF306" s="4">
        <f>AF272*AF276+AF272*(1-AF276)*C275</f>
        <v>0</v>
      </c>
      <c r="AG306" s="4">
        <f t="shared" si="96"/>
        <v>0</v>
      </c>
      <c r="AH306" s="252">
        <f t="shared" si="95"/>
        <v>0</v>
      </c>
    </row>
    <row r="307" spans="1:34">
      <c r="A307" s="6" t="str">
        <f>"Total Depreciation - "&amp;A271</f>
        <v>Total Depreciation - Interior Costs - Construction</v>
      </c>
      <c r="B307" s="49">
        <f>SUM(B277:B306)</f>
        <v>76500959.258979723</v>
      </c>
      <c r="C307" s="49">
        <f>SUM(C277:C306)</f>
        <v>0</v>
      </c>
      <c r="D307" s="49">
        <f t="shared" ref="D307:AH307" si="97">SUM(D277:D306)</f>
        <v>0</v>
      </c>
      <c r="E307" s="49">
        <f t="shared" si="97"/>
        <v>0</v>
      </c>
      <c r="F307" s="49">
        <f t="shared" si="97"/>
        <v>1961563.057922557</v>
      </c>
      <c r="G307" s="49">
        <f t="shared" si="97"/>
        <v>1961563.057922557</v>
      </c>
      <c r="H307" s="49">
        <f t="shared" si="97"/>
        <v>1961563.057922557</v>
      </c>
      <c r="I307" s="49">
        <f t="shared" si="97"/>
        <v>1961563.057922557</v>
      </c>
      <c r="J307" s="49">
        <f t="shared" si="97"/>
        <v>1961563.057922557</v>
      </c>
      <c r="K307" s="49">
        <f t="shared" si="97"/>
        <v>1961563.057922557</v>
      </c>
      <c r="L307" s="49">
        <f t="shared" si="97"/>
        <v>1961563.057922557</v>
      </c>
      <c r="M307" s="49">
        <f t="shared" si="97"/>
        <v>1961563.057922557</v>
      </c>
      <c r="N307" s="49">
        <f t="shared" si="97"/>
        <v>1961563.057922557</v>
      </c>
      <c r="O307" s="49">
        <f t="shared" si="97"/>
        <v>1961563.057922557</v>
      </c>
      <c r="P307" s="49">
        <f t="shared" si="97"/>
        <v>1961563.057922557</v>
      </c>
      <c r="Q307" s="49">
        <f t="shared" si="97"/>
        <v>1961563.057922557</v>
      </c>
      <c r="R307" s="49">
        <f t="shared" si="97"/>
        <v>1961563.057922557</v>
      </c>
      <c r="S307" s="49">
        <f t="shared" si="97"/>
        <v>1961563.057922557</v>
      </c>
      <c r="T307" s="49">
        <f t="shared" si="97"/>
        <v>1961563.057922557</v>
      </c>
      <c r="U307" s="49">
        <f t="shared" si="97"/>
        <v>1961563.057922557</v>
      </c>
      <c r="V307" s="49">
        <f t="shared" si="97"/>
        <v>1961563.057922557</v>
      </c>
      <c r="W307" s="49">
        <f t="shared" si="97"/>
        <v>1961563.057922557</v>
      </c>
      <c r="X307" s="49">
        <f t="shared" si="97"/>
        <v>1961563.057922557</v>
      </c>
      <c r="Y307" s="49">
        <f t="shared" si="97"/>
        <v>1961563.057922557</v>
      </c>
      <c r="Z307" s="49">
        <f t="shared" si="97"/>
        <v>1961563.057922557</v>
      </c>
      <c r="AA307" s="49">
        <f t="shared" si="97"/>
        <v>1961563.057922557</v>
      </c>
      <c r="AB307" s="49">
        <f t="shared" si="97"/>
        <v>1961563.057922557</v>
      </c>
      <c r="AC307" s="49">
        <f t="shared" si="97"/>
        <v>1961563.057922557</v>
      </c>
      <c r="AD307" s="49">
        <f t="shared" si="97"/>
        <v>1961563.057922557</v>
      </c>
      <c r="AE307" s="49">
        <f t="shared" si="97"/>
        <v>1961563.057922557</v>
      </c>
      <c r="AF307" s="49">
        <f t="shared" si="97"/>
        <v>1961563.057922557</v>
      </c>
      <c r="AG307" s="49">
        <f t="shared" si="97"/>
        <v>52962202.563909039</v>
      </c>
      <c r="AH307" s="49">
        <f t="shared" si="97"/>
        <v>23538756.695070684</v>
      </c>
    </row>
    <row r="309" spans="1:34">
      <c r="A309" s="302" t="str">
        <f>+Book!A293</f>
        <v>Maintenance Capital</v>
      </c>
    </row>
    <row r="310" spans="1:34">
      <c r="A310" s="6" t="s">
        <v>406</v>
      </c>
      <c r="C310" s="40">
        <f>IF(Capex!$F$14="y",Book!C294*(1-C$446),Book!C294)</f>
        <v>0</v>
      </c>
      <c r="D310" s="40">
        <f>IF(Capex!$F$14="y",Book!D294*(1-D$446),Book!D294)</f>
        <v>0</v>
      </c>
      <c r="E310" s="40">
        <f>IF(Capex!$F$14="y",Book!E294*(1-E$446),Book!E294)</f>
        <v>0</v>
      </c>
      <c r="F310" s="40">
        <f>IF(Capex!$F$14="y",Book!F294*(1-F$446),Book!F294)</f>
        <v>0</v>
      </c>
      <c r="G310" s="40">
        <f>IF(Capex!$F$14="y",Book!G294*(1-G$446),Book!G294)</f>
        <v>0</v>
      </c>
      <c r="H310" s="40">
        <f>IF(Capex!$F$14="y",Book!H294*(1-H$446),Book!H294)</f>
        <v>0</v>
      </c>
      <c r="I310" s="40">
        <f>IF(Capex!$F$14="y",Book!I294*(1-I$446),Book!I294)</f>
        <v>0</v>
      </c>
      <c r="J310" s="40">
        <f>IF(Capex!$F$14="y",Book!J294*(1-J$446),Book!J294)</f>
        <v>0</v>
      </c>
      <c r="K310" s="40">
        <f>IF(Capex!$F$14="y",Book!K294*(1-K$446),Book!K294)</f>
        <v>0</v>
      </c>
      <c r="L310" s="40">
        <f>IF(Capex!$F$14="y",Book!L294*(1-L$446),Book!L294)</f>
        <v>26500</v>
      </c>
      <c r="M310" s="40">
        <f>IF(Capex!$F$14="y",Book!M294*(1-M$446),Book!M294)</f>
        <v>27295</v>
      </c>
      <c r="N310" s="40">
        <f>IF(Capex!$F$14="y",Book!N294*(1-N$446),Book!N294)</f>
        <v>28364.72309090909</v>
      </c>
      <c r="O310" s="40">
        <f>IF(Capex!$F$14="y",Book!O294*(1-O$446),Book!O294)</f>
        <v>29215.671818181818</v>
      </c>
      <c r="P310" s="40">
        <f>IF(Capex!$F$14="y",Book!P294*(1-P$446),Book!P294)</f>
        <v>30092.137636363637</v>
      </c>
      <c r="Q310" s="40">
        <f>IF(Capex!$F$14="y",Book!Q294*(1-Q$446),Book!Q294)</f>
        <v>30994.90109090909</v>
      </c>
      <c r="R310" s="40">
        <f>IF(Capex!$F$14="y",Book!R294*(1-R$446),Book!R294)</f>
        <v>66841.190909090918</v>
      </c>
      <c r="S310" s="40">
        <f>IF(Capex!$F$14="y",Book!S294*(1-S$446),Book!S294)</f>
        <v>68846.431454545454</v>
      </c>
      <c r="T310" s="40">
        <f>IF(Capex!$F$14="y",Book!T294*(1-T$446),Book!T294)</f>
        <v>70911.822181818177</v>
      </c>
      <c r="U310" s="40">
        <f>IF(Capex!$F$14="y",Book!U294*(1-U$446),Book!U294)</f>
        <v>73039.174727272723</v>
      </c>
      <c r="V310" s="40">
        <f>IF(Capex!$F$14="y",Book!V294*(1-V$446),Book!V294)</f>
        <v>75230.348909090899</v>
      </c>
      <c r="W310" s="40">
        <f>IF(Capex!$F$14="y",Book!W294*(1-W$446),Book!W294)</f>
        <v>77487.262363636371</v>
      </c>
      <c r="X310" s="40">
        <f>IF(Capex!$F$14="y",Book!X294*(1-X$446),Book!X294)</f>
        <v>79811.880909090905</v>
      </c>
      <c r="Y310" s="40">
        <f>IF(Capex!$F$14="y",Book!Y294*(1-Y$446),Book!Y294)</f>
        <v>82206.23781818182</v>
      </c>
      <c r="Z310" s="40">
        <f>IF(Capex!$F$14="y",Book!Z294*(1-Z$446),Book!Z294)</f>
        <v>84672.424181818176</v>
      </c>
      <c r="AA310" s="40">
        <f>IF(Capex!$F$14="y",Book!AA294*(1-AA$446),Book!AA294)</f>
        <v>87212.588909090904</v>
      </c>
      <c r="AB310" s="40">
        <f>IF(Capex!$F$14="y",Book!AB294*(1-AB$446),Book!AB294)</f>
        <v>89828.967636363639</v>
      </c>
      <c r="AC310" s="40">
        <f>IF(Capex!$F$14="y",Book!AC294*(1-AC$446),Book!AC294)</f>
        <v>92523.844181818175</v>
      </c>
      <c r="AD310" s="40">
        <f>IF(Capex!$F$14="y",Book!AD294*(1-AD$446),Book!AD294)</f>
        <v>95299.560181818175</v>
      </c>
      <c r="AE310" s="40">
        <f>IF(Capex!$F$14="y",Book!AE294*(1-AE$446),Book!AE294)</f>
        <v>98158.543999999994</v>
      </c>
      <c r="AF310" s="40">
        <f>IF(Capex!$F$14="y",Book!AF294*(1-AF$446),Book!AF294)</f>
        <v>101103.3010909091</v>
      </c>
    </row>
    <row r="311" spans="1:34">
      <c r="A311" s="6" t="s">
        <v>215</v>
      </c>
      <c r="C311" s="49">
        <f>+C310</f>
        <v>0</v>
      </c>
      <c r="D311" s="49">
        <f t="shared" ref="D311:AF311" si="98">+D310+C311</f>
        <v>0</v>
      </c>
      <c r="E311" s="49">
        <f t="shared" si="98"/>
        <v>0</v>
      </c>
      <c r="F311" s="49">
        <f t="shared" si="98"/>
        <v>0</v>
      </c>
      <c r="G311" s="49">
        <f t="shared" si="98"/>
        <v>0</v>
      </c>
      <c r="H311" s="49">
        <f t="shared" si="98"/>
        <v>0</v>
      </c>
      <c r="I311" s="49">
        <f t="shared" si="98"/>
        <v>0</v>
      </c>
      <c r="J311" s="49">
        <f t="shared" si="98"/>
        <v>0</v>
      </c>
      <c r="K311" s="49">
        <f t="shared" si="98"/>
        <v>0</v>
      </c>
      <c r="L311" s="49">
        <f t="shared" si="98"/>
        <v>26500</v>
      </c>
      <c r="M311" s="49">
        <f t="shared" si="98"/>
        <v>53795</v>
      </c>
      <c r="N311" s="49">
        <f t="shared" si="98"/>
        <v>82159.723090909087</v>
      </c>
      <c r="O311" s="49">
        <f t="shared" si="98"/>
        <v>111375.3949090909</v>
      </c>
      <c r="P311" s="49">
        <f t="shared" si="98"/>
        <v>141467.53254545454</v>
      </c>
      <c r="Q311" s="49">
        <f t="shared" si="98"/>
        <v>172462.43363636362</v>
      </c>
      <c r="R311" s="49">
        <f t="shared" si="98"/>
        <v>239303.62454545454</v>
      </c>
      <c r="S311" s="49">
        <f t="shared" si="98"/>
        <v>308150.05599999998</v>
      </c>
      <c r="T311" s="49">
        <f t="shared" si="98"/>
        <v>379061.87818181817</v>
      </c>
      <c r="U311" s="49">
        <f t="shared" si="98"/>
        <v>452101.05290909088</v>
      </c>
      <c r="V311" s="49">
        <f t="shared" si="98"/>
        <v>527331.40181818174</v>
      </c>
      <c r="W311" s="49">
        <f t="shared" si="98"/>
        <v>604818.66418181814</v>
      </c>
      <c r="X311" s="49">
        <f t="shared" si="98"/>
        <v>684630.545090909</v>
      </c>
      <c r="Y311" s="49">
        <f t="shared" si="98"/>
        <v>766836.78290909086</v>
      </c>
      <c r="Z311" s="49">
        <f t="shared" si="98"/>
        <v>851509.20709090901</v>
      </c>
      <c r="AA311" s="49">
        <f t="shared" si="98"/>
        <v>938721.79599999986</v>
      </c>
      <c r="AB311" s="49">
        <f t="shared" si="98"/>
        <v>1028550.7636363634</v>
      </c>
      <c r="AC311" s="49">
        <f t="shared" si="98"/>
        <v>1121074.6078181816</v>
      </c>
      <c r="AD311" s="49">
        <f t="shared" si="98"/>
        <v>1216374.1679999998</v>
      </c>
      <c r="AE311" s="49">
        <f t="shared" si="98"/>
        <v>1314532.7119999998</v>
      </c>
      <c r="AF311" s="49">
        <f t="shared" si="98"/>
        <v>1415636.013090909</v>
      </c>
    </row>
    <row r="312" spans="1:34">
      <c r="A312" s="6" t="s">
        <v>407</v>
      </c>
    </row>
    <row r="313" spans="1:34">
      <c r="A313" s="6" t="s">
        <v>408</v>
      </c>
      <c r="B313" s="88">
        <f>+Capex!$E$14</f>
        <v>39</v>
      </c>
      <c r="C313" s="5">
        <f>SUMIF($B$459:$I$459,$B313,$B$460:$I$460)</f>
        <v>2.564102564102564E-2</v>
      </c>
      <c r="D313" s="5">
        <f>SUMIF($B$459:$I$459,$B313,$B$461:$I$461)</f>
        <v>2.564102564102564E-2</v>
      </c>
      <c r="E313" s="5">
        <f>SUMIF($B$459:$I$459,$B313,$B$462:$I$462)</f>
        <v>2.564102564102564E-2</v>
      </c>
      <c r="F313" s="5">
        <f>SUMIF($B$459:$I$459,$B313,$B$463:$I$463)</f>
        <v>2.564102564102564E-2</v>
      </c>
      <c r="G313" s="5">
        <f>SUMIF($B$459:$I$459,$B313,$B$464:$I$464)</f>
        <v>2.564102564102564E-2</v>
      </c>
      <c r="H313" s="5">
        <f>SUMIF($B$459:$I$459,$B313,$B$465:$I$465)</f>
        <v>2.564102564102564E-2</v>
      </c>
      <c r="I313" s="5">
        <f>SUMIF($B$459:$I$459,$B313,$B$466:$I$466)</f>
        <v>2.564102564102564E-2</v>
      </c>
      <c r="J313" s="5">
        <f>SUMIF($B$459:$I$459,$B313,$B$467:$I$467)</f>
        <v>2.564102564102564E-2</v>
      </c>
      <c r="K313" s="5">
        <f>SUMIF($B$459:$I$459,$B313,$B$468:$I$468)</f>
        <v>2.564102564102564E-2</v>
      </c>
      <c r="L313" s="5">
        <f>SUMIF($B$459:$I$459,$B313,$B$469:$I$469)</f>
        <v>2.564102564102564E-2</v>
      </c>
      <c r="M313" s="5">
        <f>SUMIF($B$459:$I$459,$B313,$B$470:$I$470)</f>
        <v>2.564102564102564E-2</v>
      </c>
      <c r="N313" s="5">
        <f>SUMIF($B$459:$I$459,$B313,$B$471:$I$471)</f>
        <v>2.564102564102564E-2</v>
      </c>
      <c r="O313" s="5">
        <f>SUMIF($B$459:$I$459,$B313,$B$472:$I$472)</f>
        <v>2.564102564102564E-2</v>
      </c>
      <c r="P313" s="5">
        <f>SUMIF($B$459:$I$459,$B313,$B$473:$I$473)</f>
        <v>2.564102564102564E-2</v>
      </c>
      <c r="Q313" s="5">
        <f>SUMIF($B$459:$I$459,$B313,$B$474:$I$474)</f>
        <v>2.564102564102564E-2</v>
      </c>
      <c r="R313" s="5">
        <f>SUMIF($B$459:$I$459,$B313,$B$475:$I$475)</f>
        <v>2.564102564102564E-2</v>
      </c>
      <c r="S313" s="5">
        <f>SUMIF($B$459:$I$459,$B313,$B$476:$I$476)</f>
        <v>2.564102564102564E-2</v>
      </c>
      <c r="T313" s="5">
        <f>SUMIF($B$459:$I$459,$B313,$B$477:$I$477)</f>
        <v>2.564102564102564E-2</v>
      </c>
      <c r="U313" s="5">
        <f>SUMIF($B$459:$I$459,$B313,$B$478:$I$478)</f>
        <v>2.564102564102564E-2</v>
      </c>
      <c r="V313" s="5">
        <f>SUMIF($B$459:$I$459,$B313,$B$479:$I$479)</f>
        <v>2.564102564102564E-2</v>
      </c>
      <c r="W313" s="5">
        <f>SUMIF($B$459:$I$459,$B313,$B$480:$I$480)</f>
        <v>2.564102564102564E-2</v>
      </c>
      <c r="X313" s="5">
        <f>SUMIF($B$459:$I$459,$B313,$B$481:$I$481)</f>
        <v>2.564102564102564E-2</v>
      </c>
      <c r="Y313" s="5">
        <f>SUMIF($B$459:$I$459,$B313,$B$482:$I$482)</f>
        <v>2.564102564102564E-2</v>
      </c>
      <c r="Z313" s="5">
        <f>SUMIF($B$459:$I$459,$B313,$B$483:$I$483)</f>
        <v>2.564102564102564E-2</v>
      </c>
      <c r="AA313" s="5">
        <f t="shared" ref="AA313:AF313" si="99">SUMIF($B$459:$I$459,$B313,$B$484:$I$484)</f>
        <v>2.564102564102564E-2</v>
      </c>
      <c r="AB313" s="5">
        <f t="shared" si="99"/>
        <v>2.564102564102564E-2</v>
      </c>
      <c r="AC313" s="5">
        <f t="shared" si="99"/>
        <v>2.564102564102564E-2</v>
      </c>
      <c r="AD313" s="5">
        <f t="shared" si="99"/>
        <v>2.564102564102564E-2</v>
      </c>
      <c r="AE313" s="5">
        <f t="shared" si="99"/>
        <v>2.564102564102564E-2</v>
      </c>
      <c r="AF313" s="5">
        <f t="shared" si="99"/>
        <v>2.564102564102564E-2</v>
      </c>
    </row>
    <row r="314" spans="1:34">
      <c r="A314" s="6" t="s">
        <v>409</v>
      </c>
      <c r="B314" s="89"/>
      <c r="C314" s="94">
        <f>IF(C$2&gt;'Input Data'!$M$37,B314,IF($B313=0,0,SUMIF('Input Data'!$C$37:$M$37,C$2,'Input Data'!$C$38:$M$38)))</f>
        <v>0</v>
      </c>
      <c r="D314" s="94">
        <f>IF(D$2&gt;'Input Data'!$M$37,C314,IF($B313=0,0,SUMIF('Input Data'!$C$37:$M$37,D$2,'Input Data'!$C$38:$M$38)))</f>
        <v>0</v>
      </c>
      <c r="E314" s="94">
        <f>IF(E$2&gt;'Input Data'!$M$37,D314,IF($B313=0,0,SUMIF('Input Data'!$C$37:$M$37,E$2,'Input Data'!$C$38:$M$38)))</f>
        <v>0</v>
      </c>
      <c r="F314" s="94">
        <f>IF(F$2&gt;'Input Data'!$M$37,E314,IF($B313=0,0,SUMIF('Input Data'!$C$37:$M$37,F$2,'Input Data'!$C$38:$M$38)))</f>
        <v>0</v>
      </c>
      <c r="G314" s="94">
        <f>IF(G$2&gt;'Input Data'!$M$37,F314,IF($B313=0,0,SUMIF('Input Data'!$C$37:$M$37,G$2,'Input Data'!$C$38:$M$38)))</f>
        <v>0</v>
      </c>
      <c r="H314" s="94">
        <f>IF(H$2&gt;'Input Data'!$M$37,G314,IF($B313=0,0,SUMIF('Input Data'!$C$37:$M$37,H$2,'Input Data'!$C$38:$M$38)))</f>
        <v>0</v>
      </c>
      <c r="I314" s="94">
        <f>IF(I$2&gt;'Input Data'!$M$37,H314,IF($B313=0,0,SUMIF('Input Data'!$C$37:$M$37,I$2,'Input Data'!$C$38:$M$38)))</f>
        <v>0</v>
      </c>
      <c r="J314" s="94">
        <f>IF(J$2&gt;'Input Data'!$M$37,I314,IF($B313=0,0,SUMIF('Input Data'!$C$37:$M$37,J$2,'Input Data'!$C$38:$M$38)))</f>
        <v>0</v>
      </c>
      <c r="K314" s="94">
        <f>IF(K$2&gt;'Input Data'!$M$37,J314,IF($B313=0,0,SUMIF('Input Data'!$C$37:$M$37,K$2,'Input Data'!$C$38:$M$38)))</f>
        <v>0</v>
      </c>
      <c r="L314" s="94">
        <f>IF(L$2&gt;'Input Data'!$M$37,K314,IF($B313=0,0,SUMIF('Input Data'!$C$37:$M$37,L$2,'Input Data'!$C$38:$M$38)))</f>
        <v>0</v>
      </c>
      <c r="M314" s="94">
        <f>IF(M$2&gt;'Input Data'!$M$37,L314,IF($B313=0,0,SUMIF('Input Data'!$C$37:$M$37,M$2,'Input Data'!$C$38:$M$38)))</f>
        <v>0</v>
      </c>
      <c r="N314" s="94">
        <f>IF(N$2&gt;'Input Data'!$M$37,M314,IF($B313=0,0,SUMIF('Input Data'!$C$37:$M$37,N$2,'Input Data'!$C$38:$M$38)))</f>
        <v>0</v>
      </c>
      <c r="O314" s="94">
        <f>IF(O$2&gt;'Input Data'!$M$37,N314,IF($B313=0,0,SUMIF('Input Data'!$C$37:$M$37,O$2,'Input Data'!$C$38:$M$38)))</f>
        <v>0</v>
      </c>
      <c r="P314" s="94">
        <f>IF(P$2&gt;'Input Data'!$M$37,O314,IF($B313=0,0,SUMIF('Input Data'!$C$37:$M$37,P$2,'Input Data'!$C$38:$M$38)))</f>
        <v>0</v>
      </c>
      <c r="Q314" s="94">
        <f>IF(Q$2&gt;'Input Data'!$M$37,P314,IF($B313=0,0,SUMIF('Input Data'!$C$37:$M$37,Q$2,'Input Data'!$C$38:$M$38)))</f>
        <v>0</v>
      </c>
      <c r="R314" s="94">
        <f>IF(R$2&gt;'Input Data'!$M$37,Q314,IF($B313=0,0,SUMIF('Input Data'!$C$37:$M$37,R$2,'Input Data'!$C$38:$M$38)))</f>
        <v>0</v>
      </c>
      <c r="S314" s="94">
        <f>IF(S$2&gt;'Input Data'!$M$37,R314,IF($B313=0,0,SUMIF('Input Data'!$C$37:$M$37,S$2,'Input Data'!$C$38:$M$38)))</f>
        <v>0</v>
      </c>
      <c r="T314" s="94">
        <f>IF(T$2&gt;'Input Data'!$M$37,S314,IF($B313=0,0,SUMIF('Input Data'!$C$37:$M$37,T$2,'Input Data'!$C$38:$M$38)))</f>
        <v>0</v>
      </c>
      <c r="U314" s="94">
        <f>IF(U$2&gt;'Input Data'!$M$37,T314,IF($B313=0,0,SUMIF('Input Data'!$C$37:$M$37,U$2,'Input Data'!$C$38:$M$38)))</f>
        <v>0</v>
      </c>
      <c r="V314" s="94">
        <f>IF(V$2&gt;'Input Data'!$M$37,U314,IF($B313=0,0,SUMIF('Input Data'!$C$37:$M$37,V$2,'Input Data'!$C$38:$M$38)))</f>
        <v>0</v>
      </c>
      <c r="W314" s="94">
        <f>IF(W$2&gt;'Input Data'!$M$37,V314,IF($B313=0,0,SUMIF('Input Data'!$C$37:$M$37,W$2,'Input Data'!$C$38:$M$38)))</f>
        <v>0</v>
      </c>
      <c r="X314" s="94">
        <f>IF(X$2&gt;'Input Data'!$M$37,W314,IF($B313=0,0,SUMIF('Input Data'!$C$37:$M$37,X$2,'Input Data'!$C$38:$M$38)))</f>
        <v>0</v>
      </c>
      <c r="Y314" s="94">
        <f>IF(Y$2&gt;'Input Data'!$M$37,X314,IF($B313=0,0,SUMIF('Input Data'!$C$37:$M$37,Y$2,'Input Data'!$C$38:$M$38)))</f>
        <v>0</v>
      </c>
      <c r="Z314" s="94">
        <f>IF(Z$2&gt;'Input Data'!$M$37,Y314,IF($B313=0,0,SUMIF('Input Data'!$C$37:$M$37,Z$2,'Input Data'!$C$38:$M$38)))</f>
        <v>0</v>
      </c>
      <c r="AA314" s="94">
        <f>IF(AA$2&gt;'Input Data'!$M$37,Z314,IF($B313=0,0,SUMIF('Input Data'!$C$37:$M$37,AA$2,'Input Data'!$C$38:$M$38)))</f>
        <v>0</v>
      </c>
      <c r="AB314" s="94">
        <f>IF(AB$2&gt;'Input Data'!$M$37,AA314,IF($B313=0,0,SUMIF('Input Data'!$C$37:$M$37,AB$2,'Input Data'!$C$38:$M$38)))</f>
        <v>0</v>
      </c>
      <c r="AC314" s="94">
        <f>IF(AC$2&gt;'Input Data'!$M$37,AB314,IF($B313=0,0,SUMIF('Input Data'!$C$37:$M$37,AC$2,'Input Data'!$C$38:$M$38)))</f>
        <v>0</v>
      </c>
      <c r="AD314" s="94">
        <f>IF(AD$2&gt;'Input Data'!$M$37,AC314,IF($B313=0,0,SUMIF('Input Data'!$C$37:$M$37,AD$2,'Input Data'!$C$38:$M$38)))</f>
        <v>0</v>
      </c>
      <c r="AE314" s="94">
        <f>IF(AE$2&gt;'Input Data'!$M$37,AD314,IF($B313=0,0,SUMIF('Input Data'!$C$37:$M$37,AE$2,'Input Data'!$C$38:$M$38)))</f>
        <v>0</v>
      </c>
      <c r="AF314" s="94">
        <f>IF(AF$2&gt;'Input Data'!$M$37,AE314,IF($B313=0,0,SUMIF('Input Data'!$C$37:$M$37,AF$2,'Input Data'!$C$38:$M$38)))</f>
        <v>0</v>
      </c>
    </row>
    <row r="315" spans="1:34">
      <c r="A315" s="6">
        <f>+A201</f>
        <v>2022</v>
      </c>
      <c r="B315" s="4">
        <f>SUMIF($C$2:$AF$2,A315,$C$310:$AF$310)</f>
        <v>0</v>
      </c>
      <c r="C315" s="4">
        <f>C310*C314+C310*(1-C314)*C313</f>
        <v>0</v>
      </c>
      <c r="D315" s="4">
        <f>C310*(1-C314)*D313</f>
        <v>0</v>
      </c>
      <c r="E315" s="4">
        <f>C310*(1-C314)*E313</f>
        <v>0</v>
      </c>
      <c r="F315" s="4">
        <f>C310*(1-C314)*F313</f>
        <v>0</v>
      </c>
      <c r="G315" s="4">
        <f>C310*(1-C314)*G313</f>
        <v>0</v>
      </c>
      <c r="H315" s="4">
        <f>C310*(1-C314)*H313</f>
        <v>0</v>
      </c>
      <c r="I315" s="4">
        <f>C310*(1-C314)*I313</f>
        <v>0</v>
      </c>
      <c r="J315" s="4">
        <f>C310*(1-C314)*J313</f>
        <v>0</v>
      </c>
      <c r="K315" s="4">
        <f>C310*(1-C314)*K313</f>
        <v>0</v>
      </c>
      <c r="L315" s="4">
        <f>C310*(1-C314)*L313</f>
        <v>0</v>
      </c>
      <c r="M315" s="4">
        <f>C310*(1-C314)*M313</f>
        <v>0</v>
      </c>
      <c r="N315" s="4">
        <f>C310*(1-C314)*N313</f>
        <v>0</v>
      </c>
      <c r="O315" s="4">
        <f>C310*(1-C314)*O313</f>
        <v>0</v>
      </c>
      <c r="P315" s="4">
        <f>C310*(1-C314)*P313</f>
        <v>0</v>
      </c>
      <c r="Q315" s="4">
        <f>C310*(1-C314)*Q313</f>
        <v>0</v>
      </c>
      <c r="R315" s="4">
        <f>C310*(1-C314)*R313</f>
        <v>0</v>
      </c>
      <c r="S315" s="4">
        <f>C310*(1-C314)*S313</f>
        <v>0</v>
      </c>
      <c r="T315" s="4">
        <f>C310*(1-C314)*T313</f>
        <v>0</v>
      </c>
      <c r="U315" s="4">
        <f>C310*(1-C314)*U313</f>
        <v>0</v>
      </c>
      <c r="V315" s="4">
        <f>C310*(1-C314)*V313</f>
        <v>0</v>
      </c>
      <c r="W315" s="4">
        <f>C310*(1-C314)*W313</f>
        <v>0</v>
      </c>
      <c r="X315" s="4">
        <f>C310*(1-C314)*X313</f>
        <v>0</v>
      </c>
      <c r="Y315" s="4">
        <f>C310*(1-C314)*Y313</f>
        <v>0</v>
      </c>
      <c r="Z315" s="4">
        <f>C310*(1-C314)*Z313</f>
        <v>0</v>
      </c>
      <c r="AA315" s="4">
        <f>C310*(1-C314)*AA313</f>
        <v>0</v>
      </c>
      <c r="AB315" s="4">
        <f>C310*(1-C314)*AB313</f>
        <v>0</v>
      </c>
      <c r="AC315" s="4">
        <f>C310*(1-C314)*AC313</f>
        <v>0</v>
      </c>
      <c r="AD315" s="4">
        <f>C310*(1-C314)*AD313</f>
        <v>0</v>
      </c>
      <c r="AE315" s="4">
        <f>C310*(1-C314)*AE313</f>
        <v>0</v>
      </c>
      <c r="AF315" s="4">
        <f>C310*(1-C314)*AF313</f>
        <v>0</v>
      </c>
      <c r="AG315" s="4">
        <f t="shared" ref="AG315:AG339" si="100">SUM(C315:AF315)</f>
        <v>0</v>
      </c>
      <c r="AH315" s="252">
        <f>+B315-AG315</f>
        <v>0</v>
      </c>
    </row>
    <row r="316" spans="1:34">
      <c r="A316" s="6">
        <f>+A315+1</f>
        <v>2023</v>
      </c>
      <c r="B316" s="4">
        <f t="shared" ref="B316:B344" si="101">SUMIF($C$2:$AF$2,A316,$C$310:$AF$310)</f>
        <v>0</v>
      </c>
      <c r="D316" s="4">
        <f>D310*D314+D310*(1-D314)*C313</f>
        <v>0</v>
      </c>
      <c r="E316" s="4">
        <f>+D310*(1-D314)*D313</f>
        <v>0</v>
      </c>
      <c r="F316" s="4">
        <f>+D310*(1-D314)*E313</f>
        <v>0</v>
      </c>
      <c r="G316" s="4">
        <f>+D310*(1-D314)*F313</f>
        <v>0</v>
      </c>
      <c r="H316" s="4">
        <f>+D310*(1-D314)*G313</f>
        <v>0</v>
      </c>
      <c r="I316" s="4">
        <f>+D310*(1-D314)*H313</f>
        <v>0</v>
      </c>
      <c r="J316" s="4">
        <f>+D310*(1-D314)*I313</f>
        <v>0</v>
      </c>
      <c r="K316" s="4">
        <f>+D310*(1-D314)*J313</f>
        <v>0</v>
      </c>
      <c r="L316" s="4">
        <f>+D310*(1-D314)*K313</f>
        <v>0</v>
      </c>
      <c r="M316" s="4">
        <f>+D310*(1-D314)*L313</f>
        <v>0</v>
      </c>
      <c r="N316" s="4">
        <f>+D310*(1-D314)*M313</f>
        <v>0</v>
      </c>
      <c r="O316" s="4">
        <f>+D310*(1-D314)*N313</f>
        <v>0</v>
      </c>
      <c r="P316" s="4">
        <f>+D310*(1-D314)*O313</f>
        <v>0</v>
      </c>
      <c r="Q316" s="4">
        <f>+D310*(1-D314)*P313</f>
        <v>0</v>
      </c>
      <c r="R316" s="4">
        <f>+D310*(1-D314)*Q313</f>
        <v>0</v>
      </c>
      <c r="S316" s="4">
        <f>+D310*(1-D314)*R313</f>
        <v>0</v>
      </c>
      <c r="T316" s="4">
        <f>+D310*(1-D314)*S313</f>
        <v>0</v>
      </c>
      <c r="U316" s="4">
        <f>+D310*(1-D314)*T313</f>
        <v>0</v>
      </c>
      <c r="V316" s="4">
        <f>+D310*(1-D314)*U313</f>
        <v>0</v>
      </c>
      <c r="W316" s="4">
        <f>+D310*(1-D314)*V313</f>
        <v>0</v>
      </c>
      <c r="X316" s="4">
        <f>+D310*(1-D314)*W313</f>
        <v>0</v>
      </c>
      <c r="Y316" s="4">
        <f>+D310*(1-D314)*X313</f>
        <v>0</v>
      </c>
      <c r="Z316" s="4">
        <f>+D310*(1-D314)*Y313</f>
        <v>0</v>
      </c>
      <c r="AA316" s="4">
        <f>+D310*(1-D314)*Z313</f>
        <v>0</v>
      </c>
      <c r="AB316" s="4">
        <f>+D310*(1-D314)*AA313</f>
        <v>0</v>
      </c>
      <c r="AC316" s="4">
        <f>+D310*(1-D314)*AB313</f>
        <v>0</v>
      </c>
      <c r="AD316" s="4">
        <f>+D310*(1-D314)*AC313</f>
        <v>0</v>
      </c>
      <c r="AE316" s="4">
        <f>+D310*(1-D314)*AD313</f>
        <v>0</v>
      </c>
      <c r="AF316" s="4">
        <f>+D310*(1-D314)*AE313</f>
        <v>0</v>
      </c>
      <c r="AG316" s="4">
        <f t="shared" si="100"/>
        <v>0</v>
      </c>
      <c r="AH316" s="252">
        <f t="shared" ref="AH316:AH344" si="102">+B316-AG316</f>
        <v>0</v>
      </c>
    </row>
    <row r="317" spans="1:34">
      <c r="A317" s="6">
        <f t="shared" ref="A317:A344" si="103">+A316+1</f>
        <v>2024</v>
      </c>
      <c r="B317" s="4">
        <f t="shared" si="101"/>
        <v>0</v>
      </c>
      <c r="E317" s="4">
        <f>E310*E314+E310*(1-E314)*C313</f>
        <v>0</v>
      </c>
      <c r="F317" s="4">
        <f>+E310*(1-E314)*D313</f>
        <v>0</v>
      </c>
      <c r="G317" s="4">
        <f>+E310*(1-E314)*E313</f>
        <v>0</v>
      </c>
      <c r="H317" s="4">
        <f>+E310*(1-E314)*F313</f>
        <v>0</v>
      </c>
      <c r="I317" s="4">
        <f>+E310*(1-E314)*G313</f>
        <v>0</v>
      </c>
      <c r="J317" s="4">
        <f>+E310*(1-E314)*H313</f>
        <v>0</v>
      </c>
      <c r="K317" s="4">
        <f>+E310*(1-E314)*I313</f>
        <v>0</v>
      </c>
      <c r="L317" s="4">
        <f>+E310*(1-E314)*J313</f>
        <v>0</v>
      </c>
      <c r="M317" s="4">
        <f>+E310*(1-E314)*K313</f>
        <v>0</v>
      </c>
      <c r="N317" s="4">
        <f>+E310*(1-E314)*L313</f>
        <v>0</v>
      </c>
      <c r="O317" s="4">
        <f>+E310*(1-E314)*M313</f>
        <v>0</v>
      </c>
      <c r="P317" s="4">
        <f>+E310*(1-E314)*N313</f>
        <v>0</v>
      </c>
      <c r="Q317" s="4">
        <f>+E310*(1-E314)*O313</f>
        <v>0</v>
      </c>
      <c r="R317" s="4">
        <f>+E310*(1-E314)*P313</f>
        <v>0</v>
      </c>
      <c r="S317" s="4">
        <f>+E310*(1-E314)*Q313</f>
        <v>0</v>
      </c>
      <c r="T317" s="4">
        <f>+E310*(1-E314)*R313</f>
        <v>0</v>
      </c>
      <c r="U317" s="4">
        <f>+E310*(1-E314)*S313</f>
        <v>0</v>
      </c>
      <c r="V317" s="4">
        <f>+E310*(1-E314)*T313</f>
        <v>0</v>
      </c>
      <c r="W317" s="4">
        <f>+E310*(1-E314)*U313</f>
        <v>0</v>
      </c>
      <c r="X317" s="4">
        <f>+E310*(1-E314)*V313</f>
        <v>0</v>
      </c>
      <c r="Y317" s="4">
        <f>+E310*(1-E314)*W313</f>
        <v>0</v>
      </c>
      <c r="Z317" s="4">
        <f>+E310*(1-E314)*X313</f>
        <v>0</v>
      </c>
      <c r="AA317" s="4">
        <f>+E310*(1-E314)*Y313</f>
        <v>0</v>
      </c>
      <c r="AB317" s="4">
        <f>+E310*(1-E314)*Z313</f>
        <v>0</v>
      </c>
      <c r="AC317" s="4">
        <f>+E310*(1-E314)*AA313</f>
        <v>0</v>
      </c>
      <c r="AD317" s="4">
        <f>+E310*(1-E314)*AB313</f>
        <v>0</v>
      </c>
      <c r="AE317" s="4">
        <f>+E310*(1-E314)*AC313</f>
        <v>0</v>
      </c>
      <c r="AF317" s="4">
        <f>+E310*(1-E314)*AD313</f>
        <v>0</v>
      </c>
      <c r="AG317" s="4">
        <f t="shared" si="100"/>
        <v>0</v>
      </c>
      <c r="AH317" s="252">
        <f t="shared" si="102"/>
        <v>0</v>
      </c>
    </row>
    <row r="318" spans="1:34">
      <c r="A318" s="6">
        <f t="shared" si="103"/>
        <v>2025</v>
      </c>
      <c r="B318" s="4">
        <f t="shared" si="101"/>
        <v>0</v>
      </c>
      <c r="F318" s="4">
        <f>F310*F314+F310*(1-F314)*C313</f>
        <v>0</v>
      </c>
      <c r="G318" s="4">
        <f>+F310*(1-F314)*D313</f>
        <v>0</v>
      </c>
      <c r="H318" s="4">
        <f>+F310*(1-F314)*E313</f>
        <v>0</v>
      </c>
      <c r="I318" s="4">
        <f>+F310*(1-F314)*F313</f>
        <v>0</v>
      </c>
      <c r="J318" s="4">
        <f>+F310*(1-F314)*G313</f>
        <v>0</v>
      </c>
      <c r="K318" s="4">
        <f>+F310*(1-F314)*H313</f>
        <v>0</v>
      </c>
      <c r="L318" s="4">
        <f>+F310*(1-F314)*I313</f>
        <v>0</v>
      </c>
      <c r="M318" s="4">
        <f>+F310*(1-F314)*J313</f>
        <v>0</v>
      </c>
      <c r="N318" s="4">
        <f>+F310*(1-F314)*K313</f>
        <v>0</v>
      </c>
      <c r="O318" s="4">
        <f>+F310*(1-F314)*L313</f>
        <v>0</v>
      </c>
      <c r="P318" s="4">
        <f>+F310*(1-F314)*M313</f>
        <v>0</v>
      </c>
      <c r="Q318" s="4">
        <f>+F310*(1-F314)*N313</f>
        <v>0</v>
      </c>
      <c r="R318" s="4">
        <f>+F310*(1-F314)*O313</f>
        <v>0</v>
      </c>
      <c r="S318" s="4">
        <f>+F310*(1-F314)*P313</f>
        <v>0</v>
      </c>
      <c r="T318" s="4">
        <f>+F310*(1-F314)*Q313</f>
        <v>0</v>
      </c>
      <c r="U318" s="4">
        <f>+F310*(1-F314)*R313</f>
        <v>0</v>
      </c>
      <c r="V318" s="4">
        <f>+F310*(1-F314)*S313</f>
        <v>0</v>
      </c>
      <c r="W318" s="4">
        <f>+F310*(1-F314)*T313</f>
        <v>0</v>
      </c>
      <c r="X318" s="4">
        <f>+F310*(1-F314)*U313</f>
        <v>0</v>
      </c>
      <c r="Y318" s="4">
        <f>+F310*(1-F314)*V313</f>
        <v>0</v>
      </c>
      <c r="Z318" s="4">
        <f>+F310*(1-F314)*W313</f>
        <v>0</v>
      </c>
      <c r="AA318" s="4">
        <f>+F310*(1-F314)*X313</f>
        <v>0</v>
      </c>
      <c r="AB318" s="4">
        <f>+F310*(1-F314)*Y313</f>
        <v>0</v>
      </c>
      <c r="AC318" s="4">
        <f>+F310*(1-F314)*Z313</f>
        <v>0</v>
      </c>
      <c r="AD318" s="4">
        <f>+F310*(1-F314)*AA313</f>
        <v>0</v>
      </c>
      <c r="AE318" s="4">
        <f>+F310*(1-F314)*AB313</f>
        <v>0</v>
      </c>
      <c r="AF318" s="4">
        <f>+F310*(1-F314)*AC313</f>
        <v>0</v>
      </c>
      <c r="AG318" s="4">
        <f t="shared" si="100"/>
        <v>0</v>
      </c>
      <c r="AH318" s="252">
        <f t="shared" si="102"/>
        <v>0</v>
      </c>
    </row>
    <row r="319" spans="1:34">
      <c r="A319" s="6">
        <f t="shared" si="103"/>
        <v>2026</v>
      </c>
      <c r="B319" s="4">
        <f t="shared" si="101"/>
        <v>0</v>
      </c>
      <c r="G319" s="4">
        <f>G310*G314+G310*(1-G314)*C313</f>
        <v>0</v>
      </c>
      <c r="H319" s="4">
        <f>+G310*(1-G314)*D313</f>
        <v>0</v>
      </c>
      <c r="I319" s="4">
        <f>+G310*(1-G314)*E313</f>
        <v>0</v>
      </c>
      <c r="J319" s="4">
        <f>+G310*(1-G314)*F313</f>
        <v>0</v>
      </c>
      <c r="K319" s="4">
        <f>+G310*(1-G314)*G313</f>
        <v>0</v>
      </c>
      <c r="L319" s="4">
        <f>+G310*(1-G314)*H313</f>
        <v>0</v>
      </c>
      <c r="M319" s="4">
        <f>+G310*(1-G314)*I313</f>
        <v>0</v>
      </c>
      <c r="N319" s="4">
        <f>+G310*(1-G314)*J313</f>
        <v>0</v>
      </c>
      <c r="O319" s="4">
        <f>+G310*(1-G314)*K313</f>
        <v>0</v>
      </c>
      <c r="P319" s="4">
        <f>+G310*(1-G314)*L313</f>
        <v>0</v>
      </c>
      <c r="Q319" s="4">
        <f>+G310*(1-G314)*M313</f>
        <v>0</v>
      </c>
      <c r="R319" s="4">
        <f>+G310*(1-G314)*N313</f>
        <v>0</v>
      </c>
      <c r="S319" s="4">
        <f>+G310*(1-G314)*O313</f>
        <v>0</v>
      </c>
      <c r="T319" s="4">
        <f>+G310*(1-G314)*P313</f>
        <v>0</v>
      </c>
      <c r="U319" s="4">
        <f>+G310*(1-G314)*Q313</f>
        <v>0</v>
      </c>
      <c r="V319" s="4">
        <f>+G310*(1-G314)*R313</f>
        <v>0</v>
      </c>
      <c r="W319" s="4">
        <f>+G310*(1-G314)*S313</f>
        <v>0</v>
      </c>
      <c r="X319" s="4">
        <f>+G310*(1-G314)*T313</f>
        <v>0</v>
      </c>
      <c r="Y319" s="4">
        <f>+G310*(1-G314)*U313</f>
        <v>0</v>
      </c>
      <c r="Z319" s="4">
        <f>+G310*(1-G314)*V313</f>
        <v>0</v>
      </c>
      <c r="AA319" s="4">
        <f>+G310*(1-G314)*W313</f>
        <v>0</v>
      </c>
      <c r="AB319" s="4">
        <f>+G310*(1-G314)*X313</f>
        <v>0</v>
      </c>
      <c r="AC319" s="4">
        <f>+G310*(1-G314)*Y313</f>
        <v>0</v>
      </c>
      <c r="AD319" s="4">
        <f>+G310*(1-G314)*Z313</f>
        <v>0</v>
      </c>
      <c r="AE319" s="4">
        <f>+G310*(1-G314)*AA313</f>
        <v>0</v>
      </c>
      <c r="AF319" s="4">
        <f>+G310*(1-G314)*AB313</f>
        <v>0</v>
      </c>
      <c r="AG319" s="4">
        <f t="shared" si="100"/>
        <v>0</v>
      </c>
      <c r="AH319" s="252">
        <f t="shared" si="102"/>
        <v>0</v>
      </c>
    </row>
    <row r="320" spans="1:34">
      <c r="A320" s="6">
        <f t="shared" si="103"/>
        <v>2027</v>
      </c>
      <c r="B320" s="4">
        <f t="shared" si="101"/>
        <v>0</v>
      </c>
      <c r="H320" s="4">
        <f>H310*H314+H310*(1-H314)*C313</f>
        <v>0</v>
      </c>
      <c r="I320" s="4">
        <f>+H310*(1-H314)*D313</f>
        <v>0</v>
      </c>
      <c r="J320" s="4">
        <f>+H310*(1-H314)*E313</f>
        <v>0</v>
      </c>
      <c r="K320" s="4">
        <f>+H310*(1-H314)*F313</f>
        <v>0</v>
      </c>
      <c r="L320" s="4">
        <f>+H310*(1-H314)*G313</f>
        <v>0</v>
      </c>
      <c r="M320" s="4">
        <f>+H310*(1-H314)*H313</f>
        <v>0</v>
      </c>
      <c r="N320" s="4">
        <f>+H310*(1-H314)*I313</f>
        <v>0</v>
      </c>
      <c r="O320" s="4">
        <f>+H310*(1-H314)*J313</f>
        <v>0</v>
      </c>
      <c r="P320" s="4">
        <f>+H310*(1-H314)*K313</f>
        <v>0</v>
      </c>
      <c r="Q320" s="4">
        <f>+H310*(1-H314)*L313</f>
        <v>0</v>
      </c>
      <c r="R320" s="4">
        <f>+H310*(1-H314)*M313</f>
        <v>0</v>
      </c>
      <c r="S320" s="4">
        <f>+H310*(1-H314)*N313</f>
        <v>0</v>
      </c>
      <c r="T320" s="4">
        <f>+H310*(1-H314)*O313</f>
        <v>0</v>
      </c>
      <c r="U320" s="4">
        <f>+H310*(1-H314)*P313</f>
        <v>0</v>
      </c>
      <c r="V320" s="4">
        <f>+H310*(1-H314)*Q313</f>
        <v>0</v>
      </c>
      <c r="W320" s="4">
        <f>+H310*(1-H314)*R313</f>
        <v>0</v>
      </c>
      <c r="X320" s="4">
        <f>+H310*(1-H314)*S313</f>
        <v>0</v>
      </c>
      <c r="Y320" s="4">
        <f>+H310*(1-H314)*T313</f>
        <v>0</v>
      </c>
      <c r="Z320" s="4">
        <f>+H310*(1-H314)*U313</f>
        <v>0</v>
      </c>
      <c r="AA320" s="4">
        <f>+H310*(1-H314)*V313</f>
        <v>0</v>
      </c>
      <c r="AB320" s="4">
        <f>+H310*(1-H314)*W313</f>
        <v>0</v>
      </c>
      <c r="AC320" s="4">
        <f>+H310*(1-H314)*X313</f>
        <v>0</v>
      </c>
      <c r="AD320" s="4">
        <f>+H310*(1-H314)*Y313</f>
        <v>0</v>
      </c>
      <c r="AE320" s="4">
        <f>+H310*(1-H314)*Z313</f>
        <v>0</v>
      </c>
      <c r="AF320" s="4">
        <f>+H310*(1-H314)*AA313</f>
        <v>0</v>
      </c>
      <c r="AG320" s="4">
        <f t="shared" si="100"/>
        <v>0</v>
      </c>
      <c r="AH320" s="252">
        <f t="shared" si="102"/>
        <v>0</v>
      </c>
    </row>
    <row r="321" spans="1:35">
      <c r="A321" s="6">
        <f t="shared" si="103"/>
        <v>2028</v>
      </c>
      <c r="B321" s="4">
        <f t="shared" si="101"/>
        <v>0</v>
      </c>
      <c r="I321" s="4">
        <f>I310*I314+I310*(1-I314)*C313</f>
        <v>0</v>
      </c>
      <c r="J321" s="4">
        <f>+I310*(1-I314)*D313</f>
        <v>0</v>
      </c>
      <c r="K321" s="4">
        <f>+I310*(1-I314)*E313</f>
        <v>0</v>
      </c>
      <c r="L321" s="4">
        <f>+I310*(1-I314)*F313</f>
        <v>0</v>
      </c>
      <c r="M321" s="4">
        <f>+I310*(1-I314)*G313</f>
        <v>0</v>
      </c>
      <c r="N321" s="4">
        <f>+I310*(1-I314)*H313</f>
        <v>0</v>
      </c>
      <c r="O321" s="4">
        <f>+I310*(1-I314)*I313</f>
        <v>0</v>
      </c>
      <c r="P321" s="4">
        <f>+I310*(1-I314)*J313</f>
        <v>0</v>
      </c>
      <c r="Q321" s="4">
        <f>+I310*(1-I314)*K313</f>
        <v>0</v>
      </c>
      <c r="R321" s="4">
        <f>+I310*(1-I314)*L313</f>
        <v>0</v>
      </c>
      <c r="S321" s="4">
        <f>+I310*(1-I314)*M313</f>
        <v>0</v>
      </c>
      <c r="T321" s="4">
        <f>+I310*(1-I314)*N313</f>
        <v>0</v>
      </c>
      <c r="U321" s="4">
        <f>+I310*(1-I314)*O313</f>
        <v>0</v>
      </c>
      <c r="V321" s="4">
        <f>+I310*(1-I314)*P313</f>
        <v>0</v>
      </c>
      <c r="W321" s="4">
        <f>+I310*(1-I314)*Q313</f>
        <v>0</v>
      </c>
      <c r="X321" s="4">
        <f>+I310*(1-I314)*R313</f>
        <v>0</v>
      </c>
      <c r="Y321" s="4">
        <f>+I310*(1-I314)*S313</f>
        <v>0</v>
      </c>
      <c r="Z321" s="4">
        <f>+I310*(1-I314)*T313</f>
        <v>0</v>
      </c>
      <c r="AA321" s="4">
        <f>+I310*(1-I314)*U313</f>
        <v>0</v>
      </c>
      <c r="AB321" s="4">
        <f>+I310*(1-I314)*V313</f>
        <v>0</v>
      </c>
      <c r="AC321" s="4">
        <f>+I310*(1-I314)*W313</f>
        <v>0</v>
      </c>
      <c r="AD321" s="4">
        <f>+I310*(1-I314)*X313</f>
        <v>0</v>
      </c>
      <c r="AE321" s="4">
        <f>+I310*(1-I314)*Y313</f>
        <v>0</v>
      </c>
      <c r="AF321" s="4">
        <f>+I310*(1-I314)*Z313</f>
        <v>0</v>
      </c>
      <c r="AG321" s="4">
        <f t="shared" si="100"/>
        <v>0</v>
      </c>
      <c r="AH321" s="252">
        <f t="shared" si="102"/>
        <v>0</v>
      </c>
    </row>
    <row r="322" spans="1:35">
      <c r="A322" s="6">
        <f t="shared" si="103"/>
        <v>2029</v>
      </c>
      <c r="B322" s="4">
        <f t="shared" si="101"/>
        <v>0</v>
      </c>
      <c r="J322" s="4">
        <f>J310*J314+J310*(1-J314)*C313</f>
        <v>0</v>
      </c>
      <c r="K322" s="4">
        <f>K310*K314+J310*(1-K314)*D313</f>
        <v>0</v>
      </c>
      <c r="L322" s="4">
        <f>L310*L314+J310*(1-L314)*E313</f>
        <v>0</v>
      </c>
      <c r="M322" s="4">
        <f>M310*M314+J310*(1-M314)*F313</f>
        <v>0</v>
      </c>
      <c r="N322" s="4">
        <f>N310*N314+J310*(1-N314)*G313</f>
        <v>0</v>
      </c>
      <c r="O322" s="4">
        <f>O310*O314+J310*(1-O314)*H313</f>
        <v>0</v>
      </c>
      <c r="P322" s="4">
        <f>P310*P314+J310*(1-P314)*I313</f>
        <v>0</v>
      </c>
      <c r="Q322" s="4">
        <f>Q310*Q314+J310*(1-Q314)*J313</f>
        <v>0</v>
      </c>
      <c r="R322" s="4">
        <f>R310*R314+J310*(1-R314)*K313</f>
        <v>0</v>
      </c>
      <c r="S322" s="4">
        <f>S310*S314+J310*(1-S314)*L313</f>
        <v>0</v>
      </c>
      <c r="T322" s="4">
        <f>T310*T314+J310*(1-T314)*M313</f>
        <v>0</v>
      </c>
      <c r="U322" s="4">
        <f>U310*U314+J310*(1-U314)*N313</f>
        <v>0</v>
      </c>
      <c r="V322" s="4">
        <f>V310*V314+J310*(1-V314)*O313</f>
        <v>0</v>
      </c>
      <c r="W322" s="4">
        <f>W310*W314+J310*(1-W314)*P313</f>
        <v>0</v>
      </c>
      <c r="X322" s="4">
        <f>X310*X314+J310*(1-X314)*Q313</f>
        <v>0</v>
      </c>
      <c r="Y322" s="4">
        <f>Y310*Y314+J310*(1-Y314)*R313</f>
        <v>0</v>
      </c>
      <c r="Z322" s="4">
        <f>Z310*Z314+J310*(1-Z314)*S313</f>
        <v>0</v>
      </c>
      <c r="AA322" s="4">
        <f>AA310*AA314+J310*(1-AA314)*T313</f>
        <v>0</v>
      </c>
      <c r="AB322" s="4">
        <f>AB310*AB314+J310*(1-AB314)*U313</f>
        <v>0</v>
      </c>
      <c r="AC322" s="4">
        <f>AC310*AC314+J310*(1-AC314)*V313</f>
        <v>0</v>
      </c>
      <c r="AD322" s="4">
        <f>AD310*AD314+J310*(1-AD314)*W313</f>
        <v>0</v>
      </c>
      <c r="AE322" s="4">
        <f>AE310*AE314+J310*(1-AE314)*X313</f>
        <v>0</v>
      </c>
      <c r="AF322" s="4">
        <f>AF310*AF314+J310*(1-AF314)*Y313</f>
        <v>0</v>
      </c>
      <c r="AG322" s="4">
        <f t="shared" si="100"/>
        <v>0</v>
      </c>
      <c r="AH322" s="252">
        <f t="shared" si="102"/>
        <v>0</v>
      </c>
    </row>
    <row r="323" spans="1:35">
      <c r="A323" s="6">
        <f t="shared" si="103"/>
        <v>2030</v>
      </c>
      <c r="B323" s="4">
        <f t="shared" si="101"/>
        <v>0</v>
      </c>
      <c r="K323" s="4">
        <f>K310*K314+K310*(1-K314)*C313</f>
        <v>0</v>
      </c>
      <c r="L323" s="4">
        <f>+K310*(1-K314)*D313</f>
        <v>0</v>
      </c>
      <c r="M323" s="4">
        <f>+K310*(1-K314)*E313</f>
        <v>0</v>
      </c>
      <c r="N323" s="4">
        <f>+K310*(1-K314)*F313</f>
        <v>0</v>
      </c>
      <c r="O323" s="4">
        <f>+K310*(1-K314)*G313</f>
        <v>0</v>
      </c>
      <c r="P323" s="4">
        <f>+K310*(1-K314)*H313</f>
        <v>0</v>
      </c>
      <c r="Q323" s="4">
        <f>+K310*(1-K314)*I313</f>
        <v>0</v>
      </c>
      <c r="R323" s="4">
        <f>+K310*(1-K314)*J313</f>
        <v>0</v>
      </c>
      <c r="S323" s="4">
        <f>+K310*(1-K314)*K313</f>
        <v>0</v>
      </c>
      <c r="T323" s="4">
        <f>+K310*(1-K314)*L313</f>
        <v>0</v>
      </c>
      <c r="U323" s="4">
        <f>+K310*(1-K314)*M313</f>
        <v>0</v>
      </c>
      <c r="V323" s="4">
        <f>+K310*(1-K314)*N313</f>
        <v>0</v>
      </c>
      <c r="W323" s="4">
        <f>+K310*(1-K314)*O313</f>
        <v>0</v>
      </c>
      <c r="X323" s="4">
        <f>+K310*(1-K314)*P313</f>
        <v>0</v>
      </c>
      <c r="Y323" s="4">
        <f>+K310*(1-K314)*Q313</f>
        <v>0</v>
      </c>
      <c r="Z323" s="4">
        <f>+K310*(1-K314)*R313</f>
        <v>0</v>
      </c>
      <c r="AA323" s="4">
        <f>+K310*(1-K314)*S313</f>
        <v>0</v>
      </c>
      <c r="AB323" s="4">
        <f>+K310*(1-K314)*T313</f>
        <v>0</v>
      </c>
      <c r="AC323" s="4">
        <f>+K310*(1-K314)*U313</f>
        <v>0</v>
      </c>
      <c r="AD323" s="4">
        <f>+K310*(1-K314)*V313</f>
        <v>0</v>
      </c>
      <c r="AE323" s="4">
        <f>+K310*(1-K314)*W313</f>
        <v>0</v>
      </c>
      <c r="AF323" s="4">
        <f>+K310*(1-K314)*X313</f>
        <v>0</v>
      </c>
      <c r="AG323" s="4">
        <f t="shared" si="100"/>
        <v>0</v>
      </c>
      <c r="AH323" s="252">
        <f t="shared" si="102"/>
        <v>0</v>
      </c>
    </row>
    <row r="324" spans="1:35">
      <c r="A324" s="6">
        <f t="shared" si="103"/>
        <v>2031</v>
      </c>
      <c r="B324" s="4">
        <f t="shared" si="101"/>
        <v>26500</v>
      </c>
      <c r="L324" s="4">
        <f>L310*L314+L310*(1-L314)*C313</f>
        <v>679.48717948717945</v>
      </c>
      <c r="M324" s="4">
        <f>+L310*(1-L314)*D313</f>
        <v>679.48717948717945</v>
      </c>
      <c r="N324" s="4">
        <f>+L310*(1-L314)*E313</f>
        <v>679.48717948717945</v>
      </c>
      <c r="O324" s="4">
        <f>+L310*(1-L314)*F313</f>
        <v>679.48717948717945</v>
      </c>
      <c r="P324" s="4">
        <f>+L310*(1-L314)*G313</f>
        <v>679.48717948717945</v>
      </c>
      <c r="Q324" s="4">
        <f>+L310*(1-L314)*H313</f>
        <v>679.48717948717945</v>
      </c>
      <c r="R324" s="4">
        <f>+L310*(1-L314)*I313</f>
        <v>679.48717948717945</v>
      </c>
      <c r="S324" s="4">
        <f>+L310*(1-L314)*J313</f>
        <v>679.48717948717945</v>
      </c>
      <c r="T324" s="4">
        <f>+L310*(1-L314)*K313</f>
        <v>679.48717948717945</v>
      </c>
      <c r="U324" s="4">
        <f>+L310*(1-L314)*L313</f>
        <v>679.48717948717945</v>
      </c>
      <c r="V324" s="4">
        <f>+L310*(1-L314)*M313</f>
        <v>679.48717948717945</v>
      </c>
      <c r="W324" s="4">
        <f>+L310*(1-L314)*N313</f>
        <v>679.48717948717945</v>
      </c>
      <c r="X324" s="4">
        <f>+L310*(1-L314)*O313</f>
        <v>679.48717948717945</v>
      </c>
      <c r="Y324" s="4">
        <f>+L310*(1-L314)*P313</f>
        <v>679.48717948717945</v>
      </c>
      <c r="Z324" s="4">
        <f>+L310*(1-L314)*Q313</f>
        <v>679.48717948717945</v>
      </c>
      <c r="AA324" s="4">
        <f>+L310*(1-L314)*R313</f>
        <v>679.48717948717945</v>
      </c>
      <c r="AB324" s="4">
        <f>+L310*(1-L314)*S313</f>
        <v>679.48717948717945</v>
      </c>
      <c r="AC324" s="4">
        <f>+L310*(1-L314)*T313</f>
        <v>679.48717948717945</v>
      </c>
      <c r="AD324" s="4">
        <f>+L310*(1-L314)*U313</f>
        <v>679.48717948717945</v>
      </c>
      <c r="AE324" s="4">
        <f>+L310*(1-L314)*V313</f>
        <v>679.48717948717945</v>
      </c>
      <c r="AF324" s="4">
        <f>+L310*(1-L314)*W313</f>
        <v>679.48717948717945</v>
      </c>
      <c r="AG324" s="4">
        <f t="shared" si="100"/>
        <v>14269.230769230771</v>
      </c>
      <c r="AH324" s="252">
        <f t="shared" si="102"/>
        <v>12230.769230769229</v>
      </c>
      <c r="AI324" s="252"/>
    </row>
    <row r="325" spans="1:35">
      <c r="A325" s="6">
        <f t="shared" si="103"/>
        <v>2032</v>
      </c>
      <c r="B325" s="4">
        <f t="shared" si="101"/>
        <v>27295</v>
      </c>
      <c r="M325" s="4">
        <f>M310*M314+M310*(1-M314)*C313</f>
        <v>699.8717948717948</v>
      </c>
      <c r="N325" s="4">
        <f>+M310*(1-M314)*D313</f>
        <v>699.8717948717948</v>
      </c>
      <c r="O325" s="4">
        <f>+M310*(1-M314)*E313</f>
        <v>699.8717948717948</v>
      </c>
      <c r="P325" s="4">
        <f>+M310*(1-M314)*F313</f>
        <v>699.8717948717948</v>
      </c>
      <c r="Q325" s="4">
        <f>+M310*(1-M314)*G313</f>
        <v>699.8717948717948</v>
      </c>
      <c r="R325" s="4">
        <f>+M310*(1-M314)*H313</f>
        <v>699.8717948717948</v>
      </c>
      <c r="S325" s="4">
        <f>+M310*(1-M314)*I313</f>
        <v>699.8717948717948</v>
      </c>
      <c r="T325" s="4">
        <f>+M310*(1-M314)*J313</f>
        <v>699.8717948717948</v>
      </c>
      <c r="U325" s="4">
        <f>+M310*(1-M314)*K313</f>
        <v>699.8717948717948</v>
      </c>
      <c r="V325" s="4">
        <f>+M310*(1-M314)*L313</f>
        <v>699.8717948717948</v>
      </c>
      <c r="W325" s="4">
        <f>+M310*(1-M314)*M313</f>
        <v>699.8717948717948</v>
      </c>
      <c r="X325" s="4">
        <f>+M310*(1-M314)*N313</f>
        <v>699.8717948717948</v>
      </c>
      <c r="Y325" s="4">
        <f>+M310*(1-M314)*O313</f>
        <v>699.8717948717948</v>
      </c>
      <c r="Z325" s="4">
        <f>+M310*(1-M314)*P313</f>
        <v>699.8717948717948</v>
      </c>
      <c r="AA325" s="4">
        <f>+M310*(1-M314)*Q313</f>
        <v>699.8717948717948</v>
      </c>
      <c r="AB325" s="4">
        <f>+M310*(1-M314)*R313</f>
        <v>699.8717948717948</v>
      </c>
      <c r="AC325" s="4">
        <f>+M310*(1-M314)*S313</f>
        <v>699.8717948717948</v>
      </c>
      <c r="AD325" s="4">
        <f>+M310*(1-M314)*T313</f>
        <v>699.8717948717948</v>
      </c>
      <c r="AE325" s="4">
        <f>+M310*(1-M314)*U313</f>
        <v>699.8717948717948</v>
      </c>
      <c r="AF325" s="4">
        <f>+M310*(1-M314)*V313</f>
        <v>699.8717948717948</v>
      </c>
      <c r="AG325" s="4">
        <f t="shared" si="100"/>
        <v>13997.435897435897</v>
      </c>
      <c r="AH325" s="252">
        <f t="shared" si="102"/>
        <v>13297.564102564103</v>
      </c>
    </row>
    <row r="326" spans="1:35">
      <c r="A326" s="6">
        <f t="shared" si="103"/>
        <v>2033</v>
      </c>
      <c r="B326" s="4">
        <f t="shared" si="101"/>
        <v>28364.72309090909</v>
      </c>
      <c r="N326" s="4">
        <f>N310*N314+N310*(1-N314)*C313</f>
        <v>727.30059207459203</v>
      </c>
      <c r="O326" s="4">
        <f>+N310*(1-N314)*D313</f>
        <v>727.30059207459203</v>
      </c>
      <c r="P326" s="4">
        <f>+N310*(1-N314)*E313</f>
        <v>727.30059207459203</v>
      </c>
      <c r="Q326" s="4">
        <f>+N310*(1-N314)*F313</f>
        <v>727.30059207459203</v>
      </c>
      <c r="R326" s="4">
        <f>+N310*(1-N314)*G313</f>
        <v>727.30059207459203</v>
      </c>
      <c r="S326" s="4">
        <f>+N310*(1-N314)*H313</f>
        <v>727.30059207459203</v>
      </c>
      <c r="T326" s="4">
        <f>+N310*(1-N314)*I313</f>
        <v>727.30059207459203</v>
      </c>
      <c r="U326" s="4">
        <f>+N310*(1-N314)*J313</f>
        <v>727.30059207459203</v>
      </c>
      <c r="V326" s="4">
        <f>+N310*(1-N314)*K313</f>
        <v>727.30059207459203</v>
      </c>
      <c r="W326" s="4">
        <f>+N310*(1-N314)*L313</f>
        <v>727.30059207459203</v>
      </c>
      <c r="X326" s="4">
        <f>+N310*(1-N314)*M313</f>
        <v>727.30059207459203</v>
      </c>
      <c r="Y326" s="4">
        <f>+N310*(1-N314)*N313</f>
        <v>727.30059207459203</v>
      </c>
      <c r="Z326" s="4">
        <f>+N310*(1-N314)*O313</f>
        <v>727.30059207459203</v>
      </c>
      <c r="AA326" s="4">
        <f>+N310*(1-N314)*P313</f>
        <v>727.30059207459203</v>
      </c>
      <c r="AB326" s="4">
        <f>+N310*(1-N314)*Q313</f>
        <v>727.30059207459203</v>
      </c>
      <c r="AC326" s="4">
        <f>+N310*(1-N314)*R313</f>
        <v>727.30059207459203</v>
      </c>
      <c r="AD326" s="4">
        <f>+N310*(1-N314)*S313</f>
        <v>727.30059207459203</v>
      </c>
      <c r="AE326" s="4">
        <f>+N310*(1-N314)*T313</f>
        <v>727.30059207459203</v>
      </c>
      <c r="AF326" s="4">
        <f>+N310*(1-N314)*U313</f>
        <v>727.30059207459203</v>
      </c>
      <c r="AG326" s="4">
        <f t="shared" si="100"/>
        <v>13818.711249417252</v>
      </c>
      <c r="AH326" s="252">
        <f t="shared" si="102"/>
        <v>14546.011841491838</v>
      </c>
    </row>
    <row r="327" spans="1:35">
      <c r="A327" s="6">
        <f t="shared" si="103"/>
        <v>2034</v>
      </c>
      <c r="B327" s="4">
        <f t="shared" si="101"/>
        <v>29215.671818181818</v>
      </c>
      <c r="O327" s="4">
        <f>O310*O314+O310*(1-O314)*C313</f>
        <v>749.11979020979015</v>
      </c>
      <c r="P327" s="4">
        <f>+O310*(1-O314)*D313</f>
        <v>749.11979020979015</v>
      </c>
      <c r="Q327" s="4">
        <f>+O310*(1-O314)*E313</f>
        <v>749.11979020979015</v>
      </c>
      <c r="R327" s="4">
        <f>+O310*(1-O314)*F313</f>
        <v>749.11979020979015</v>
      </c>
      <c r="S327" s="4">
        <f>+O310*(1-O314)*G313</f>
        <v>749.11979020979015</v>
      </c>
      <c r="T327" s="4">
        <f>+O310*(1-O314)*H313</f>
        <v>749.11979020979015</v>
      </c>
      <c r="U327" s="4">
        <f>+O310*(1-O314)*I313</f>
        <v>749.11979020979015</v>
      </c>
      <c r="V327" s="4">
        <f>+O310*(1-O314)*J313</f>
        <v>749.11979020979015</v>
      </c>
      <c r="W327" s="4">
        <f>+O310*(1-O314)*K313</f>
        <v>749.11979020979015</v>
      </c>
      <c r="X327" s="4">
        <f>+O310*(1-O314)*L313</f>
        <v>749.11979020979015</v>
      </c>
      <c r="Y327" s="4">
        <f>+O310*(1-O314)*M313</f>
        <v>749.11979020979015</v>
      </c>
      <c r="Z327" s="4">
        <f>+O310*(1-O314)*N313</f>
        <v>749.11979020979015</v>
      </c>
      <c r="AA327" s="4">
        <f>+O310*(1-O314)*O313</f>
        <v>749.11979020979015</v>
      </c>
      <c r="AB327" s="4">
        <f>+O310*(1-O314)*P313</f>
        <v>749.11979020979015</v>
      </c>
      <c r="AC327" s="4">
        <f>+O310*(1-O314)*Q313</f>
        <v>749.11979020979015</v>
      </c>
      <c r="AD327" s="4">
        <f>+O310*(1-O314)*R313</f>
        <v>749.11979020979015</v>
      </c>
      <c r="AE327" s="4">
        <f>+O310*(1-O314)*S313</f>
        <v>749.11979020979015</v>
      </c>
      <c r="AF327" s="4">
        <f>+O310*(1-O314)*T313</f>
        <v>749.11979020979015</v>
      </c>
      <c r="AG327" s="4">
        <f t="shared" si="100"/>
        <v>13484.156223776223</v>
      </c>
      <c r="AH327" s="252">
        <f t="shared" si="102"/>
        <v>15731.515594405595</v>
      </c>
    </row>
    <row r="328" spans="1:35">
      <c r="A328" s="6">
        <f t="shared" si="103"/>
        <v>2035</v>
      </c>
      <c r="B328" s="4">
        <f t="shared" si="101"/>
        <v>30092.137636363637</v>
      </c>
      <c r="P328" s="4">
        <f>P310*P314+P310*(1-P314)*C313</f>
        <v>771.59327272727273</v>
      </c>
      <c r="Q328" s="4">
        <f>+P310*(1-P314)*D313</f>
        <v>771.59327272727273</v>
      </c>
      <c r="R328" s="4">
        <f>+P310*(1-P314)*E313</f>
        <v>771.59327272727273</v>
      </c>
      <c r="S328" s="4">
        <f>+P310*(1-P314)*F313</f>
        <v>771.59327272727273</v>
      </c>
      <c r="T328" s="4">
        <f>+P310*(1-P314)*G313</f>
        <v>771.59327272727273</v>
      </c>
      <c r="U328" s="4">
        <f>+P310*(1-P314)*H313</f>
        <v>771.59327272727273</v>
      </c>
      <c r="V328" s="4">
        <f>+P310*(1-P314)*I313</f>
        <v>771.59327272727273</v>
      </c>
      <c r="W328" s="4">
        <f>+P310*(1-P314)*J313</f>
        <v>771.59327272727273</v>
      </c>
      <c r="X328" s="4">
        <f>+P310*(1-P314)*K313</f>
        <v>771.59327272727273</v>
      </c>
      <c r="Y328" s="4">
        <f>+P310*(1-P314)*L313</f>
        <v>771.59327272727273</v>
      </c>
      <c r="Z328" s="4">
        <f>+P310*(1-P314)*M313</f>
        <v>771.59327272727273</v>
      </c>
      <c r="AA328" s="4">
        <f>+P310*(1-P314)*N313</f>
        <v>771.59327272727273</v>
      </c>
      <c r="AB328" s="4">
        <f>+P310*(1-P314)*O313</f>
        <v>771.59327272727273</v>
      </c>
      <c r="AC328" s="4">
        <f>+P310*(1-P314)*P313</f>
        <v>771.59327272727273</v>
      </c>
      <c r="AD328" s="4">
        <f>+P310*(1-P314)*Q313</f>
        <v>771.59327272727273</v>
      </c>
      <c r="AE328" s="4">
        <f>+P310*(1-P314)*R313</f>
        <v>771.59327272727273</v>
      </c>
      <c r="AF328" s="4">
        <f>+P310*(1-P314)*S313</f>
        <v>771.59327272727273</v>
      </c>
      <c r="AG328" s="4">
        <f t="shared" si="100"/>
        <v>13117.085636363634</v>
      </c>
      <c r="AH328" s="252">
        <f t="shared" si="102"/>
        <v>16975.052000000003</v>
      </c>
    </row>
    <row r="329" spans="1:35">
      <c r="A329" s="6">
        <f t="shared" si="103"/>
        <v>2036</v>
      </c>
      <c r="B329" s="4">
        <f t="shared" si="101"/>
        <v>30994.90109090909</v>
      </c>
      <c r="Q329" s="4">
        <f>Q310*Q314+Q310*(1-Q314)*C313</f>
        <v>794.74105361305362</v>
      </c>
      <c r="R329" s="4">
        <f>Q310*(1-Q314)*D313</f>
        <v>794.74105361305362</v>
      </c>
      <c r="S329" s="4">
        <f>Q310*(1-Q314)*E313</f>
        <v>794.74105361305362</v>
      </c>
      <c r="T329" s="4">
        <f>Q310*(1-Q314)*F313</f>
        <v>794.74105361305362</v>
      </c>
      <c r="U329" s="4">
        <f>Q310*(1-Q314)*G313</f>
        <v>794.74105361305362</v>
      </c>
      <c r="V329" s="4">
        <f>Q310*(1-Q314)*H313</f>
        <v>794.74105361305362</v>
      </c>
      <c r="W329" s="4">
        <f>Q310*(1-Q314)*I313</f>
        <v>794.74105361305362</v>
      </c>
      <c r="X329" s="4">
        <f>Q310*(1-Q314)*J313</f>
        <v>794.74105361305362</v>
      </c>
      <c r="Y329" s="4">
        <f>Q310*(1-Q314)*K313</f>
        <v>794.74105361305362</v>
      </c>
      <c r="Z329" s="4">
        <f>Q310*(1-Q314)*L313</f>
        <v>794.74105361305362</v>
      </c>
      <c r="AA329" s="4">
        <f>Q310*(1-Q314)*M313</f>
        <v>794.74105361305362</v>
      </c>
      <c r="AB329" s="4">
        <f>Q310*(1-Q314)*N313</f>
        <v>794.74105361305362</v>
      </c>
      <c r="AC329" s="4">
        <f>Q310*(1-Q314)*O313</f>
        <v>794.74105361305362</v>
      </c>
      <c r="AD329" s="4">
        <f>Q310*(1-Q314)*P313</f>
        <v>794.74105361305362</v>
      </c>
      <c r="AE329" s="4">
        <f>Q310*(1-Q314)*Q313</f>
        <v>794.74105361305362</v>
      </c>
      <c r="AF329" s="4">
        <f>Q310*(1-Q314)*R313</f>
        <v>794.74105361305362</v>
      </c>
      <c r="AG329" s="4">
        <f t="shared" si="100"/>
        <v>12715.856857808858</v>
      </c>
      <c r="AH329" s="252">
        <f t="shared" si="102"/>
        <v>18279.044233100234</v>
      </c>
    </row>
    <row r="330" spans="1:35">
      <c r="A330" s="6">
        <f t="shared" si="103"/>
        <v>2037</v>
      </c>
      <c r="B330" s="4">
        <f t="shared" si="101"/>
        <v>66841.190909090918</v>
      </c>
      <c r="R330" s="4">
        <f>R310*R314+R310*(1-R314)*C313</f>
        <v>1713.8766899766902</v>
      </c>
      <c r="S330" s="4">
        <f>R310*(1-R314)*D313</f>
        <v>1713.8766899766902</v>
      </c>
      <c r="T330" s="4">
        <f>R310*(1-R314)*E313</f>
        <v>1713.8766899766902</v>
      </c>
      <c r="U330" s="4">
        <f>R310*(1-R314)*F313</f>
        <v>1713.8766899766902</v>
      </c>
      <c r="V330" s="4">
        <f>R310*(1-R314)*G313</f>
        <v>1713.8766899766902</v>
      </c>
      <c r="W330" s="4">
        <f>R310*(1-R314)*H313</f>
        <v>1713.8766899766902</v>
      </c>
      <c r="X330" s="4">
        <f>R310*(1-R314)*I313</f>
        <v>1713.8766899766902</v>
      </c>
      <c r="Y330" s="4">
        <f>R310*(1-R314)*J313</f>
        <v>1713.8766899766902</v>
      </c>
      <c r="Z330" s="4">
        <f>R310*(1-R314)*K313</f>
        <v>1713.8766899766902</v>
      </c>
      <c r="AA330" s="4">
        <f>R310*(1-R314)*L313</f>
        <v>1713.8766899766902</v>
      </c>
      <c r="AB330" s="4">
        <f>R310*(1-R314)*M313</f>
        <v>1713.8766899766902</v>
      </c>
      <c r="AC330" s="4">
        <f>R310*(1-R314)*N313</f>
        <v>1713.8766899766902</v>
      </c>
      <c r="AD330" s="4">
        <f>R310*(1-R314)*O313</f>
        <v>1713.8766899766902</v>
      </c>
      <c r="AE330" s="4">
        <f>R310*(1-R314)*P313</f>
        <v>1713.8766899766902</v>
      </c>
      <c r="AF330" s="4">
        <f>R310*(1-R314)*Q313</f>
        <v>1713.8766899766902</v>
      </c>
      <c r="AG330" s="4">
        <f t="shared" si="100"/>
        <v>25708.150349650346</v>
      </c>
      <c r="AH330" s="252">
        <f t="shared" si="102"/>
        <v>41133.040559440575</v>
      </c>
    </row>
    <row r="331" spans="1:35">
      <c r="A331" s="6">
        <f t="shared" si="103"/>
        <v>2038</v>
      </c>
      <c r="B331" s="4">
        <f t="shared" si="101"/>
        <v>68846.431454545454</v>
      </c>
      <c r="S331" s="4">
        <f>S310*S314+S310*(1-S314)*C313</f>
        <v>1765.2931142191142</v>
      </c>
      <c r="T331" s="4">
        <f>+S310*(1-S314)*D313</f>
        <v>1765.2931142191142</v>
      </c>
      <c r="U331" s="4">
        <f>+S310*(1-S314)*E313</f>
        <v>1765.2931142191142</v>
      </c>
      <c r="V331" s="4">
        <f>+S310*(1-S314)*F313</f>
        <v>1765.2931142191142</v>
      </c>
      <c r="W331" s="4">
        <f>+S310*(1-S314)*G313</f>
        <v>1765.2931142191142</v>
      </c>
      <c r="X331" s="4">
        <f>+S310*(1-S314)*H313</f>
        <v>1765.2931142191142</v>
      </c>
      <c r="Y331" s="4">
        <f>+S310*(1-S314)*I313</f>
        <v>1765.2931142191142</v>
      </c>
      <c r="Z331" s="4">
        <f>+S310*(1-S314)*J313</f>
        <v>1765.2931142191142</v>
      </c>
      <c r="AA331" s="4">
        <f>+S310*(1-S314)*K313</f>
        <v>1765.2931142191142</v>
      </c>
      <c r="AB331" s="4">
        <f>+S310*(1-S314)*L313</f>
        <v>1765.2931142191142</v>
      </c>
      <c r="AC331" s="4">
        <f>+S310*(1-S314)*M313</f>
        <v>1765.2931142191142</v>
      </c>
      <c r="AD331" s="4">
        <f>+S310*(1-S314)*N313</f>
        <v>1765.2931142191142</v>
      </c>
      <c r="AE331" s="4">
        <f>+S310*(1-S314)*O313</f>
        <v>1765.2931142191142</v>
      </c>
      <c r="AF331" s="4">
        <f>+S310*(1-S314)*P313</f>
        <v>1765.2931142191142</v>
      </c>
      <c r="AG331" s="4">
        <f t="shared" si="100"/>
        <v>24714.103599067603</v>
      </c>
      <c r="AH331" s="252">
        <f t="shared" si="102"/>
        <v>44132.327855477852</v>
      </c>
    </row>
    <row r="332" spans="1:35">
      <c r="A332" s="6">
        <f t="shared" si="103"/>
        <v>2039</v>
      </c>
      <c r="B332" s="4">
        <f t="shared" si="101"/>
        <v>70911.822181818177</v>
      </c>
      <c r="T332" s="4">
        <f>T310*T314+T310*(1-T314)*C313</f>
        <v>1818.2518508158507</v>
      </c>
      <c r="U332" s="4">
        <f>+T310*(1-T314)*D313</f>
        <v>1818.2518508158507</v>
      </c>
      <c r="V332" s="4">
        <f>+T310*(1-T314)*E313</f>
        <v>1818.2518508158507</v>
      </c>
      <c r="W332" s="4">
        <f>+T310*(1-T314)*F313</f>
        <v>1818.2518508158507</v>
      </c>
      <c r="X332" s="4">
        <f>+T310*(1-T314)*G313</f>
        <v>1818.2518508158507</v>
      </c>
      <c r="Y332" s="4">
        <f>+T310*(1-T314)*H313</f>
        <v>1818.2518508158507</v>
      </c>
      <c r="Z332" s="4">
        <f>+T310*(1-T314)*I313</f>
        <v>1818.2518508158507</v>
      </c>
      <c r="AA332" s="4">
        <f>+T310*(1-T314)*J313</f>
        <v>1818.2518508158507</v>
      </c>
      <c r="AB332" s="4">
        <f>+T310*(1-T314)*K313</f>
        <v>1818.2518508158507</v>
      </c>
      <c r="AC332" s="4">
        <f>+T310*(1-T314)*L313</f>
        <v>1818.2518508158507</v>
      </c>
      <c r="AD332" s="4">
        <f>+T310*(1-T314)*M313</f>
        <v>1818.2518508158507</v>
      </c>
      <c r="AE332" s="4">
        <f>+T310*(1-T314)*N313</f>
        <v>1818.2518508158507</v>
      </c>
      <c r="AF332" s="4">
        <f>+T310*(1-T314)*O313</f>
        <v>1818.2518508158507</v>
      </c>
      <c r="AG332" s="4">
        <f t="shared" si="100"/>
        <v>23637.274060606054</v>
      </c>
      <c r="AH332" s="252">
        <f t="shared" si="102"/>
        <v>47274.548121212123</v>
      </c>
    </row>
    <row r="333" spans="1:35">
      <c r="A333" s="6">
        <f t="shared" si="103"/>
        <v>2040</v>
      </c>
      <c r="B333" s="4">
        <f t="shared" si="101"/>
        <v>73039.174727272723</v>
      </c>
      <c r="U333" s="4">
        <f>U310*U314+U310*(1-U314)*C313</f>
        <v>1872.7993519813517</v>
      </c>
      <c r="V333" s="4">
        <f>+U310*(1-U314)*D313</f>
        <v>1872.7993519813517</v>
      </c>
      <c r="W333" s="4">
        <f>+U310*(1-U314)*E313</f>
        <v>1872.7993519813517</v>
      </c>
      <c r="X333" s="4">
        <f>+U310*(1-U314)*F313</f>
        <v>1872.7993519813517</v>
      </c>
      <c r="Y333" s="4">
        <f>+U310*(1-U314)*G313</f>
        <v>1872.7993519813517</v>
      </c>
      <c r="Z333" s="4">
        <f>+U310*(1-U314)*H313</f>
        <v>1872.7993519813517</v>
      </c>
      <c r="AA333" s="4">
        <f>+U310*(1-U314)*I313</f>
        <v>1872.7993519813517</v>
      </c>
      <c r="AB333" s="4">
        <f>+U310*(1-U314)*J313</f>
        <v>1872.7993519813517</v>
      </c>
      <c r="AC333" s="4">
        <f>+U310*(1-U314)*K313</f>
        <v>1872.7993519813517</v>
      </c>
      <c r="AD333" s="4">
        <f>+U310*(1-U314)*L313</f>
        <v>1872.7993519813517</v>
      </c>
      <c r="AE333" s="4">
        <f>+U310*(1-U314)*M313</f>
        <v>1872.7993519813517</v>
      </c>
      <c r="AF333" s="4">
        <f>+U310*(1-U314)*N313</f>
        <v>1872.7993519813517</v>
      </c>
      <c r="AG333" s="4">
        <f t="shared" si="100"/>
        <v>22473.592223776228</v>
      </c>
      <c r="AH333" s="252">
        <f t="shared" si="102"/>
        <v>50565.582503496495</v>
      </c>
    </row>
    <row r="334" spans="1:35">
      <c r="A334" s="6">
        <f t="shared" si="103"/>
        <v>2041</v>
      </c>
      <c r="B334" s="4">
        <f t="shared" si="101"/>
        <v>75230.348909090899</v>
      </c>
      <c r="V334" s="4">
        <f>V310*V314+V310*(1-V314)*C313</f>
        <v>1928.9833053613049</v>
      </c>
      <c r="W334" s="4">
        <f>+V310*(1-V314)*D313</f>
        <v>1928.9833053613049</v>
      </c>
      <c r="X334" s="4">
        <f>+V310*(1-V314)*E313</f>
        <v>1928.9833053613049</v>
      </c>
      <c r="Y334" s="4">
        <f>+V310*(1-V314)*F313</f>
        <v>1928.9833053613049</v>
      </c>
      <c r="Z334" s="4">
        <f>+V310*(1-V314)*G313</f>
        <v>1928.9833053613049</v>
      </c>
      <c r="AA334" s="4">
        <f>+V310*(1-V314)*H313</f>
        <v>1928.9833053613049</v>
      </c>
      <c r="AB334" s="4">
        <f>+V310*(1-V314)*I313</f>
        <v>1928.9833053613049</v>
      </c>
      <c r="AC334" s="4">
        <f>+V310*(1-V314)*J313</f>
        <v>1928.9833053613049</v>
      </c>
      <c r="AD334" s="4">
        <f>+V310*(1-V314)*K313</f>
        <v>1928.9833053613049</v>
      </c>
      <c r="AE334" s="4">
        <f>+V310*(1-V314)*L313</f>
        <v>1928.9833053613049</v>
      </c>
      <c r="AF334" s="4">
        <f>+V310*(1-V314)*M313</f>
        <v>1928.9833053613049</v>
      </c>
      <c r="AG334" s="4">
        <f t="shared" si="100"/>
        <v>21218.816358974353</v>
      </c>
      <c r="AH334" s="252">
        <f t="shared" si="102"/>
        <v>54011.53255011655</v>
      </c>
    </row>
    <row r="335" spans="1:35">
      <c r="A335" s="6">
        <f t="shared" si="103"/>
        <v>2042</v>
      </c>
      <c r="B335" s="4">
        <f t="shared" si="101"/>
        <v>77487.262363636371</v>
      </c>
      <c r="W335" s="4">
        <f>W310*W314+W310*(1-W314)*C313</f>
        <v>1986.8528811188812</v>
      </c>
      <c r="X335" s="4">
        <f>+W310*(1-W314)*D313</f>
        <v>1986.8528811188812</v>
      </c>
      <c r="Y335" s="4">
        <f>+W310*(1-W314)*E313</f>
        <v>1986.8528811188812</v>
      </c>
      <c r="Z335" s="4">
        <f>+W310*(1-W314)*F313</f>
        <v>1986.8528811188812</v>
      </c>
      <c r="AA335" s="4">
        <f>+W310*(1-W314)*G313</f>
        <v>1986.8528811188812</v>
      </c>
      <c r="AB335" s="4">
        <f>+W310*(1-W314)*H313</f>
        <v>1986.8528811188812</v>
      </c>
      <c r="AC335" s="4">
        <f>+W310*(1-W314)*I313</f>
        <v>1986.8528811188812</v>
      </c>
      <c r="AD335" s="4">
        <f>+W310*(1-W314)*J313</f>
        <v>1986.8528811188812</v>
      </c>
      <c r="AE335" s="4">
        <f>+W310*(1-W314)*K313</f>
        <v>1986.8528811188812</v>
      </c>
      <c r="AF335" s="4">
        <f>+W310*(1-W314)*L313</f>
        <v>1986.8528811188812</v>
      </c>
      <c r="AG335" s="4">
        <f t="shared" si="100"/>
        <v>19868.528811188811</v>
      </c>
      <c r="AH335" s="252">
        <f t="shared" si="102"/>
        <v>57618.733552447564</v>
      </c>
    </row>
    <row r="336" spans="1:35">
      <c r="A336" s="6">
        <f t="shared" si="103"/>
        <v>2043</v>
      </c>
      <c r="B336" s="4">
        <f t="shared" si="101"/>
        <v>79811.880909090905</v>
      </c>
      <c r="X336" s="4">
        <f>X310*X314+X310*(1-X314)*C313</f>
        <v>2046.4584848484847</v>
      </c>
      <c r="Y336" s="4">
        <f>+X310*(1-X314)*D313</f>
        <v>2046.4584848484847</v>
      </c>
      <c r="Z336" s="4">
        <f>+X310*(1-X314)*E313</f>
        <v>2046.4584848484847</v>
      </c>
      <c r="AA336" s="4">
        <f>+X310*(1-X314)*F313</f>
        <v>2046.4584848484847</v>
      </c>
      <c r="AB336" s="4">
        <f>+X310*(1-X314)*G313</f>
        <v>2046.4584848484847</v>
      </c>
      <c r="AC336" s="4">
        <f>+X310*(1-X314)*H313</f>
        <v>2046.4584848484847</v>
      </c>
      <c r="AD336" s="4">
        <f>+X310*(1-X314)*I313</f>
        <v>2046.4584848484847</v>
      </c>
      <c r="AE336" s="4">
        <f>+X310*(1-X314)*J313</f>
        <v>2046.4584848484847</v>
      </c>
      <c r="AF336" s="4">
        <f>+X310*(1-X314)*K313</f>
        <v>2046.4584848484847</v>
      </c>
      <c r="AG336" s="4">
        <f t="shared" si="100"/>
        <v>18418.126363636362</v>
      </c>
      <c r="AH336" s="252">
        <f t="shared" si="102"/>
        <v>61393.754545454547</v>
      </c>
    </row>
    <row r="337" spans="1:34">
      <c r="A337" s="6">
        <f t="shared" si="103"/>
        <v>2044</v>
      </c>
      <c r="B337" s="4">
        <f t="shared" si="101"/>
        <v>82206.23781818182</v>
      </c>
      <c r="Y337" s="4">
        <f>Y310*Y314+Y310*(1-Y314)*C313</f>
        <v>2107.8522517482515</v>
      </c>
      <c r="Z337" s="4">
        <f>+Y310*(1-Y314)*D313</f>
        <v>2107.8522517482515</v>
      </c>
      <c r="AA337" s="4">
        <f>+Y310*(1-Y314)*E313</f>
        <v>2107.8522517482515</v>
      </c>
      <c r="AB337" s="4">
        <f>+Y310*(1-Y314)*F313</f>
        <v>2107.8522517482515</v>
      </c>
      <c r="AC337" s="4">
        <f>+Y310*(1-Y314)*G313</f>
        <v>2107.8522517482515</v>
      </c>
      <c r="AD337" s="4">
        <f>+Y310*(1-Y314)*H313</f>
        <v>2107.8522517482515</v>
      </c>
      <c r="AE337" s="4">
        <f>+Y310*(1-Y314)*I313</f>
        <v>2107.8522517482515</v>
      </c>
      <c r="AF337" s="4">
        <f>+Y310*(1-Y314)*J313</f>
        <v>2107.8522517482515</v>
      </c>
      <c r="AG337" s="4">
        <f t="shared" si="100"/>
        <v>16862.818013986016</v>
      </c>
      <c r="AH337" s="252">
        <f t="shared" si="102"/>
        <v>65343.419804195801</v>
      </c>
    </row>
    <row r="338" spans="1:34">
      <c r="A338" s="6">
        <f t="shared" si="103"/>
        <v>2045</v>
      </c>
      <c r="B338" s="4">
        <f t="shared" si="101"/>
        <v>84672.424181818176</v>
      </c>
      <c r="Z338" s="4">
        <f>Z310*Z314+Z310*(1-Z314)*C313</f>
        <v>2171.0877995337992</v>
      </c>
      <c r="AA338" s="4">
        <f>+Z310*(1-Z314)*D313</f>
        <v>2171.0877995337992</v>
      </c>
      <c r="AB338" s="4">
        <f>+Z310*(1-Z314)*E313</f>
        <v>2171.0877995337992</v>
      </c>
      <c r="AC338" s="4">
        <f>+Z310*(1-Z314)*F313</f>
        <v>2171.0877995337992</v>
      </c>
      <c r="AD338" s="4">
        <f>+Z310*(1-Z314)*G313</f>
        <v>2171.0877995337992</v>
      </c>
      <c r="AE338" s="4">
        <f>+Z310*(1-Z314)*H313</f>
        <v>2171.0877995337992</v>
      </c>
      <c r="AF338" s="4">
        <f>+Z310*(1-Z314)*I313</f>
        <v>2171.0877995337992</v>
      </c>
      <c r="AG338" s="4">
        <f t="shared" si="100"/>
        <v>15197.614596736596</v>
      </c>
      <c r="AH338" s="252">
        <f t="shared" si="102"/>
        <v>69474.809585081588</v>
      </c>
    </row>
    <row r="339" spans="1:34">
      <c r="A339" s="6">
        <f t="shared" si="103"/>
        <v>2046</v>
      </c>
      <c r="B339" s="4">
        <f t="shared" si="101"/>
        <v>87212.588909090904</v>
      </c>
      <c r="AA339" s="4">
        <f>AA310*AA314+AA310*(1-AA314)*C313</f>
        <v>2236.2202284382283</v>
      </c>
      <c r="AB339" s="4">
        <f>+AA310*(1-AA314)*D313</f>
        <v>2236.2202284382283</v>
      </c>
      <c r="AC339" s="4">
        <f>+AA310*(1-AA314)*E313</f>
        <v>2236.2202284382283</v>
      </c>
      <c r="AD339" s="4">
        <f>+AA310*(1-AA314)*F313</f>
        <v>2236.2202284382283</v>
      </c>
      <c r="AE339" s="4">
        <f>+AA310*(1-AA314)*G313</f>
        <v>2236.2202284382283</v>
      </c>
      <c r="AF339" s="4">
        <f>+AA310*(1-AA314)*H313</f>
        <v>2236.2202284382283</v>
      </c>
      <c r="AG339" s="4">
        <f t="shared" si="100"/>
        <v>13417.321370629372</v>
      </c>
      <c r="AH339" s="252">
        <f t="shared" si="102"/>
        <v>73795.267538461529</v>
      </c>
    </row>
    <row r="340" spans="1:34">
      <c r="A340" s="6">
        <f t="shared" si="103"/>
        <v>2047</v>
      </c>
      <c r="B340" s="4">
        <f t="shared" si="101"/>
        <v>89828.967636363639</v>
      </c>
      <c r="AB340" s="4">
        <f>AB310*AB314+AB310*(1-AB314)*C313</f>
        <v>2303.3068624708626</v>
      </c>
      <c r="AC340" s="4">
        <f>+AB310*(1-AB314)*D313</f>
        <v>2303.3068624708626</v>
      </c>
      <c r="AD340" s="4">
        <f>+AB310*(1-AB314)*E313</f>
        <v>2303.3068624708626</v>
      </c>
      <c r="AE340" s="4">
        <f>+AB310*(1-AB314)*F313</f>
        <v>2303.3068624708626</v>
      </c>
      <c r="AF340" s="4">
        <f>+AB310*(1-AB314)*G313</f>
        <v>2303.3068624708626</v>
      </c>
      <c r="AG340" s="4">
        <f t="shared" ref="AG340:AG344" si="104">SUM(C340:AF340)</f>
        <v>11516.534312354313</v>
      </c>
      <c r="AH340" s="252">
        <f t="shared" si="102"/>
        <v>78312.433324009326</v>
      </c>
    </row>
    <row r="341" spans="1:34">
      <c r="A341" s="6">
        <f t="shared" si="103"/>
        <v>2048</v>
      </c>
      <c r="B341" s="4">
        <f t="shared" si="101"/>
        <v>92523.844181818175</v>
      </c>
      <c r="AC341" s="4">
        <f>AC310*AC314+AC310*(1-AC314)*C313</f>
        <v>2372.4062610722608</v>
      </c>
      <c r="AD341" s="4">
        <f>+AC310*(1-AC314)*D313</f>
        <v>2372.4062610722608</v>
      </c>
      <c r="AE341" s="4">
        <f>+AC310*(1-AC314)*E313</f>
        <v>2372.4062610722608</v>
      </c>
      <c r="AF341" s="4">
        <f>+AC310*(1-AC314)*F313</f>
        <v>2372.4062610722608</v>
      </c>
      <c r="AG341" s="4">
        <f t="shared" si="104"/>
        <v>9489.6250442890432</v>
      </c>
      <c r="AH341" s="252">
        <f t="shared" si="102"/>
        <v>83034.21913752913</v>
      </c>
    </row>
    <row r="342" spans="1:34">
      <c r="A342" s="6">
        <f t="shared" si="103"/>
        <v>2049</v>
      </c>
      <c r="B342" s="4">
        <f t="shared" si="101"/>
        <v>95299.560181818175</v>
      </c>
      <c r="AD342" s="4">
        <f>AD310*AD314+AD310*(1-AD314)*C313</f>
        <v>2443.5784662004658</v>
      </c>
      <c r="AE342" s="4">
        <f>+AD310*(1-AD314)*D313</f>
        <v>2443.5784662004658</v>
      </c>
      <c r="AF342" s="4">
        <f>+AD310*(1-AD314)*E313</f>
        <v>2443.5784662004658</v>
      </c>
      <c r="AG342" s="4">
        <f t="shared" si="104"/>
        <v>7330.7353986013968</v>
      </c>
      <c r="AH342" s="252">
        <f t="shared" si="102"/>
        <v>87968.824783216784</v>
      </c>
    </row>
    <row r="343" spans="1:34">
      <c r="A343" s="6">
        <f t="shared" si="103"/>
        <v>2050</v>
      </c>
      <c r="B343" s="4">
        <f t="shared" si="101"/>
        <v>98158.543999999994</v>
      </c>
      <c r="AE343" s="4">
        <f>AE310*AE314+AE310*(1-AE314)*C313</f>
        <v>2516.8857435897435</v>
      </c>
      <c r="AF343" s="4">
        <f>+AE310*(1-AE314)*D313</f>
        <v>2516.8857435897435</v>
      </c>
      <c r="AG343" s="4">
        <f t="shared" si="104"/>
        <v>5033.7714871794869</v>
      </c>
      <c r="AH343" s="252">
        <f t="shared" si="102"/>
        <v>93124.772512820506</v>
      </c>
    </row>
    <row r="344" spans="1:34">
      <c r="A344" s="6">
        <f t="shared" si="103"/>
        <v>2051</v>
      </c>
      <c r="B344" s="4">
        <f t="shared" si="101"/>
        <v>101103.3010909091</v>
      </c>
      <c r="AF344" s="4">
        <f>AF310*AF314+AF310*(1-AF314)*C313</f>
        <v>2592.3923356643359</v>
      </c>
      <c r="AG344" s="4">
        <f t="shared" si="104"/>
        <v>2592.3923356643359</v>
      </c>
      <c r="AH344" s="252">
        <f t="shared" si="102"/>
        <v>98510.90875524476</v>
      </c>
    </row>
    <row r="345" spans="1:34">
      <c r="A345" s="6" t="str">
        <f>"Total Depreciation - "&amp;A309</f>
        <v>Total Depreciation - Maintenance Capital</v>
      </c>
      <c r="B345" s="49">
        <f>SUM(B315:B344)</f>
        <v>1415636.013090909</v>
      </c>
      <c r="C345" s="49">
        <f>SUM(C315:C344)</f>
        <v>0</v>
      </c>
      <c r="D345" s="49">
        <f t="shared" ref="D345:AH345" si="105">SUM(D315:D344)</f>
        <v>0</v>
      </c>
      <c r="E345" s="49">
        <f t="shared" si="105"/>
        <v>0</v>
      </c>
      <c r="F345" s="49">
        <f t="shared" si="105"/>
        <v>0</v>
      </c>
      <c r="G345" s="49">
        <f t="shared" si="105"/>
        <v>0</v>
      </c>
      <c r="H345" s="49">
        <f t="shared" si="105"/>
        <v>0</v>
      </c>
      <c r="I345" s="49">
        <f t="shared" si="105"/>
        <v>0</v>
      </c>
      <c r="J345" s="49">
        <f t="shared" si="105"/>
        <v>0</v>
      </c>
      <c r="K345" s="49">
        <f t="shared" si="105"/>
        <v>0</v>
      </c>
      <c r="L345" s="49">
        <f t="shared" si="105"/>
        <v>679.48717948717945</v>
      </c>
      <c r="M345" s="49">
        <f t="shared" si="105"/>
        <v>1379.3589743589741</v>
      </c>
      <c r="N345" s="49">
        <f t="shared" si="105"/>
        <v>2106.6595664335664</v>
      </c>
      <c r="O345" s="49">
        <f t="shared" si="105"/>
        <v>2855.7793566433566</v>
      </c>
      <c r="P345" s="49">
        <f t="shared" si="105"/>
        <v>3627.3726293706295</v>
      </c>
      <c r="Q345" s="49">
        <f t="shared" si="105"/>
        <v>4422.1136829836832</v>
      </c>
      <c r="R345" s="49">
        <f t="shared" si="105"/>
        <v>6135.9903729603739</v>
      </c>
      <c r="S345" s="49">
        <f t="shared" si="105"/>
        <v>7901.2834871794876</v>
      </c>
      <c r="T345" s="49">
        <f t="shared" si="105"/>
        <v>9719.5353379953376</v>
      </c>
      <c r="U345" s="49">
        <f t="shared" si="105"/>
        <v>11592.334689976689</v>
      </c>
      <c r="V345" s="49">
        <f t="shared" si="105"/>
        <v>13521.317995337995</v>
      </c>
      <c r="W345" s="49">
        <f t="shared" si="105"/>
        <v>15508.170876456876</v>
      </c>
      <c r="X345" s="49">
        <f t="shared" si="105"/>
        <v>17554.62936130536</v>
      </c>
      <c r="Y345" s="49">
        <f t="shared" si="105"/>
        <v>19662.481613053613</v>
      </c>
      <c r="Z345" s="49">
        <f t="shared" si="105"/>
        <v>21833.569412587411</v>
      </c>
      <c r="AA345" s="49">
        <f t="shared" si="105"/>
        <v>24069.78964102564</v>
      </c>
      <c r="AB345" s="49">
        <f t="shared" si="105"/>
        <v>26373.096503496501</v>
      </c>
      <c r="AC345" s="49">
        <f t="shared" si="105"/>
        <v>28745.502764568762</v>
      </c>
      <c r="AD345" s="49">
        <f t="shared" si="105"/>
        <v>31189.081230769229</v>
      </c>
      <c r="AE345" s="49">
        <f t="shared" si="105"/>
        <v>33705.966974358969</v>
      </c>
      <c r="AF345" s="49">
        <f t="shared" si="105"/>
        <v>36298.359310023305</v>
      </c>
      <c r="AG345" s="49">
        <f t="shared" si="105"/>
        <v>318881.88096037303</v>
      </c>
      <c r="AH345" s="49">
        <f t="shared" si="105"/>
        <v>1096754.1321305363</v>
      </c>
    </row>
    <row r="347" spans="1:34">
      <c r="A347" s="302">
        <f>+Book!A329</f>
        <v>0</v>
      </c>
    </row>
    <row r="348" spans="1:34">
      <c r="A348" s="6" t="s">
        <v>406</v>
      </c>
      <c r="C348" s="40">
        <f>IF(Capex!$F$15="y",Book!C330*(1-C$446),Book!C330)</f>
        <v>0</v>
      </c>
      <c r="D348" s="40">
        <f>IF(Capex!$F$15="y",Book!D330*(1-D$446),Book!D330)</f>
        <v>0</v>
      </c>
      <c r="E348" s="40">
        <f>IF(Capex!$F$15="y",Book!E330*(1-E$446),Book!E330)</f>
        <v>0</v>
      </c>
      <c r="F348" s="40">
        <f>IF(Capex!$F$15="y",Book!F330*(1-F$446),Book!F330)</f>
        <v>0</v>
      </c>
      <c r="G348" s="40">
        <f>IF(Capex!$F$15="y",Book!G330*(1-G$446),Book!G330)</f>
        <v>0</v>
      </c>
      <c r="H348" s="40">
        <f>IF(Capex!$F$15="y",Book!H330*(1-H$446),Book!H330)</f>
        <v>0</v>
      </c>
      <c r="I348" s="40">
        <f>IF(Capex!$F$15="y",Book!I330*(1-I$446),Book!I330)</f>
        <v>0</v>
      </c>
      <c r="J348" s="40">
        <f>IF(Capex!$F$15="y",Book!J330*(1-J$446),Book!J330)</f>
        <v>0</v>
      </c>
      <c r="K348" s="40">
        <f>IF(Capex!$F$15="y",Book!K330*(1-K$446),Book!K330)</f>
        <v>0</v>
      </c>
      <c r="L348" s="40">
        <f>IF(Capex!$F$15="y",Book!L330*(1-L$446),Book!L330)</f>
        <v>0</v>
      </c>
      <c r="M348" s="40">
        <f>IF(Capex!$F$15="y",Book!M330*(1-M$446),Book!M330)</f>
        <v>0</v>
      </c>
      <c r="N348" s="40">
        <f>IF(Capex!$F$15="y",Book!N330*(1-N$446),Book!N330)</f>
        <v>0</v>
      </c>
      <c r="O348" s="40">
        <f>IF(Capex!$F$15="y",Book!O330*(1-O$446),Book!O330)</f>
        <v>0</v>
      </c>
      <c r="P348" s="40">
        <f>IF(Capex!$F$15="y",Book!P330*(1-P$446),Book!P330)</f>
        <v>0</v>
      </c>
      <c r="Q348" s="40">
        <f>IF(Capex!$F$15="y",Book!Q330*(1-Q$446),Book!Q330)</f>
        <v>0</v>
      </c>
      <c r="R348" s="40">
        <f>IF(Capex!$F$15="y",Book!R330*(1-R$446),Book!R330)</f>
        <v>0</v>
      </c>
      <c r="S348" s="40">
        <f>IF(Capex!$F$15="y",Book!S330*(1-S$446),Book!S330)</f>
        <v>0</v>
      </c>
      <c r="T348" s="40">
        <f>IF(Capex!$F$15="y",Book!T330*(1-T$446),Book!T330)</f>
        <v>0</v>
      </c>
      <c r="U348" s="40">
        <f>IF(Capex!$F$15="y",Book!U330*(1-U$446),Book!U330)</f>
        <v>0</v>
      </c>
      <c r="V348" s="40">
        <f>IF(Capex!$F$15="y",Book!V330*(1-V$446),Book!V330)</f>
        <v>0</v>
      </c>
      <c r="W348" s="40">
        <f>IF(Capex!$F$15="y",Book!W330*(1-W$446),Book!W330)</f>
        <v>0</v>
      </c>
      <c r="X348" s="40">
        <f>IF(Capex!$F$15="y",Book!X330*(1-X$446),Book!X330)</f>
        <v>0</v>
      </c>
      <c r="Y348" s="40">
        <f>IF(Capex!$F$15="y",Book!Y330*(1-Y$446),Book!Y330)</f>
        <v>0</v>
      </c>
      <c r="Z348" s="40">
        <f>IF(Capex!$F$15="y",Book!Z330*(1-Z$446),Book!Z330)</f>
        <v>0</v>
      </c>
      <c r="AA348" s="40">
        <f>IF(Capex!$F$15="y",Book!AA330*(1-AA$446),Book!AA330)</f>
        <v>0</v>
      </c>
      <c r="AB348" s="40">
        <f>IF(Capex!$F$15="y",Book!AB330*(1-AB$446),Book!AB330)</f>
        <v>0</v>
      </c>
      <c r="AC348" s="40">
        <f>IF(Capex!$F$15="y",Book!AC330*(1-AC$446),Book!AC330)</f>
        <v>0</v>
      </c>
      <c r="AD348" s="40">
        <f>IF(Capex!$F$15="y",Book!AD330*(1-AD$446),Book!AD330)</f>
        <v>0</v>
      </c>
      <c r="AE348" s="40">
        <f>IF(Capex!$F$15="y",Book!AE330*(1-AE$446),Book!AE330)</f>
        <v>0</v>
      </c>
      <c r="AF348" s="40">
        <f>IF(Capex!$F$15="y",Book!AF330*(1-AF$446),Book!AF330)</f>
        <v>0</v>
      </c>
    </row>
    <row r="349" spans="1:34">
      <c r="A349" s="6" t="s">
        <v>215</v>
      </c>
      <c r="C349" s="49">
        <f>+C348</f>
        <v>0</v>
      </c>
      <c r="D349" s="49">
        <f t="shared" ref="D349:AF349" si="106">+D348+C349</f>
        <v>0</v>
      </c>
      <c r="E349" s="49">
        <f t="shared" si="106"/>
        <v>0</v>
      </c>
      <c r="F349" s="49">
        <f t="shared" si="106"/>
        <v>0</v>
      </c>
      <c r="G349" s="49">
        <f t="shared" si="106"/>
        <v>0</v>
      </c>
      <c r="H349" s="49">
        <f t="shared" si="106"/>
        <v>0</v>
      </c>
      <c r="I349" s="49">
        <f t="shared" si="106"/>
        <v>0</v>
      </c>
      <c r="J349" s="49">
        <f t="shared" si="106"/>
        <v>0</v>
      </c>
      <c r="K349" s="49">
        <f t="shared" si="106"/>
        <v>0</v>
      </c>
      <c r="L349" s="49">
        <f t="shared" si="106"/>
        <v>0</v>
      </c>
      <c r="M349" s="49">
        <f t="shared" si="106"/>
        <v>0</v>
      </c>
      <c r="N349" s="49">
        <f t="shared" si="106"/>
        <v>0</v>
      </c>
      <c r="O349" s="49">
        <f t="shared" si="106"/>
        <v>0</v>
      </c>
      <c r="P349" s="49">
        <f t="shared" si="106"/>
        <v>0</v>
      </c>
      <c r="Q349" s="49">
        <f t="shared" si="106"/>
        <v>0</v>
      </c>
      <c r="R349" s="49">
        <f t="shared" si="106"/>
        <v>0</v>
      </c>
      <c r="S349" s="49">
        <f t="shared" si="106"/>
        <v>0</v>
      </c>
      <c r="T349" s="49">
        <f t="shared" si="106"/>
        <v>0</v>
      </c>
      <c r="U349" s="49">
        <f t="shared" si="106"/>
        <v>0</v>
      </c>
      <c r="V349" s="49">
        <f t="shared" si="106"/>
        <v>0</v>
      </c>
      <c r="W349" s="49">
        <f t="shared" si="106"/>
        <v>0</v>
      </c>
      <c r="X349" s="49">
        <f t="shared" si="106"/>
        <v>0</v>
      </c>
      <c r="Y349" s="49">
        <f t="shared" si="106"/>
        <v>0</v>
      </c>
      <c r="Z349" s="49">
        <f t="shared" si="106"/>
        <v>0</v>
      </c>
      <c r="AA349" s="49">
        <f t="shared" si="106"/>
        <v>0</v>
      </c>
      <c r="AB349" s="49">
        <f t="shared" si="106"/>
        <v>0</v>
      </c>
      <c r="AC349" s="49">
        <f t="shared" si="106"/>
        <v>0</v>
      </c>
      <c r="AD349" s="49">
        <f t="shared" si="106"/>
        <v>0</v>
      </c>
      <c r="AE349" s="49">
        <f t="shared" si="106"/>
        <v>0</v>
      </c>
      <c r="AF349" s="49">
        <f t="shared" si="106"/>
        <v>0</v>
      </c>
    </row>
    <row r="350" spans="1:34">
      <c r="A350" s="6" t="s">
        <v>407</v>
      </c>
    </row>
    <row r="351" spans="1:34">
      <c r="A351" s="6" t="s">
        <v>408</v>
      </c>
      <c r="B351" s="88">
        <f>+Capex!$E$15</f>
        <v>0</v>
      </c>
      <c r="C351" s="5">
        <f>SUMIF($B$459:$I$459,$B351,$B$460:$I$460)</f>
        <v>0</v>
      </c>
      <c r="D351" s="5">
        <f>SUMIF($B$459:$I$459,$B351,$B$461:$I$461)</f>
        <v>0</v>
      </c>
      <c r="E351" s="5">
        <f>SUMIF($B$459:$I$459,$B351,$B$462:$I$462)</f>
        <v>0</v>
      </c>
      <c r="F351" s="5">
        <f>SUMIF($B$459:$I$459,$B351,$B$463:$I$463)</f>
        <v>0</v>
      </c>
      <c r="G351" s="5">
        <f>SUMIF($B$459:$I$459,$B351,$B$464:$I$464)</f>
        <v>0</v>
      </c>
      <c r="H351" s="5">
        <f>SUMIF($B$459:$I$459,$B351,$B$465:$I$465)</f>
        <v>0</v>
      </c>
      <c r="I351" s="5">
        <f>SUMIF($B$459:$I$459,$B351,$B$466:$I$466)</f>
        <v>0</v>
      </c>
      <c r="J351" s="5">
        <f>SUMIF($B$459:$I$459,$B351,$B$467:$I$467)</f>
        <v>0</v>
      </c>
      <c r="K351" s="5">
        <f>SUMIF($B$459:$I$459,$B351,$B$468:$I$468)</f>
        <v>0</v>
      </c>
      <c r="L351" s="5">
        <f>SUMIF($B$459:$I$459,$B351,$B$469:$I$469)</f>
        <v>0</v>
      </c>
      <c r="M351" s="5">
        <f>SUMIF($B$459:$I$459,$B351,$B$470:$I$470)</f>
        <v>0</v>
      </c>
      <c r="N351" s="5">
        <f>SUMIF($B$459:$I$459,$B351,$B$471:$I$471)</f>
        <v>0</v>
      </c>
      <c r="O351" s="5">
        <f>SUMIF($B$459:$I$459,$B351,$B$472:$I$472)</f>
        <v>0</v>
      </c>
      <c r="P351" s="5">
        <f>SUMIF($B$459:$I$459,$B351,$B$473:$I$473)</f>
        <v>0</v>
      </c>
      <c r="Q351" s="5">
        <f>SUMIF($B$459:$I$459,$B351,$B$474:$I$474)</f>
        <v>0</v>
      </c>
      <c r="R351" s="5">
        <f>SUMIF($B$459:$I$459,$B351,$B$475:$I$475)</f>
        <v>0</v>
      </c>
      <c r="S351" s="5">
        <f>SUMIF($B$459:$I$459,$B351,$B$476:$I$476)</f>
        <v>0</v>
      </c>
      <c r="T351" s="5">
        <f>SUMIF($B$459:$I$459,$B351,$B$477:$I$477)</f>
        <v>0</v>
      </c>
      <c r="U351" s="5">
        <f>SUMIF($B$459:$I$459,$B351,$B$478:$I$478)</f>
        <v>0</v>
      </c>
      <c r="V351" s="5">
        <f>SUMIF($B$459:$I$459,$B351,$B$479:$I$479)</f>
        <v>0</v>
      </c>
      <c r="W351" s="5">
        <f>SUMIF($B$459:$I$459,$B351,$B$480:$I$480)</f>
        <v>0</v>
      </c>
      <c r="X351" s="5">
        <f>SUMIF($B$459:$I$459,$B351,$B$481:$I$481)</f>
        <v>0</v>
      </c>
      <c r="Y351" s="5">
        <f>SUMIF($B$459:$I$459,$B351,$B$482:$I$482)</f>
        <v>0</v>
      </c>
      <c r="Z351" s="5">
        <f>SUMIF($B$459:$I$459,$B351,$B$483:$I$483)</f>
        <v>0</v>
      </c>
      <c r="AA351" s="5">
        <f t="shared" ref="AA351:AF351" si="107">SUMIF($B$459:$I$459,$B351,$B$484:$I$484)</f>
        <v>0</v>
      </c>
      <c r="AB351" s="5">
        <f t="shared" si="107"/>
        <v>0</v>
      </c>
      <c r="AC351" s="5">
        <f t="shared" si="107"/>
        <v>0</v>
      </c>
      <c r="AD351" s="5">
        <f t="shared" si="107"/>
        <v>0</v>
      </c>
      <c r="AE351" s="5">
        <f t="shared" si="107"/>
        <v>0</v>
      </c>
      <c r="AF351" s="5">
        <f t="shared" si="107"/>
        <v>0</v>
      </c>
    </row>
    <row r="352" spans="1:34">
      <c r="A352" s="6" t="s">
        <v>409</v>
      </c>
      <c r="B352" s="89"/>
      <c r="C352" s="94">
        <f>IF(C$2&gt;'Input Data'!$M$37,B352,IF($B351=0,0,SUMIF('Input Data'!$C$37:$M$37,C$2,'Input Data'!$C$38:$M$38)))</f>
        <v>0</v>
      </c>
      <c r="D352" s="94">
        <f>IF(D$2&gt;'Input Data'!$M$37,C352,IF($B351=0,0,SUMIF('Input Data'!$C$37:$M$37,D$2,'Input Data'!$C$38:$M$38)))</f>
        <v>0</v>
      </c>
      <c r="E352" s="94">
        <f>IF(E$2&gt;'Input Data'!$M$37,D352,IF($B351=0,0,SUMIF('Input Data'!$C$37:$M$37,E$2,'Input Data'!$C$38:$M$38)))</f>
        <v>0</v>
      </c>
      <c r="F352" s="94">
        <f>IF(F$2&gt;'Input Data'!$M$37,E352,IF($B351=0,0,SUMIF('Input Data'!$C$37:$M$37,F$2,'Input Data'!$C$38:$M$38)))</f>
        <v>0</v>
      </c>
      <c r="G352" s="94">
        <f>IF(G$2&gt;'Input Data'!$M$37,F352,IF($B351=0,0,SUMIF('Input Data'!$C$37:$M$37,G$2,'Input Data'!$C$38:$M$38)))</f>
        <v>0</v>
      </c>
      <c r="H352" s="94">
        <f>IF(H$2&gt;'Input Data'!$M$37,G352,IF($B351=0,0,SUMIF('Input Data'!$C$37:$M$37,H$2,'Input Data'!$C$38:$M$38)))</f>
        <v>0</v>
      </c>
      <c r="I352" s="94">
        <f>IF(I$2&gt;'Input Data'!$M$37,H352,IF($B351=0,0,SUMIF('Input Data'!$C$37:$M$37,I$2,'Input Data'!$C$38:$M$38)))</f>
        <v>0</v>
      </c>
      <c r="J352" s="94">
        <f>IF(J$2&gt;'Input Data'!$M$37,I352,IF($B351=0,0,SUMIF('Input Data'!$C$37:$M$37,J$2,'Input Data'!$C$38:$M$38)))</f>
        <v>0</v>
      </c>
      <c r="K352" s="94">
        <f>IF(K$2&gt;'Input Data'!$M$37,J352,IF($B351=0,0,SUMIF('Input Data'!$C$37:$M$37,K$2,'Input Data'!$C$38:$M$38)))</f>
        <v>0</v>
      </c>
      <c r="L352" s="94">
        <f>IF(L$2&gt;'Input Data'!$M$37,K352,IF($B351=0,0,SUMIF('Input Data'!$C$37:$M$37,L$2,'Input Data'!$C$38:$M$38)))</f>
        <v>0</v>
      </c>
      <c r="M352" s="94">
        <f>IF(M$2&gt;'Input Data'!$M$37,L352,IF($B351=0,0,SUMIF('Input Data'!$C$37:$M$37,M$2,'Input Data'!$C$38:$M$38)))</f>
        <v>0</v>
      </c>
      <c r="N352" s="94">
        <f>IF(N$2&gt;'Input Data'!$M$37,M352,IF($B351=0,0,SUMIF('Input Data'!$C$37:$M$37,N$2,'Input Data'!$C$38:$M$38)))</f>
        <v>0</v>
      </c>
      <c r="O352" s="94">
        <f>IF(O$2&gt;'Input Data'!$M$37,N352,IF($B351=0,0,SUMIF('Input Data'!$C$37:$M$37,O$2,'Input Data'!$C$38:$M$38)))</f>
        <v>0</v>
      </c>
      <c r="P352" s="94">
        <f>IF(P$2&gt;'Input Data'!$M$37,O352,IF($B351=0,0,SUMIF('Input Data'!$C$37:$M$37,P$2,'Input Data'!$C$38:$M$38)))</f>
        <v>0</v>
      </c>
      <c r="Q352" s="94">
        <f>IF(Q$2&gt;'Input Data'!$M$37,P352,IF($B351=0,0,SUMIF('Input Data'!$C$37:$M$37,Q$2,'Input Data'!$C$38:$M$38)))</f>
        <v>0</v>
      </c>
      <c r="R352" s="94">
        <f>IF(R$2&gt;'Input Data'!$M$37,Q352,IF($B351=0,0,SUMIF('Input Data'!$C$37:$M$37,R$2,'Input Data'!$C$38:$M$38)))</f>
        <v>0</v>
      </c>
      <c r="S352" s="94">
        <f>IF(S$2&gt;'Input Data'!$M$37,R352,IF($B351=0,0,SUMIF('Input Data'!$C$37:$M$37,S$2,'Input Data'!$C$38:$M$38)))</f>
        <v>0</v>
      </c>
      <c r="T352" s="94">
        <f>IF(T$2&gt;'Input Data'!$M$37,S352,IF($B351=0,0,SUMIF('Input Data'!$C$37:$M$37,T$2,'Input Data'!$C$38:$M$38)))</f>
        <v>0</v>
      </c>
      <c r="U352" s="94">
        <f>IF(U$2&gt;'Input Data'!$M$37,T352,IF($B351=0,0,SUMIF('Input Data'!$C$37:$M$37,U$2,'Input Data'!$C$38:$M$38)))</f>
        <v>0</v>
      </c>
      <c r="V352" s="94">
        <f>IF(V$2&gt;'Input Data'!$M$37,U352,IF($B351=0,0,SUMIF('Input Data'!$C$37:$M$37,V$2,'Input Data'!$C$38:$M$38)))</f>
        <v>0</v>
      </c>
      <c r="W352" s="94">
        <f>IF(W$2&gt;'Input Data'!$M$37,V352,IF($B351=0,0,SUMIF('Input Data'!$C$37:$M$37,W$2,'Input Data'!$C$38:$M$38)))</f>
        <v>0</v>
      </c>
      <c r="X352" s="94">
        <f>IF(X$2&gt;'Input Data'!$M$37,W352,IF($B351=0,0,SUMIF('Input Data'!$C$37:$M$37,X$2,'Input Data'!$C$38:$M$38)))</f>
        <v>0</v>
      </c>
      <c r="Y352" s="94">
        <f>IF(Y$2&gt;'Input Data'!$M$37,X352,IF($B351=0,0,SUMIF('Input Data'!$C$37:$M$37,Y$2,'Input Data'!$C$38:$M$38)))</f>
        <v>0</v>
      </c>
      <c r="Z352" s="94">
        <f>IF(Z$2&gt;'Input Data'!$M$37,Y352,IF($B351=0,0,SUMIF('Input Data'!$C$37:$M$37,Z$2,'Input Data'!$C$38:$M$38)))</f>
        <v>0</v>
      </c>
      <c r="AA352" s="94">
        <f>IF(AA$2&gt;'Input Data'!$M$37,Z352,IF($B351=0,0,SUMIF('Input Data'!$C$37:$M$37,AA$2,'Input Data'!$C$38:$M$38)))</f>
        <v>0</v>
      </c>
      <c r="AB352" s="94">
        <f>IF(AB$2&gt;'Input Data'!$M$37,AA352,IF($B351=0,0,SUMIF('Input Data'!$C$37:$M$37,AB$2,'Input Data'!$C$38:$M$38)))</f>
        <v>0</v>
      </c>
      <c r="AC352" s="94">
        <f>IF(AC$2&gt;'Input Data'!$M$37,AB352,IF($B351=0,0,SUMIF('Input Data'!$C$37:$M$37,AC$2,'Input Data'!$C$38:$M$38)))</f>
        <v>0</v>
      </c>
      <c r="AD352" s="94">
        <f>IF(AD$2&gt;'Input Data'!$M$37,AC352,IF($B351=0,0,SUMIF('Input Data'!$C$37:$M$37,AD$2,'Input Data'!$C$38:$M$38)))</f>
        <v>0</v>
      </c>
      <c r="AE352" s="94">
        <f>IF(AE$2&gt;'Input Data'!$M$37,AD352,IF($B351=0,0,SUMIF('Input Data'!$C$37:$M$37,AE$2,'Input Data'!$C$38:$M$38)))</f>
        <v>0</v>
      </c>
      <c r="AF352" s="94">
        <f>IF(AF$2&gt;'Input Data'!$M$37,AE352,IF($B351=0,0,SUMIF('Input Data'!$C$37:$M$37,AF$2,'Input Data'!$C$38:$M$38)))</f>
        <v>0</v>
      </c>
    </row>
    <row r="353" spans="1:34">
      <c r="A353" s="6">
        <f>+A239</f>
        <v>2022</v>
      </c>
      <c r="B353" s="4">
        <f>SUMIF($C$2:$AF$2,A353,$C$348:$AF$348)</f>
        <v>0</v>
      </c>
      <c r="C353" s="4">
        <f>C348*C352+C348*(1-C352)*C351</f>
        <v>0</v>
      </c>
      <c r="D353" s="4">
        <f>C348*(1-C352)*D351</f>
        <v>0</v>
      </c>
      <c r="E353" s="4">
        <f>C348*(1-C352)*E351</f>
        <v>0</v>
      </c>
      <c r="F353" s="4">
        <f>C348*(1-C352)*F351</f>
        <v>0</v>
      </c>
      <c r="G353" s="4">
        <f>C348*(1-C352)*G351</f>
        <v>0</v>
      </c>
      <c r="H353" s="4">
        <f>C348*(1-C352)*H351</f>
        <v>0</v>
      </c>
      <c r="I353" s="4">
        <f>C348*(1-C352)*I351</f>
        <v>0</v>
      </c>
      <c r="J353" s="4">
        <f>C348*(1-C352)*J351</f>
        <v>0</v>
      </c>
      <c r="K353" s="4">
        <f>C348*(1-C352)*K351</f>
        <v>0</v>
      </c>
      <c r="L353" s="4">
        <f>C348*(1-C352)*L351</f>
        <v>0</v>
      </c>
      <c r="M353" s="4">
        <f>C348*(1-C352)*M351</f>
        <v>0</v>
      </c>
      <c r="N353" s="4">
        <f>C348*(1-C352)*N351</f>
        <v>0</v>
      </c>
      <c r="O353" s="4">
        <f>C348*(1-C352)*O351</f>
        <v>0</v>
      </c>
      <c r="P353" s="4">
        <f>C348*(1-C352)*P351</f>
        <v>0</v>
      </c>
      <c r="Q353" s="4">
        <f>C348*(1-C352)*Q351</f>
        <v>0</v>
      </c>
      <c r="R353" s="4">
        <f>C348*(1-C352)*R351</f>
        <v>0</v>
      </c>
      <c r="S353" s="4">
        <f>C348*(1-C352)*S351</f>
        <v>0</v>
      </c>
      <c r="T353" s="4">
        <f>C348*(1-C352)*T351</f>
        <v>0</v>
      </c>
      <c r="U353" s="4">
        <f>C348*(1-C352)*U351</f>
        <v>0</v>
      </c>
      <c r="V353" s="4">
        <f>C348*(1-C352)*V351</f>
        <v>0</v>
      </c>
      <c r="W353" s="4">
        <f>C348*(1-C352)*W351</f>
        <v>0</v>
      </c>
      <c r="X353" s="4">
        <f>C348*(1-C352)*X351</f>
        <v>0</v>
      </c>
      <c r="Y353" s="4">
        <f>C348*(1-C352)*Y351</f>
        <v>0</v>
      </c>
      <c r="Z353" s="4">
        <f>C348*(1-C352)*Z351</f>
        <v>0</v>
      </c>
      <c r="AA353" s="4">
        <f>C348*(1-C352)*AA351</f>
        <v>0</v>
      </c>
      <c r="AB353" s="4">
        <f>C348*(1-C352)*AB351</f>
        <v>0</v>
      </c>
      <c r="AC353" s="4">
        <f>C348*(1-C352)*AC351</f>
        <v>0</v>
      </c>
      <c r="AD353" s="4">
        <f>C348*(1-C352)*AD351</f>
        <v>0</v>
      </c>
      <c r="AE353" s="4">
        <f>C348*(1-C352)*AE351</f>
        <v>0</v>
      </c>
      <c r="AF353" s="4">
        <f>C348*(1-C352)*AF351</f>
        <v>0</v>
      </c>
      <c r="AG353" s="4">
        <f t="shared" ref="AG353:AG377" si="108">SUM(C353:AF353)</f>
        <v>0</v>
      </c>
      <c r="AH353" s="252">
        <f>+B353-AG353</f>
        <v>0</v>
      </c>
    </row>
    <row r="354" spans="1:34">
      <c r="A354" s="6">
        <f t="shared" ref="A354:A382" si="109">+A240</f>
        <v>2023</v>
      </c>
      <c r="B354" s="4">
        <f t="shared" ref="B354:B382" si="110">SUMIF($C$2:$AF$2,A354,$C$348:$AF$348)</f>
        <v>0</v>
      </c>
      <c r="D354" s="4">
        <f>D348*D352+D348*(1-D352)*C351</f>
        <v>0</v>
      </c>
      <c r="E354" s="4">
        <f>+D348*(1-D352)*D351</f>
        <v>0</v>
      </c>
      <c r="F354" s="4">
        <f>+D348*(1-D352)*E351</f>
        <v>0</v>
      </c>
      <c r="G354" s="4">
        <f>+D348*(1-D352)*F351</f>
        <v>0</v>
      </c>
      <c r="H354" s="4">
        <f>+D348*(1-D352)*G351</f>
        <v>0</v>
      </c>
      <c r="I354" s="4">
        <f>+D348*(1-D352)*H351</f>
        <v>0</v>
      </c>
      <c r="J354" s="4">
        <f>+D348*(1-D352)*I351</f>
        <v>0</v>
      </c>
      <c r="K354" s="4">
        <f>+D348*(1-D352)*J351</f>
        <v>0</v>
      </c>
      <c r="L354" s="4">
        <f>+D348*(1-D352)*K351</f>
        <v>0</v>
      </c>
      <c r="M354" s="4">
        <f>+D348*(1-D352)*L351</f>
        <v>0</v>
      </c>
      <c r="N354" s="4">
        <f>+D348*(1-D352)*M351</f>
        <v>0</v>
      </c>
      <c r="O354" s="4">
        <f>+D348*(1-D352)*N351</f>
        <v>0</v>
      </c>
      <c r="P354" s="4">
        <f>+D348*(1-D352)*O351</f>
        <v>0</v>
      </c>
      <c r="Q354" s="4">
        <f>+D348*(1-D352)*P351</f>
        <v>0</v>
      </c>
      <c r="R354" s="4">
        <f>+D348*(1-D352)*Q351</f>
        <v>0</v>
      </c>
      <c r="S354" s="4">
        <f>+D348*(1-D352)*R351</f>
        <v>0</v>
      </c>
      <c r="T354" s="4">
        <f>+D348*(1-D352)*S351</f>
        <v>0</v>
      </c>
      <c r="U354" s="4">
        <f>+D348*(1-D352)*T351</f>
        <v>0</v>
      </c>
      <c r="V354" s="4">
        <f>+D348*(1-D352)*U351</f>
        <v>0</v>
      </c>
      <c r="W354" s="4">
        <f>+D348*(1-D352)*V351</f>
        <v>0</v>
      </c>
      <c r="X354" s="4">
        <f>+D348*(1-D352)*W351</f>
        <v>0</v>
      </c>
      <c r="Y354" s="4">
        <f>+D348*(1-D352)*X351</f>
        <v>0</v>
      </c>
      <c r="Z354" s="4">
        <f>+D348*(1-D352)*Y351</f>
        <v>0</v>
      </c>
      <c r="AA354" s="4">
        <f>+D348*(1-D352)*Z351</f>
        <v>0</v>
      </c>
      <c r="AB354" s="4">
        <f>+D348*(1-D352)*AA351</f>
        <v>0</v>
      </c>
      <c r="AC354" s="4">
        <f>+D348*(1-D352)*AB351</f>
        <v>0</v>
      </c>
      <c r="AD354" s="4">
        <f>+D348*(1-D352)*AC351</f>
        <v>0</v>
      </c>
      <c r="AE354" s="4">
        <f>+D348*(1-D352)*AD351</f>
        <v>0</v>
      </c>
      <c r="AF354" s="4">
        <f>+D348*(1-D352)*AE351</f>
        <v>0</v>
      </c>
      <c r="AG354" s="4">
        <f t="shared" si="108"/>
        <v>0</v>
      </c>
      <c r="AH354" s="252">
        <f t="shared" ref="AH354:AH382" si="111">+B354-AG354</f>
        <v>0</v>
      </c>
    </row>
    <row r="355" spans="1:34">
      <c r="A355" s="6">
        <f t="shared" si="109"/>
        <v>2024</v>
      </c>
      <c r="B355" s="4">
        <f t="shared" si="110"/>
        <v>0</v>
      </c>
      <c r="E355" s="4">
        <f>E348*E352+E348*(1-E352)*C351</f>
        <v>0</v>
      </c>
      <c r="F355" s="4">
        <f>+E348*(1-E352)*D351</f>
        <v>0</v>
      </c>
      <c r="G355" s="4">
        <f>+E348*(1-E352)*E351</f>
        <v>0</v>
      </c>
      <c r="H355" s="4">
        <f>+E348*(1-E352)*F351</f>
        <v>0</v>
      </c>
      <c r="I355" s="4">
        <f>+E348*(1-E352)*G351</f>
        <v>0</v>
      </c>
      <c r="J355" s="4">
        <f>+E348*(1-E352)*H351</f>
        <v>0</v>
      </c>
      <c r="K355" s="4">
        <f>+E348*(1-E352)*I351</f>
        <v>0</v>
      </c>
      <c r="L355" s="4">
        <f>+E348*(1-E352)*J351</f>
        <v>0</v>
      </c>
      <c r="M355" s="4">
        <f>+E348*(1-E352)*K351</f>
        <v>0</v>
      </c>
      <c r="N355" s="4">
        <f>+E348*(1-E352)*L351</f>
        <v>0</v>
      </c>
      <c r="O355" s="4">
        <f>+E348*(1-E352)*M351</f>
        <v>0</v>
      </c>
      <c r="P355" s="4">
        <f>+E348*(1-E352)*N351</f>
        <v>0</v>
      </c>
      <c r="Q355" s="4">
        <f>+E348*(1-E352)*O351</f>
        <v>0</v>
      </c>
      <c r="R355" s="4">
        <f>+E348*(1-E352)*P351</f>
        <v>0</v>
      </c>
      <c r="S355" s="4">
        <f>+E348*(1-E352)*Q351</f>
        <v>0</v>
      </c>
      <c r="T355" s="4">
        <f>+E348*(1-E352)*R351</f>
        <v>0</v>
      </c>
      <c r="U355" s="4">
        <f>+E348*(1-E352)*S351</f>
        <v>0</v>
      </c>
      <c r="V355" s="4">
        <f>+E348*(1-E352)*T351</f>
        <v>0</v>
      </c>
      <c r="W355" s="4">
        <f>+E348*(1-E352)*U351</f>
        <v>0</v>
      </c>
      <c r="X355" s="4">
        <f>+E348*(1-E352)*V351</f>
        <v>0</v>
      </c>
      <c r="Y355" s="4">
        <f>+E348*(1-E352)*W351</f>
        <v>0</v>
      </c>
      <c r="Z355" s="4">
        <f>+E348*(1-E352)*X351</f>
        <v>0</v>
      </c>
      <c r="AA355" s="4">
        <f>+E348*(1-E352)*Y351</f>
        <v>0</v>
      </c>
      <c r="AB355" s="4">
        <f>+E348*(1-E352)*Z351</f>
        <v>0</v>
      </c>
      <c r="AC355" s="4">
        <f>+E348*(1-E352)*AA351</f>
        <v>0</v>
      </c>
      <c r="AD355" s="4">
        <f>+E348*(1-E352)*AB351</f>
        <v>0</v>
      </c>
      <c r="AE355" s="4">
        <f>+E348*(1-E352)*AC351</f>
        <v>0</v>
      </c>
      <c r="AF355" s="4">
        <f>+E348*(1-E352)*AD351</f>
        <v>0</v>
      </c>
      <c r="AG355" s="4">
        <f t="shared" si="108"/>
        <v>0</v>
      </c>
      <c r="AH355" s="252">
        <f t="shared" si="111"/>
        <v>0</v>
      </c>
    </row>
    <row r="356" spans="1:34">
      <c r="A356" s="6">
        <f t="shared" si="109"/>
        <v>2025</v>
      </c>
      <c r="B356" s="4">
        <f t="shared" si="110"/>
        <v>0</v>
      </c>
      <c r="F356" s="4">
        <f>F348*F352+F348*(1-F352)*C351</f>
        <v>0</v>
      </c>
      <c r="G356" s="4">
        <f>+F348*(1-F352)*D351</f>
        <v>0</v>
      </c>
      <c r="H356" s="4">
        <f>+F348*(1-F352)*E351</f>
        <v>0</v>
      </c>
      <c r="I356" s="4">
        <f>+F348*(1-F352)*F351</f>
        <v>0</v>
      </c>
      <c r="J356" s="4">
        <f>+F348*(1-F352)*G351</f>
        <v>0</v>
      </c>
      <c r="K356" s="4">
        <f>+F348*(1-F352)*H351</f>
        <v>0</v>
      </c>
      <c r="L356" s="4">
        <f>+F348*(1-F352)*I351</f>
        <v>0</v>
      </c>
      <c r="M356" s="4">
        <f>+F348*(1-F352)*J351</f>
        <v>0</v>
      </c>
      <c r="N356" s="4">
        <f>+F348*(1-F352)*K351</f>
        <v>0</v>
      </c>
      <c r="O356" s="4">
        <f>+F348*(1-F352)*L351</f>
        <v>0</v>
      </c>
      <c r="P356" s="4">
        <f>+F348*(1-F352)*M351</f>
        <v>0</v>
      </c>
      <c r="Q356" s="4">
        <f>+F348*(1-F352)*N351</f>
        <v>0</v>
      </c>
      <c r="R356" s="4">
        <f>+F348*(1-F352)*O351</f>
        <v>0</v>
      </c>
      <c r="S356" s="4">
        <f>+F348*(1-F352)*P351</f>
        <v>0</v>
      </c>
      <c r="T356" s="4">
        <f>+F348*(1-F352)*Q351</f>
        <v>0</v>
      </c>
      <c r="U356" s="4">
        <f>+F348*(1-F352)*R351</f>
        <v>0</v>
      </c>
      <c r="V356" s="4">
        <f>+F348*(1-F352)*S351</f>
        <v>0</v>
      </c>
      <c r="W356" s="4">
        <f>+F348*(1-F352)*T351</f>
        <v>0</v>
      </c>
      <c r="X356" s="4">
        <f>+F348*(1-F352)*U351</f>
        <v>0</v>
      </c>
      <c r="Y356" s="4">
        <f>+F348*(1-F352)*V351</f>
        <v>0</v>
      </c>
      <c r="Z356" s="4">
        <f>+F348*(1-F352)*W351</f>
        <v>0</v>
      </c>
      <c r="AA356" s="4">
        <f>+F348*(1-F352)*X351</f>
        <v>0</v>
      </c>
      <c r="AB356" s="4">
        <f>+F348*(1-F352)*Y351</f>
        <v>0</v>
      </c>
      <c r="AC356" s="4">
        <f>+F348*(1-F352)*Z351</f>
        <v>0</v>
      </c>
      <c r="AD356" s="4">
        <f>+F348*(1-F352)*AA351</f>
        <v>0</v>
      </c>
      <c r="AE356" s="4">
        <f>+F348*(1-F352)*AB351</f>
        <v>0</v>
      </c>
      <c r="AF356" s="4">
        <f>+F348*(1-F352)*AC351</f>
        <v>0</v>
      </c>
      <c r="AG356" s="4">
        <f t="shared" si="108"/>
        <v>0</v>
      </c>
      <c r="AH356" s="252">
        <f t="shared" si="111"/>
        <v>0</v>
      </c>
    </row>
    <row r="357" spans="1:34">
      <c r="A357" s="6">
        <f t="shared" si="109"/>
        <v>2026</v>
      </c>
      <c r="B357" s="4">
        <f t="shared" si="110"/>
        <v>0</v>
      </c>
      <c r="G357" s="4">
        <f>G348*G352+G348*(1-G352)*C351</f>
        <v>0</v>
      </c>
      <c r="H357" s="4">
        <f>+G348*(1-G352)*D351</f>
        <v>0</v>
      </c>
      <c r="I357" s="4">
        <f>+G348*(1-G352)*E351</f>
        <v>0</v>
      </c>
      <c r="J357" s="4">
        <f>+G348*(1-G352)*F351</f>
        <v>0</v>
      </c>
      <c r="K357" s="4">
        <f>+G348*(1-G352)*G351</f>
        <v>0</v>
      </c>
      <c r="L357" s="4">
        <f>+G348*(1-G352)*H351</f>
        <v>0</v>
      </c>
      <c r="M357" s="4">
        <f>+G348*(1-G352)*I351</f>
        <v>0</v>
      </c>
      <c r="N357" s="4">
        <f>+G348*(1-G352)*J351</f>
        <v>0</v>
      </c>
      <c r="O357" s="4">
        <f>+G348*(1-G352)*K351</f>
        <v>0</v>
      </c>
      <c r="P357" s="4">
        <f>+G348*(1-G352)*L351</f>
        <v>0</v>
      </c>
      <c r="Q357" s="4">
        <f>+G348*(1-G352)*M351</f>
        <v>0</v>
      </c>
      <c r="R357" s="4">
        <f>+G348*(1-G352)*N351</f>
        <v>0</v>
      </c>
      <c r="S357" s="4">
        <f>+G348*(1-G352)*O351</f>
        <v>0</v>
      </c>
      <c r="T357" s="4">
        <f>+G348*(1-G352)*P351</f>
        <v>0</v>
      </c>
      <c r="U357" s="4">
        <f>+G348*(1-G352)*Q351</f>
        <v>0</v>
      </c>
      <c r="V357" s="4">
        <f>+G348*(1-G352)*R351</f>
        <v>0</v>
      </c>
      <c r="W357" s="4">
        <f>+G348*(1-G352)*S351</f>
        <v>0</v>
      </c>
      <c r="X357" s="4">
        <f>+G348*(1-G352)*T351</f>
        <v>0</v>
      </c>
      <c r="Y357" s="4">
        <f>+G348*(1-G352)*U351</f>
        <v>0</v>
      </c>
      <c r="Z357" s="4">
        <f>+G348*(1-G352)*V351</f>
        <v>0</v>
      </c>
      <c r="AA357" s="4">
        <f>+G348*(1-G352)*W351</f>
        <v>0</v>
      </c>
      <c r="AB357" s="4">
        <f>+G348*(1-G352)*X351</f>
        <v>0</v>
      </c>
      <c r="AC357" s="4">
        <f>+G348*(1-G352)*Y351</f>
        <v>0</v>
      </c>
      <c r="AD357" s="4">
        <f>+G348*(1-G352)*Z351</f>
        <v>0</v>
      </c>
      <c r="AE357" s="4">
        <f>+G348*(1-G352)*AA351</f>
        <v>0</v>
      </c>
      <c r="AF357" s="4">
        <f>+G348*(1-G352)*AB351</f>
        <v>0</v>
      </c>
      <c r="AG357" s="4">
        <f t="shared" si="108"/>
        <v>0</v>
      </c>
      <c r="AH357" s="252">
        <f t="shared" si="111"/>
        <v>0</v>
      </c>
    </row>
    <row r="358" spans="1:34">
      <c r="A358" s="6">
        <f t="shared" si="109"/>
        <v>2027</v>
      </c>
      <c r="B358" s="4">
        <f t="shared" si="110"/>
        <v>0</v>
      </c>
      <c r="H358" s="4">
        <f>H348*H352+H348*(1-H352)*C351</f>
        <v>0</v>
      </c>
      <c r="I358" s="4">
        <f>+H348*(1-H352)*D351</f>
        <v>0</v>
      </c>
      <c r="J358" s="4">
        <f>+H348*(1-H352)*E351</f>
        <v>0</v>
      </c>
      <c r="K358" s="4">
        <f>+H348*(1-H352)*F351</f>
        <v>0</v>
      </c>
      <c r="L358" s="4">
        <f>+H348*(1-H352)*G351</f>
        <v>0</v>
      </c>
      <c r="M358" s="4">
        <f>+H348*(1-H352)*H351</f>
        <v>0</v>
      </c>
      <c r="N358" s="4">
        <f>+H348*(1-H352)*I351</f>
        <v>0</v>
      </c>
      <c r="O358" s="4">
        <f>+H348*(1-H352)*J351</f>
        <v>0</v>
      </c>
      <c r="P358" s="4">
        <f>+H348*(1-H352)*K351</f>
        <v>0</v>
      </c>
      <c r="Q358" s="4">
        <f>+H348*(1-H352)*L351</f>
        <v>0</v>
      </c>
      <c r="R358" s="4">
        <f>+H348*(1-H352)*M351</f>
        <v>0</v>
      </c>
      <c r="S358" s="4">
        <f>+H348*(1-H352)*N351</f>
        <v>0</v>
      </c>
      <c r="T358" s="4">
        <f>+H348*(1-H352)*O351</f>
        <v>0</v>
      </c>
      <c r="U358" s="4">
        <f>+H348*(1-H352)*P351</f>
        <v>0</v>
      </c>
      <c r="V358" s="4">
        <f>+H348*(1-H352)*Q351</f>
        <v>0</v>
      </c>
      <c r="W358" s="4">
        <f>+H348*(1-H352)*R351</f>
        <v>0</v>
      </c>
      <c r="X358" s="4">
        <f>+H348*(1-H352)*S351</f>
        <v>0</v>
      </c>
      <c r="Y358" s="4">
        <f>+H348*(1-H352)*T351</f>
        <v>0</v>
      </c>
      <c r="Z358" s="4">
        <f>+H348*(1-H352)*U351</f>
        <v>0</v>
      </c>
      <c r="AA358" s="4">
        <f>+H348*(1-H352)*V351</f>
        <v>0</v>
      </c>
      <c r="AB358" s="4">
        <f>+H348*(1-H352)*W351</f>
        <v>0</v>
      </c>
      <c r="AC358" s="4">
        <f>+H348*(1-H352)*X351</f>
        <v>0</v>
      </c>
      <c r="AD358" s="4">
        <f>+H348*(1-H352)*Y351</f>
        <v>0</v>
      </c>
      <c r="AE358" s="4">
        <f>+H348*(1-H352)*Z351</f>
        <v>0</v>
      </c>
      <c r="AF358" s="4">
        <f>+H348*(1-H352)*AA351</f>
        <v>0</v>
      </c>
      <c r="AG358" s="4">
        <f t="shared" si="108"/>
        <v>0</v>
      </c>
      <c r="AH358" s="252">
        <f t="shared" si="111"/>
        <v>0</v>
      </c>
    </row>
    <row r="359" spans="1:34">
      <c r="A359" s="6">
        <f t="shared" si="109"/>
        <v>2028</v>
      </c>
      <c r="B359" s="4">
        <f t="shared" si="110"/>
        <v>0</v>
      </c>
      <c r="I359" s="4">
        <f>I348*I352+I348*(1-I352)*C351</f>
        <v>0</v>
      </c>
      <c r="J359" s="4">
        <f>+I348*(1-I352)*D351</f>
        <v>0</v>
      </c>
      <c r="K359" s="4">
        <f>+I348*(1-I352)*E351</f>
        <v>0</v>
      </c>
      <c r="L359" s="4">
        <f>+I348*(1-I352)*F351</f>
        <v>0</v>
      </c>
      <c r="M359" s="4">
        <f>+I348*(1-I352)*G351</f>
        <v>0</v>
      </c>
      <c r="N359" s="4">
        <f>+I348*(1-I352)*H351</f>
        <v>0</v>
      </c>
      <c r="O359" s="4">
        <f>+I348*(1-I352)*I351</f>
        <v>0</v>
      </c>
      <c r="P359" s="4">
        <f>+I348*(1-I352)*J351</f>
        <v>0</v>
      </c>
      <c r="Q359" s="4">
        <f>+I348*(1-I352)*K351</f>
        <v>0</v>
      </c>
      <c r="R359" s="4">
        <f>+I348*(1-I352)*L351</f>
        <v>0</v>
      </c>
      <c r="S359" s="4">
        <f>+I348*(1-I352)*M351</f>
        <v>0</v>
      </c>
      <c r="T359" s="4">
        <f>+I348*(1-I352)*N351</f>
        <v>0</v>
      </c>
      <c r="U359" s="4">
        <f>+I348*(1-I352)*O351</f>
        <v>0</v>
      </c>
      <c r="V359" s="4">
        <f>+I348*(1-I352)*P351</f>
        <v>0</v>
      </c>
      <c r="W359" s="4">
        <f>+I348*(1-I352)*Q351</f>
        <v>0</v>
      </c>
      <c r="X359" s="4">
        <f>+I348*(1-I352)*R351</f>
        <v>0</v>
      </c>
      <c r="Y359" s="4">
        <f>+I348*(1-I352)*S351</f>
        <v>0</v>
      </c>
      <c r="Z359" s="4">
        <f>+I348*(1-I352)*T351</f>
        <v>0</v>
      </c>
      <c r="AA359" s="4">
        <f>+I348*(1-I352)*U351</f>
        <v>0</v>
      </c>
      <c r="AB359" s="4">
        <f>+I348*(1-I352)*V351</f>
        <v>0</v>
      </c>
      <c r="AC359" s="4">
        <f>+I348*(1-I352)*W351</f>
        <v>0</v>
      </c>
      <c r="AD359" s="4">
        <f>+I348*(1-I352)*X351</f>
        <v>0</v>
      </c>
      <c r="AE359" s="4">
        <f>+I348*(1-I352)*Y351</f>
        <v>0</v>
      </c>
      <c r="AF359" s="4">
        <f>+I348*(1-I352)*Z351</f>
        <v>0</v>
      </c>
      <c r="AG359" s="4">
        <f t="shared" si="108"/>
        <v>0</v>
      </c>
      <c r="AH359" s="252">
        <f t="shared" si="111"/>
        <v>0</v>
      </c>
    </row>
    <row r="360" spans="1:34">
      <c r="A360" s="6">
        <f t="shared" si="109"/>
        <v>2029</v>
      </c>
      <c r="B360" s="4">
        <f t="shared" si="110"/>
        <v>0</v>
      </c>
      <c r="J360" s="4">
        <f>J348*J352+J348*(1-J352)*C351</f>
        <v>0</v>
      </c>
      <c r="K360" s="4">
        <f>K348*K352+J348*(1-K352)*D351</f>
        <v>0</v>
      </c>
      <c r="L360" s="4">
        <f>L348*L352+J348*(1-L352)*E351</f>
        <v>0</v>
      </c>
      <c r="M360" s="4">
        <f>M348*M352+J348*(1-M352)*F351</f>
        <v>0</v>
      </c>
      <c r="N360" s="4">
        <f>N348*N352+J348*(1-N352)*G351</f>
        <v>0</v>
      </c>
      <c r="O360" s="4">
        <f>O348*O352+J348*(1-O352)*H351</f>
        <v>0</v>
      </c>
      <c r="P360" s="4">
        <f>P348*P352+J348*(1-P352)*I351</f>
        <v>0</v>
      </c>
      <c r="Q360" s="4">
        <f>Q348*Q352+J348*(1-Q352)*J351</f>
        <v>0</v>
      </c>
      <c r="R360" s="4">
        <f>R348*R352+J348*(1-R352)*K351</f>
        <v>0</v>
      </c>
      <c r="S360" s="4">
        <f>S348*S352+J348*(1-S352)*L351</f>
        <v>0</v>
      </c>
      <c r="T360" s="4">
        <f>T348*T352+J348*(1-T352)*M351</f>
        <v>0</v>
      </c>
      <c r="U360" s="4">
        <f>U348*U352+J348*(1-U352)*N351</f>
        <v>0</v>
      </c>
      <c r="V360" s="4">
        <f>V348*V352+J348*(1-V352)*O351</f>
        <v>0</v>
      </c>
      <c r="W360" s="4">
        <f>W348*W352+J348*(1-W352)*P351</f>
        <v>0</v>
      </c>
      <c r="X360" s="4">
        <f>X348*X352+J348*(1-X352)*Q351</f>
        <v>0</v>
      </c>
      <c r="Y360" s="4">
        <f>Y348*Y352+J348*(1-Y352)*R351</f>
        <v>0</v>
      </c>
      <c r="Z360" s="4">
        <f>Z348*Z352+J348*(1-Z352)*S351</f>
        <v>0</v>
      </c>
      <c r="AA360" s="4">
        <f>AA348*AA352+J348*(1-AA352)*T351</f>
        <v>0</v>
      </c>
      <c r="AB360" s="4">
        <f>AB348*AB352+J348*(1-AB352)*U351</f>
        <v>0</v>
      </c>
      <c r="AC360" s="4">
        <f>AC348*AC352+J348*(1-AC352)*V351</f>
        <v>0</v>
      </c>
      <c r="AD360" s="4">
        <f>AD348*AD352+J348*(1-AD352)*W351</f>
        <v>0</v>
      </c>
      <c r="AE360" s="4">
        <f>AE348*AE352+J348*(1-AE352)*X351</f>
        <v>0</v>
      </c>
      <c r="AF360" s="4">
        <f>AF348*AF352+J348*(1-AF352)*Y351</f>
        <v>0</v>
      </c>
      <c r="AG360" s="4">
        <f t="shared" si="108"/>
        <v>0</v>
      </c>
      <c r="AH360" s="252">
        <f t="shared" si="111"/>
        <v>0</v>
      </c>
    </row>
    <row r="361" spans="1:34">
      <c r="A361" s="6">
        <f t="shared" si="109"/>
        <v>2030</v>
      </c>
      <c r="B361" s="4">
        <f t="shared" si="110"/>
        <v>0</v>
      </c>
      <c r="K361" s="4">
        <f>K348*K352+K348*(1-K352)*C351</f>
        <v>0</v>
      </c>
      <c r="L361" s="4">
        <f>+K348*(1-K352)*D351</f>
        <v>0</v>
      </c>
      <c r="M361" s="4">
        <f>+K348*(1-K352)*E351</f>
        <v>0</v>
      </c>
      <c r="N361" s="4">
        <f>+K348*(1-K352)*F351</f>
        <v>0</v>
      </c>
      <c r="O361" s="4">
        <f>+K348*(1-K352)*G351</f>
        <v>0</v>
      </c>
      <c r="P361" s="4">
        <f>+K348*(1-K352)*H351</f>
        <v>0</v>
      </c>
      <c r="Q361" s="4">
        <f>+K348*(1-K352)*I351</f>
        <v>0</v>
      </c>
      <c r="R361" s="4">
        <f>+K348*(1-K352)*J351</f>
        <v>0</v>
      </c>
      <c r="S361" s="4">
        <f>+K348*(1-K352)*K351</f>
        <v>0</v>
      </c>
      <c r="T361" s="4">
        <f>+K348*(1-K352)*L351</f>
        <v>0</v>
      </c>
      <c r="U361" s="4">
        <f>+K348*(1-K352)*M351</f>
        <v>0</v>
      </c>
      <c r="V361" s="4">
        <f>+K348*(1-K352)*N351</f>
        <v>0</v>
      </c>
      <c r="W361" s="4">
        <f>+K348*(1-K352)*O351</f>
        <v>0</v>
      </c>
      <c r="X361" s="4">
        <f>+K348*(1-K352)*P351</f>
        <v>0</v>
      </c>
      <c r="Y361" s="4">
        <f>+K348*(1-K352)*Q351</f>
        <v>0</v>
      </c>
      <c r="Z361" s="4">
        <f>+K348*(1-K352)*R351</f>
        <v>0</v>
      </c>
      <c r="AA361" s="4">
        <f>+K348*(1-K352)*S351</f>
        <v>0</v>
      </c>
      <c r="AB361" s="4">
        <f>+K348*(1-K352)*T351</f>
        <v>0</v>
      </c>
      <c r="AC361" s="4">
        <f>+K348*(1-K352)*U351</f>
        <v>0</v>
      </c>
      <c r="AD361" s="4">
        <f>+K348*(1-K352)*V351</f>
        <v>0</v>
      </c>
      <c r="AE361" s="4">
        <f>+K348*(1-K352)*W351</f>
        <v>0</v>
      </c>
      <c r="AF361" s="4">
        <f>+K348*(1-K352)*X351</f>
        <v>0</v>
      </c>
      <c r="AG361" s="4">
        <f t="shared" si="108"/>
        <v>0</v>
      </c>
      <c r="AH361" s="252">
        <f t="shared" si="111"/>
        <v>0</v>
      </c>
    </row>
    <row r="362" spans="1:34">
      <c r="A362" s="6">
        <f t="shared" si="109"/>
        <v>2031</v>
      </c>
      <c r="B362" s="4">
        <f t="shared" si="110"/>
        <v>0</v>
      </c>
      <c r="L362" s="4">
        <f>L348*L352+L348*(1-L352)*C351</f>
        <v>0</v>
      </c>
      <c r="M362" s="4">
        <f>+L348*(1-L352)*D351</f>
        <v>0</v>
      </c>
      <c r="N362" s="4">
        <f>+L348*(1-L352)*E351</f>
        <v>0</v>
      </c>
      <c r="O362" s="4">
        <f>+L348*(1-L352)*F351</f>
        <v>0</v>
      </c>
      <c r="P362" s="4">
        <f>+L348*(1-L352)*G351</f>
        <v>0</v>
      </c>
      <c r="Q362" s="4">
        <f>+L348*(1-L352)*H351</f>
        <v>0</v>
      </c>
      <c r="R362" s="4">
        <f>+L348*(1-L352)*I351</f>
        <v>0</v>
      </c>
      <c r="S362" s="4">
        <f>+L348*(1-L352)*J351</f>
        <v>0</v>
      </c>
      <c r="T362" s="4">
        <f>+L348*(1-L352)*K351</f>
        <v>0</v>
      </c>
      <c r="U362" s="4">
        <f>+L348*(1-L352)*L351</f>
        <v>0</v>
      </c>
      <c r="V362" s="4">
        <f>+L348*(1-L352)*M351</f>
        <v>0</v>
      </c>
      <c r="W362" s="4">
        <f>+L348*(1-L352)*N351</f>
        <v>0</v>
      </c>
      <c r="X362" s="4">
        <f>+L348*(1-L352)*O351</f>
        <v>0</v>
      </c>
      <c r="Y362" s="4">
        <f>+L348*(1-L352)*P351</f>
        <v>0</v>
      </c>
      <c r="Z362" s="4">
        <f>+L348*(1-L352)*Q351</f>
        <v>0</v>
      </c>
      <c r="AA362" s="4">
        <f>+L348*(1-L352)*R351</f>
        <v>0</v>
      </c>
      <c r="AB362" s="4">
        <f>+L348*(1-L352)*S351</f>
        <v>0</v>
      </c>
      <c r="AC362" s="4">
        <f>+L348*(1-L352)*T351</f>
        <v>0</v>
      </c>
      <c r="AD362" s="4">
        <f>+L348*(1-L352)*U351</f>
        <v>0</v>
      </c>
      <c r="AE362" s="4">
        <f>+L348*(1-L352)*V351</f>
        <v>0</v>
      </c>
      <c r="AF362" s="4">
        <f>+L348*(1-L352)*W351</f>
        <v>0</v>
      </c>
      <c r="AG362" s="4">
        <f t="shared" si="108"/>
        <v>0</v>
      </c>
      <c r="AH362" s="252">
        <f t="shared" si="111"/>
        <v>0</v>
      </c>
    </row>
    <row r="363" spans="1:34">
      <c r="A363" s="6">
        <f t="shared" si="109"/>
        <v>2032</v>
      </c>
      <c r="B363" s="4">
        <f t="shared" si="110"/>
        <v>0</v>
      </c>
      <c r="M363" s="4">
        <f>M348*M352+M348*(1-M352)*C351</f>
        <v>0</v>
      </c>
      <c r="N363" s="4">
        <f>+M348*(1-M352)*D351</f>
        <v>0</v>
      </c>
      <c r="O363" s="4">
        <f>+M348*(1-M352)*E351</f>
        <v>0</v>
      </c>
      <c r="P363" s="4">
        <f>+M348*(1-M352)*F351</f>
        <v>0</v>
      </c>
      <c r="Q363" s="4">
        <f>+M348*(1-M352)*G351</f>
        <v>0</v>
      </c>
      <c r="R363" s="4">
        <f>+M348*(1-M352)*H351</f>
        <v>0</v>
      </c>
      <c r="S363" s="4">
        <f>+M348*(1-M352)*I351</f>
        <v>0</v>
      </c>
      <c r="T363" s="4">
        <f>+M348*(1-M352)*J351</f>
        <v>0</v>
      </c>
      <c r="U363" s="4">
        <f>+M348*(1-M352)*K351</f>
        <v>0</v>
      </c>
      <c r="V363" s="4">
        <f>+M348*(1-M352)*L351</f>
        <v>0</v>
      </c>
      <c r="W363" s="4">
        <f>+M348*(1-M352)*M351</f>
        <v>0</v>
      </c>
      <c r="X363" s="4">
        <f>+M348*(1-M352)*N351</f>
        <v>0</v>
      </c>
      <c r="Y363" s="4">
        <f>+M348*(1-M352)*O351</f>
        <v>0</v>
      </c>
      <c r="Z363" s="4">
        <f>+M348*(1-M352)*P351</f>
        <v>0</v>
      </c>
      <c r="AA363" s="4">
        <f>+M348*(1-M352)*Q351</f>
        <v>0</v>
      </c>
      <c r="AB363" s="4">
        <f>+M348*(1-M352)*R351</f>
        <v>0</v>
      </c>
      <c r="AC363" s="4">
        <f>+M348*(1-M352)*S351</f>
        <v>0</v>
      </c>
      <c r="AD363" s="4">
        <f>+M348*(1-M352)*T351</f>
        <v>0</v>
      </c>
      <c r="AE363" s="4">
        <f>+M348*(1-M352)*U351</f>
        <v>0</v>
      </c>
      <c r="AF363" s="4">
        <f>+M348*(1-M352)*V351</f>
        <v>0</v>
      </c>
      <c r="AG363" s="4">
        <f t="shared" si="108"/>
        <v>0</v>
      </c>
      <c r="AH363" s="252">
        <f t="shared" si="111"/>
        <v>0</v>
      </c>
    </row>
    <row r="364" spans="1:34">
      <c r="A364" s="6">
        <f t="shared" si="109"/>
        <v>2033</v>
      </c>
      <c r="B364" s="4">
        <f t="shared" si="110"/>
        <v>0</v>
      </c>
      <c r="N364" s="4">
        <f>N348*N352+N348*(1-N352)*C351</f>
        <v>0</v>
      </c>
      <c r="O364" s="4">
        <f>+N348*(1-N352)*D351</f>
        <v>0</v>
      </c>
      <c r="P364" s="4">
        <f>+N348*(1-N352)*E351</f>
        <v>0</v>
      </c>
      <c r="Q364" s="4">
        <f>+N348*(1-N352)*F351</f>
        <v>0</v>
      </c>
      <c r="R364" s="4">
        <f>+N348*(1-N352)*G351</f>
        <v>0</v>
      </c>
      <c r="S364" s="4">
        <f>+N348*(1-N352)*H351</f>
        <v>0</v>
      </c>
      <c r="T364" s="4">
        <f>+N348*(1-N352)*I351</f>
        <v>0</v>
      </c>
      <c r="U364" s="4">
        <f>+N348*(1-N352)*J351</f>
        <v>0</v>
      </c>
      <c r="V364" s="4">
        <f>+N348*(1-N352)*K351</f>
        <v>0</v>
      </c>
      <c r="W364" s="4">
        <f>+N348*(1-N352)*L351</f>
        <v>0</v>
      </c>
      <c r="X364" s="4">
        <f>+N348*(1-N352)*M351</f>
        <v>0</v>
      </c>
      <c r="Y364" s="4">
        <f>+N348*(1-N352)*N351</f>
        <v>0</v>
      </c>
      <c r="Z364" s="4">
        <f>+N348*(1-N352)*O351</f>
        <v>0</v>
      </c>
      <c r="AA364" s="4">
        <f>+N348*(1-N352)*P351</f>
        <v>0</v>
      </c>
      <c r="AB364" s="4">
        <f>+N348*(1-N352)*Q351</f>
        <v>0</v>
      </c>
      <c r="AC364" s="4">
        <f>+N348*(1-N352)*R351</f>
        <v>0</v>
      </c>
      <c r="AD364" s="4">
        <f>+N348*(1-N352)*S351</f>
        <v>0</v>
      </c>
      <c r="AE364" s="4">
        <f>+N348*(1-N352)*T351</f>
        <v>0</v>
      </c>
      <c r="AF364" s="4">
        <f>+N348*(1-N352)*U351</f>
        <v>0</v>
      </c>
      <c r="AG364" s="4">
        <f t="shared" si="108"/>
        <v>0</v>
      </c>
      <c r="AH364" s="252">
        <f t="shared" si="111"/>
        <v>0</v>
      </c>
    </row>
    <row r="365" spans="1:34">
      <c r="A365" s="6">
        <f t="shared" si="109"/>
        <v>2034</v>
      </c>
      <c r="B365" s="4">
        <f t="shared" si="110"/>
        <v>0</v>
      </c>
      <c r="O365" s="4">
        <f>O348*O352+O348*(1-O352)*C351</f>
        <v>0</v>
      </c>
      <c r="P365" s="4">
        <f>+O348*(1-O352)*D351</f>
        <v>0</v>
      </c>
      <c r="Q365" s="4">
        <f>+O348*(1-O352)*E351</f>
        <v>0</v>
      </c>
      <c r="R365" s="4">
        <f>+O348*(1-O352)*F351</f>
        <v>0</v>
      </c>
      <c r="S365" s="4">
        <f>+O348*(1-O352)*G351</f>
        <v>0</v>
      </c>
      <c r="T365" s="4">
        <f>+O348*(1-O352)*H351</f>
        <v>0</v>
      </c>
      <c r="U365" s="4">
        <f>+O348*(1-O352)*I351</f>
        <v>0</v>
      </c>
      <c r="V365" s="4">
        <f>+O348*(1-O352)*J351</f>
        <v>0</v>
      </c>
      <c r="W365" s="4">
        <f>+O348*(1-O352)*K351</f>
        <v>0</v>
      </c>
      <c r="X365" s="4">
        <f>+O348*(1-O352)*L351</f>
        <v>0</v>
      </c>
      <c r="Y365" s="4">
        <f>+O348*(1-O352)*M351</f>
        <v>0</v>
      </c>
      <c r="Z365" s="4">
        <f>+O348*(1-O352)*N351</f>
        <v>0</v>
      </c>
      <c r="AA365" s="4">
        <f>+O348*(1-O352)*O351</f>
        <v>0</v>
      </c>
      <c r="AB365" s="4">
        <f>+O348*(1-O352)*P351</f>
        <v>0</v>
      </c>
      <c r="AC365" s="4">
        <f>+O348*(1-O352)*Q351</f>
        <v>0</v>
      </c>
      <c r="AD365" s="4">
        <f>+O348*(1-O352)*R351</f>
        <v>0</v>
      </c>
      <c r="AE365" s="4">
        <f>+O348*(1-O352)*S351</f>
        <v>0</v>
      </c>
      <c r="AF365" s="4">
        <f>+O348*(1-O352)*T351</f>
        <v>0</v>
      </c>
      <c r="AG365" s="4">
        <f t="shared" si="108"/>
        <v>0</v>
      </c>
      <c r="AH365" s="252">
        <f t="shared" si="111"/>
        <v>0</v>
      </c>
    </row>
    <row r="366" spans="1:34">
      <c r="A366" s="6">
        <f t="shared" si="109"/>
        <v>2035</v>
      </c>
      <c r="B366" s="4">
        <f t="shared" si="110"/>
        <v>0</v>
      </c>
      <c r="P366" s="4">
        <f>P348*P352+P348*(1-P352)*C351</f>
        <v>0</v>
      </c>
      <c r="Q366" s="4">
        <f>+P348*(1-P352)*D351</f>
        <v>0</v>
      </c>
      <c r="R366" s="4">
        <f>+P348*(1-P352)*E351</f>
        <v>0</v>
      </c>
      <c r="S366" s="4">
        <f>+P348*(1-P352)*F351</f>
        <v>0</v>
      </c>
      <c r="T366" s="4">
        <f>+P348*(1-P352)*G351</f>
        <v>0</v>
      </c>
      <c r="U366" s="4">
        <f>+P348*(1-P352)*H351</f>
        <v>0</v>
      </c>
      <c r="V366" s="4">
        <f>+P348*(1-P352)*I351</f>
        <v>0</v>
      </c>
      <c r="W366" s="4">
        <f>+P348*(1-P352)*J351</f>
        <v>0</v>
      </c>
      <c r="X366" s="4">
        <f>+P348*(1-P352)*K351</f>
        <v>0</v>
      </c>
      <c r="Y366" s="4">
        <f>+P348*(1-P352)*L351</f>
        <v>0</v>
      </c>
      <c r="Z366" s="4">
        <f>+P348*(1-P352)*M351</f>
        <v>0</v>
      </c>
      <c r="AA366" s="4">
        <f>+P348*(1-P352)*N351</f>
        <v>0</v>
      </c>
      <c r="AB366" s="4">
        <f>+P348*(1-P352)*O351</f>
        <v>0</v>
      </c>
      <c r="AC366" s="4">
        <f>+P348*(1-P352)*P351</f>
        <v>0</v>
      </c>
      <c r="AD366" s="4">
        <f>+P348*(1-P352)*Q351</f>
        <v>0</v>
      </c>
      <c r="AE366" s="4">
        <f>+P348*(1-P352)*R351</f>
        <v>0</v>
      </c>
      <c r="AF366" s="4">
        <f>+P348*(1-P352)*S351</f>
        <v>0</v>
      </c>
      <c r="AG366" s="4">
        <f t="shared" si="108"/>
        <v>0</v>
      </c>
      <c r="AH366" s="252">
        <f t="shared" si="111"/>
        <v>0</v>
      </c>
    </row>
    <row r="367" spans="1:34">
      <c r="A367" s="6">
        <f t="shared" si="109"/>
        <v>2036</v>
      </c>
      <c r="B367" s="4">
        <f t="shared" si="110"/>
        <v>0</v>
      </c>
      <c r="Q367" s="4">
        <f>Q348*Q352+Q348*(1-Q352)*C351</f>
        <v>0</v>
      </c>
      <c r="R367" s="4">
        <f>Q348*(1-Q352)*D351</f>
        <v>0</v>
      </c>
      <c r="S367" s="4">
        <f>Q348*(1-Q352)*E351</f>
        <v>0</v>
      </c>
      <c r="T367" s="4">
        <f>Q348*(1-Q352)*F351</f>
        <v>0</v>
      </c>
      <c r="U367" s="4">
        <f>Q348*(1-Q352)*G351</f>
        <v>0</v>
      </c>
      <c r="V367" s="4">
        <f>Q348*(1-Q352)*H351</f>
        <v>0</v>
      </c>
      <c r="W367" s="4">
        <f>Q348*(1-Q352)*I351</f>
        <v>0</v>
      </c>
      <c r="X367" s="4">
        <f>Q348*(1-Q352)*J351</f>
        <v>0</v>
      </c>
      <c r="Y367" s="4">
        <f>Q348*(1-Q352)*K351</f>
        <v>0</v>
      </c>
      <c r="Z367" s="4">
        <f>Q348*(1-Q352)*L351</f>
        <v>0</v>
      </c>
      <c r="AA367" s="4">
        <f>Q348*(1-Q352)*M351</f>
        <v>0</v>
      </c>
      <c r="AB367" s="4">
        <f>Q348*(1-Q352)*N351</f>
        <v>0</v>
      </c>
      <c r="AC367" s="4">
        <f>Q348*(1-Q352)*O351</f>
        <v>0</v>
      </c>
      <c r="AD367" s="4">
        <f>Q348*(1-Q352)*P351</f>
        <v>0</v>
      </c>
      <c r="AE367" s="4">
        <f>Q348*(1-Q352)*Q351</f>
        <v>0</v>
      </c>
      <c r="AF367" s="4">
        <f>Q348*(1-Q352)*R351</f>
        <v>0</v>
      </c>
      <c r="AG367" s="4">
        <f t="shared" si="108"/>
        <v>0</v>
      </c>
      <c r="AH367" s="252">
        <f t="shared" si="111"/>
        <v>0</v>
      </c>
    </row>
    <row r="368" spans="1:34">
      <c r="A368" s="6">
        <f t="shared" si="109"/>
        <v>2037</v>
      </c>
      <c r="B368" s="4">
        <f t="shared" si="110"/>
        <v>0</v>
      </c>
      <c r="R368" s="4">
        <f>R348*R352+R348*(1-R352)*C351</f>
        <v>0</v>
      </c>
      <c r="S368" s="4">
        <f>R348*(1-R352)*D351</f>
        <v>0</v>
      </c>
      <c r="T368" s="4">
        <f>R348*(1-R352)*E351</f>
        <v>0</v>
      </c>
      <c r="U368" s="4">
        <f>R348*(1-R352)*F351</f>
        <v>0</v>
      </c>
      <c r="V368" s="4">
        <f>R348*(1-R352)*G351</f>
        <v>0</v>
      </c>
      <c r="W368" s="4">
        <f>R348*(1-R352)*H351</f>
        <v>0</v>
      </c>
      <c r="X368" s="4">
        <f>R348*(1-R352)*I351</f>
        <v>0</v>
      </c>
      <c r="Y368" s="4">
        <f>R348*(1-R352)*J351</f>
        <v>0</v>
      </c>
      <c r="Z368" s="4">
        <f>R348*(1-R352)*K351</f>
        <v>0</v>
      </c>
      <c r="AA368" s="4">
        <f>R348*(1-R352)*L351</f>
        <v>0</v>
      </c>
      <c r="AB368" s="4">
        <f>R348*(1-R352)*M351</f>
        <v>0</v>
      </c>
      <c r="AC368" s="4">
        <f>R348*(1-R352)*N351</f>
        <v>0</v>
      </c>
      <c r="AD368" s="4">
        <f>R348*(1-R352)*O351</f>
        <v>0</v>
      </c>
      <c r="AE368" s="4">
        <f>R348*(1-R352)*P351</f>
        <v>0</v>
      </c>
      <c r="AF368" s="4">
        <f>R348*(1-R352)*Q351</f>
        <v>0</v>
      </c>
      <c r="AG368" s="4">
        <f t="shared" si="108"/>
        <v>0</v>
      </c>
      <c r="AH368" s="252">
        <f t="shared" si="111"/>
        <v>0</v>
      </c>
    </row>
    <row r="369" spans="1:34">
      <c r="A369" s="6">
        <f t="shared" si="109"/>
        <v>2038</v>
      </c>
      <c r="B369" s="4">
        <f t="shared" si="110"/>
        <v>0</v>
      </c>
      <c r="S369" s="4">
        <f>S348*S352+S348*(1-S352)*C351</f>
        <v>0</v>
      </c>
      <c r="T369" s="4">
        <f>+S348*(1-S352)*D351</f>
        <v>0</v>
      </c>
      <c r="U369" s="4">
        <f>+S348*(1-S352)*E351</f>
        <v>0</v>
      </c>
      <c r="V369" s="4">
        <f>+S348*(1-S352)*F351</f>
        <v>0</v>
      </c>
      <c r="W369" s="4">
        <f>+S348*(1-S352)*G351</f>
        <v>0</v>
      </c>
      <c r="X369" s="4">
        <f>+S348*(1-S352)*H351</f>
        <v>0</v>
      </c>
      <c r="Y369" s="4">
        <f>+S348*(1-S352)*I351</f>
        <v>0</v>
      </c>
      <c r="Z369" s="4">
        <f>+S348*(1-S352)*J351</f>
        <v>0</v>
      </c>
      <c r="AA369" s="4">
        <f>+S348*(1-S352)*K351</f>
        <v>0</v>
      </c>
      <c r="AB369" s="4">
        <f>+S348*(1-S352)*L351</f>
        <v>0</v>
      </c>
      <c r="AC369" s="4">
        <f>+S348*(1-S352)*M351</f>
        <v>0</v>
      </c>
      <c r="AD369" s="4">
        <f>+S348*(1-S352)*N351</f>
        <v>0</v>
      </c>
      <c r="AE369" s="4">
        <f>+S348*(1-S352)*O351</f>
        <v>0</v>
      </c>
      <c r="AF369" s="4">
        <f>+S348*(1-S352)*P351</f>
        <v>0</v>
      </c>
      <c r="AG369" s="4">
        <f t="shared" si="108"/>
        <v>0</v>
      </c>
      <c r="AH369" s="252">
        <f t="shared" si="111"/>
        <v>0</v>
      </c>
    </row>
    <row r="370" spans="1:34">
      <c r="A370" s="6">
        <f t="shared" si="109"/>
        <v>2039</v>
      </c>
      <c r="B370" s="4">
        <f t="shared" si="110"/>
        <v>0</v>
      </c>
      <c r="T370" s="4">
        <f>T348*T352+T348*(1-T352)*C351</f>
        <v>0</v>
      </c>
      <c r="U370" s="4">
        <f>+T348*(1-T352)*D351</f>
        <v>0</v>
      </c>
      <c r="V370" s="4">
        <f>+T348*(1-T352)*E351</f>
        <v>0</v>
      </c>
      <c r="W370" s="4">
        <f>+T348*(1-T352)*F351</f>
        <v>0</v>
      </c>
      <c r="X370" s="4">
        <f>+T348*(1-T352)*G351</f>
        <v>0</v>
      </c>
      <c r="Y370" s="4">
        <f>+T348*(1-T352)*H351</f>
        <v>0</v>
      </c>
      <c r="Z370" s="4">
        <f>+T348*(1-T352)*I351</f>
        <v>0</v>
      </c>
      <c r="AA370" s="4">
        <f>+T348*(1-T352)*J351</f>
        <v>0</v>
      </c>
      <c r="AB370" s="4">
        <f>+T348*(1-T352)*K351</f>
        <v>0</v>
      </c>
      <c r="AC370" s="4">
        <f>+T348*(1-T352)*L351</f>
        <v>0</v>
      </c>
      <c r="AD370" s="4">
        <f>+T348*(1-T352)*M351</f>
        <v>0</v>
      </c>
      <c r="AE370" s="4">
        <f>+T348*(1-T352)*N351</f>
        <v>0</v>
      </c>
      <c r="AF370" s="4">
        <f>+T348*(1-T352)*O351</f>
        <v>0</v>
      </c>
      <c r="AG370" s="4">
        <f t="shared" si="108"/>
        <v>0</v>
      </c>
      <c r="AH370" s="252">
        <f t="shared" si="111"/>
        <v>0</v>
      </c>
    </row>
    <row r="371" spans="1:34">
      <c r="A371" s="6">
        <f t="shared" si="109"/>
        <v>2040</v>
      </c>
      <c r="B371" s="4">
        <f t="shared" si="110"/>
        <v>0</v>
      </c>
      <c r="U371" s="4">
        <f>U348*U352+U348*(1-U352)*C351</f>
        <v>0</v>
      </c>
      <c r="V371" s="4">
        <f>+U348*(1-U352)*D351</f>
        <v>0</v>
      </c>
      <c r="W371" s="4">
        <f>+U348*(1-U352)*E351</f>
        <v>0</v>
      </c>
      <c r="X371" s="4">
        <f>+U348*(1-U352)*F351</f>
        <v>0</v>
      </c>
      <c r="Y371" s="4">
        <f>+U348*(1-U352)*G351</f>
        <v>0</v>
      </c>
      <c r="Z371" s="4">
        <f>+U348*(1-U352)*H351</f>
        <v>0</v>
      </c>
      <c r="AA371" s="4">
        <f>+U348*(1-U352)*I351</f>
        <v>0</v>
      </c>
      <c r="AB371" s="4">
        <f>+U348*(1-U352)*J351</f>
        <v>0</v>
      </c>
      <c r="AC371" s="4">
        <f>+U348*(1-U352)*K351</f>
        <v>0</v>
      </c>
      <c r="AD371" s="4">
        <f>+U348*(1-U352)*L351</f>
        <v>0</v>
      </c>
      <c r="AE371" s="4">
        <f>+U348*(1-U352)*M351</f>
        <v>0</v>
      </c>
      <c r="AF371" s="4">
        <f>+U348*(1-U352)*N351</f>
        <v>0</v>
      </c>
      <c r="AG371" s="4">
        <f t="shared" si="108"/>
        <v>0</v>
      </c>
      <c r="AH371" s="252">
        <f t="shared" si="111"/>
        <v>0</v>
      </c>
    </row>
    <row r="372" spans="1:34">
      <c r="A372" s="6">
        <f t="shared" si="109"/>
        <v>2041</v>
      </c>
      <c r="B372" s="4">
        <f t="shared" si="110"/>
        <v>0</v>
      </c>
      <c r="V372" s="4">
        <f>V348*V352+V348*(1-V352)*C351</f>
        <v>0</v>
      </c>
      <c r="W372" s="4">
        <f>+V348*(1-V352)*D351</f>
        <v>0</v>
      </c>
      <c r="X372" s="4">
        <f>+V348*(1-V352)*E351</f>
        <v>0</v>
      </c>
      <c r="Y372" s="4">
        <f>+V348*(1-V352)*F351</f>
        <v>0</v>
      </c>
      <c r="Z372" s="4">
        <f>+V348*(1-V352)*G351</f>
        <v>0</v>
      </c>
      <c r="AA372" s="4">
        <f>+V348*(1-V352)*H351</f>
        <v>0</v>
      </c>
      <c r="AB372" s="4">
        <f>+V348*(1-V352)*I351</f>
        <v>0</v>
      </c>
      <c r="AC372" s="4">
        <f>+V348*(1-V352)*J351</f>
        <v>0</v>
      </c>
      <c r="AD372" s="4">
        <f>+V348*(1-V352)*K351</f>
        <v>0</v>
      </c>
      <c r="AE372" s="4">
        <f>+V348*(1-V352)*L351</f>
        <v>0</v>
      </c>
      <c r="AF372" s="4">
        <f>+V348*(1-V352)*M351</f>
        <v>0</v>
      </c>
      <c r="AG372" s="4">
        <f t="shared" si="108"/>
        <v>0</v>
      </c>
      <c r="AH372" s="252">
        <f t="shared" si="111"/>
        <v>0</v>
      </c>
    </row>
    <row r="373" spans="1:34">
      <c r="A373" s="6">
        <f t="shared" si="109"/>
        <v>2042</v>
      </c>
      <c r="B373" s="4">
        <f t="shared" si="110"/>
        <v>0</v>
      </c>
      <c r="W373" s="4">
        <f>W348*W352+W348*(1-W352)*C351</f>
        <v>0</v>
      </c>
      <c r="X373" s="4">
        <f>+W348*(1-W352)*D351</f>
        <v>0</v>
      </c>
      <c r="Y373" s="4">
        <f>+W348*(1-W352)*E351</f>
        <v>0</v>
      </c>
      <c r="Z373" s="4">
        <f>+W348*(1-W352)*F351</f>
        <v>0</v>
      </c>
      <c r="AA373" s="4">
        <f>+W348*(1-W352)*G351</f>
        <v>0</v>
      </c>
      <c r="AB373" s="4">
        <f>+W348*(1-W352)*H351</f>
        <v>0</v>
      </c>
      <c r="AC373" s="4">
        <f>+W348*(1-W352)*I351</f>
        <v>0</v>
      </c>
      <c r="AD373" s="4">
        <f>+W348*(1-W352)*J351</f>
        <v>0</v>
      </c>
      <c r="AE373" s="4">
        <f>+W348*(1-W352)*K351</f>
        <v>0</v>
      </c>
      <c r="AF373" s="4">
        <f>+W348*(1-W352)*L351</f>
        <v>0</v>
      </c>
      <c r="AG373" s="4">
        <f t="shared" si="108"/>
        <v>0</v>
      </c>
      <c r="AH373" s="252">
        <f t="shared" si="111"/>
        <v>0</v>
      </c>
    </row>
    <row r="374" spans="1:34">
      <c r="A374" s="6">
        <f t="shared" si="109"/>
        <v>2043</v>
      </c>
      <c r="B374" s="4">
        <f t="shared" si="110"/>
        <v>0</v>
      </c>
      <c r="X374" s="4">
        <f>X348*X352+X348*(1-X352)*C351</f>
        <v>0</v>
      </c>
      <c r="Y374" s="4">
        <f>+X348*(1-X352)*D351</f>
        <v>0</v>
      </c>
      <c r="Z374" s="4">
        <f>+X348*(1-X352)*E351</f>
        <v>0</v>
      </c>
      <c r="AA374" s="4">
        <f>+X348*(1-X352)*F351</f>
        <v>0</v>
      </c>
      <c r="AB374" s="4">
        <f>+X348*(1-X352)*G351</f>
        <v>0</v>
      </c>
      <c r="AC374" s="4">
        <f>+X348*(1-X352)*H351</f>
        <v>0</v>
      </c>
      <c r="AD374" s="4">
        <f>+X348*(1-X352)*I351</f>
        <v>0</v>
      </c>
      <c r="AE374" s="4">
        <f>+X348*(1-X352)*J351</f>
        <v>0</v>
      </c>
      <c r="AF374" s="4">
        <f>+X348*(1-X352)*K351</f>
        <v>0</v>
      </c>
      <c r="AG374" s="4">
        <f t="shared" si="108"/>
        <v>0</v>
      </c>
      <c r="AH374" s="252">
        <f t="shared" si="111"/>
        <v>0</v>
      </c>
    </row>
    <row r="375" spans="1:34">
      <c r="A375" s="6">
        <f t="shared" si="109"/>
        <v>2044</v>
      </c>
      <c r="B375" s="4">
        <f t="shared" si="110"/>
        <v>0</v>
      </c>
      <c r="Y375" s="4">
        <f>Y348*Y352+Y348*(1-Y352)*C351</f>
        <v>0</v>
      </c>
      <c r="Z375" s="4">
        <f>+Y348*(1-Y352)*D351</f>
        <v>0</v>
      </c>
      <c r="AA375" s="4">
        <f>+Y348*(1-Y352)*E351</f>
        <v>0</v>
      </c>
      <c r="AB375" s="4">
        <f>+Y348*(1-Y352)*F351</f>
        <v>0</v>
      </c>
      <c r="AC375" s="4">
        <f>+Y348*(1-Y352)*G351</f>
        <v>0</v>
      </c>
      <c r="AD375" s="4">
        <f>+Y348*(1-Y352)*H351</f>
        <v>0</v>
      </c>
      <c r="AE375" s="4">
        <f>+Y348*(1-Y352)*I351</f>
        <v>0</v>
      </c>
      <c r="AF375" s="4">
        <f>+Y348*(1-Y352)*J351</f>
        <v>0</v>
      </c>
      <c r="AG375" s="4">
        <f t="shared" si="108"/>
        <v>0</v>
      </c>
      <c r="AH375" s="252">
        <f t="shared" si="111"/>
        <v>0</v>
      </c>
    </row>
    <row r="376" spans="1:34">
      <c r="A376" s="6">
        <f t="shared" si="109"/>
        <v>2045</v>
      </c>
      <c r="B376" s="4">
        <f t="shared" si="110"/>
        <v>0</v>
      </c>
      <c r="Z376" s="4">
        <f>Z348*Z352+Z348*(1-Z352)*C351</f>
        <v>0</v>
      </c>
      <c r="AA376" s="4">
        <f>+Z348*(1-Z352)*D351</f>
        <v>0</v>
      </c>
      <c r="AB376" s="4">
        <f>+Z348*(1-Z352)*E351</f>
        <v>0</v>
      </c>
      <c r="AC376" s="4">
        <f>+Z348*(1-Z352)*F351</f>
        <v>0</v>
      </c>
      <c r="AD376" s="4">
        <f>+Z348*(1-Z352)*G351</f>
        <v>0</v>
      </c>
      <c r="AE376" s="4">
        <f>+Z348*(1-Z352)*H351</f>
        <v>0</v>
      </c>
      <c r="AF376" s="4">
        <f>+Z348*(1-Z352)*I351</f>
        <v>0</v>
      </c>
      <c r="AG376" s="4">
        <f t="shared" si="108"/>
        <v>0</v>
      </c>
      <c r="AH376" s="252">
        <f t="shared" si="111"/>
        <v>0</v>
      </c>
    </row>
    <row r="377" spans="1:34">
      <c r="A377" s="6">
        <f t="shared" si="109"/>
        <v>2046</v>
      </c>
      <c r="B377" s="4">
        <f t="shared" si="110"/>
        <v>0</v>
      </c>
      <c r="AA377" s="4">
        <f>AA348*AA352+AA348*(1-AA352)*C351</f>
        <v>0</v>
      </c>
      <c r="AB377" s="4">
        <f>+AA348*(1-AA352)*D351</f>
        <v>0</v>
      </c>
      <c r="AC377" s="4">
        <f>+AA348*(1-AA352)*E351</f>
        <v>0</v>
      </c>
      <c r="AD377" s="4">
        <f>+AA348*(1-AA352)*F351</f>
        <v>0</v>
      </c>
      <c r="AE377" s="4">
        <f>+AA348*(1-AA352)*G351</f>
        <v>0</v>
      </c>
      <c r="AF377" s="4">
        <f>+AA348*(1-AA352)*H351</f>
        <v>0</v>
      </c>
      <c r="AG377" s="4">
        <f t="shared" si="108"/>
        <v>0</v>
      </c>
      <c r="AH377" s="252">
        <f t="shared" si="111"/>
        <v>0</v>
      </c>
    </row>
    <row r="378" spans="1:34">
      <c r="A378" s="6">
        <f t="shared" si="109"/>
        <v>2047</v>
      </c>
      <c r="B378" s="4">
        <f t="shared" si="110"/>
        <v>0</v>
      </c>
      <c r="AB378" s="4">
        <f>AB348*AB352+AB348*(1-AB352)*C351</f>
        <v>0</v>
      </c>
      <c r="AC378" s="4">
        <f>+AB348*(1-AB352)*D351</f>
        <v>0</v>
      </c>
      <c r="AD378" s="4">
        <f>+AB348*(1-AB352)*E351</f>
        <v>0</v>
      </c>
      <c r="AE378" s="4">
        <f>+AB348*(1-AB352)*F351</f>
        <v>0</v>
      </c>
      <c r="AF378" s="4">
        <f>+AB348*(1-AB352)*G351</f>
        <v>0</v>
      </c>
      <c r="AG378" s="4">
        <f t="shared" ref="AG378:AG382" si="112">SUM(C378:AF378)</f>
        <v>0</v>
      </c>
      <c r="AH378" s="252">
        <f t="shared" si="111"/>
        <v>0</v>
      </c>
    </row>
    <row r="379" spans="1:34">
      <c r="A379" s="6">
        <f t="shared" si="109"/>
        <v>2048</v>
      </c>
      <c r="B379" s="4">
        <f t="shared" si="110"/>
        <v>0</v>
      </c>
      <c r="AC379" s="4">
        <f>AC348*AC352+AC348*(1-AC352)*C351</f>
        <v>0</v>
      </c>
      <c r="AD379" s="4">
        <f>+AC348*(1-AC352)*D351</f>
        <v>0</v>
      </c>
      <c r="AE379" s="4">
        <f>+AC348*(1-AC352)*E351</f>
        <v>0</v>
      </c>
      <c r="AF379" s="4">
        <f>+AC348*(1-AC352)*F351</f>
        <v>0</v>
      </c>
      <c r="AG379" s="4">
        <f t="shared" si="112"/>
        <v>0</v>
      </c>
      <c r="AH379" s="252">
        <f t="shared" si="111"/>
        <v>0</v>
      </c>
    </row>
    <row r="380" spans="1:34">
      <c r="A380" s="6">
        <f t="shared" si="109"/>
        <v>2049</v>
      </c>
      <c r="B380" s="4">
        <f t="shared" si="110"/>
        <v>0</v>
      </c>
      <c r="AD380" s="4">
        <f>AD348*AD352+AD348*(1-AD352)*C351</f>
        <v>0</v>
      </c>
      <c r="AE380" s="4">
        <f>+AD348*(1-AD352)*D351</f>
        <v>0</v>
      </c>
      <c r="AF380" s="4">
        <f>+AD348*(1-AD352)*E351</f>
        <v>0</v>
      </c>
      <c r="AG380" s="4">
        <f t="shared" si="112"/>
        <v>0</v>
      </c>
      <c r="AH380" s="252">
        <f t="shared" si="111"/>
        <v>0</v>
      </c>
    </row>
    <row r="381" spans="1:34">
      <c r="A381" s="6">
        <f t="shared" si="109"/>
        <v>2050</v>
      </c>
      <c r="B381" s="4">
        <f t="shared" si="110"/>
        <v>0</v>
      </c>
      <c r="AE381" s="4">
        <f>AE348*AE352+AE348*(1-AE352)*C351</f>
        <v>0</v>
      </c>
      <c r="AF381" s="4">
        <f>+AE348*(1-AE352)*D351</f>
        <v>0</v>
      </c>
      <c r="AG381" s="4">
        <f t="shared" si="112"/>
        <v>0</v>
      </c>
      <c r="AH381" s="252">
        <f t="shared" si="111"/>
        <v>0</v>
      </c>
    </row>
    <row r="382" spans="1:34">
      <c r="A382" s="6">
        <f t="shared" si="109"/>
        <v>2051</v>
      </c>
      <c r="B382" s="4">
        <f t="shared" si="110"/>
        <v>0</v>
      </c>
      <c r="AF382" s="4">
        <f>AF348*AF352+AF348*(1-AF352)*C351</f>
        <v>0</v>
      </c>
      <c r="AG382" s="4">
        <f t="shared" si="112"/>
        <v>0</v>
      </c>
      <c r="AH382" s="252">
        <f t="shared" si="111"/>
        <v>0</v>
      </c>
    </row>
    <row r="383" spans="1:34">
      <c r="A383" s="6" t="str">
        <f>"Total Depreciation - "&amp;A347</f>
        <v>Total Depreciation - 0</v>
      </c>
      <c r="B383" s="49">
        <f>SUM(B353:B382)</f>
        <v>0</v>
      </c>
      <c r="C383" s="49">
        <f>SUM(C353:C382)</f>
        <v>0</v>
      </c>
      <c r="D383" s="49">
        <f t="shared" ref="D383:AH383" si="113">SUM(D353:D382)</f>
        <v>0</v>
      </c>
      <c r="E383" s="49">
        <f t="shared" si="113"/>
        <v>0</v>
      </c>
      <c r="F383" s="49">
        <f t="shared" si="113"/>
        <v>0</v>
      </c>
      <c r="G383" s="49">
        <f t="shared" si="113"/>
        <v>0</v>
      </c>
      <c r="H383" s="49">
        <f t="shared" si="113"/>
        <v>0</v>
      </c>
      <c r="I383" s="49">
        <f t="shared" si="113"/>
        <v>0</v>
      </c>
      <c r="J383" s="49">
        <f t="shared" si="113"/>
        <v>0</v>
      </c>
      <c r="K383" s="49">
        <f t="shared" si="113"/>
        <v>0</v>
      </c>
      <c r="L383" s="49">
        <f t="shared" si="113"/>
        <v>0</v>
      </c>
      <c r="M383" s="49">
        <f t="shared" si="113"/>
        <v>0</v>
      </c>
      <c r="N383" s="49">
        <f t="shared" si="113"/>
        <v>0</v>
      </c>
      <c r="O383" s="49">
        <f t="shared" si="113"/>
        <v>0</v>
      </c>
      <c r="P383" s="49">
        <f t="shared" si="113"/>
        <v>0</v>
      </c>
      <c r="Q383" s="49">
        <f t="shared" si="113"/>
        <v>0</v>
      </c>
      <c r="R383" s="49">
        <f t="shared" si="113"/>
        <v>0</v>
      </c>
      <c r="S383" s="49">
        <f t="shared" si="113"/>
        <v>0</v>
      </c>
      <c r="T383" s="49">
        <f t="shared" si="113"/>
        <v>0</v>
      </c>
      <c r="U383" s="49">
        <f t="shared" si="113"/>
        <v>0</v>
      </c>
      <c r="V383" s="49">
        <f t="shared" si="113"/>
        <v>0</v>
      </c>
      <c r="W383" s="49">
        <f t="shared" si="113"/>
        <v>0</v>
      </c>
      <c r="X383" s="49">
        <f t="shared" si="113"/>
        <v>0</v>
      </c>
      <c r="Y383" s="49">
        <f t="shared" si="113"/>
        <v>0</v>
      </c>
      <c r="Z383" s="49">
        <f t="shared" si="113"/>
        <v>0</v>
      </c>
      <c r="AA383" s="49">
        <f t="shared" si="113"/>
        <v>0</v>
      </c>
      <c r="AB383" s="49">
        <f t="shared" si="113"/>
        <v>0</v>
      </c>
      <c r="AC383" s="49">
        <f t="shared" si="113"/>
        <v>0</v>
      </c>
      <c r="AD383" s="49">
        <f t="shared" si="113"/>
        <v>0</v>
      </c>
      <c r="AE383" s="49">
        <f t="shared" si="113"/>
        <v>0</v>
      </c>
      <c r="AF383" s="49">
        <f t="shared" si="113"/>
        <v>0</v>
      </c>
      <c r="AG383" s="49">
        <f t="shared" si="113"/>
        <v>0</v>
      </c>
      <c r="AH383" s="49">
        <f t="shared" si="113"/>
        <v>0</v>
      </c>
    </row>
    <row r="385" spans="1:32">
      <c r="A385" s="6" t="s">
        <v>402</v>
      </c>
      <c r="C385" s="4">
        <f>C6+C44+C82+C120+C158+C196+C234+C272+C310+C348</f>
        <v>0</v>
      </c>
      <c r="D385" s="4">
        <f t="shared" ref="D385:AA385" si="114">D6+D44+D82+D120+D158+D196+D234+D272+D310+D348</f>
        <v>0</v>
      </c>
      <c r="E385" s="4">
        <f t="shared" si="114"/>
        <v>144431088.93054351</v>
      </c>
      <c r="F385" s="4">
        <f t="shared" si="114"/>
        <v>126596350.11626597</v>
      </c>
      <c r="G385" s="4">
        <f t="shared" si="114"/>
        <v>0</v>
      </c>
      <c r="H385" s="4">
        <f t="shared" si="114"/>
        <v>0</v>
      </c>
      <c r="I385" s="4">
        <f t="shared" si="114"/>
        <v>0</v>
      </c>
      <c r="J385" s="4">
        <f t="shared" si="114"/>
        <v>0</v>
      </c>
      <c r="K385" s="4">
        <f t="shared" si="114"/>
        <v>0</v>
      </c>
      <c r="L385" s="4">
        <f t="shared" si="114"/>
        <v>26500</v>
      </c>
      <c r="M385" s="4">
        <f t="shared" si="114"/>
        <v>27295</v>
      </c>
      <c r="N385" s="4">
        <f t="shared" si="114"/>
        <v>28364.72309090909</v>
      </c>
      <c r="O385" s="4">
        <f t="shared" si="114"/>
        <v>29215.671818181818</v>
      </c>
      <c r="P385" s="4">
        <f t="shared" si="114"/>
        <v>30092.137636363637</v>
      </c>
      <c r="Q385" s="4">
        <f t="shared" si="114"/>
        <v>30994.90109090909</v>
      </c>
      <c r="R385" s="4">
        <f t="shared" si="114"/>
        <v>66841.190909090918</v>
      </c>
      <c r="S385" s="4">
        <f t="shared" si="114"/>
        <v>68846.431454545454</v>
      </c>
      <c r="T385" s="4">
        <f t="shared" si="114"/>
        <v>70911.822181818177</v>
      </c>
      <c r="U385" s="4">
        <f t="shared" si="114"/>
        <v>73039.174727272723</v>
      </c>
      <c r="V385" s="4">
        <f t="shared" si="114"/>
        <v>75230.348909090899</v>
      </c>
      <c r="W385" s="4">
        <f t="shared" si="114"/>
        <v>77487.262363636371</v>
      </c>
      <c r="X385" s="4">
        <f t="shared" si="114"/>
        <v>79811.880909090905</v>
      </c>
      <c r="Y385" s="4">
        <f t="shared" si="114"/>
        <v>82206.23781818182</v>
      </c>
      <c r="Z385" s="4">
        <f t="shared" si="114"/>
        <v>84672.424181818176</v>
      </c>
      <c r="AA385" s="4">
        <f t="shared" si="114"/>
        <v>87212.588909090904</v>
      </c>
      <c r="AB385" s="4">
        <f t="shared" ref="AB385:AF385" si="115">AB6+AB44+AB82+AB120+AB158+AB196+AB234+AB272+AB310+AB348</f>
        <v>89828.967636363639</v>
      </c>
      <c r="AC385" s="4">
        <f t="shared" si="115"/>
        <v>92523.844181818175</v>
      </c>
      <c r="AD385" s="4">
        <f t="shared" si="115"/>
        <v>95299.560181818175</v>
      </c>
      <c r="AE385" s="4">
        <f t="shared" si="115"/>
        <v>98158.543999999994</v>
      </c>
      <c r="AF385" s="4">
        <f t="shared" si="115"/>
        <v>101103.3010909091</v>
      </c>
    </row>
    <row r="386" spans="1:32">
      <c r="A386" s="6" t="s">
        <v>215</v>
      </c>
      <c r="C386" s="49">
        <f>+C385</f>
        <v>0</v>
      </c>
      <c r="D386" s="49">
        <f>+C386+D385</f>
        <v>0</v>
      </c>
      <c r="E386" s="49">
        <f t="shared" ref="E386:AF386" si="116">+D386+E385</f>
        <v>144431088.93054351</v>
      </c>
      <c r="F386" s="49">
        <f t="shared" si="116"/>
        <v>271027439.04680949</v>
      </c>
      <c r="G386" s="49">
        <f t="shared" si="116"/>
        <v>271027439.04680949</v>
      </c>
      <c r="H386" s="49">
        <f t="shared" si="116"/>
        <v>271027439.04680949</v>
      </c>
      <c r="I386" s="49">
        <f t="shared" si="116"/>
        <v>271027439.04680949</v>
      </c>
      <c r="J386" s="49">
        <f t="shared" si="116"/>
        <v>271027439.04680949</v>
      </c>
      <c r="K386" s="49">
        <f t="shared" si="116"/>
        <v>271027439.04680949</v>
      </c>
      <c r="L386" s="49">
        <f t="shared" si="116"/>
        <v>271053939.04680949</v>
      </c>
      <c r="M386" s="49">
        <f t="shared" si="116"/>
        <v>271081234.04680949</v>
      </c>
      <c r="N386" s="49">
        <f t="shared" si="116"/>
        <v>271109598.76990038</v>
      </c>
      <c r="O386" s="49">
        <f t="shared" si="116"/>
        <v>271138814.44171858</v>
      </c>
      <c r="P386" s="49">
        <f t="shared" si="116"/>
        <v>271168906.57935494</v>
      </c>
      <c r="Q386" s="49">
        <f t="shared" si="116"/>
        <v>271199901.48044586</v>
      </c>
      <c r="R386" s="49">
        <f t="shared" si="116"/>
        <v>271266742.67135495</v>
      </c>
      <c r="S386" s="49">
        <f t="shared" si="116"/>
        <v>271335589.10280949</v>
      </c>
      <c r="T386" s="49">
        <f t="shared" si="116"/>
        <v>271406500.92499131</v>
      </c>
      <c r="U386" s="49">
        <f t="shared" si="116"/>
        <v>271479540.09971857</v>
      </c>
      <c r="V386" s="49">
        <f t="shared" si="116"/>
        <v>271554770.44862765</v>
      </c>
      <c r="W386" s="49">
        <f t="shared" si="116"/>
        <v>271632257.71099126</v>
      </c>
      <c r="X386" s="49">
        <f t="shared" si="116"/>
        <v>271712069.59190035</v>
      </c>
      <c r="Y386" s="49">
        <f t="shared" si="116"/>
        <v>271794275.82971853</v>
      </c>
      <c r="Z386" s="49">
        <f t="shared" si="116"/>
        <v>271878948.25390035</v>
      </c>
      <c r="AA386" s="49">
        <f t="shared" si="116"/>
        <v>271966160.84280944</v>
      </c>
      <c r="AB386" s="49">
        <f t="shared" si="116"/>
        <v>272055989.81044579</v>
      </c>
      <c r="AC386" s="49">
        <f t="shared" si="116"/>
        <v>272148513.65462762</v>
      </c>
      <c r="AD386" s="49">
        <f t="shared" si="116"/>
        <v>272243813.21480942</v>
      </c>
      <c r="AE386" s="49">
        <f t="shared" si="116"/>
        <v>272341971.75880945</v>
      </c>
      <c r="AF386" s="49">
        <f t="shared" si="116"/>
        <v>272443075.05990034</v>
      </c>
    </row>
    <row r="387" spans="1:32">
      <c r="A387" s="6"/>
    </row>
    <row r="388" spans="1:32">
      <c r="A388" s="6" t="s">
        <v>403</v>
      </c>
      <c r="C388" s="4">
        <f>C41+C79+C117+C155+C193+C231+C269+C307+C345+C383</f>
        <v>0</v>
      </c>
      <c r="D388" s="4">
        <f t="shared" ref="D388:AA388" si="117">D41+D79+D117+D155+D193+D231+D269+D307+D345+D383</f>
        <v>0</v>
      </c>
      <c r="E388" s="4">
        <f t="shared" si="117"/>
        <v>3356624.4211006803</v>
      </c>
      <c r="F388" s="4">
        <f t="shared" si="117"/>
        <v>10520040.393496744</v>
      </c>
      <c r="G388" s="4">
        <f t="shared" si="117"/>
        <v>13927628.468616996</v>
      </c>
      <c r="H388" s="4">
        <f t="shared" si="117"/>
        <v>11589087.632750157</v>
      </c>
      <c r="I388" s="4">
        <f t="shared" si="117"/>
        <v>9918701.3214167021</v>
      </c>
      <c r="J388" s="4">
        <f t="shared" si="117"/>
        <v>8729386.2677472793</v>
      </c>
      <c r="K388" s="4">
        <f t="shared" si="117"/>
        <v>8726045.495124612</v>
      </c>
      <c r="L388" s="4">
        <f t="shared" si="117"/>
        <v>8730065.7549267672</v>
      </c>
      <c r="M388" s="4">
        <f t="shared" si="117"/>
        <v>7237440.2643895298</v>
      </c>
      <c r="N388" s="4">
        <f t="shared" si="117"/>
        <v>5748182.975272161</v>
      </c>
      <c r="O388" s="4">
        <f t="shared" si="117"/>
        <v>5748932.0950623713</v>
      </c>
      <c r="P388" s="4">
        <f t="shared" si="117"/>
        <v>5749703.6883350983</v>
      </c>
      <c r="Q388" s="4">
        <f t="shared" si="117"/>
        <v>5750498.4293887112</v>
      </c>
      <c r="R388" s="4">
        <f t="shared" si="117"/>
        <v>5752212.3060786882</v>
      </c>
      <c r="S388" s="4">
        <f t="shared" si="117"/>
        <v>5753977.5991929071</v>
      </c>
      <c r="T388" s="4">
        <f t="shared" si="117"/>
        <v>5755795.8510437235</v>
      </c>
      <c r="U388" s="4">
        <f t="shared" si="117"/>
        <v>5757668.6503957044</v>
      </c>
      <c r="V388" s="4">
        <f t="shared" si="117"/>
        <v>5759597.6337010656</v>
      </c>
      <c r="W388" s="4">
        <f t="shared" si="117"/>
        <v>5761584.4865821842</v>
      </c>
      <c r="X388" s="4">
        <f t="shared" si="117"/>
        <v>5763630.9450670332</v>
      </c>
      <c r="Y388" s="4">
        <f t="shared" si="117"/>
        <v>5765738.7973187817</v>
      </c>
      <c r="Z388" s="4">
        <f t="shared" si="117"/>
        <v>5767909.885118315</v>
      </c>
      <c r="AA388" s="4">
        <f t="shared" si="117"/>
        <v>5770146.1053467533</v>
      </c>
      <c r="AB388" s="4">
        <f t="shared" ref="AB388:AF388" si="118">AB41+AB79+AB117+AB155+AB193+AB231+AB269+AB307+AB345+AB383</f>
        <v>5772449.412209224</v>
      </c>
      <c r="AC388" s="4">
        <f t="shared" si="118"/>
        <v>5774821.8184702964</v>
      </c>
      <c r="AD388" s="4">
        <f t="shared" si="118"/>
        <v>5777265.3969364967</v>
      </c>
      <c r="AE388" s="4">
        <f t="shared" si="118"/>
        <v>5779782.2826800868</v>
      </c>
      <c r="AF388" s="4">
        <f t="shared" si="118"/>
        <v>5782374.6750157513</v>
      </c>
    </row>
    <row r="389" spans="1:32">
      <c r="A389" s="6" t="s">
        <v>215</v>
      </c>
      <c r="C389" s="49">
        <f>+C388</f>
        <v>0</v>
      </c>
      <c r="D389" s="49">
        <f>+C389+D388</f>
        <v>0</v>
      </c>
      <c r="E389" s="49">
        <f t="shared" ref="E389:AF389" si="119">+D389+E388</f>
        <v>3356624.4211006803</v>
      </c>
      <c r="F389" s="49">
        <f t="shared" si="119"/>
        <v>13876664.814597424</v>
      </c>
      <c r="G389" s="49">
        <f t="shared" si="119"/>
        <v>27804293.28321442</v>
      </c>
      <c r="H389" s="49">
        <f t="shared" si="119"/>
        <v>39393380.915964574</v>
      </c>
      <c r="I389" s="49">
        <f t="shared" si="119"/>
        <v>49312082.237381279</v>
      </c>
      <c r="J389" s="49">
        <f t="shared" si="119"/>
        <v>58041468.505128562</v>
      </c>
      <c r="K389" s="49">
        <f t="shared" si="119"/>
        <v>66767514.000253171</v>
      </c>
      <c r="L389" s="49">
        <f t="shared" si="119"/>
        <v>75497579.755179942</v>
      </c>
      <c r="M389" s="49">
        <f t="shared" si="119"/>
        <v>82735020.019569471</v>
      </c>
      <c r="N389" s="49">
        <f t="shared" si="119"/>
        <v>88483202.994841635</v>
      </c>
      <c r="O389" s="49">
        <f t="shared" si="119"/>
        <v>94232135.08990401</v>
      </c>
      <c r="P389" s="49">
        <f t="shared" si="119"/>
        <v>99981838.778239101</v>
      </c>
      <c r="Q389" s="49">
        <f t="shared" si="119"/>
        <v>105732337.20762782</v>
      </c>
      <c r="R389" s="49">
        <f t="shared" si="119"/>
        <v>111484549.51370651</v>
      </c>
      <c r="S389" s="49">
        <f t="shared" si="119"/>
        <v>117238527.11289941</v>
      </c>
      <c r="T389" s="49">
        <f t="shared" si="119"/>
        <v>122994322.96394312</v>
      </c>
      <c r="U389" s="49">
        <f t="shared" si="119"/>
        <v>128751991.61433883</v>
      </c>
      <c r="V389" s="49">
        <f t="shared" si="119"/>
        <v>134511589.2480399</v>
      </c>
      <c r="W389" s="49">
        <f t="shared" si="119"/>
        <v>140273173.73462209</v>
      </c>
      <c r="X389" s="49">
        <f t="shared" si="119"/>
        <v>146036804.67968911</v>
      </c>
      <c r="Y389" s="49">
        <f t="shared" si="119"/>
        <v>151802543.4770079</v>
      </c>
      <c r="Z389" s="49">
        <f t="shared" si="119"/>
        <v>157570453.3621262</v>
      </c>
      <c r="AA389" s="49">
        <f t="shared" si="119"/>
        <v>163340599.46747294</v>
      </c>
      <c r="AB389" s="49">
        <f t="shared" si="119"/>
        <v>169113048.87968215</v>
      </c>
      <c r="AC389" s="49">
        <f t="shared" si="119"/>
        <v>174887870.69815245</v>
      </c>
      <c r="AD389" s="49">
        <f t="shared" si="119"/>
        <v>180665136.09508896</v>
      </c>
      <c r="AE389" s="49">
        <f t="shared" si="119"/>
        <v>186444918.37776905</v>
      </c>
      <c r="AF389" s="49">
        <f t="shared" si="119"/>
        <v>192227293.0527848</v>
      </c>
    </row>
    <row r="390" spans="1:32">
      <c r="A390" s="6"/>
    </row>
    <row r="391" spans="1:32">
      <c r="A391" s="2" t="s">
        <v>410</v>
      </c>
      <c r="C391" s="4">
        <f>+C388</f>
        <v>0</v>
      </c>
      <c r="D391" s="4">
        <f t="shared" ref="D391:AA391" si="120">+D388</f>
        <v>0</v>
      </c>
      <c r="E391" s="4">
        <f t="shared" si="120"/>
        <v>3356624.4211006803</v>
      </c>
      <c r="F391" s="4">
        <f t="shared" si="120"/>
        <v>10520040.393496744</v>
      </c>
      <c r="G391" s="4">
        <f t="shared" si="120"/>
        <v>13927628.468616996</v>
      </c>
      <c r="H391" s="4">
        <f t="shared" si="120"/>
        <v>11589087.632750157</v>
      </c>
      <c r="I391" s="4">
        <f t="shared" si="120"/>
        <v>9918701.3214167021</v>
      </c>
      <c r="J391" s="4">
        <f t="shared" si="120"/>
        <v>8729386.2677472793</v>
      </c>
      <c r="K391" s="4">
        <f t="shared" si="120"/>
        <v>8726045.495124612</v>
      </c>
      <c r="L391" s="4">
        <f t="shared" si="120"/>
        <v>8730065.7549267672</v>
      </c>
      <c r="M391" s="4">
        <f t="shared" si="120"/>
        <v>7237440.2643895298</v>
      </c>
      <c r="N391" s="4">
        <f t="shared" si="120"/>
        <v>5748182.975272161</v>
      </c>
      <c r="O391" s="4">
        <f t="shared" si="120"/>
        <v>5748932.0950623713</v>
      </c>
      <c r="P391" s="4">
        <f t="shared" si="120"/>
        <v>5749703.6883350983</v>
      </c>
      <c r="Q391" s="4">
        <f t="shared" si="120"/>
        <v>5750498.4293887112</v>
      </c>
      <c r="R391" s="4">
        <f t="shared" si="120"/>
        <v>5752212.3060786882</v>
      </c>
      <c r="S391" s="4">
        <f t="shared" si="120"/>
        <v>5753977.5991929071</v>
      </c>
      <c r="T391" s="4">
        <f t="shared" si="120"/>
        <v>5755795.8510437235</v>
      </c>
      <c r="U391" s="4">
        <f t="shared" si="120"/>
        <v>5757668.6503957044</v>
      </c>
      <c r="V391" s="4">
        <f t="shared" si="120"/>
        <v>5759597.6337010656</v>
      </c>
      <c r="W391" s="4">
        <f t="shared" si="120"/>
        <v>5761584.4865821842</v>
      </c>
      <c r="X391" s="4">
        <f t="shared" si="120"/>
        <v>5763630.9450670332</v>
      </c>
      <c r="Y391" s="4">
        <f t="shared" si="120"/>
        <v>5765738.7973187817</v>
      </c>
      <c r="Z391" s="4">
        <f t="shared" si="120"/>
        <v>5767909.885118315</v>
      </c>
      <c r="AA391" s="4">
        <f t="shared" si="120"/>
        <v>5770146.1053467533</v>
      </c>
      <c r="AB391" s="4">
        <f t="shared" ref="AB391:AF391" si="121">+AB388</f>
        <v>5772449.412209224</v>
      </c>
      <c r="AC391" s="4">
        <f t="shared" si="121"/>
        <v>5774821.8184702964</v>
      </c>
      <c r="AD391" s="4">
        <f t="shared" si="121"/>
        <v>5777265.3969364967</v>
      </c>
      <c r="AE391" s="4">
        <f t="shared" si="121"/>
        <v>5779782.2826800868</v>
      </c>
      <c r="AF391" s="4">
        <f t="shared" si="121"/>
        <v>5782374.6750157513</v>
      </c>
    </row>
    <row r="392" spans="1:32">
      <c r="A392" s="2" t="s">
        <v>411</v>
      </c>
      <c r="C392" s="4">
        <f>+C444</f>
        <v>0</v>
      </c>
      <c r="D392" s="4">
        <f t="shared" ref="D392:AA392" si="122">+D444</f>
        <v>0</v>
      </c>
      <c r="E392" s="4">
        <f t="shared" si="122"/>
        <v>0</v>
      </c>
      <c r="F392" s="4">
        <f t="shared" si="122"/>
        <v>0</v>
      </c>
      <c r="G392" s="4">
        <f t="shared" si="122"/>
        <v>0</v>
      </c>
      <c r="H392" s="4">
        <f t="shared" si="122"/>
        <v>0</v>
      </c>
      <c r="I392" s="4">
        <f t="shared" si="122"/>
        <v>0</v>
      </c>
      <c r="J392" s="4">
        <f t="shared" si="122"/>
        <v>0</v>
      </c>
      <c r="K392" s="4">
        <f t="shared" si="122"/>
        <v>0</v>
      </c>
      <c r="L392" s="4">
        <f t="shared" si="122"/>
        <v>0</v>
      </c>
      <c r="M392" s="4">
        <f t="shared" si="122"/>
        <v>0</v>
      </c>
      <c r="N392" s="4">
        <f t="shared" si="122"/>
        <v>0</v>
      </c>
      <c r="O392" s="4">
        <f t="shared" si="122"/>
        <v>0</v>
      </c>
      <c r="P392" s="4">
        <f t="shared" si="122"/>
        <v>0</v>
      </c>
      <c r="Q392" s="4">
        <f t="shared" si="122"/>
        <v>0</v>
      </c>
      <c r="R392" s="4">
        <f t="shared" si="122"/>
        <v>0</v>
      </c>
      <c r="S392" s="4">
        <f t="shared" si="122"/>
        <v>0</v>
      </c>
      <c r="T392" s="4">
        <f t="shared" si="122"/>
        <v>0</v>
      </c>
      <c r="U392" s="4">
        <f t="shared" si="122"/>
        <v>0</v>
      </c>
      <c r="V392" s="4">
        <f t="shared" si="122"/>
        <v>0</v>
      </c>
      <c r="W392" s="4">
        <f t="shared" si="122"/>
        <v>0</v>
      </c>
      <c r="X392" s="4">
        <f t="shared" si="122"/>
        <v>0</v>
      </c>
      <c r="Y392" s="4">
        <f t="shared" si="122"/>
        <v>0</v>
      </c>
      <c r="Z392" s="4">
        <f t="shared" si="122"/>
        <v>0</v>
      </c>
      <c r="AA392" s="4">
        <f t="shared" si="122"/>
        <v>0</v>
      </c>
      <c r="AB392" s="4">
        <f t="shared" ref="AB392:AF392" si="123">+AB444</f>
        <v>0</v>
      </c>
      <c r="AC392" s="4">
        <f t="shared" si="123"/>
        <v>0</v>
      </c>
      <c r="AD392" s="4">
        <f t="shared" si="123"/>
        <v>0</v>
      </c>
      <c r="AE392" s="4">
        <f t="shared" si="123"/>
        <v>0</v>
      </c>
      <c r="AF392" s="4">
        <f t="shared" si="123"/>
        <v>0</v>
      </c>
    </row>
    <row r="393" spans="1:32">
      <c r="A393" s="2" t="s">
        <v>412</v>
      </c>
      <c r="C393" s="42">
        <f>+Book!C369</f>
        <v>0</v>
      </c>
      <c r="D393" s="42">
        <f>+Book!D369</f>
        <v>0</v>
      </c>
      <c r="E393" s="42">
        <f>+Book!E369</f>
        <v>0</v>
      </c>
      <c r="F393" s="42">
        <f>+Book!F369</f>
        <v>5344643.8985098768</v>
      </c>
      <c r="G393" s="42">
        <f>+Book!G369</f>
        <v>8507481.9233043119</v>
      </c>
      <c r="H393" s="42">
        <f>+Book!H369</f>
        <v>8507481.9233043119</v>
      </c>
      <c r="I393" s="42">
        <f>+Book!I369</f>
        <v>8507481.9233043119</v>
      </c>
      <c r="J393" s="42">
        <f>+Book!J369</f>
        <v>8507481.9233043119</v>
      </c>
      <c r="K393" s="42">
        <f>+Book!K369</f>
        <v>8507481.9233043119</v>
      </c>
      <c r="L393" s="42">
        <f>+Book!L369</f>
        <v>8507702.7566376459</v>
      </c>
      <c r="M393" s="42">
        <f>+Book!M369</f>
        <v>6121884.8892565202</v>
      </c>
      <c r="N393" s="42">
        <f>+Book!N369</f>
        <v>3736082.5612344802</v>
      </c>
      <c r="O393" s="42">
        <f>+Book!O369</f>
        <v>3736562.3978587231</v>
      </c>
      <c r="P393" s="42">
        <f>+Book!P369</f>
        <v>3737056.6296041775</v>
      </c>
      <c r="Q393" s="42">
        <f>+Book!Q369</f>
        <v>3737565.6882602382</v>
      </c>
      <c r="R393" s="42">
        <f>+Book!R369</f>
        <v>3738380.9890269046</v>
      </c>
      <c r="S393" s="42">
        <f>+Book!S369</f>
        <v>3739511.7192132683</v>
      </c>
      <c r="T393" s="42">
        <f>+Book!T369</f>
        <v>3740676.3713269047</v>
      </c>
      <c r="U393" s="42">
        <f>+Book!U369</f>
        <v>3741875.9629678139</v>
      </c>
      <c r="V393" s="42">
        <f>+Book!V369</f>
        <v>3743111.5423314502</v>
      </c>
      <c r="W393" s="42">
        <f>+Book!W369</f>
        <v>3744384.1890920564</v>
      </c>
      <c r="X393" s="42">
        <f>+Book!X369</f>
        <v>3745695.0152859958</v>
      </c>
      <c r="Y393" s="42">
        <f>+Book!Y369</f>
        <v>3747045.1662753895</v>
      </c>
      <c r="Z393" s="42">
        <f>+Book!Z369</f>
        <v>3748435.8217920563</v>
      </c>
      <c r="AA393" s="42">
        <f>+Book!AA369</f>
        <v>3749868.1969011473</v>
      </c>
      <c r="AB393" s="42">
        <f>+Book!AB369</f>
        <v>3751343.5432056924</v>
      </c>
      <c r="AC393" s="42">
        <f>+Book!AC369</f>
        <v>3752863.1499708439</v>
      </c>
      <c r="AD393" s="42">
        <f>+Book!AD369</f>
        <v>3754428.3450072077</v>
      </c>
      <c r="AE393" s="42">
        <f>+Book!AE369</f>
        <v>3756040.4958753893</v>
      </c>
      <c r="AF393" s="42">
        <f>+Book!AF369</f>
        <v>3757701.0112511469</v>
      </c>
    </row>
    <row r="394" spans="1:32">
      <c r="A394" s="2" t="s">
        <v>413</v>
      </c>
      <c r="C394" s="4">
        <f>+C391+C392-C393</f>
        <v>0</v>
      </c>
      <c r="D394" s="4">
        <f t="shared" ref="D394:AA394" si="124">+D391+D392-D393</f>
        <v>0</v>
      </c>
      <c r="E394" s="4">
        <f t="shared" si="124"/>
        <v>3356624.4211006803</v>
      </c>
      <c r="F394" s="4">
        <f t="shared" si="124"/>
        <v>5175396.4949868675</v>
      </c>
      <c r="G394" s="4">
        <f t="shared" si="124"/>
        <v>5420146.545312684</v>
      </c>
      <c r="H394" s="4">
        <f t="shared" si="124"/>
        <v>3081605.7094458453</v>
      </c>
      <c r="I394" s="4">
        <f t="shared" si="124"/>
        <v>1411219.3981123902</v>
      </c>
      <c r="J394" s="4">
        <f t="shared" si="124"/>
        <v>221904.34444296733</v>
      </c>
      <c r="K394" s="4">
        <f t="shared" si="124"/>
        <v>218563.57182030007</v>
      </c>
      <c r="L394" s="4">
        <f t="shared" si="124"/>
        <v>222362.99828912131</v>
      </c>
      <c r="M394" s="4">
        <f t="shared" si="124"/>
        <v>1115555.3751330096</v>
      </c>
      <c r="N394" s="4">
        <f t="shared" si="124"/>
        <v>2012100.4140376807</v>
      </c>
      <c r="O394" s="4">
        <f t="shared" si="124"/>
        <v>2012369.6972036483</v>
      </c>
      <c r="P394" s="4">
        <f t="shared" si="124"/>
        <v>2012647.0587309208</v>
      </c>
      <c r="Q394" s="4">
        <f t="shared" si="124"/>
        <v>2012932.7411284731</v>
      </c>
      <c r="R394" s="4">
        <f t="shared" si="124"/>
        <v>2013831.3170517837</v>
      </c>
      <c r="S394" s="4">
        <f t="shared" si="124"/>
        <v>2014465.8799796388</v>
      </c>
      <c r="T394" s="4">
        <f t="shared" si="124"/>
        <v>2015119.4797168188</v>
      </c>
      <c r="U394" s="4">
        <f t="shared" si="124"/>
        <v>2015792.6874278905</v>
      </c>
      <c r="V394" s="4">
        <f t="shared" si="124"/>
        <v>2016486.0913696154</v>
      </c>
      <c r="W394" s="4">
        <f t="shared" si="124"/>
        <v>2017200.2974901279</v>
      </c>
      <c r="X394" s="4">
        <f t="shared" si="124"/>
        <v>2017935.9297810374</v>
      </c>
      <c r="Y394" s="4">
        <f t="shared" si="124"/>
        <v>2018693.6310433922</v>
      </c>
      <c r="Z394" s="4">
        <f t="shared" si="124"/>
        <v>2019474.0633262587</v>
      </c>
      <c r="AA394" s="4">
        <f t="shared" si="124"/>
        <v>2020277.908445606</v>
      </c>
      <c r="AB394" s="4">
        <f t="shared" ref="AB394:AF394" si="125">+AB391+AB392-AB393</f>
        <v>2021105.8690035315</v>
      </c>
      <c r="AC394" s="4">
        <f t="shared" si="125"/>
        <v>2021958.6684994525</v>
      </c>
      <c r="AD394" s="4">
        <f t="shared" si="125"/>
        <v>2022837.051929289</v>
      </c>
      <c r="AE394" s="4">
        <f t="shared" si="125"/>
        <v>2023741.7868046975</v>
      </c>
      <c r="AF394" s="4">
        <f t="shared" si="125"/>
        <v>2024673.6637646044</v>
      </c>
    </row>
    <row r="395" spans="1:32">
      <c r="A395" s="2" t="s">
        <v>414</v>
      </c>
      <c r="C395" s="4">
        <f t="shared" ref="C395:AF395" si="126">+C394*C4</f>
        <v>0</v>
      </c>
      <c r="D395" s="4">
        <f t="shared" si="126"/>
        <v>0</v>
      </c>
      <c r="E395" s="4">
        <f t="shared" si="126"/>
        <v>850736.45952796738</v>
      </c>
      <c r="F395" s="4">
        <f t="shared" si="126"/>
        <v>1311704.2416544217</v>
      </c>
      <c r="G395" s="4">
        <f t="shared" si="126"/>
        <v>1373736.1419094999</v>
      </c>
      <c r="H395" s="4">
        <f t="shared" si="126"/>
        <v>781032.96705904952</v>
      </c>
      <c r="I395" s="4">
        <f t="shared" si="126"/>
        <v>357673.55645158532</v>
      </c>
      <c r="J395" s="4">
        <f t="shared" si="126"/>
        <v>56241.656099070067</v>
      </c>
      <c r="K395" s="4">
        <f t="shared" si="126"/>
        <v>55394.937277855053</v>
      </c>
      <c r="L395" s="4">
        <f t="shared" si="126"/>
        <v>56357.901916377799</v>
      </c>
      <c r="M395" s="4">
        <f t="shared" si="126"/>
        <v>282737.50982746133</v>
      </c>
      <c r="N395" s="4">
        <f t="shared" si="126"/>
        <v>509966.8499378502</v>
      </c>
      <c r="O395" s="4">
        <f t="shared" si="126"/>
        <v>510035.09975626465</v>
      </c>
      <c r="P395" s="4">
        <f t="shared" si="126"/>
        <v>510105.3970353519</v>
      </c>
      <c r="Q395" s="4">
        <f t="shared" si="126"/>
        <v>510177.8032390115</v>
      </c>
      <c r="R395" s="4">
        <f t="shared" si="126"/>
        <v>510405.54730677459</v>
      </c>
      <c r="S395" s="4">
        <f t="shared" si="126"/>
        <v>510566.37728083949</v>
      </c>
      <c r="T395" s="4">
        <f t="shared" si="126"/>
        <v>510732.03213422775</v>
      </c>
      <c r="U395" s="4">
        <f t="shared" si="126"/>
        <v>510902.65662859887</v>
      </c>
      <c r="V395" s="4">
        <f t="shared" si="126"/>
        <v>511078.39985762903</v>
      </c>
      <c r="W395" s="4">
        <f t="shared" si="126"/>
        <v>511259.41539887292</v>
      </c>
      <c r="X395" s="4">
        <f t="shared" si="126"/>
        <v>511445.86140300392</v>
      </c>
      <c r="Y395" s="4">
        <f t="shared" si="126"/>
        <v>511637.90078794776</v>
      </c>
      <c r="Z395" s="4">
        <f t="shared" si="126"/>
        <v>511835.70135004027</v>
      </c>
      <c r="AA395" s="4">
        <f t="shared" si="126"/>
        <v>512039.43589553889</v>
      </c>
      <c r="AB395" s="4">
        <f t="shared" si="126"/>
        <v>512249.28249894507</v>
      </c>
      <c r="AC395" s="4">
        <f t="shared" si="126"/>
        <v>512465.42453118623</v>
      </c>
      <c r="AD395" s="4">
        <f t="shared" si="126"/>
        <v>512688.05081147834</v>
      </c>
      <c r="AE395" s="4">
        <f t="shared" si="126"/>
        <v>512917.35586565058</v>
      </c>
      <c r="AF395" s="4">
        <f t="shared" si="126"/>
        <v>513153.54008113901</v>
      </c>
    </row>
    <row r="396" spans="1:32" ht="15" thickBot="1">
      <c r="A396" s="517" t="s">
        <v>415</v>
      </c>
      <c r="C396" s="254">
        <f>+C395</f>
        <v>0</v>
      </c>
      <c r="D396" s="254">
        <f>+C396+D395+SUM($C$394:C394)*(D4-C4)</f>
        <v>0</v>
      </c>
      <c r="E396" s="254">
        <f>+D396+E395+SUM($C$394:D394)*(E4-D4)</f>
        <v>850736.45952796738</v>
      </c>
      <c r="F396" s="254">
        <f>+E396+F395+SUM($C$394:E394)*(F4-E4)</f>
        <v>2162440.7011823892</v>
      </c>
      <c r="G396" s="254">
        <f>+F396+G395+SUM($C$394:F394)*(G4-F4)</f>
        <v>3536176.8430918893</v>
      </c>
      <c r="H396" s="254">
        <f>+G396+H395+SUM($C$394:G394)*(H4-G4)</f>
        <v>4317209.810150939</v>
      </c>
      <c r="I396" s="254">
        <f>+H396+I395+SUM($C$394:H394)*(I4-H4)</f>
        <v>4674883.3666025242</v>
      </c>
      <c r="J396" s="254">
        <f>+I396+J395+SUM($C$394:I394)*(J4-I4)</f>
        <v>4731125.022701594</v>
      </c>
      <c r="K396" s="254">
        <f>+J396+K395+SUM($C$394:J394)*(K4-J4)</f>
        <v>4786519.9599794494</v>
      </c>
      <c r="L396" s="254">
        <f>+K396+L395+SUM($C$394:K394)*(L4-K4)</f>
        <v>4842877.8618958276</v>
      </c>
      <c r="M396" s="254">
        <f>+L396+M395+SUM($C$394:L394)*(M4-L4)</f>
        <v>5125615.3717232887</v>
      </c>
      <c r="N396" s="254">
        <f>+M396+N395+SUM($C$394:M394)*(N4-M4)</f>
        <v>5635582.2216611393</v>
      </c>
      <c r="O396" s="254">
        <f>+N396+O395+SUM($C$394:N394)*(O4-N4)</f>
        <v>6145617.3214174043</v>
      </c>
      <c r="P396" s="254">
        <f>+O396+P395+SUM($C$394:O394)*(P4-O4)</f>
        <v>6655722.7184527563</v>
      </c>
      <c r="Q396" s="254">
        <f>+P396+Q395+SUM($C$394:P394)*(Q4-P4)</f>
        <v>7165900.5216917675</v>
      </c>
      <c r="R396" s="254">
        <f>+Q396+R395+SUM($C$394:Q394)*(R4-Q4)</f>
        <v>7676306.0689985417</v>
      </c>
      <c r="S396" s="254">
        <f>+R396+S395+SUM($C$394:R394)*(S4-R4)</f>
        <v>8186872.4462793814</v>
      </c>
      <c r="T396" s="254">
        <f>+S396+T395+SUM($C$394:S394)*(T4-S4)</f>
        <v>8697604.4784136098</v>
      </c>
      <c r="U396" s="254">
        <f>+T396+U395+SUM($C$394:T394)*(U4-T4)</f>
        <v>9208507.1350422092</v>
      </c>
      <c r="V396" s="254">
        <f>+U396+V395+SUM($C$394:U394)*(V4-U4)</f>
        <v>9719585.5348998383</v>
      </c>
      <c r="W396" s="254">
        <f>+V396+W395+SUM($C$394:V394)*(W4-V4)</f>
        <v>10230844.950298712</v>
      </c>
      <c r="X396" s="254">
        <f>+W396+X395+SUM($C$394:W394)*(X4-W4)</f>
        <v>10742290.811701715</v>
      </c>
      <c r="Y396" s="254">
        <f>+X396+Y395+SUM($C$394:X394)*(Y4-X4)</f>
        <v>11253928.712489663</v>
      </c>
      <c r="Z396" s="254">
        <f>+Y396+Z395+SUM($C$394:Y394)*(Z4-Y4)</f>
        <v>11765764.413839703</v>
      </c>
      <c r="AA396" s="254">
        <f>+Z396+AA395+SUM($C$394:Z394)*(AA4-Z4)</f>
        <v>12277803.849735241</v>
      </c>
      <c r="AB396" s="254">
        <f>+AA396+AB395+SUM($C$394:AA394)*(AB4-AA4)</f>
        <v>12790053.132234186</v>
      </c>
      <c r="AC396" s="254">
        <f>+AB396+AC395+SUM($C$394:AB394)*(AC4-AB4)</f>
        <v>13302518.556765372</v>
      </c>
      <c r="AD396" s="254">
        <f>+AC396+AD395+SUM($C$394:AC394)*(AD4-AC4)</f>
        <v>13815206.607576851</v>
      </c>
      <c r="AE396" s="254">
        <f>+AD396+AE395+SUM($C$394:AD394)*(AE4-AD4)</f>
        <v>14328123.963442501</v>
      </c>
      <c r="AF396" s="254">
        <f>+AE396+AF395+SUM($C$394:AE394)*(AF4-AE4)</f>
        <v>14841277.50352364</v>
      </c>
    </row>
    <row r="397" spans="1:32" ht="15" thickTop="1">
      <c r="B397" s="90" t="s">
        <v>416</v>
      </c>
      <c r="C397" s="90">
        <f>+C395-Financials!C103</f>
        <v>0</v>
      </c>
      <c r="D397" s="90">
        <f>+D395-Financials!D103</f>
        <v>0</v>
      </c>
      <c r="E397" s="90">
        <f>+E395-Financials!E103</f>
        <v>0</v>
      </c>
      <c r="F397" s="90">
        <f>+F395-Financials!F103</f>
        <v>0</v>
      </c>
      <c r="G397" s="90">
        <f>+G395-Financials!G103</f>
        <v>0</v>
      </c>
      <c r="H397" s="90">
        <f>+H395-Financials!H103</f>
        <v>0</v>
      </c>
      <c r="I397" s="90">
        <f>+I395-Financials!I103</f>
        <v>0</v>
      </c>
      <c r="J397" s="90">
        <f>+J395-Financials!J103</f>
        <v>0</v>
      </c>
      <c r="K397" s="90">
        <f>+K395-Financials!K103</f>
        <v>0</v>
      </c>
      <c r="L397" s="90">
        <f>+L395-Financials!L103</f>
        <v>0</v>
      </c>
      <c r="M397" s="90">
        <f>+M395-Financials!M103</f>
        <v>0</v>
      </c>
      <c r="N397" s="90">
        <f>+N395-Financials!N103</f>
        <v>0</v>
      </c>
      <c r="O397" s="90">
        <f>+O395-Financials!O103</f>
        <v>0</v>
      </c>
      <c r="P397" s="90">
        <f>+P395-Financials!P103</f>
        <v>0</v>
      </c>
      <c r="Q397" s="90">
        <f>+Q395-Financials!Q103</f>
        <v>0</v>
      </c>
      <c r="R397" s="90">
        <f>+R395-Financials!R103</f>
        <v>0</v>
      </c>
      <c r="S397" s="90">
        <f>+S395-Financials!S103</f>
        <v>0</v>
      </c>
      <c r="T397" s="90">
        <f>+T395-Financials!T103</f>
        <v>0</v>
      </c>
      <c r="U397" s="90">
        <f>+U395-Financials!U103</f>
        <v>0</v>
      </c>
      <c r="V397" s="90">
        <f>+V395-Financials!V103</f>
        <v>0</v>
      </c>
      <c r="W397" s="90">
        <f>+W395-Financials!W103</f>
        <v>0</v>
      </c>
      <c r="X397" s="90">
        <f>+X395-Financials!X103</f>
        <v>0</v>
      </c>
      <c r="Y397" s="90">
        <f>+Y395-Financials!Y103</f>
        <v>0</v>
      </c>
      <c r="Z397" s="90">
        <f>+Z395-Financials!Z103</f>
        <v>0</v>
      </c>
      <c r="AA397" s="90">
        <f>+AA395-Financials!AA103</f>
        <v>0</v>
      </c>
      <c r="AB397" s="90">
        <f>+AB395-Financials!AB103</f>
        <v>0</v>
      </c>
      <c r="AC397" s="90">
        <f>+AC395-Financials!AC103</f>
        <v>0</v>
      </c>
      <c r="AD397" s="90">
        <f>+AD395-Financials!AD103</f>
        <v>0</v>
      </c>
      <c r="AE397" s="90">
        <f>+AE395-Financials!AE103</f>
        <v>0</v>
      </c>
      <c r="AF397" s="90">
        <f>+AF395-Financials!AF103</f>
        <v>0</v>
      </c>
    </row>
    <row r="398" spans="1:32">
      <c r="A398" s="14"/>
      <c r="D398" s="516"/>
      <c r="E398" s="516"/>
      <c r="G398" s="516"/>
      <c r="H398" s="516"/>
      <c r="I398" s="516"/>
      <c r="J398" s="516"/>
      <c r="K398" s="516"/>
      <c r="L398" s="516"/>
      <c r="M398" s="516"/>
      <c r="N398" s="516"/>
    </row>
    <row r="399" spans="1:32" ht="18">
      <c r="A399" s="16" t="s">
        <v>417</v>
      </c>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row>
    <row r="400" spans="1:32">
      <c r="A400" s="15" t="s">
        <v>418</v>
      </c>
      <c r="C400" s="4">
        <f>(IF(Capex!$F$6="Y",C$6,0)+IF(Capex!$F$7="Y",C$44,0)+IF(Capex!$F$8="Y",C$82,0)+IF(Capex!$F$9="Y",C$120,0)+IF(Capex!$F$10="Y",C$158,0)+IF(Capex!$F$11="Y",C$196,0)+IF(Capex!$F$12="Y",C$234,0)+IF(Capex!$F$13="Y",C$272,0)+IF(Capex!$F$14="Y",C$310,0)+IF(Capex!$F$15="Y",C$348,0))/(1-C401*0.5)</f>
        <v>0</v>
      </c>
      <c r="D400" s="4">
        <f>(IF(Capex!$F$6="Y",D$6,0)+IF(Capex!$F$7="Y",D$44,0)+IF(Capex!$F$8="Y",D$82,0)+IF(Capex!$F$9="Y",D$120,0)+IF(Capex!$F$10="Y",D$158,0)+IF(Capex!$F$11="Y",D$196,0)+IF(Capex!$F$12="Y",D$234,0)+IF(Capex!$F$13="Y",D$272,0)+IF(Capex!$F$14="Y",D$310,0)+IF(Capex!$F$15="Y",D$348,0))/(1-D401*0.5)</f>
        <v>0</v>
      </c>
      <c r="E400" s="4">
        <f>(IF(Capex!$F$6="Y",E$6,0)+IF(Capex!$F$7="Y",E$44,0)+IF(Capex!$F$8="Y",E$82,0)+IF(Capex!$F$9="Y",E$120,0)+IF(Capex!$F$10="Y",E$158,0)+IF(Capex!$F$11="Y",E$196,0)+IF(Capex!$F$12="Y",E$234,0)+IF(Capex!$F$13="Y",E$272,0)+IF(Capex!$F$14="Y",E$310,0)+IF(Capex!$F$15="Y",E$348,0))/(1-E401*0.5)</f>
        <v>0</v>
      </c>
      <c r="F400" s="4">
        <f>(IF(Capex!$F$6="Y",F$6,0)+IF(Capex!$F$7="Y",F$44,0)+IF(Capex!$F$8="Y",F$82,0)+IF(Capex!$F$9="Y",F$120,0)+IF(Capex!$F$10="Y",F$158,0)+IF(Capex!$F$11="Y",F$196,0)+IF(Capex!$F$12="Y",F$234,0)+IF(Capex!$F$13="Y",F$272,0)+IF(Capex!$F$14="Y",F$310,0)+IF(Capex!$F$15="Y",F$348,0))/(1-F401*0.5)</f>
        <v>0</v>
      </c>
      <c r="G400" s="4">
        <f>(IF(Capex!$F$6="Y",G$6,0)+IF(Capex!$F$7="Y",G$44,0)+IF(Capex!$F$8="Y",G$82,0)+IF(Capex!$F$9="Y",G$120,0)+IF(Capex!$F$10="Y",G$158,0)+IF(Capex!$F$11="Y",G$196,0)+IF(Capex!$F$12="Y",G$234,0)+IF(Capex!$F$13="Y",G$272,0)+IF(Capex!$F$14="Y",G$310,0)+IF(Capex!$F$15="Y",G$348,0))/(1-G401*0.5)</f>
        <v>0</v>
      </c>
      <c r="H400" s="4">
        <f>(IF(Capex!$F$6="Y",H$6,0)+IF(Capex!$F$7="Y",H$44,0)+IF(Capex!$F$8="Y",H$82,0)+IF(Capex!$F$9="Y",H$120,0)+IF(Capex!$F$10="Y",H$158,0)+IF(Capex!$F$11="Y",H$196,0)+IF(Capex!$F$12="Y",H$234,0)+IF(Capex!$F$13="Y",H$272,0)+IF(Capex!$F$14="Y",H$310,0)+IF(Capex!$F$15="Y",H$348,0))/(1-H401*0.5)</f>
        <v>0</v>
      </c>
      <c r="I400" s="4">
        <f>(IF(Capex!$F$6="Y",I$6,0)+IF(Capex!$F$7="Y",I$44,0)+IF(Capex!$F$8="Y",I$82,0)+IF(Capex!$F$9="Y",I$120,0)+IF(Capex!$F$10="Y",I$158,0)+IF(Capex!$F$11="Y",I$196,0)+IF(Capex!$F$12="Y",I$234,0)+IF(Capex!$F$13="Y",I$272,0)+IF(Capex!$F$14="Y",I$310,0)+IF(Capex!$F$15="Y",I$348,0))/(1-I401*0.5)</f>
        <v>0</v>
      </c>
      <c r="J400" s="4">
        <f>(IF(Capex!$F$6="Y",J$6,0)+IF(Capex!$F$7="Y",J$44,0)+IF(Capex!$F$8="Y",J$82,0)+IF(Capex!$F$9="Y",J$120,0)+IF(Capex!$F$10="Y",J$158,0)+IF(Capex!$F$11="Y",J$196,0)+IF(Capex!$F$12="Y",J$234,0)+IF(Capex!$F$13="Y",J$272,0)+IF(Capex!$F$14="Y",J$310,0)+IF(Capex!$F$15="Y",J$348,0))/(1-J401*0.5)</f>
        <v>0</v>
      </c>
      <c r="K400" s="4">
        <f>(IF(Capex!$F$6="Y",K$6,0)+IF(Capex!$F$7="Y",K$44,0)+IF(Capex!$F$8="Y",K$82,0)+IF(Capex!$F$9="Y",K$120,0)+IF(Capex!$F$10="Y",K$158,0)+IF(Capex!$F$11="Y",K$196,0)+IF(Capex!$F$12="Y",K$234,0)+IF(Capex!$F$13="Y",K$272,0)+IF(Capex!$F$14="Y",K$310,0)+IF(Capex!$F$15="Y",K$348,0))/(1-K401*0.5)</f>
        <v>0</v>
      </c>
      <c r="L400" s="4">
        <f>(IF(Capex!$F$6="Y",L$6,0)+IF(Capex!$F$7="Y",L$44,0)+IF(Capex!$F$8="Y",L$82,0)+IF(Capex!$F$9="Y",L$120,0)+IF(Capex!$F$10="Y",L$158,0)+IF(Capex!$F$11="Y",L$196,0)+IF(Capex!$F$12="Y",L$234,0)+IF(Capex!$F$13="Y",L$272,0)+IF(Capex!$F$14="Y",L$310,0)+IF(Capex!$F$15="Y",L$348,0))/(1-L401*0.5)</f>
        <v>0</v>
      </c>
      <c r="M400" s="4">
        <f>(IF(Capex!$F$6="Y",M$6,0)+IF(Capex!$F$7="Y",M$44,0)+IF(Capex!$F$8="Y",M$82,0)+IF(Capex!$F$9="Y",M$120,0)+IF(Capex!$F$10="Y",M$158,0)+IF(Capex!$F$11="Y",M$196,0)+IF(Capex!$F$12="Y",M$234,0)+IF(Capex!$F$13="Y",M$272,0)+IF(Capex!$F$14="Y",M$310,0)+IF(Capex!$F$15="Y",M$348,0))/(1-M401*0.5)</f>
        <v>0</v>
      </c>
      <c r="N400" s="4">
        <f>(IF(Capex!$F$6="Y",N$6,0)+IF(Capex!$F$7="Y",N$44,0)+IF(Capex!$F$8="Y",N$82,0)+IF(Capex!$F$9="Y",N$120,0)+IF(Capex!$F$10="Y",N$158,0)+IF(Capex!$F$11="Y",N$196,0)+IF(Capex!$F$12="Y",N$234,0)+IF(Capex!$F$13="Y",N$272,0)+IF(Capex!$F$14="Y",N$310,0)+IF(Capex!$F$15="Y",N$348,0))/(1-N401*0.5)</f>
        <v>0</v>
      </c>
      <c r="O400" s="4">
        <f>(IF(Capex!$F$6="Y",O$6,0)+IF(Capex!$F$7="Y",O$44,0)+IF(Capex!$F$8="Y",O$82,0)+IF(Capex!$F$9="Y",O$120,0)+IF(Capex!$F$10="Y",O$158,0)+IF(Capex!$F$11="Y",O$196,0)+IF(Capex!$F$12="Y",O$234,0)+IF(Capex!$F$13="Y",O$272,0)+IF(Capex!$F$14="Y",O$310,0)+IF(Capex!$F$15="Y",O$348,0))/(1-O401*0.5)</f>
        <v>0</v>
      </c>
      <c r="P400" s="4">
        <f>(IF(Capex!$F$6="Y",P$6,0)+IF(Capex!$F$7="Y",P$44,0)+IF(Capex!$F$8="Y",P$82,0)+IF(Capex!$F$9="Y",P$120,0)+IF(Capex!$F$10="Y",P$158,0)+IF(Capex!$F$11="Y",P$196,0)+IF(Capex!$F$12="Y",P$234,0)+IF(Capex!$F$13="Y",P$272,0)+IF(Capex!$F$14="Y",P$310,0)+IF(Capex!$F$15="Y",P$348,0))/(1-P401*0.5)</f>
        <v>0</v>
      </c>
      <c r="Q400" s="4">
        <f>(IF(Capex!$F$6="Y",Q$6,0)+IF(Capex!$F$7="Y",Q$44,0)+IF(Capex!$F$8="Y",Q$82,0)+IF(Capex!$F$9="Y",Q$120,0)+IF(Capex!$F$10="Y",Q$158,0)+IF(Capex!$F$11="Y",Q$196,0)+IF(Capex!$F$12="Y",Q$234,0)+IF(Capex!$F$13="Y",Q$272,0)+IF(Capex!$F$14="Y",Q$310,0)+IF(Capex!$F$15="Y",Q$348,0))/(1-Q401*0.5)</f>
        <v>0</v>
      </c>
      <c r="R400" s="4">
        <f>(IF(Capex!$F$6="Y",R$6,0)+IF(Capex!$F$7="Y",R$44,0)+IF(Capex!$F$8="Y",R$82,0)+IF(Capex!$F$9="Y",R$120,0)+IF(Capex!$F$10="Y",R$158,0)+IF(Capex!$F$11="Y",R$196,0)+IF(Capex!$F$12="Y",R$234,0)+IF(Capex!$F$13="Y",R$272,0)+IF(Capex!$F$14="Y",R$310,0)+IF(Capex!$F$15="Y",R$348,0))/(1-R401*0.5)</f>
        <v>0</v>
      </c>
      <c r="S400" s="4">
        <f>(IF(Capex!$F$6="Y",S$6,0)+IF(Capex!$F$7="Y",S$44,0)+IF(Capex!$F$8="Y",S$82,0)+IF(Capex!$F$9="Y",S$120,0)+IF(Capex!$F$10="Y",S$158,0)+IF(Capex!$F$11="Y",S$196,0)+IF(Capex!$F$12="Y",S$234,0)+IF(Capex!$F$13="Y",S$272,0)+IF(Capex!$F$14="Y",S$310,0)+IF(Capex!$F$15="Y",S$348,0))/(1-S401*0.5)</f>
        <v>0</v>
      </c>
      <c r="T400" s="4">
        <f>(IF(Capex!$F$6="Y",T$6,0)+IF(Capex!$F$7="Y",T$44,0)+IF(Capex!$F$8="Y",T$82,0)+IF(Capex!$F$9="Y",T$120,0)+IF(Capex!$F$10="Y",T$158,0)+IF(Capex!$F$11="Y",T$196,0)+IF(Capex!$F$12="Y",T$234,0)+IF(Capex!$F$13="Y",T$272,0)+IF(Capex!$F$14="Y",T$310,0)+IF(Capex!$F$15="Y",T$348,0))/(1-T401*0.5)</f>
        <v>0</v>
      </c>
      <c r="U400" s="4">
        <f>(IF(Capex!$F$6="Y",U$6,0)+IF(Capex!$F$7="Y",U$44,0)+IF(Capex!$F$8="Y",U$82,0)+IF(Capex!$F$9="Y",U$120,0)+IF(Capex!$F$10="Y",U$158,0)+IF(Capex!$F$11="Y",U$196,0)+IF(Capex!$F$12="Y",U$234,0)+IF(Capex!$F$13="Y",U$272,0)+IF(Capex!$F$14="Y",U$310,0)+IF(Capex!$F$15="Y",U$348,0))/(1-U401*0.5)</f>
        <v>0</v>
      </c>
      <c r="V400" s="4">
        <f>(IF(Capex!$F$6="Y",V$6,0)+IF(Capex!$F$7="Y",V$44,0)+IF(Capex!$F$8="Y",V$82,0)+IF(Capex!$F$9="Y",V$120,0)+IF(Capex!$F$10="Y",V$158,0)+IF(Capex!$F$11="Y",V$196,0)+IF(Capex!$F$12="Y",V$234,0)+IF(Capex!$F$13="Y",V$272,0)+IF(Capex!$F$14="Y",V$310,0)+IF(Capex!$F$15="Y",V$348,0))/(1-V401*0.5)</f>
        <v>0</v>
      </c>
      <c r="W400" s="4">
        <f>(IF(Capex!$F$6="Y",W$6,0)+IF(Capex!$F$7="Y",W$44,0)+IF(Capex!$F$8="Y",W$82,0)+IF(Capex!$F$9="Y",W$120,0)+IF(Capex!$F$10="Y",W$158,0)+IF(Capex!$F$11="Y",W$196,0)+IF(Capex!$F$12="Y",W$234,0)+IF(Capex!$F$13="Y",W$272,0)+IF(Capex!$F$14="Y",W$310,0)+IF(Capex!$F$15="Y",W$348,0))/(1-W401*0.5)</f>
        <v>0</v>
      </c>
      <c r="X400" s="4">
        <f>(IF(Capex!$F$6="Y",X$6,0)+IF(Capex!$F$7="Y",X$44,0)+IF(Capex!$F$8="Y",X$82,0)+IF(Capex!$F$9="Y",X$120,0)+IF(Capex!$F$10="Y",X$158,0)+IF(Capex!$F$11="Y",X$196,0)+IF(Capex!$F$12="Y",X$234,0)+IF(Capex!$F$13="Y",X$272,0)+IF(Capex!$F$14="Y",X$310,0)+IF(Capex!$F$15="Y",X$348,0))/(1-X401*0.5)</f>
        <v>0</v>
      </c>
      <c r="Y400" s="4">
        <f>(IF(Capex!$F$6="Y",Y$6,0)+IF(Capex!$F$7="Y",Y$44,0)+IF(Capex!$F$8="Y",Y$82,0)+IF(Capex!$F$9="Y",Y$120,0)+IF(Capex!$F$10="Y",Y$158,0)+IF(Capex!$F$11="Y",Y$196,0)+IF(Capex!$F$12="Y",Y$234,0)+IF(Capex!$F$13="Y",Y$272,0)+IF(Capex!$F$14="Y",Y$310,0)+IF(Capex!$F$15="Y",Y$348,0))/(1-Y401*0.5)</f>
        <v>0</v>
      </c>
      <c r="Z400" s="4">
        <f>(IF(Capex!$F$6="Y",Z$6,0)+IF(Capex!$F$7="Y",Z$44,0)+IF(Capex!$F$8="Y",Z$82,0)+IF(Capex!$F$9="Y",Z$120,0)+IF(Capex!$F$10="Y",Z$158,0)+IF(Capex!$F$11="Y",Z$196,0)+IF(Capex!$F$12="Y",Z$234,0)+IF(Capex!$F$13="Y",Z$272,0)+IF(Capex!$F$14="Y",Z$310,0)+IF(Capex!$F$15="Y",Z$348,0))/(1-Z401*0.5)</f>
        <v>0</v>
      </c>
      <c r="AA400" s="4">
        <f>(IF(Capex!$F$6="Y",AA$6,0)+IF(Capex!$F$7="Y",AA$44,0)+IF(Capex!$F$8="Y",AA$82,0)+IF(Capex!$F$9="Y",AA$120,0)+IF(Capex!$F$10="Y",AA$158,0)+IF(Capex!$F$11="Y",AA$196,0)+IF(Capex!$F$12="Y",AA$234,0)+IF(Capex!$F$13="Y",AA$272,0)+IF(Capex!$F$14="Y",AA$310,0)+IF(Capex!$F$15="Y",AA$348,0))/(1-AA401*0.5)</f>
        <v>0</v>
      </c>
      <c r="AB400" s="4">
        <f>(IF(Capex!$F$6="Y",AB$6,0)+IF(Capex!$F$7="Y",AB$44,0)+IF(Capex!$F$8="Y",AB$82,0)+IF(Capex!$F$9="Y",AB$120,0)+IF(Capex!$F$10="Y",AB$158,0)+IF(Capex!$F$11="Y",AB$196,0)+IF(Capex!$F$12="Y",AB$234,0)+IF(Capex!$F$13="Y",AB$272,0)+IF(Capex!$F$14="Y",AB$310,0)+IF(Capex!$F$15="Y",AB$348,0))/(1-AB401*0.5)</f>
        <v>0</v>
      </c>
      <c r="AC400" s="4">
        <f>(IF(Capex!$F$6="Y",AC$6,0)+IF(Capex!$F$7="Y",AC$44,0)+IF(Capex!$F$8="Y",AC$82,0)+IF(Capex!$F$9="Y",AC$120,0)+IF(Capex!$F$10="Y",AC$158,0)+IF(Capex!$F$11="Y",AC$196,0)+IF(Capex!$F$12="Y",AC$234,0)+IF(Capex!$F$13="Y",AC$272,0)+IF(Capex!$F$14="Y",AC$310,0)+IF(Capex!$F$15="Y",AC$348,0))/(1-AC401*0.5)</f>
        <v>0</v>
      </c>
      <c r="AD400" s="4">
        <f>(IF(Capex!$F$6="Y",AD$6,0)+IF(Capex!$F$7="Y",AD$44,0)+IF(Capex!$F$8="Y",AD$82,0)+IF(Capex!$F$9="Y",AD$120,0)+IF(Capex!$F$10="Y",AD$158,0)+IF(Capex!$F$11="Y",AD$196,0)+IF(Capex!$F$12="Y",AD$234,0)+IF(Capex!$F$13="Y",AD$272,0)+IF(Capex!$F$14="Y",AD$310,0)+IF(Capex!$F$15="Y",AD$348,0))/(1-AD401*0.5)</f>
        <v>0</v>
      </c>
      <c r="AE400" s="4">
        <f>(IF(Capex!$F$6="Y",AE$6,0)+IF(Capex!$F$7="Y",AE$44,0)+IF(Capex!$F$8="Y",AE$82,0)+IF(Capex!$F$9="Y",AE$120,0)+IF(Capex!$F$10="Y",AE$158,0)+IF(Capex!$F$11="Y",AE$196,0)+IF(Capex!$F$12="Y",AE$234,0)+IF(Capex!$F$13="Y",AE$272,0)+IF(Capex!$F$14="Y",AE$310,0)+IF(Capex!$F$15="Y",AE$348,0))/(1-AE401*0.5)</f>
        <v>0</v>
      </c>
      <c r="AF400" s="4">
        <f>(IF(Capex!$F$6="Y",AF$6,0)+IF(Capex!$F$7="Y",AF$44,0)+IF(Capex!$F$8="Y",AF$82,0)+IF(Capex!$F$9="Y",AF$120,0)+IF(Capex!$F$10="Y",AF$158,0)+IF(Capex!$F$11="Y",AF$196,0)+IF(Capex!$F$12="Y",AF$234,0)+IF(Capex!$F$13="Y",AF$272,0)+IF(Capex!$F$14="Y",AF$310,0)+IF(Capex!$F$15="Y",AF$348,0))/(1-AF401*0.5)</f>
        <v>0</v>
      </c>
    </row>
    <row r="401" spans="1:34">
      <c r="A401" s="15" t="s">
        <v>91</v>
      </c>
      <c r="C401" s="253">
        <f>IF(C2&gt;'Input Data'!$M$40,'Input Data'!$M$41,SUMIF('Input Data'!$C$40:$M$40,C$2,'Input Data'!$C$41:$M$41))</f>
        <v>0.1</v>
      </c>
      <c r="D401" s="253">
        <f>IF(D2&gt;'Input Data'!$M$40,'Input Data'!$M$41,SUMIF('Input Data'!$C$40:$M$40,D$2,'Input Data'!$C$41:$M$41))</f>
        <v>0.1</v>
      </c>
      <c r="E401" s="253">
        <f>IF(E2&gt;'Input Data'!$M$40,'Input Data'!$M$41,SUMIF('Input Data'!$C$40:$M$40,E$2,'Input Data'!$C$41:$M$41))</f>
        <v>0.1</v>
      </c>
      <c r="F401" s="253">
        <f>IF(F2&gt;'Input Data'!$M$40,'Input Data'!$M$41,SUMIF('Input Data'!$C$40:$M$40,F$2,'Input Data'!$C$41:$M$41))</f>
        <v>0.1</v>
      </c>
      <c r="G401" s="253">
        <f>IF(G2&gt;'Input Data'!$M$40,'Input Data'!$M$41,SUMIF('Input Data'!$C$40:$M$40,G$2,'Input Data'!$C$41:$M$41))</f>
        <v>0.1</v>
      </c>
      <c r="H401" s="253">
        <f>IF(H2&gt;'Input Data'!$M$40,'Input Data'!$M$41,SUMIF('Input Data'!$C$40:$M$40,H$2,'Input Data'!$C$41:$M$41))</f>
        <v>0.1</v>
      </c>
      <c r="I401" s="253">
        <f>IF(I2&gt;'Input Data'!$M$40,'Input Data'!$M$41,SUMIF('Input Data'!$C$40:$M$40,I$2,'Input Data'!$C$41:$M$41))</f>
        <v>0.1</v>
      </c>
      <c r="J401" s="253">
        <f>IF(J2&gt;'Input Data'!$M$40,'Input Data'!$M$41,SUMIF('Input Data'!$C$40:$M$40,J$2,'Input Data'!$C$41:$M$41))</f>
        <v>0.1</v>
      </c>
      <c r="K401" s="253">
        <f>IF(K2&gt;'Input Data'!$M$40,'Input Data'!$M$41,SUMIF('Input Data'!$C$40:$M$40,K$2,'Input Data'!$C$41:$M$41))</f>
        <v>0.1</v>
      </c>
      <c r="L401" s="253">
        <f>IF(L2&gt;'Input Data'!$M$40,'Input Data'!$M$41,SUMIF('Input Data'!$C$40:$M$40,L$2,'Input Data'!$C$41:$M$41))</f>
        <v>0.1</v>
      </c>
      <c r="M401" s="253">
        <f>IF(M2&gt;'Input Data'!$M$40,'Input Data'!$M$41,SUMIF('Input Data'!$C$40:$M$40,M$2,'Input Data'!$C$41:$M$41))</f>
        <v>0.1</v>
      </c>
      <c r="N401" s="253">
        <f>IF(N2&gt;'Input Data'!$M$40,'Input Data'!$M$41,SUMIF('Input Data'!$C$40:$M$40,N$2,'Input Data'!$C$41:$M$41))</f>
        <v>0.1</v>
      </c>
      <c r="O401" s="253">
        <f>IF(O2&gt;'Input Data'!$M$40,'Input Data'!$M$41,SUMIF('Input Data'!$C$40:$M$40,O$2,'Input Data'!$C$41:$M$41))</f>
        <v>0.1</v>
      </c>
      <c r="P401" s="253">
        <f>IF(P2&gt;'Input Data'!$M$40,'Input Data'!$M$41,SUMIF('Input Data'!$C$40:$M$40,P$2,'Input Data'!$C$41:$M$41))</f>
        <v>0.1</v>
      </c>
      <c r="Q401" s="253">
        <f>IF(Q2&gt;'Input Data'!$M$40,'Input Data'!$M$41,SUMIF('Input Data'!$C$40:$M$40,Q$2,'Input Data'!$C$41:$M$41))</f>
        <v>0.1</v>
      </c>
      <c r="R401" s="253">
        <f>IF(R2&gt;'Input Data'!$M$40,'Input Data'!$M$41,SUMIF('Input Data'!$C$40:$M$40,R$2,'Input Data'!$C$41:$M$41))</f>
        <v>0.1</v>
      </c>
      <c r="S401" s="253">
        <f>IF(S2&gt;'Input Data'!$M$40,'Input Data'!$M$41,SUMIF('Input Data'!$C$40:$M$40,S$2,'Input Data'!$C$41:$M$41))</f>
        <v>0.1</v>
      </c>
      <c r="T401" s="253">
        <f>IF(T2&gt;'Input Data'!$M$40,'Input Data'!$M$41,SUMIF('Input Data'!$C$40:$M$40,T$2,'Input Data'!$C$41:$M$41))</f>
        <v>0.1</v>
      </c>
      <c r="U401" s="253">
        <f>IF(U2&gt;'Input Data'!$M$40,'Input Data'!$M$41,SUMIF('Input Data'!$C$40:$M$40,U$2,'Input Data'!$C$41:$M$41))</f>
        <v>0.1</v>
      </c>
      <c r="V401" s="253">
        <f>IF(V2&gt;'Input Data'!$M$40,'Input Data'!$M$41,SUMIF('Input Data'!$C$40:$M$40,V$2,'Input Data'!$C$41:$M$41))</f>
        <v>0.1</v>
      </c>
      <c r="W401" s="253">
        <f>IF(W2&gt;'Input Data'!$M$40,'Input Data'!$M$41,SUMIF('Input Data'!$C$40:$M$40,W$2,'Input Data'!$C$41:$M$41))</f>
        <v>0.1</v>
      </c>
      <c r="X401" s="253">
        <f>IF(X2&gt;'Input Data'!$M$40,'Input Data'!$M$41,SUMIF('Input Data'!$C$40:$M$40,X$2,'Input Data'!$C$41:$M$41))</f>
        <v>0.1</v>
      </c>
      <c r="Y401" s="253">
        <f>IF(Y2&gt;'Input Data'!$M$40,'Input Data'!$M$41,SUMIF('Input Data'!$C$40:$M$40,Y$2,'Input Data'!$C$41:$M$41))</f>
        <v>0.1</v>
      </c>
      <c r="Z401" s="253">
        <f>IF(Z2&gt;'Input Data'!$M$40,'Input Data'!$M$41,SUMIF('Input Data'!$C$40:$M$40,Z$2,'Input Data'!$C$41:$M$41))</f>
        <v>0.1</v>
      </c>
      <c r="AA401" s="253">
        <f>IF(AA2&gt;'Input Data'!$M$40,'Input Data'!$M$41,SUMIF('Input Data'!$C$40:$M$40,AA$2,'Input Data'!$C$41:$M$41))</f>
        <v>0.1</v>
      </c>
      <c r="AB401" s="253">
        <f>IF(AB2&gt;'Input Data'!$M$40,'Input Data'!$M$41,SUMIF('Input Data'!$C$40:$M$40,AB$2,'Input Data'!$C$41:$M$41))</f>
        <v>0.1</v>
      </c>
      <c r="AC401" s="253">
        <f>IF(AC2&gt;'Input Data'!$M$40,'Input Data'!$M$41,SUMIF('Input Data'!$C$40:$M$40,AC$2,'Input Data'!$C$41:$M$41))</f>
        <v>0.1</v>
      </c>
      <c r="AD401" s="253">
        <f>IF(AD2&gt;'Input Data'!$M$40,'Input Data'!$M$41,SUMIF('Input Data'!$C$40:$M$40,AD$2,'Input Data'!$C$41:$M$41))</f>
        <v>0.1</v>
      </c>
      <c r="AE401" s="253">
        <f>IF(AE2&gt;'Input Data'!$M$40,'Input Data'!$M$41,SUMIF('Input Data'!$C$40:$M$40,AE$2,'Input Data'!$C$41:$M$41))</f>
        <v>0.1</v>
      </c>
      <c r="AF401" s="253">
        <f>IF(AF2&gt;'Input Data'!$M$40,'Input Data'!$M$41,SUMIF('Input Data'!$C$40:$M$40,AF$2,'Input Data'!$C$41:$M$41))</f>
        <v>0.1</v>
      </c>
    </row>
    <row r="402" spans="1:34">
      <c r="A402" s="15" t="s">
        <v>386</v>
      </c>
      <c r="C402" s="49">
        <f t="shared" ref="C402:AA402" si="127">+C400*C401</f>
        <v>0</v>
      </c>
      <c r="D402" s="49">
        <f t="shared" si="127"/>
        <v>0</v>
      </c>
      <c r="E402" s="49">
        <f t="shared" si="127"/>
        <v>0</v>
      </c>
      <c r="F402" s="49">
        <f t="shared" si="127"/>
        <v>0</v>
      </c>
      <c r="G402" s="49">
        <f t="shared" si="127"/>
        <v>0</v>
      </c>
      <c r="H402" s="49">
        <f t="shared" si="127"/>
        <v>0</v>
      </c>
      <c r="I402" s="49">
        <f t="shared" si="127"/>
        <v>0</v>
      </c>
      <c r="J402" s="49">
        <f t="shared" si="127"/>
        <v>0</v>
      </c>
      <c r="K402" s="49">
        <f t="shared" si="127"/>
        <v>0</v>
      </c>
      <c r="L402" s="49">
        <f t="shared" si="127"/>
        <v>0</v>
      </c>
      <c r="M402" s="49">
        <f t="shared" si="127"/>
        <v>0</v>
      </c>
      <c r="N402" s="49">
        <f t="shared" si="127"/>
        <v>0</v>
      </c>
      <c r="O402" s="49">
        <f t="shared" si="127"/>
        <v>0</v>
      </c>
      <c r="P402" s="49">
        <f t="shared" si="127"/>
        <v>0</v>
      </c>
      <c r="Q402" s="49">
        <f t="shared" si="127"/>
        <v>0</v>
      </c>
      <c r="R402" s="49">
        <f t="shared" si="127"/>
        <v>0</v>
      </c>
      <c r="S402" s="49">
        <f t="shared" si="127"/>
        <v>0</v>
      </c>
      <c r="T402" s="49">
        <f t="shared" si="127"/>
        <v>0</v>
      </c>
      <c r="U402" s="49">
        <f t="shared" si="127"/>
        <v>0</v>
      </c>
      <c r="V402" s="49">
        <f t="shared" si="127"/>
        <v>0</v>
      </c>
      <c r="W402" s="49">
        <f t="shared" si="127"/>
        <v>0</v>
      </c>
      <c r="X402" s="49">
        <f t="shared" si="127"/>
        <v>0</v>
      </c>
      <c r="Y402" s="49">
        <f t="shared" si="127"/>
        <v>0</v>
      </c>
      <c r="Z402" s="49">
        <f t="shared" si="127"/>
        <v>0</v>
      </c>
      <c r="AA402" s="49">
        <f t="shared" si="127"/>
        <v>0</v>
      </c>
      <c r="AB402" s="49">
        <f t="shared" ref="AB402:AF402" si="128">+AB400*AB401</f>
        <v>0</v>
      </c>
      <c r="AC402" s="49">
        <f t="shared" si="128"/>
        <v>0</v>
      </c>
      <c r="AD402" s="49">
        <f t="shared" si="128"/>
        <v>0</v>
      </c>
      <c r="AE402" s="49">
        <f t="shared" si="128"/>
        <v>0</v>
      </c>
      <c r="AF402" s="49">
        <f t="shared" si="128"/>
        <v>0</v>
      </c>
    </row>
    <row r="404" spans="1:34">
      <c r="A404" s="290" t="s">
        <v>419</v>
      </c>
    </row>
    <row r="405" spans="1:34">
      <c r="A405" s="718">
        <f t="shared" ref="A405:A434" si="129">+A11</f>
        <v>2022</v>
      </c>
      <c r="B405" s="4">
        <f>SUMIF($C$2:$AF$2,$A405,$C$402:$AF$402)</f>
        <v>0</v>
      </c>
      <c r="C405" s="4">
        <f>(IF(Capex!$F$6="Y",IF($A405+Capex!$D$6-1&gt;=C$2,Book!$C$6/Capex!$D$6,0))+IF(Capex!$F$7="Y",IF($A405+Capex!$D$7-1&gt;=C$2,Book!$C$42/Capex!$D$7,0))+IF(Capex!$F$8="Y",IF($A405+Capex!$D$8-1&gt;=C$2,Book!$C$78/Capex!$D$8,0))+IF(Capex!$F$9="Y",IF($A405+Capex!$D$9-1&gt;=C$2,Book!$C$114/Capex!$D$9,0))+IF(Capex!$F$10="Y",IF($A405+Capex!$D$10-1&gt;=C$2,Book!$C$150/Capex!$D$10,0))+IF(Capex!$F$11="Y",IF($A405+Capex!$D$11-1&gt;=C$2,Book!$C$186/Capex!$D$11,0))+IF(Capex!$F$12="Y",IF($A405+Capex!$D$12-1&gt;=C$2,Book!$C$222/Capex!$D$12,0))+IF(Capex!$F$13="Y",IF($A405+Capex!$D$13-1&gt;=C$2,Book!$C$258/Capex!$D$13,0))+IF(Capex!$F$14="Y",IF($A405+Capex!$D$14-1&gt;=C$2,Book!$C$14/Capex!$D$255,0))+IF(Capex!$F$15="Y",IF($A405+Capex!$D$15-1&gt;=C$2,Book!$C$330/Capex!$D$15,0)))*$C$401</f>
        <v>0</v>
      </c>
      <c r="D405" s="4">
        <f>(IF(Capex!$F$6="Y",IF($A405+Capex!$D$6-1&gt;=D$2,Book!$C$6/Capex!$D$6,0))+IF(Capex!$F$7="Y",IF($A405+Capex!$D$7-1&gt;=D$2,Book!$C$42/Capex!$D$7,0))+IF(Capex!$F$8="Y",IF($A405+Capex!$D$8-1&gt;=D$2,Book!$C$78/Capex!$D$8,0))+IF(Capex!$F$9="Y",IF($A405+Capex!$D$9-1&gt;=D$2,Book!$C$114/Capex!$D$9,0))+IF(Capex!$F$10="Y",IF($A405+Capex!$D$10-1&gt;=D$2,Book!$C$150/Capex!$D$10,0))+IF(Capex!$F$11="Y",IF($A405+Capex!$D$11-1&gt;=D$2,Book!$C$186/Capex!$D$11,0))+IF(Capex!$F$12="Y",IF($A405+Capex!$D$12-1&gt;=D$2,Book!$C$222/Capex!$D$12,0))+IF(Capex!$F$13="Y",IF($A405+Capex!$D$13-1&gt;=D$2,Book!$C$258/Capex!$D$13,0))+IF(Capex!$F$14="Y",IF($A405+Capex!$D$14-1&gt;=D$2,Book!$C$14/Capex!$D$255,0))+IF(Capex!$F$15="Y",IF($A405+Capex!$D$15-1&gt;=D$2,Book!$C$330/Capex!$D$15,0)))*$C$401</f>
        <v>0</v>
      </c>
      <c r="E405" s="4">
        <f>(IF(Capex!$F$6="Y",IF($A405+Capex!$D$6-1&gt;=E$2,Book!$C$6/Capex!$D$6,0))+IF(Capex!$F$7="Y",IF($A405+Capex!$D$7-1&gt;=E$2,Book!$C$42/Capex!$D$7,0))+IF(Capex!$F$8="Y",IF($A405+Capex!$D$8-1&gt;=E$2,Book!$C$78/Capex!$D$8,0))+IF(Capex!$F$9="Y",IF($A405+Capex!$D$9-1&gt;=E$2,Book!$C$114/Capex!$D$9,0))+IF(Capex!$F$10="Y",IF($A405+Capex!$D$10-1&gt;=E$2,Book!$C$150/Capex!$D$10,0))+IF(Capex!$F$11="Y",IF($A405+Capex!$D$11-1&gt;=E$2,Book!$C$186/Capex!$D$11,0))+IF(Capex!$F$12="Y",IF($A405+Capex!$D$12-1&gt;=E$2,Book!$C$222/Capex!$D$12,0))+IF(Capex!$F$13="Y",IF($A405+Capex!$D$13-1&gt;=E$2,Book!$C$258/Capex!$D$13,0))+IF(Capex!$F$14="Y",IF($A405+Capex!$D$14-1&gt;=E$2,Book!$C$14/Capex!$D$255,0))+IF(Capex!$F$15="Y",IF($A405+Capex!$D$15-1&gt;=E$2,Book!$C$330/Capex!$D$15,0)))*$C$401</f>
        <v>0</v>
      </c>
      <c r="F405" s="4">
        <f>(IF(Capex!$F$6="Y",IF($A405+Capex!$D$6-1&gt;=F$2,Book!$C$6/Capex!$D$6,0))+IF(Capex!$F$7="Y",IF($A405+Capex!$D$7-1&gt;=F$2,Book!$C$42/Capex!$D$7,0))+IF(Capex!$F$8="Y",IF($A405+Capex!$D$8-1&gt;=F$2,Book!$C$78/Capex!$D$8,0))+IF(Capex!$F$9="Y",IF($A405+Capex!$D$9-1&gt;=F$2,Book!$C$114/Capex!$D$9,0))+IF(Capex!$F$10="Y",IF($A405+Capex!$D$10-1&gt;=F$2,Book!$C$150/Capex!$D$10,0))+IF(Capex!$F$11="Y",IF($A405+Capex!$D$11-1&gt;=F$2,Book!$C$186/Capex!$D$11,0))+IF(Capex!$F$12="Y",IF($A405+Capex!$D$12-1&gt;=F$2,Book!$C$222/Capex!$D$12,0))+IF(Capex!$F$13="Y",IF($A405+Capex!$D$13-1&gt;=F$2,Book!$C$258/Capex!$D$13,0))+IF(Capex!$F$14="Y",IF($A405+Capex!$D$14-1&gt;=F$2,Book!$C$14/Capex!$D$255,0))+IF(Capex!$F$15="Y",IF($A405+Capex!$D$15-1&gt;=F$2,Book!$C$330/Capex!$D$15,0)))*$C$401</f>
        <v>0</v>
      </c>
      <c r="G405" s="4">
        <f>(IF(Capex!$F$6="Y",IF($A405+Capex!$D$6-1&gt;=G$2,Book!$C$6/Capex!$D$6,0))+IF(Capex!$F$7="Y",IF($A405+Capex!$D$7-1&gt;=G$2,Book!$C$42/Capex!$D$7,0))+IF(Capex!$F$8="Y",IF($A405+Capex!$D$8-1&gt;=G$2,Book!$C$78/Capex!$D$8,0))+IF(Capex!$F$9="Y",IF($A405+Capex!$D$9-1&gt;=G$2,Book!$C$114/Capex!$D$9,0))+IF(Capex!$F$10="Y",IF($A405+Capex!$D$10-1&gt;=G$2,Book!$C$150/Capex!$D$10,0))+IF(Capex!$F$11="Y",IF($A405+Capex!$D$11-1&gt;=G$2,Book!$C$186/Capex!$D$11,0))+IF(Capex!$F$12="Y",IF($A405+Capex!$D$12-1&gt;=G$2,Book!$C$222/Capex!$D$12,0))+IF(Capex!$F$13="Y",IF($A405+Capex!$D$13-1&gt;=G$2,Book!$C$258/Capex!$D$13,0))+IF(Capex!$F$14="Y",IF($A405+Capex!$D$14-1&gt;=G$2,Book!$C$14/Capex!$D$255,0))+IF(Capex!$F$15="Y",IF($A405+Capex!$D$15-1&gt;=G$2,Book!$C$330/Capex!$D$15,0)))*$C$401</f>
        <v>0</v>
      </c>
      <c r="H405" s="4">
        <f>(IF(Capex!$F$6="Y",IF($A405+Capex!$D$6-1&gt;=H$2,Book!$C$6/Capex!$D$6,0))+IF(Capex!$F$7="Y",IF($A405+Capex!$D$7-1&gt;=H$2,Book!$C$42/Capex!$D$7,0))+IF(Capex!$F$8="Y",IF($A405+Capex!$D$8-1&gt;=H$2,Book!$C$78/Capex!$D$8,0))+IF(Capex!$F$9="Y",IF($A405+Capex!$D$9-1&gt;=H$2,Book!$C$114/Capex!$D$9,0))+IF(Capex!$F$10="Y",IF($A405+Capex!$D$10-1&gt;=H$2,Book!$C$150/Capex!$D$10,0))+IF(Capex!$F$11="Y",IF($A405+Capex!$D$11-1&gt;=H$2,Book!$C$186/Capex!$D$11,0))+IF(Capex!$F$12="Y",IF($A405+Capex!$D$12-1&gt;=H$2,Book!$C$222/Capex!$D$12,0))+IF(Capex!$F$13="Y",IF($A405+Capex!$D$13-1&gt;=H$2,Book!$C$258/Capex!$D$13,0))+IF(Capex!$F$14="Y",IF($A405+Capex!$D$14-1&gt;=H$2,Book!$C$14/Capex!$D$255,0))+IF(Capex!$F$15="Y",IF($A405+Capex!$D$15-1&gt;=H$2,Book!$C$330/Capex!$D$15,0)))*$C$401</f>
        <v>0</v>
      </c>
      <c r="I405" s="4">
        <f>(IF(Capex!$F$6="Y",IF($A405+Capex!$D$6-1&gt;=I$2,Book!$C$6/Capex!$D$6,0))+IF(Capex!$F$7="Y",IF($A405+Capex!$D$7-1&gt;=I$2,Book!$C$42/Capex!$D$7,0))+IF(Capex!$F$8="Y",IF($A405+Capex!$D$8-1&gt;=I$2,Book!$C$78/Capex!$D$8,0))+IF(Capex!$F$9="Y",IF($A405+Capex!$D$9-1&gt;=I$2,Book!$C$114/Capex!$D$9,0))+IF(Capex!$F$10="Y",IF($A405+Capex!$D$10-1&gt;=I$2,Book!$C$150/Capex!$D$10,0))+IF(Capex!$F$11="Y",IF($A405+Capex!$D$11-1&gt;=I$2,Book!$C$186/Capex!$D$11,0))+IF(Capex!$F$12="Y",IF($A405+Capex!$D$12-1&gt;=I$2,Book!$C$222/Capex!$D$12,0))+IF(Capex!$F$13="Y",IF($A405+Capex!$D$13-1&gt;=I$2,Book!$C$258/Capex!$D$13,0))+IF(Capex!$F$14="Y",IF($A405+Capex!$D$14-1&gt;=I$2,Book!$C$14/Capex!$D$255,0))+IF(Capex!$F$15="Y",IF($A405+Capex!$D$15-1&gt;=I$2,Book!$C$330/Capex!$D$15,0)))*$C$401</f>
        <v>0</v>
      </c>
      <c r="J405" s="4">
        <f>(IF(Capex!$F$6="Y",IF($A405+Capex!$D$6-1&gt;=J$2,Book!$C$6/Capex!$D$6,0))+IF(Capex!$F$7="Y",IF($A405+Capex!$D$7-1&gt;=J$2,Book!$C$42/Capex!$D$7,0))+IF(Capex!$F$8="Y",IF($A405+Capex!$D$8-1&gt;=J$2,Book!$C$78/Capex!$D$8,0))+IF(Capex!$F$9="Y",IF($A405+Capex!$D$9-1&gt;=J$2,Book!$C$114/Capex!$D$9,0))+IF(Capex!$F$10="Y",IF($A405+Capex!$D$10-1&gt;=J$2,Book!$C$150/Capex!$D$10,0))+IF(Capex!$F$11="Y",IF($A405+Capex!$D$11-1&gt;=J$2,Book!$C$186/Capex!$D$11,0))+IF(Capex!$F$12="Y",IF($A405+Capex!$D$12-1&gt;=J$2,Book!$C$222/Capex!$D$12,0))+IF(Capex!$F$13="Y",IF($A405+Capex!$D$13-1&gt;=J$2,Book!$C$258/Capex!$D$13,0))+IF(Capex!$F$14="Y",IF($A405+Capex!$D$14-1&gt;=J$2,Book!$C$14/Capex!$D$255,0))+IF(Capex!$F$15="Y",IF($A405+Capex!$D$15-1&gt;=J$2,Book!$C$330/Capex!$D$15,0)))*$C$401</f>
        <v>0</v>
      </c>
      <c r="K405" s="4">
        <f>(IF(Capex!$F$6="Y",IF($A405+Capex!$D$6-1&gt;=K$2,Book!$C$6/Capex!$D$6,0))+IF(Capex!$F$7="Y",IF($A405+Capex!$D$7-1&gt;=K$2,Book!$C$42/Capex!$D$7,0))+IF(Capex!$F$8="Y",IF($A405+Capex!$D$8-1&gt;=K$2,Book!$C$78/Capex!$D$8,0))+IF(Capex!$F$9="Y",IF($A405+Capex!$D$9-1&gt;=K$2,Book!$C$114/Capex!$D$9,0))+IF(Capex!$F$10="Y",IF($A405+Capex!$D$10-1&gt;=K$2,Book!$C$150/Capex!$D$10,0))+IF(Capex!$F$11="Y",IF($A405+Capex!$D$11-1&gt;=K$2,Book!$C$186/Capex!$D$11,0))+IF(Capex!$F$12="Y",IF($A405+Capex!$D$12-1&gt;=K$2,Book!$C$222/Capex!$D$12,0))+IF(Capex!$F$13="Y",IF($A405+Capex!$D$13-1&gt;=K$2,Book!$C$258/Capex!$D$13,0))+IF(Capex!$F$14="Y",IF($A405+Capex!$D$14-1&gt;=K$2,Book!$C$14/Capex!$D$255,0))+IF(Capex!$F$15="Y",IF($A405+Capex!$D$15-1&gt;=K$2,Book!$C$330/Capex!$D$15,0)))*$C$401</f>
        <v>0</v>
      </c>
      <c r="L405" s="4">
        <f>(IF(Capex!$F$6="Y",IF($A405+Capex!$D$6-1&gt;=L$2,Book!$C$6/Capex!$D$6,0))+IF(Capex!$F$7="Y",IF($A405+Capex!$D$7-1&gt;=L$2,Book!$C$42/Capex!$D$7,0))+IF(Capex!$F$8="Y",IF($A405+Capex!$D$8-1&gt;=L$2,Book!$C$78/Capex!$D$8,0))+IF(Capex!$F$9="Y",IF($A405+Capex!$D$9-1&gt;=L$2,Book!$C$114/Capex!$D$9,0))+IF(Capex!$F$10="Y",IF($A405+Capex!$D$10-1&gt;=L$2,Book!$C$150/Capex!$D$10,0))+IF(Capex!$F$11="Y",IF($A405+Capex!$D$11-1&gt;=L$2,Book!$C$186/Capex!$D$11,0))+IF(Capex!$F$12="Y",IF($A405+Capex!$D$12-1&gt;=L$2,Book!$C$222/Capex!$D$12,0))+IF(Capex!$F$13="Y",IF($A405+Capex!$D$13-1&gt;=L$2,Book!$C$258/Capex!$D$13,0))+IF(Capex!$F$14="Y",IF($A405+Capex!$D$14-1&gt;=L$2,Book!$C$14/Capex!$D$255,0))+IF(Capex!$F$15="Y",IF($A405+Capex!$D$15-1&gt;=L$2,Book!$C$330/Capex!$D$15,0)))*$C$401</f>
        <v>0</v>
      </c>
      <c r="M405" s="4">
        <f>(IF(Capex!$F$6="Y",IF($A405+Capex!$D$6-1&gt;=M$2,Book!$C$6/Capex!$D$6,0))+IF(Capex!$F$7="Y",IF($A405+Capex!$D$7-1&gt;=M$2,Book!$C$42/Capex!$D$7,0))+IF(Capex!$F$8="Y",IF($A405+Capex!$D$8-1&gt;=M$2,Book!$C$78/Capex!$D$8,0))+IF(Capex!$F$9="Y",IF($A405+Capex!$D$9-1&gt;=M$2,Book!$C$114/Capex!$D$9,0))+IF(Capex!$F$10="Y",IF($A405+Capex!$D$10-1&gt;=M$2,Book!$C$150/Capex!$D$10,0))+IF(Capex!$F$11="Y",IF($A405+Capex!$D$11-1&gt;=M$2,Book!$C$186/Capex!$D$11,0))+IF(Capex!$F$12="Y",IF($A405+Capex!$D$12-1&gt;=M$2,Book!$C$222/Capex!$D$12,0))+IF(Capex!$F$13="Y",IF($A405+Capex!$D$13-1&gt;=M$2,Book!$C$258/Capex!$D$13,0))+IF(Capex!$F$14="Y",IF($A405+Capex!$D$14-1&gt;=M$2,Book!$C$14/Capex!$D$255,0))+IF(Capex!$F$15="Y",IF($A405+Capex!$D$15-1&gt;=M$2,Book!$C$330/Capex!$D$15,0)))*$C$401</f>
        <v>0</v>
      </c>
      <c r="N405" s="4">
        <f>(IF(Capex!$F$6="Y",IF($A405+Capex!$D$6-1&gt;=N$2,Book!$C$6/Capex!$D$6,0))+IF(Capex!$F$7="Y",IF($A405+Capex!$D$7-1&gt;=N$2,Book!$C$42/Capex!$D$7,0))+IF(Capex!$F$8="Y",IF($A405+Capex!$D$8-1&gt;=N$2,Book!$C$78/Capex!$D$8,0))+IF(Capex!$F$9="Y",IF($A405+Capex!$D$9-1&gt;=N$2,Book!$C$114/Capex!$D$9,0))+IF(Capex!$F$10="Y",IF($A405+Capex!$D$10-1&gt;=N$2,Book!$C$150/Capex!$D$10,0))+IF(Capex!$F$11="Y",IF($A405+Capex!$D$11-1&gt;=N$2,Book!$C$186/Capex!$D$11,0))+IF(Capex!$F$12="Y",IF($A405+Capex!$D$12-1&gt;=N$2,Book!$C$222/Capex!$D$12,0))+IF(Capex!$F$13="Y",IF($A405+Capex!$D$13-1&gt;=N$2,Book!$C$258/Capex!$D$13,0))+IF(Capex!$F$14="Y",IF($A405+Capex!$D$14-1&gt;=N$2,Book!$C$14/Capex!$D$255,0))+IF(Capex!$F$15="Y",IF($A405+Capex!$D$15-1&gt;=N$2,Book!$C$330/Capex!$D$15,0)))*$C$401</f>
        <v>0</v>
      </c>
      <c r="O405" s="4">
        <f>(IF(Capex!$F$6="Y",IF($A405+Capex!$D$6-1&gt;=O$2,Book!$C$6/Capex!$D$6,0))+IF(Capex!$F$7="Y",IF($A405+Capex!$D$7-1&gt;=O$2,Book!$C$42/Capex!$D$7,0))+IF(Capex!$F$8="Y",IF($A405+Capex!$D$8-1&gt;=O$2,Book!$C$78/Capex!$D$8,0))+IF(Capex!$F$9="Y",IF($A405+Capex!$D$9-1&gt;=O$2,Book!$C$114/Capex!$D$9,0))+IF(Capex!$F$10="Y",IF($A405+Capex!$D$10-1&gt;=O$2,Book!$C$150/Capex!$D$10,0))+IF(Capex!$F$11="Y",IF($A405+Capex!$D$11-1&gt;=O$2,Book!$C$186/Capex!$D$11,0))+IF(Capex!$F$12="Y",IF($A405+Capex!$D$12-1&gt;=O$2,Book!$C$222/Capex!$D$12,0))+IF(Capex!$F$13="Y",IF($A405+Capex!$D$13-1&gt;=O$2,Book!$C$258/Capex!$D$13,0))+IF(Capex!$F$14="Y",IF($A405+Capex!$D$14-1&gt;=O$2,Book!$C$14/Capex!$D$255,0))+IF(Capex!$F$15="Y",IF($A405+Capex!$D$15-1&gt;=O$2,Book!$C$330/Capex!$D$15,0)))*$C$401</f>
        <v>0</v>
      </c>
      <c r="P405" s="4">
        <f>(IF(Capex!$F$6="Y",IF($A405+Capex!$D$6-1&gt;=P$2,Book!$C$6/Capex!$D$6,0))+IF(Capex!$F$7="Y",IF($A405+Capex!$D$7-1&gt;=P$2,Book!$C$42/Capex!$D$7,0))+IF(Capex!$F$8="Y",IF($A405+Capex!$D$8-1&gt;=P$2,Book!$C$78/Capex!$D$8,0))+IF(Capex!$F$9="Y",IF($A405+Capex!$D$9-1&gt;=P$2,Book!$C$114/Capex!$D$9,0))+IF(Capex!$F$10="Y",IF($A405+Capex!$D$10-1&gt;=P$2,Book!$C$150/Capex!$D$10,0))+IF(Capex!$F$11="Y",IF($A405+Capex!$D$11-1&gt;=P$2,Book!$C$186/Capex!$D$11,0))+IF(Capex!$F$12="Y",IF($A405+Capex!$D$12-1&gt;=P$2,Book!$C$222/Capex!$D$12,0))+IF(Capex!$F$13="Y",IF($A405+Capex!$D$13-1&gt;=P$2,Book!$C$258/Capex!$D$13,0))+IF(Capex!$F$14="Y",IF($A405+Capex!$D$14-1&gt;=P$2,Book!$C$14/Capex!$D$255,0))+IF(Capex!$F$15="Y",IF($A405+Capex!$D$15-1&gt;=P$2,Book!$C$330/Capex!$D$15,0)))*$C$401</f>
        <v>0</v>
      </c>
      <c r="Q405" s="4">
        <f>(IF(Capex!$F$6="Y",IF($A405+Capex!$D$6-1&gt;=Q$2,Book!$C$6/Capex!$D$6,0))+IF(Capex!$F$7="Y",IF($A405+Capex!$D$7-1&gt;=Q$2,Book!$C$42/Capex!$D$7,0))+IF(Capex!$F$8="Y",IF($A405+Capex!$D$8-1&gt;=Q$2,Book!$C$78/Capex!$D$8,0))+IF(Capex!$F$9="Y",IF($A405+Capex!$D$9-1&gt;=Q$2,Book!$C$114/Capex!$D$9,0))+IF(Capex!$F$10="Y",IF($A405+Capex!$D$10-1&gt;=Q$2,Book!$C$150/Capex!$D$10,0))+IF(Capex!$F$11="Y",IF($A405+Capex!$D$11-1&gt;=Q$2,Book!$C$186/Capex!$D$11,0))+IF(Capex!$F$12="Y",IF($A405+Capex!$D$12-1&gt;=Q$2,Book!$C$222/Capex!$D$12,0))+IF(Capex!$F$13="Y",IF($A405+Capex!$D$13-1&gt;=Q$2,Book!$C$258/Capex!$D$13,0))+IF(Capex!$F$14="Y",IF($A405+Capex!$D$14-1&gt;=Q$2,Book!$C$14/Capex!$D$255,0))+IF(Capex!$F$15="Y",IF($A405+Capex!$D$15-1&gt;=Q$2,Book!$C$330/Capex!$D$15,0)))*$C$401</f>
        <v>0</v>
      </c>
      <c r="R405" s="4">
        <f>(IF(Capex!$F$6="Y",IF($A405+Capex!$D$6-1&gt;=R$2,Book!$C$6/Capex!$D$6,0))+IF(Capex!$F$7="Y",IF($A405+Capex!$D$7-1&gt;=R$2,Book!$C$42/Capex!$D$7,0))+IF(Capex!$F$8="Y",IF($A405+Capex!$D$8-1&gt;=R$2,Book!$C$78/Capex!$D$8,0))+IF(Capex!$F$9="Y",IF($A405+Capex!$D$9-1&gt;=R$2,Book!$C$114/Capex!$D$9,0))+IF(Capex!$F$10="Y",IF($A405+Capex!$D$10-1&gt;=R$2,Book!$C$150/Capex!$D$10,0))+IF(Capex!$F$11="Y",IF($A405+Capex!$D$11-1&gt;=R$2,Book!$C$186/Capex!$D$11,0))+IF(Capex!$F$12="Y",IF($A405+Capex!$D$12-1&gt;=R$2,Book!$C$222/Capex!$D$12,0))+IF(Capex!$F$13="Y",IF($A405+Capex!$D$13-1&gt;=R$2,Book!$C$258/Capex!$D$13,0))+IF(Capex!$F$14="Y",IF($A405+Capex!$D$14-1&gt;=R$2,Book!$C$14/Capex!$D$255,0))+IF(Capex!$F$15="Y",IF($A405+Capex!$D$15-1&gt;=R$2,Book!$C$330/Capex!$D$15,0)))*$C$401</f>
        <v>0</v>
      </c>
      <c r="S405" s="4">
        <f>(IF(Capex!$F$6="Y",IF($A405+Capex!$D$6-1&gt;=S$2,Book!$C$6/Capex!$D$6,0))+IF(Capex!$F$7="Y",IF($A405+Capex!$D$7-1&gt;=S$2,Book!$C$42/Capex!$D$7,0))+IF(Capex!$F$8="Y",IF($A405+Capex!$D$8-1&gt;=S$2,Book!$C$78/Capex!$D$8,0))+IF(Capex!$F$9="Y",IF($A405+Capex!$D$9-1&gt;=S$2,Book!$C$114/Capex!$D$9,0))+IF(Capex!$F$10="Y",IF($A405+Capex!$D$10-1&gt;=S$2,Book!$C$150/Capex!$D$10,0))+IF(Capex!$F$11="Y",IF($A405+Capex!$D$11-1&gt;=S$2,Book!$C$186/Capex!$D$11,0))+IF(Capex!$F$12="Y",IF($A405+Capex!$D$12-1&gt;=S$2,Book!$C$222/Capex!$D$12,0))+IF(Capex!$F$13="Y",IF($A405+Capex!$D$13-1&gt;=S$2,Book!$C$258/Capex!$D$13,0))+IF(Capex!$F$14="Y",IF($A405+Capex!$D$14-1&gt;=S$2,Book!$C$14/Capex!$D$255,0))+IF(Capex!$F$15="Y",IF($A405+Capex!$D$15-1&gt;=S$2,Book!$C$330/Capex!$D$15,0)))*$C$401</f>
        <v>0</v>
      </c>
      <c r="T405" s="4">
        <f>(IF(Capex!$F$6="Y",IF($A405+Capex!$D$6-1&gt;=T$2,Book!$C$6/Capex!$D$6,0))+IF(Capex!$F$7="Y",IF($A405+Capex!$D$7-1&gt;=T$2,Book!$C$42/Capex!$D$7,0))+IF(Capex!$F$8="Y",IF($A405+Capex!$D$8-1&gt;=T$2,Book!$C$78/Capex!$D$8,0))+IF(Capex!$F$9="Y",IF($A405+Capex!$D$9-1&gt;=T$2,Book!$C$114/Capex!$D$9,0))+IF(Capex!$F$10="Y",IF($A405+Capex!$D$10-1&gt;=T$2,Book!$C$150/Capex!$D$10,0))+IF(Capex!$F$11="Y",IF($A405+Capex!$D$11-1&gt;=T$2,Book!$C$186/Capex!$D$11,0))+IF(Capex!$F$12="Y",IF($A405+Capex!$D$12-1&gt;=T$2,Book!$C$222/Capex!$D$12,0))+IF(Capex!$F$13="Y",IF($A405+Capex!$D$13-1&gt;=T$2,Book!$C$258/Capex!$D$13,0))+IF(Capex!$F$14="Y",IF($A405+Capex!$D$14-1&gt;=T$2,Book!$C$14/Capex!$D$255,0))+IF(Capex!$F$15="Y",IF($A405+Capex!$D$15-1&gt;=T$2,Book!$C$330/Capex!$D$15,0)))*$C$401</f>
        <v>0</v>
      </c>
      <c r="U405" s="4">
        <f>(IF(Capex!$F$6="Y",IF($A405+Capex!$D$6-1&gt;=U$2,Book!$C$6/Capex!$D$6,0))+IF(Capex!$F$7="Y",IF($A405+Capex!$D$7-1&gt;=U$2,Book!$C$42/Capex!$D$7,0))+IF(Capex!$F$8="Y",IF($A405+Capex!$D$8-1&gt;=U$2,Book!$C$78/Capex!$D$8,0))+IF(Capex!$F$9="Y",IF($A405+Capex!$D$9-1&gt;=U$2,Book!$C$114/Capex!$D$9,0))+IF(Capex!$F$10="Y",IF($A405+Capex!$D$10-1&gt;=U$2,Book!$C$150/Capex!$D$10,0))+IF(Capex!$F$11="Y",IF($A405+Capex!$D$11-1&gt;=U$2,Book!$C$186/Capex!$D$11,0))+IF(Capex!$F$12="Y",IF($A405+Capex!$D$12-1&gt;=U$2,Book!$C$222/Capex!$D$12,0))+IF(Capex!$F$13="Y",IF($A405+Capex!$D$13-1&gt;=U$2,Book!$C$258/Capex!$D$13,0))+IF(Capex!$F$14="Y",IF($A405+Capex!$D$14-1&gt;=U$2,Book!$C$14/Capex!$D$255,0))+IF(Capex!$F$15="Y",IF($A405+Capex!$D$15-1&gt;=U$2,Book!$C$330/Capex!$D$15,0)))*$C$401</f>
        <v>0</v>
      </c>
      <c r="V405" s="4">
        <f>(IF(Capex!$F$6="Y",IF($A405+Capex!$D$6-1&gt;=V$2,Book!$C$6/Capex!$D$6,0))+IF(Capex!$F$7="Y",IF($A405+Capex!$D$7-1&gt;=V$2,Book!$C$42/Capex!$D$7,0))+IF(Capex!$F$8="Y",IF($A405+Capex!$D$8-1&gt;=V$2,Book!$C$78/Capex!$D$8,0))+IF(Capex!$F$9="Y",IF($A405+Capex!$D$9-1&gt;=V$2,Book!$C$114/Capex!$D$9,0))+IF(Capex!$F$10="Y",IF($A405+Capex!$D$10-1&gt;=V$2,Book!$C$150/Capex!$D$10,0))+IF(Capex!$F$11="Y",IF($A405+Capex!$D$11-1&gt;=V$2,Book!$C$186/Capex!$D$11,0))+IF(Capex!$F$12="Y",IF($A405+Capex!$D$12-1&gt;=V$2,Book!$C$222/Capex!$D$12,0))+IF(Capex!$F$13="Y",IF($A405+Capex!$D$13-1&gt;=V$2,Book!$C$258/Capex!$D$13,0))+IF(Capex!$F$14="Y",IF($A405+Capex!$D$14-1&gt;=V$2,Book!$C$14/Capex!$D$255,0))+IF(Capex!$F$15="Y",IF($A405+Capex!$D$15-1&gt;=V$2,Book!$C$330/Capex!$D$15,0)))*$C$401</f>
        <v>0</v>
      </c>
      <c r="W405" s="4">
        <f>(IF(Capex!$F$6="Y",IF($A405+Capex!$D$6-1&gt;=W$2,Book!$C$6/Capex!$D$6,0))+IF(Capex!$F$7="Y",IF($A405+Capex!$D$7-1&gt;=W$2,Book!$C$42/Capex!$D$7,0))+IF(Capex!$F$8="Y",IF($A405+Capex!$D$8-1&gt;=W$2,Book!$C$78/Capex!$D$8,0))+IF(Capex!$F$9="Y",IF($A405+Capex!$D$9-1&gt;=W$2,Book!$C$114/Capex!$D$9,0))+IF(Capex!$F$10="Y",IF($A405+Capex!$D$10-1&gt;=W$2,Book!$C$150/Capex!$D$10,0))+IF(Capex!$F$11="Y",IF($A405+Capex!$D$11-1&gt;=W$2,Book!$C$186/Capex!$D$11,0))+IF(Capex!$F$12="Y",IF($A405+Capex!$D$12-1&gt;=W$2,Book!$C$222/Capex!$D$12,0))+IF(Capex!$F$13="Y",IF($A405+Capex!$D$13-1&gt;=W$2,Book!$C$258/Capex!$D$13,0))+IF(Capex!$F$14="Y",IF($A405+Capex!$D$14-1&gt;=W$2,Book!$C$14/Capex!$D$255,0))+IF(Capex!$F$15="Y",IF($A405+Capex!$D$15-1&gt;=W$2,Book!$C$330/Capex!$D$15,0)))*$C$401</f>
        <v>0</v>
      </c>
      <c r="X405" s="4">
        <f>(IF(Capex!$F$6="Y",IF($A405+Capex!$D$6-1&gt;=X$2,Book!$C$6/Capex!$D$6,0))+IF(Capex!$F$7="Y",IF($A405+Capex!$D$7-1&gt;=X$2,Book!$C$42/Capex!$D$7,0))+IF(Capex!$F$8="Y",IF($A405+Capex!$D$8-1&gt;=X$2,Book!$C$78/Capex!$D$8,0))+IF(Capex!$F$9="Y",IF($A405+Capex!$D$9-1&gt;=X$2,Book!$C$114/Capex!$D$9,0))+IF(Capex!$F$10="Y",IF($A405+Capex!$D$10-1&gt;=X$2,Book!$C$150/Capex!$D$10,0))+IF(Capex!$F$11="Y",IF($A405+Capex!$D$11-1&gt;=X$2,Book!$C$186/Capex!$D$11,0))+IF(Capex!$F$12="Y",IF($A405+Capex!$D$12-1&gt;=X$2,Book!$C$222/Capex!$D$12,0))+IF(Capex!$F$13="Y",IF($A405+Capex!$D$13-1&gt;=X$2,Book!$C$258/Capex!$D$13,0))+IF(Capex!$F$14="Y",IF($A405+Capex!$D$14-1&gt;=X$2,Book!$C$14/Capex!$D$255,0))+IF(Capex!$F$15="Y",IF($A405+Capex!$D$15-1&gt;=X$2,Book!$C$330/Capex!$D$15,0)))*$C$401</f>
        <v>0</v>
      </c>
      <c r="Y405" s="4">
        <f>(IF(Capex!$F$6="Y",IF($A405+Capex!$D$6-1&gt;=Y$2,Book!$C$6/Capex!$D$6,0))+IF(Capex!$F$7="Y",IF($A405+Capex!$D$7-1&gt;=Y$2,Book!$C$42/Capex!$D$7,0))+IF(Capex!$F$8="Y",IF($A405+Capex!$D$8-1&gt;=Y$2,Book!$C$78/Capex!$D$8,0))+IF(Capex!$F$9="Y",IF($A405+Capex!$D$9-1&gt;=Y$2,Book!$C$114/Capex!$D$9,0))+IF(Capex!$F$10="Y",IF($A405+Capex!$D$10-1&gt;=Y$2,Book!$C$150/Capex!$D$10,0))+IF(Capex!$F$11="Y",IF($A405+Capex!$D$11-1&gt;=Y$2,Book!$C$186/Capex!$D$11,0))+IF(Capex!$F$12="Y",IF($A405+Capex!$D$12-1&gt;=Y$2,Book!$C$222/Capex!$D$12,0))+IF(Capex!$F$13="Y",IF($A405+Capex!$D$13-1&gt;=Y$2,Book!$C$258/Capex!$D$13,0))+IF(Capex!$F$14="Y",IF($A405+Capex!$D$14-1&gt;=Y$2,Book!$C$14/Capex!$D$255,0))+IF(Capex!$F$15="Y",IF($A405+Capex!$D$15-1&gt;=Y$2,Book!$C$330/Capex!$D$15,0)))*$C$401</f>
        <v>0</v>
      </c>
      <c r="Z405" s="4">
        <f>(IF(Capex!$F$6="Y",IF($A405+Capex!$D$6-1&gt;=Z$2,Book!$C$6/Capex!$D$6,0))+IF(Capex!$F$7="Y",IF($A405+Capex!$D$7-1&gt;=Z$2,Book!$C$42/Capex!$D$7,0))+IF(Capex!$F$8="Y",IF($A405+Capex!$D$8-1&gt;=Z$2,Book!$C$78/Capex!$D$8,0))+IF(Capex!$F$9="Y",IF($A405+Capex!$D$9-1&gt;=Z$2,Book!$C$114/Capex!$D$9,0))+IF(Capex!$F$10="Y",IF($A405+Capex!$D$10-1&gt;=Z$2,Book!$C$150/Capex!$D$10,0))+IF(Capex!$F$11="Y",IF($A405+Capex!$D$11-1&gt;=Z$2,Book!$C$186/Capex!$D$11,0))+IF(Capex!$F$12="Y",IF($A405+Capex!$D$12-1&gt;=Z$2,Book!$C$222/Capex!$D$12,0))+IF(Capex!$F$13="Y",IF($A405+Capex!$D$13-1&gt;=Z$2,Book!$C$258/Capex!$D$13,0))+IF(Capex!$F$14="Y",IF($A405+Capex!$D$14-1&gt;=Z$2,Book!$C$14/Capex!$D$255,0))+IF(Capex!$F$15="Y",IF($A405+Capex!$D$15-1&gt;=Z$2,Book!$C$330/Capex!$D$15,0)))*$C$401</f>
        <v>0</v>
      </c>
      <c r="AA405" s="4">
        <f>(IF(Capex!$F$6="Y",IF($A405+Capex!$D$6-1&gt;=AA$2,Book!$C$6/Capex!$D$6,0))+IF(Capex!$F$7="Y",IF($A405+Capex!$D$7-1&gt;=AA$2,Book!$C$42/Capex!$D$7,0))+IF(Capex!$F$8="Y",IF($A405+Capex!$D$8-1&gt;=AA$2,Book!$C$78/Capex!$D$8,0))+IF(Capex!$F$9="Y",IF($A405+Capex!$D$9-1&gt;=AA$2,Book!$C$114/Capex!$D$9,0))+IF(Capex!$F$10="Y",IF($A405+Capex!$D$10-1&gt;=AA$2,Book!$C$150/Capex!$D$10,0))+IF(Capex!$F$11="Y",IF($A405+Capex!$D$11-1&gt;=AA$2,Book!$C$186/Capex!$D$11,0))+IF(Capex!$F$12="Y",IF($A405+Capex!$D$12-1&gt;=AA$2,Book!$C$222/Capex!$D$12,0))+IF(Capex!$F$13="Y",IF($A405+Capex!$D$13-1&gt;=AA$2,Book!$C$258/Capex!$D$13,0))+IF(Capex!$F$14="Y",IF($A405+Capex!$D$14-1&gt;=AA$2,Book!$C$14/Capex!$D$255,0))+IF(Capex!$F$15="Y",IF($A405+Capex!$D$15-1&gt;=AA$2,Book!$C$330/Capex!$D$15,0)))*$C$401</f>
        <v>0</v>
      </c>
      <c r="AB405" s="4">
        <f>(IF(Capex!$F$6="Y",IF($A405+Capex!$D$6-1&gt;=AB$2,Book!$C$6/Capex!$D$6,0))+IF(Capex!$F$7="Y",IF($A405+Capex!$D$7-1&gt;=AB$2,Book!$C$42/Capex!$D$7,0))+IF(Capex!$F$8="Y",IF($A405+Capex!$D$8-1&gt;=AB$2,Book!$C$78/Capex!$D$8,0))+IF(Capex!$F$9="Y",IF($A405+Capex!$D$9-1&gt;=AB$2,Book!$C$114/Capex!$D$9,0))+IF(Capex!$F$10="Y",IF($A405+Capex!$D$10-1&gt;=AB$2,Book!$C$150/Capex!$D$10,0))+IF(Capex!$F$11="Y",IF($A405+Capex!$D$11-1&gt;=AB$2,Book!$C$186/Capex!$D$11,0))+IF(Capex!$F$12="Y",IF($A405+Capex!$D$12-1&gt;=AB$2,Book!$C$222/Capex!$D$12,0))+IF(Capex!$F$13="Y",IF($A405+Capex!$D$13-1&gt;=AB$2,Book!$C$258/Capex!$D$13,0))+IF(Capex!$F$14="Y",IF($A405+Capex!$D$14-1&gt;=AB$2,Book!$C$14/Capex!$D$255,0))+IF(Capex!$F$15="Y",IF($A405+Capex!$D$15-1&gt;=AB$2,Book!$C$330/Capex!$D$15,0)))*$C$401</f>
        <v>0</v>
      </c>
      <c r="AC405" s="4">
        <f>(IF(Capex!$F$6="Y",IF($A405+Capex!$D$6-1&gt;=AC$2,Book!$C$6/Capex!$D$6,0))+IF(Capex!$F$7="Y",IF($A405+Capex!$D$7-1&gt;=AC$2,Book!$C$42/Capex!$D$7,0))+IF(Capex!$F$8="Y",IF($A405+Capex!$D$8-1&gt;=AC$2,Book!$C$78/Capex!$D$8,0))+IF(Capex!$F$9="Y",IF($A405+Capex!$D$9-1&gt;=AC$2,Book!$C$114/Capex!$D$9,0))+IF(Capex!$F$10="Y",IF($A405+Capex!$D$10-1&gt;=AC$2,Book!$C$150/Capex!$D$10,0))+IF(Capex!$F$11="Y",IF($A405+Capex!$D$11-1&gt;=AC$2,Book!$C$186/Capex!$D$11,0))+IF(Capex!$F$12="Y",IF($A405+Capex!$D$12-1&gt;=AC$2,Book!$C$222/Capex!$D$12,0))+IF(Capex!$F$13="Y",IF($A405+Capex!$D$13-1&gt;=AC$2,Book!$C$258/Capex!$D$13,0))+IF(Capex!$F$14="Y",IF($A405+Capex!$D$14-1&gt;=AC$2,Book!$C$14/Capex!$D$255,0))+IF(Capex!$F$15="Y",IF($A405+Capex!$D$15-1&gt;=AC$2,Book!$C$330/Capex!$D$15,0)))*$C$401</f>
        <v>0</v>
      </c>
      <c r="AD405" s="4">
        <f>(IF(Capex!$F$6="Y",IF($A405+Capex!$D$6-1&gt;=AD$2,Book!$C$6/Capex!$D$6,0))+IF(Capex!$F$7="Y",IF($A405+Capex!$D$7-1&gt;=AD$2,Book!$C$42/Capex!$D$7,0))+IF(Capex!$F$8="Y",IF($A405+Capex!$D$8-1&gt;=AD$2,Book!$C$78/Capex!$D$8,0))+IF(Capex!$F$9="Y",IF($A405+Capex!$D$9-1&gt;=AD$2,Book!$C$114/Capex!$D$9,0))+IF(Capex!$F$10="Y",IF($A405+Capex!$D$10-1&gt;=AD$2,Book!$C$150/Capex!$D$10,0))+IF(Capex!$F$11="Y",IF($A405+Capex!$D$11-1&gt;=AD$2,Book!$C$186/Capex!$D$11,0))+IF(Capex!$F$12="Y",IF($A405+Capex!$D$12-1&gt;=AD$2,Book!$C$222/Capex!$D$12,0))+IF(Capex!$F$13="Y",IF($A405+Capex!$D$13-1&gt;=AD$2,Book!$C$258/Capex!$D$13,0))+IF(Capex!$F$14="Y",IF($A405+Capex!$D$14-1&gt;=AD$2,Book!$C$14/Capex!$D$255,0))+IF(Capex!$F$15="Y",IF($A405+Capex!$D$15-1&gt;=AD$2,Book!$C$330/Capex!$D$15,0)))*$C$401</f>
        <v>0</v>
      </c>
      <c r="AE405" s="4">
        <f>(IF(Capex!$F$6="Y",IF($A405+Capex!$D$6-1&gt;=AE$2,Book!$C$6/Capex!$D$6,0))+IF(Capex!$F$7="Y",IF($A405+Capex!$D$7-1&gt;=AE$2,Book!$C$42/Capex!$D$7,0))+IF(Capex!$F$8="Y",IF($A405+Capex!$D$8-1&gt;=AE$2,Book!$C$78/Capex!$D$8,0))+IF(Capex!$F$9="Y",IF($A405+Capex!$D$9-1&gt;=AE$2,Book!$C$114/Capex!$D$9,0))+IF(Capex!$F$10="Y",IF($A405+Capex!$D$10-1&gt;=AE$2,Book!$C$150/Capex!$D$10,0))+IF(Capex!$F$11="Y",IF($A405+Capex!$D$11-1&gt;=AE$2,Book!$C$186/Capex!$D$11,0))+IF(Capex!$F$12="Y",IF($A405+Capex!$D$12-1&gt;=AE$2,Book!$C$222/Capex!$D$12,0))+IF(Capex!$F$13="Y",IF($A405+Capex!$D$13-1&gt;=AE$2,Book!$C$258/Capex!$D$13,0))+IF(Capex!$F$14="Y",IF($A405+Capex!$D$14-1&gt;=AE$2,Book!$C$14/Capex!$D$255,0))+IF(Capex!$F$15="Y",IF($A405+Capex!$D$15-1&gt;=AE$2,Book!$C$330/Capex!$D$15,0)))*$C$401</f>
        <v>0</v>
      </c>
      <c r="AF405" s="4">
        <f>(IF(Capex!$F$6="Y",IF($A405+Capex!$D$6-1&gt;=AF$2,Book!$C$6/Capex!$D$6,0))+IF(Capex!$F$7="Y",IF($A405+Capex!$D$7-1&gt;=AF$2,Book!$C$42/Capex!$D$7,0))+IF(Capex!$F$8="Y",IF($A405+Capex!$D$8-1&gt;=AF$2,Book!$C$78/Capex!$D$8,0))+IF(Capex!$F$9="Y",IF($A405+Capex!$D$9-1&gt;=AF$2,Book!$C$114/Capex!$D$9,0))+IF(Capex!$F$10="Y",IF($A405+Capex!$D$10-1&gt;=AF$2,Book!$C$150/Capex!$D$10,0))+IF(Capex!$F$11="Y",IF($A405+Capex!$D$11-1&gt;=AF$2,Book!$C$186/Capex!$D$11,0))+IF(Capex!$F$12="Y",IF($A405+Capex!$D$12-1&gt;=AF$2,Book!$C$222/Capex!$D$12,0))+IF(Capex!$F$13="Y",IF($A405+Capex!$D$13-1&gt;=AF$2,Book!$C$258/Capex!$D$13,0))+IF(Capex!$F$14="Y",IF($A405+Capex!$D$14-1&gt;=AF$2,Book!$C$14/Capex!$D$255,0))+IF(Capex!$F$15="Y",IF($A405+Capex!$D$15-1&gt;=AF$2,Book!$C$330/Capex!$D$15,0)))*$C$401</f>
        <v>0</v>
      </c>
      <c r="AG405" s="4">
        <f t="shared" ref="AG405:AG429" si="130">SUM(C405:AF405)</f>
        <v>0</v>
      </c>
      <c r="AH405" s="252">
        <f>+B405-AG405</f>
        <v>0</v>
      </c>
    </row>
    <row r="406" spans="1:34">
      <c r="A406" s="718">
        <f t="shared" si="129"/>
        <v>2023</v>
      </c>
      <c r="B406" s="4">
        <f t="shared" ref="B406:B434" si="131">SUMIF($C$2:$AF$2,$A406,$C$402:$AF$402)</f>
        <v>0</v>
      </c>
      <c r="D406" s="4">
        <f>(IF(Capex!$F$6="Y",IF($A406+Capex!$D$6-1&gt;=D$2,Book!$D$6/Capex!$D$6,0))+IF(Capex!$F$7="Y",IF($A406+Capex!$D$7-1&gt;=D$2,Book!$D$42/Capex!$D$7,0))+IF(Capex!$F$8="Y",IF($A406+Capex!$D$8-1&gt;=D$2,Book!$D$78/Capex!$D$8,0))+IF(Capex!$F$9="Y",IF($A406+Capex!$D$9-1&gt;=D$2,Book!$D$114/Capex!$D$9,0))+IF(Capex!$F$10="Y",IF($A406+Capex!$D$10-1&gt;=D$2,Book!$D$150/Capex!$D$10,0))+IF(Capex!$F$11="Y",IF($A406+Capex!$D$11-1&gt;=D$2,Book!$D$186/Capex!$D$11,0))+IF(Capex!$F$12="Y",IF($A406+Capex!$D$12-1&gt;=D$2,Book!$D$222/Capex!$D$12,0))+IF(Capex!$F$13="Y",IF($A406+Capex!$D$13-1&gt;=D$2,Book!$D$258/Capex!$D$13,0))+IF(Capex!$F$14="Y",IF($A406+Capex!$D$14-1&gt;=D$2,Book!$D$14/Capex!$D$255,0))+IF(Capex!$F$15="Y",IF($A406+Capex!$D$15-1&gt;=D$2,Book!$D$330/Capex!$D$15,0)))*$D$401</f>
        <v>0</v>
      </c>
      <c r="E406" s="4">
        <f>(IF(Capex!$F$6="Y",IF($A406+Capex!$D$6-1&gt;=E$2,Book!$D$6/Capex!$D$6,0))+IF(Capex!$F$7="Y",IF($A406+Capex!$D$7-1&gt;=E$2,Book!$D$42/Capex!$D$7,0))+IF(Capex!$F$8="Y",IF($A406+Capex!$D$8-1&gt;=E$2,Book!$D$78/Capex!$D$8,0))+IF(Capex!$F$9="Y",IF($A406+Capex!$D$9-1&gt;=E$2,Book!$D$114/Capex!$D$9,0))+IF(Capex!$F$10="Y",IF($A406+Capex!$D$10-1&gt;=E$2,Book!$D$150/Capex!$D$10,0))+IF(Capex!$F$11="Y",IF($A406+Capex!$D$11-1&gt;=E$2,Book!$D$186/Capex!$D$11,0))+IF(Capex!$F$12="Y",IF($A406+Capex!$D$12-1&gt;=E$2,Book!$D$222/Capex!$D$12,0))+IF(Capex!$F$13="Y",IF($A406+Capex!$D$13-1&gt;=E$2,Book!$D$258/Capex!$D$13,0))+IF(Capex!$F$14="Y",IF($A406+Capex!$D$14-1&gt;=E$2,Book!$D$14/Capex!$D$255,0))+IF(Capex!$F$15="Y",IF($A406+Capex!$D$15-1&gt;=E$2,Book!$D$330/Capex!$D$15,0)))*$D$401</f>
        <v>0</v>
      </c>
      <c r="F406" s="4">
        <f>(IF(Capex!$F$6="Y",IF($A406+Capex!$D$6-1&gt;=F$2,Book!$D$6/Capex!$D$6,0))+IF(Capex!$F$7="Y",IF($A406+Capex!$D$7-1&gt;=F$2,Book!$D$42/Capex!$D$7,0))+IF(Capex!$F$8="Y",IF($A406+Capex!$D$8-1&gt;=F$2,Book!$D$78/Capex!$D$8,0))+IF(Capex!$F$9="Y",IF($A406+Capex!$D$9-1&gt;=F$2,Book!$D$114/Capex!$D$9,0))+IF(Capex!$F$10="Y",IF($A406+Capex!$D$10-1&gt;=F$2,Book!$D$150/Capex!$D$10,0))+IF(Capex!$F$11="Y",IF($A406+Capex!$D$11-1&gt;=F$2,Book!$D$186/Capex!$D$11,0))+IF(Capex!$F$12="Y",IF($A406+Capex!$D$12-1&gt;=F$2,Book!$D$222/Capex!$D$12,0))+IF(Capex!$F$13="Y",IF($A406+Capex!$D$13-1&gt;=F$2,Book!$D$258/Capex!$D$13,0))+IF(Capex!$F$14="Y",IF($A406+Capex!$D$14-1&gt;=F$2,Book!$D$14/Capex!$D$255,0))+IF(Capex!$F$15="Y",IF($A406+Capex!$D$15-1&gt;=F$2,Book!$D$330/Capex!$D$15,0)))*$D$401</f>
        <v>0</v>
      </c>
      <c r="G406" s="4">
        <f>(IF(Capex!$F$6="Y",IF($A406+Capex!$D$6-1&gt;=G$2,Book!$D$6/Capex!$D$6,0))+IF(Capex!$F$7="Y",IF($A406+Capex!$D$7-1&gt;=G$2,Book!$D$42/Capex!$D$7,0))+IF(Capex!$F$8="Y",IF($A406+Capex!$D$8-1&gt;=G$2,Book!$D$78/Capex!$D$8,0))+IF(Capex!$F$9="Y",IF($A406+Capex!$D$9-1&gt;=G$2,Book!$D$114/Capex!$D$9,0))+IF(Capex!$F$10="Y",IF($A406+Capex!$D$10-1&gt;=G$2,Book!$D$150/Capex!$D$10,0))+IF(Capex!$F$11="Y",IF($A406+Capex!$D$11-1&gt;=G$2,Book!$D$186/Capex!$D$11,0))+IF(Capex!$F$12="Y",IF($A406+Capex!$D$12-1&gt;=G$2,Book!$D$222/Capex!$D$12,0))+IF(Capex!$F$13="Y",IF($A406+Capex!$D$13-1&gt;=G$2,Book!$D$258/Capex!$D$13,0))+IF(Capex!$F$14="Y",IF($A406+Capex!$D$14-1&gt;=G$2,Book!$D$14/Capex!$D$255,0))+IF(Capex!$F$15="Y",IF($A406+Capex!$D$15-1&gt;=G$2,Book!$D$330/Capex!$D$15,0)))*$D$401</f>
        <v>0</v>
      </c>
      <c r="H406" s="4">
        <f>(IF(Capex!$F$6="Y",IF($A406+Capex!$D$6-1&gt;=H$2,Book!$D$6/Capex!$D$6,0))+IF(Capex!$F$7="Y",IF($A406+Capex!$D$7-1&gt;=H$2,Book!$D$42/Capex!$D$7,0))+IF(Capex!$F$8="Y",IF($A406+Capex!$D$8-1&gt;=H$2,Book!$D$78/Capex!$D$8,0))+IF(Capex!$F$9="Y",IF($A406+Capex!$D$9-1&gt;=H$2,Book!$D$114/Capex!$D$9,0))+IF(Capex!$F$10="Y",IF($A406+Capex!$D$10-1&gt;=H$2,Book!$D$150/Capex!$D$10,0))+IF(Capex!$F$11="Y",IF($A406+Capex!$D$11-1&gt;=H$2,Book!$D$186/Capex!$D$11,0))+IF(Capex!$F$12="Y",IF($A406+Capex!$D$12-1&gt;=H$2,Book!$D$222/Capex!$D$12,0))+IF(Capex!$F$13="Y",IF($A406+Capex!$D$13-1&gt;=H$2,Book!$D$258/Capex!$D$13,0))+IF(Capex!$F$14="Y",IF($A406+Capex!$D$14-1&gt;=H$2,Book!$D$14/Capex!$D$255,0))+IF(Capex!$F$15="Y",IF($A406+Capex!$D$15-1&gt;=H$2,Book!$D$330/Capex!$D$15,0)))*$D$401</f>
        <v>0</v>
      </c>
      <c r="I406" s="4">
        <f>(IF(Capex!$F$6="Y",IF($A406+Capex!$D$6-1&gt;=I$2,Book!$D$6/Capex!$D$6,0))+IF(Capex!$F$7="Y",IF($A406+Capex!$D$7-1&gt;=I$2,Book!$D$42/Capex!$D$7,0))+IF(Capex!$F$8="Y",IF($A406+Capex!$D$8-1&gt;=I$2,Book!$D$78/Capex!$D$8,0))+IF(Capex!$F$9="Y",IF($A406+Capex!$D$9-1&gt;=I$2,Book!$D$114/Capex!$D$9,0))+IF(Capex!$F$10="Y",IF($A406+Capex!$D$10-1&gt;=I$2,Book!$D$150/Capex!$D$10,0))+IF(Capex!$F$11="Y",IF($A406+Capex!$D$11-1&gt;=I$2,Book!$D$186/Capex!$D$11,0))+IF(Capex!$F$12="Y",IF($A406+Capex!$D$12-1&gt;=I$2,Book!$D$222/Capex!$D$12,0))+IF(Capex!$F$13="Y",IF($A406+Capex!$D$13-1&gt;=I$2,Book!$D$258/Capex!$D$13,0))+IF(Capex!$F$14="Y",IF($A406+Capex!$D$14-1&gt;=I$2,Book!$D$14/Capex!$D$255,0))+IF(Capex!$F$15="Y",IF($A406+Capex!$D$15-1&gt;=I$2,Book!$D$330/Capex!$D$15,0)))*$D$401</f>
        <v>0</v>
      </c>
      <c r="J406" s="4">
        <f>(IF(Capex!$F$6="Y",IF($A406+Capex!$D$6-1&gt;=J$2,Book!$D$6/Capex!$D$6,0))+IF(Capex!$F$7="Y",IF($A406+Capex!$D$7-1&gt;=J$2,Book!$D$42/Capex!$D$7,0))+IF(Capex!$F$8="Y",IF($A406+Capex!$D$8-1&gt;=J$2,Book!$D$78/Capex!$D$8,0))+IF(Capex!$F$9="Y",IF($A406+Capex!$D$9-1&gt;=J$2,Book!$D$114/Capex!$D$9,0))+IF(Capex!$F$10="Y",IF($A406+Capex!$D$10-1&gt;=J$2,Book!$D$150/Capex!$D$10,0))+IF(Capex!$F$11="Y",IF($A406+Capex!$D$11-1&gt;=J$2,Book!$D$186/Capex!$D$11,0))+IF(Capex!$F$12="Y",IF($A406+Capex!$D$12-1&gt;=J$2,Book!$D$222/Capex!$D$12,0))+IF(Capex!$F$13="Y",IF($A406+Capex!$D$13-1&gt;=J$2,Book!$D$258/Capex!$D$13,0))+IF(Capex!$F$14="Y",IF($A406+Capex!$D$14-1&gt;=J$2,Book!$D$14/Capex!$D$255,0))+IF(Capex!$F$15="Y",IF($A406+Capex!$D$15-1&gt;=J$2,Book!$D$330/Capex!$D$15,0)))*$D$401</f>
        <v>0</v>
      </c>
      <c r="K406" s="4">
        <f>(IF(Capex!$F$6="Y",IF($A406+Capex!$D$6-1&gt;=K$2,Book!$D$6/Capex!$D$6,0))+IF(Capex!$F$7="Y",IF($A406+Capex!$D$7-1&gt;=K$2,Book!$D$42/Capex!$D$7,0))+IF(Capex!$F$8="Y",IF($A406+Capex!$D$8-1&gt;=K$2,Book!$D$78/Capex!$D$8,0))+IF(Capex!$F$9="Y",IF($A406+Capex!$D$9-1&gt;=K$2,Book!$D$114/Capex!$D$9,0))+IF(Capex!$F$10="Y",IF($A406+Capex!$D$10-1&gt;=K$2,Book!$D$150/Capex!$D$10,0))+IF(Capex!$F$11="Y",IF($A406+Capex!$D$11-1&gt;=K$2,Book!$D$186/Capex!$D$11,0))+IF(Capex!$F$12="Y",IF($A406+Capex!$D$12-1&gt;=K$2,Book!$D$222/Capex!$D$12,0))+IF(Capex!$F$13="Y",IF($A406+Capex!$D$13-1&gt;=K$2,Book!$D$258/Capex!$D$13,0))+IF(Capex!$F$14="Y",IF($A406+Capex!$D$14-1&gt;=K$2,Book!$D$14/Capex!$D$255,0))+IF(Capex!$F$15="Y",IF($A406+Capex!$D$15-1&gt;=K$2,Book!$D$330/Capex!$D$15,0)))*$D$401</f>
        <v>0</v>
      </c>
      <c r="L406" s="4">
        <f>(IF(Capex!$F$6="Y",IF($A406+Capex!$D$6-1&gt;=L$2,Book!$D$6/Capex!$D$6,0))+IF(Capex!$F$7="Y",IF($A406+Capex!$D$7-1&gt;=L$2,Book!$D$42/Capex!$D$7,0))+IF(Capex!$F$8="Y",IF($A406+Capex!$D$8-1&gt;=L$2,Book!$D$78/Capex!$D$8,0))+IF(Capex!$F$9="Y",IF($A406+Capex!$D$9-1&gt;=L$2,Book!$D$114/Capex!$D$9,0))+IF(Capex!$F$10="Y",IF($A406+Capex!$D$10-1&gt;=L$2,Book!$D$150/Capex!$D$10,0))+IF(Capex!$F$11="Y",IF($A406+Capex!$D$11-1&gt;=L$2,Book!$D$186/Capex!$D$11,0))+IF(Capex!$F$12="Y",IF($A406+Capex!$D$12-1&gt;=L$2,Book!$D$222/Capex!$D$12,0))+IF(Capex!$F$13="Y",IF($A406+Capex!$D$13-1&gt;=L$2,Book!$D$258/Capex!$D$13,0))+IF(Capex!$F$14="Y",IF($A406+Capex!$D$14-1&gt;=L$2,Book!$D$14/Capex!$D$255,0))+IF(Capex!$F$15="Y",IF($A406+Capex!$D$15-1&gt;=L$2,Book!$D$330/Capex!$D$15,0)))*$D$401</f>
        <v>0</v>
      </c>
      <c r="M406" s="4">
        <f>(IF(Capex!$F$6="Y",IF($A406+Capex!$D$6-1&gt;=M$2,Book!$D$6/Capex!$D$6,0))+IF(Capex!$F$7="Y",IF($A406+Capex!$D$7-1&gt;=M$2,Book!$D$42/Capex!$D$7,0))+IF(Capex!$F$8="Y",IF($A406+Capex!$D$8-1&gt;=M$2,Book!$D$78/Capex!$D$8,0))+IF(Capex!$F$9="Y",IF($A406+Capex!$D$9-1&gt;=M$2,Book!$D$114/Capex!$D$9,0))+IF(Capex!$F$10="Y",IF($A406+Capex!$D$10-1&gt;=M$2,Book!$D$150/Capex!$D$10,0))+IF(Capex!$F$11="Y",IF($A406+Capex!$D$11-1&gt;=M$2,Book!$D$186/Capex!$D$11,0))+IF(Capex!$F$12="Y",IF($A406+Capex!$D$12-1&gt;=M$2,Book!$D$222/Capex!$D$12,0))+IF(Capex!$F$13="Y",IF($A406+Capex!$D$13-1&gt;=M$2,Book!$D$258/Capex!$D$13,0))+IF(Capex!$F$14="Y",IF($A406+Capex!$D$14-1&gt;=M$2,Book!$D$14/Capex!$D$255,0))+IF(Capex!$F$15="Y",IF($A406+Capex!$D$15-1&gt;=M$2,Book!$D$330/Capex!$D$15,0)))*$D$401</f>
        <v>0</v>
      </c>
      <c r="N406" s="4">
        <f>(IF(Capex!$F$6="Y",IF($A406+Capex!$D$6-1&gt;=N$2,Book!$D$6/Capex!$D$6,0))+IF(Capex!$F$7="Y",IF($A406+Capex!$D$7-1&gt;=N$2,Book!$D$42/Capex!$D$7,0))+IF(Capex!$F$8="Y",IF($A406+Capex!$D$8-1&gt;=N$2,Book!$D$78/Capex!$D$8,0))+IF(Capex!$F$9="Y",IF($A406+Capex!$D$9-1&gt;=N$2,Book!$D$114/Capex!$D$9,0))+IF(Capex!$F$10="Y",IF($A406+Capex!$D$10-1&gt;=N$2,Book!$D$150/Capex!$D$10,0))+IF(Capex!$F$11="Y",IF($A406+Capex!$D$11-1&gt;=N$2,Book!$D$186/Capex!$D$11,0))+IF(Capex!$F$12="Y",IF($A406+Capex!$D$12-1&gt;=N$2,Book!$D$222/Capex!$D$12,0))+IF(Capex!$F$13="Y",IF($A406+Capex!$D$13-1&gt;=N$2,Book!$D$258/Capex!$D$13,0))+IF(Capex!$F$14="Y",IF($A406+Capex!$D$14-1&gt;=N$2,Book!$D$14/Capex!$D$255,0))+IF(Capex!$F$15="Y",IF($A406+Capex!$D$15-1&gt;=N$2,Book!$D$330/Capex!$D$15,0)))*$D$401</f>
        <v>0</v>
      </c>
      <c r="O406" s="4">
        <f>(IF(Capex!$F$6="Y",IF($A406+Capex!$D$6-1&gt;=O$2,Book!$D$6/Capex!$D$6,0))+IF(Capex!$F$7="Y",IF($A406+Capex!$D$7-1&gt;=O$2,Book!$D$42/Capex!$D$7,0))+IF(Capex!$F$8="Y",IF($A406+Capex!$D$8-1&gt;=O$2,Book!$D$78/Capex!$D$8,0))+IF(Capex!$F$9="Y",IF($A406+Capex!$D$9-1&gt;=O$2,Book!$D$114/Capex!$D$9,0))+IF(Capex!$F$10="Y",IF($A406+Capex!$D$10-1&gt;=O$2,Book!$D$150/Capex!$D$10,0))+IF(Capex!$F$11="Y",IF($A406+Capex!$D$11-1&gt;=O$2,Book!$D$186/Capex!$D$11,0))+IF(Capex!$F$12="Y",IF($A406+Capex!$D$12-1&gt;=O$2,Book!$D$222/Capex!$D$12,0))+IF(Capex!$F$13="Y",IF($A406+Capex!$D$13-1&gt;=O$2,Book!$D$258/Capex!$D$13,0))+IF(Capex!$F$14="Y",IF($A406+Capex!$D$14-1&gt;=O$2,Book!$D$14/Capex!$D$255,0))+IF(Capex!$F$15="Y",IF($A406+Capex!$D$15-1&gt;=O$2,Book!$D$330/Capex!$D$15,0)))*$D$401</f>
        <v>0</v>
      </c>
      <c r="P406" s="4">
        <f>(IF(Capex!$F$6="Y",IF($A406+Capex!$D$6-1&gt;=P$2,Book!$D$6/Capex!$D$6,0))+IF(Capex!$F$7="Y",IF($A406+Capex!$D$7-1&gt;=P$2,Book!$D$42/Capex!$D$7,0))+IF(Capex!$F$8="Y",IF($A406+Capex!$D$8-1&gt;=P$2,Book!$D$78/Capex!$D$8,0))+IF(Capex!$F$9="Y",IF($A406+Capex!$D$9-1&gt;=P$2,Book!$D$114/Capex!$D$9,0))+IF(Capex!$F$10="Y",IF($A406+Capex!$D$10-1&gt;=P$2,Book!$D$150/Capex!$D$10,0))+IF(Capex!$F$11="Y",IF($A406+Capex!$D$11-1&gt;=P$2,Book!$D$186/Capex!$D$11,0))+IF(Capex!$F$12="Y",IF($A406+Capex!$D$12-1&gt;=P$2,Book!$D$222/Capex!$D$12,0))+IF(Capex!$F$13="Y",IF($A406+Capex!$D$13-1&gt;=P$2,Book!$D$258/Capex!$D$13,0))+IF(Capex!$F$14="Y",IF($A406+Capex!$D$14-1&gt;=P$2,Book!$D$14/Capex!$D$255,0))+IF(Capex!$F$15="Y",IF($A406+Capex!$D$15-1&gt;=P$2,Book!$D$330/Capex!$D$15,0)))*$D$401</f>
        <v>0</v>
      </c>
      <c r="Q406" s="4">
        <f>(IF(Capex!$F$6="Y",IF($A406+Capex!$D$6-1&gt;=Q$2,Book!$D$6/Capex!$D$6,0))+IF(Capex!$F$7="Y",IF($A406+Capex!$D$7-1&gt;=Q$2,Book!$D$42/Capex!$D$7,0))+IF(Capex!$F$8="Y",IF($A406+Capex!$D$8-1&gt;=Q$2,Book!$D$78/Capex!$D$8,0))+IF(Capex!$F$9="Y",IF($A406+Capex!$D$9-1&gt;=Q$2,Book!$D$114/Capex!$D$9,0))+IF(Capex!$F$10="Y",IF($A406+Capex!$D$10-1&gt;=Q$2,Book!$D$150/Capex!$D$10,0))+IF(Capex!$F$11="Y",IF($A406+Capex!$D$11-1&gt;=Q$2,Book!$D$186/Capex!$D$11,0))+IF(Capex!$F$12="Y",IF($A406+Capex!$D$12-1&gt;=Q$2,Book!$D$222/Capex!$D$12,0))+IF(Capex!$F$13="Y",IF($A406+Capex!$D$13-1&gt;=Q$2,Book!$D$258/Capex!$D$13,0))+IF(Capex!$F$14="Y",IF($A406+Capex!$D$14-1&gt;=Q$2,Book!$D$14/Capex!$D$255,0))+IF(Capex!$F$15="Y",IF($A406+Capex!$D$15-1&gt;=Q$2,Book!$D$330/Capex!$D$15,0)))*$D$401</f>
        <v>0</v>
      </c>
      <c r="R406" s="4">
        <f>(IF(Capex!$F$6="Y",IF($A406+Capex!$D$6-1&gt;=R$2,Book!$D$6/Capex!$D$6,0))+IF(Capex!$F$7="Y",IF($A406+Capex!$D$7-1&gt;=R$2,Book!$D$42/Capex!$D$7,0))+IF(Capex!$F$8="Y",IF($A406+Capex!$D$8-1&gt;=R$2,Book!$D$78/Capex!$D$8,0))+IF(Capex!$F$9="Y",IF($A406+Capex!$D$9-1&gt;=R$2,Book!$D$114/Capex!$D$9,0))+IF(Capex!$F$10="Y",IF($A406+Capex!$D$10-1&gt;=R$2,Book!$D$150/Capex!$D$10,0))+IF(Capex!$F$11="Y",IF($A406+Capex!$D$11-1&gt;=R$2,Book!$D$186/Capex!$D$11,0))+IF(Capex!$F$12="Y",IF($A406+Capex!$D$12-1&gt;=R$2,Book!$D$222/Capex!$D$12,0))+IF(Capex!$F$13="Y",IF($A406+Capex!$D$13-1&gt;=R$2,Book!$D$258/Capex!$D$13,0))+IF(Capex!$F$14="Y",IF($A406+Capex!$D$14-1&gt;=R$2,Book!$D$14/Capex!$D$255,0))+IF(Capex!$F$15="Y",IF($A406+Capex!$D$15-1&gt;=R$2,Book!$D$330/Capex!$D$15,0)))*$D$401</f>
        <v>0</v>
      </c>
      <c r="S406" s="4">
        <f>(IF(Capex!$F$6="Y",IF($A406+Capex!$D$6-1&gt;=S$2,Book!$D$6/Capex!$D$6,0))+IF(Capex!$F$7="Y",IF($A406+Capex!$D$7-1&gt;=S$2,Book!$D$42/Capex!$D$7,0))+IF(Capex!$F$8="Y",IF($A406+Capex!$D$8-1&gt;=S$2,Book!$D$78/Capex!$D$8,0))+IF(Capex!$F$9="Y",IF($A406+Capex!$D$9-1&gt;=S$2,Book!$D$114/Capex!$D$9,0))+IF(Capex!$F$10="Y",IF($A406+Capex!$D$10-1&gt;=S$2,Book!$D$150/Capex!$D$10,0))+IF(Capex!$F$11="Y",IF($A406+Capex!$D$11-1&gt;=S$2,Book!$D$186/Capex!$D$11,0))+IF(Capex!$F$12="Y",IF($A406+Capex!$D$12-1&gt;=S$2,Book!$D$222/Capex!$D$12,0))+IF(Capex!$F$13="Y",IF($A406+Capex!$D$13-1&gt;=S$2,Book!$D$258/Capex!$D$13,0))+IF(Capex!$F$14="Y",IF($A406+Capex!$D$14-1&gt;=S$2,Book!$D$14/Capex!$D$255,0))+IF(Capex!$F$15="Y",IF($A406+Capex!$D$15-1&gt;=S$2,Book!$D$330/Capex!$D$15,0)))*$D$401</f>
        <v>0</v>
      </c>
      <c r="T406" s="4">
        <f>(IF(Capex!$F$6="Y",IF($A406+Capex!$D$6-1&gt;=T$2,Book!$D$6/Capex!$D$6,0))+IF(Capex!$F$7="Y",IF($A406+Capex!$D$7-1&gt;=T$2,Book!$D$42/Capex!$D$7,0))+IF(Capex!$F$8="Y",IF($A406+Capex!$D$8-1&gt;=T$2,Book!$D$78/Capex!$D$8,0))+IF(Capex!$F$9="Y",IF($A406+Capex!$D$9-1&gt;=T$2,Book!$D$114/Capex!$D$9,0))+IF(Capex!$F$10="Y",IF($A406+Capex!$D$10-1&gt;=T$2,Book!$D$150/Capex!$D$10,0))+IF(Capex!$F$11="Y",IF($A406+Capex!$D$11-1&gt;=T$2,Book!$D$186/Capex!$D$11,0))+IF(Capex!$F$12="Y",IF($A406+Capex!$D$12-1&gt;=T$2,Book!$D$222/Capex!$D$12,0))+IF(Capex!$F$13="Y",IF($A406+Capex!$D$13-1&gt;=T$2,Book!$D$258/Capex!$D$13,0))+IF(Capex!$F$14="Y",IF($A406+Capex!$D$14-1&gt;=T$2,Book!$D$14/Capex!$D$255,0))+IF(Capex!$F$15="Y",IF($A406+Capex!$D$15-1&gt;=T$2,Book!$D$330/Capex!$D$15,0)))*$D$401</f>
        <v>0</v>
      </c>
      <c r="U406" s="4">
        <f>(IF(Capex!$F$6="Y",IF($A406+Capex!$D$6-1&gt;=U$2,Book!$D$6/Capex!$D$6,0))+IF(Capex!$F$7="Y",IF($A406+Capex!$D$7-1&gt;=U$2,Book!$D$42/Capex!$D$7,0))+IF(Capex!$F$8="Y",IF($A406+Capex!$D$8-1&gt;=U$2,Book!$D$78/Capex!$D$8,0))+IF(Capex!$F$9="Y",IF($A406+Capex!$D$9-1&gt;=U$2,Book!$D$114/Capex!$D$9,0))+IF(Capex!$F$10="Y",IF($A406+Capex!$D$10-1&gt;=U$2,Book!$D$150/Capex!$D$10,0))+IF(Capex!$F$11="Y",IF($A406+Capex!$D$11-1&gt;=U$2,Book!$D$186/Capex!$D$11,0))+IF(Capex!$F$12="Y",IF($A406+Capex!$D$12-1&gt;=U$2,Book!$D$222/Capex!$D$12,0))+IF(Capex!$F$13="Y",IF($A406+Capex!$D$13-1&gt;=U$2,Book!$D$258/Capex!$D$13,0))+IF(Capex!$F$14="Y",IF($A406+Capex!$D$14-1&gt;=U$2,Book!$D$14/Capex!$D$255,0))+IF(Capex!$F$15="Y",IF($A406+Capex!$D$15-1&gt;=U$2,Book!$D$330/Capex!$D$15,0)))*$D$401</f>
        <v>0</v>
      </c>
      <c r="V406" s="4">
        <f>(IF(Capex!$F$6="Y",IF($A406+Capex!$D$6-1&gt;=V$2,Book!$D$6/Capex!$D$6,0))+IF(Capex!$F$7="Y",IF($A406+Capex!$D$7-1&gt;=V$2,Book!$D$42/Capex!$D$7,0))+IF(Capex!$F$8="Y",IF($A406+Capex!$D$8-1&gt;=V$2,Book!$D$78/Capex!$D$8,0))+IF(Capex!$F$9="Y",IF($A406+Capex!$D$9-1&gt;=V$2,Book!$D$114/Capex!$D$9,0))+IF(Capex!$F$10="Y",IF($A406+Capex!$D$10-1&gt;=V$2,Book!$D$150/Capex!$D$10,0))+IF(Capex!$F$11="Y",IF($A406+Capex!$D$11-1&gt;=V$2,Book!$D$186/Capex!$D$11,0))+IF(Capex!$F$12="Y",IF($A406+Capex!$D$12-1&gt;=V$2,Book!$D$222/Capex!$D$12,0))+IF(Capex!$F$13="Y",IF($A406+Capex!$D$13-1&gt;=V$2,Book!$D$258/Capex!$D$13,0))+IF(Capex!$F$14="Y",IF($A406+Capex!$D$14-1&gt;=V$2,Book!$D$14/Capex!$D$255,0))+IF(Capex!$F$15="Y",IF($A406+Capex!$D$15-1&gt;=V$2,Book!$D$330/Capex!$D$15,0)))*$D$401</f>
        <v>0</v>
      </c>
      <c r="W406" s="4">
        <f>(IF(Capex!$F$6="Y",IF($A406+Capex!$D$6-1&gt;=W$2,Book!$D$6/Capex!$D$6,0))+IF(Capex!$F$7="Y",IF($A406+Capex!$D$7-1&gt;=W$2,Book!$D$42/Capex!$D$7,0))+IF(Capex!$F$8="Y",IF($A406+Capex!$D$8-1&gt;=W$2,Book!$D$78/Capex!$D$8,0))+IF(Capex!$F$9="Y",IF($A406+Capex!$D$9-1&gt;=W$2,Book!$D$114/Capex!$D$9,0))+IF(Capex!$F$10="Y",IF($A406+Capex!$D$10-1&gt;=W$2,Book!$D$150/Capex!$D$10,0))+IF(Capex!$F$11="Y",IF($A406+Capex!$D$11-1&gt;=W$2,Book!$D$186/Capex!$D$11,0))+IF(Capex!$F$12="Y",IF($A406+Capex!$D$12-1&gt;=W$2,Book!$D$222/Capex!$D$12,0))+IF(Capex!$F$13="Y",IF($A406+Capex!$D$13-1&gt;=W$2,Book!$D$258/Capex!$D$13,0))+IF(Capex!$F$14="Y",IF($A406+Capex!$D$14-1&gt;=W$2,Book!$D$14/Capex!$D$255,0))+IF(Capex!$F$15="Y",IF($A406+Capex!$D$15-1&gt;=W$2,Book!$D$330/Capex!$D$15,0)))*$D$401</f>
        <v>0</v>
      </c>
      <c r="X406" s="4">
        <f>(IF(Capex!$F$6="Y",IF($A406+Capex!$D$6-1&gt;=X$2,Book!$D$6/Capex!$D$6,0))+IF(Capex!$F$7="Y",IF($A406+Capex!$D$7-1&gt;=X$2,Book!$D$42/Capex!$D$7,0))+IF(Capex!$F$8="Y",IF($A406+Capex!$D$8-1&gt;=X$2,Book!$D$78/Capex!$D$8,0))+IF(Capex!$F$9="Y",IF($A406+Capex!$D$9-1&gt;=X$2,Book!$D$114/Capex!$D$9,0))+IF(Capex!$F$10="Y",IF($A406+Capex!$D$10-1&gt;=X$2,Book!$D$150/Capex!$D$10,0))+IF(Capex!$F$11="Y",IF($A406+Capex!$D$11-1&gt;=X$2,Book!$D$186/Capex!$D$11,0))+IF(Capex!$F$12="Y",IF($A406+Capex!$D$12-1&gt;=X$2,Book!$D$222/Capex!$D$12,0))+IF(Capex!$F$13="Y",IF($A406+Capex!$D$13-1&gt;=X$2,Book!$D$258/Capex!$D$13,0))+IF(Capex!$F$14="Y",IF($A406+Capex!$D$14-1&gt;=X$2,Book!$D$14/Capex!$D$255,0))+IF(Capex!$F$15="Y",IF($A406+Capex!$D$15-1&gt;=X$2,Book!$D$330/Capex!$D$15,0)))*$D$401</f>
        <v>0</v>
      </c>
      <c r="Y406" s="4">
        <f>(IF(Capex!$F$6="Y",IF($A406+Capex!$D$6-1&gt;=Y$2,Book!$D$6/Capex!$D$6,0))+IF(Capex!$F$7="Y",IF($A406+Capex!$D$7-1&gt;=Y$2,Book!$D$42/Capex!$D$7,0))+IF(Capex!$F$8="Y",IF($A406+Capex!$D$8-1&gt;=Y$2,Book!$D$78/Capex!$D$8,0))+IF(Capex!$F$9="Y",IF($A406+Capex!$D$9-1&gt;=Y$2,Book!$D$114/Capex!$D$9,0))+IF(Capex!$F$10="Y",IF($A406+Capex!$D$10-1&gt;=Y$2,Book!$D$150/Capex!$D$10,0))+IF(Capex!$F$11="Y",IF($A406+Capex!$D$11-1&gt;=Y$2,Book!$D$186/Capex!$D$11,0))+IF(Capex!$F$12="Y",IF($A406+Capex!$D$12-1&gt;=Y$2,Book!$D$222/Capex!$D$12,0))+IF(Capex!$F$13="Y",IF($A406+Capex!$D$13-1&gt;=Y$2,Book!$D$258/Capex!$D$13,0))+IF(Capex!$F$14="Y",IF($A406+Capex!$D$14-1&gt;=Y$2,Book!$D$14/Capex!$D$255,0))+IF(Capex!$F$15="Y",IF($A406+Capex!$D$15-1&gt;=Y$2,Book!$D$330/Capex!$D$15,0)))*$D$401</f>
        <v>0</v>
      </c>
      <c r="Z406" s="4">
        <f>(IF(Capex!$F$6="Y",IF($A406+Capex!$D$6-1&gt;=Z$2,Book!$D$6/Capex!$D$6,0))+IF(Capex!$F$7="Y",IF($A406+Capex!$D$7-1&gt;=Z$2,Book!$D$42/Capex!$D$7,0))+IF(Capex!$F$8="Y",IF($A406+Capex!$D$8-1&gt;=Z$2,Book!$D$78/Capex!$D$8,0))+IF(Capex!$F$9="Y",IF($A406+Capex!$D$9-1&gt;=Z$2,Book!$D$114/Capex!$D$9,0))+IF(Capex!$F$10="Y",IF($A406+Capex!$D$10-1&gt;=Z$2,Book!$D$150/Capex!$D$10,0))+IF(Capex!$F$11="Y",IF($A406+Capex!$D$11-1&gt;=Z$2,Book!$D$186/Capex!$D$11,0))+IF(Capex!$F$12="Y",IF($A406+Capex!$D$12-1&gt;=Z$2,Book!$D$222/Capex!$D$12,0))+IF(Capex!$F$13="Y",IF($A406+Capex!$D$13-1&gt;=Z$2,Book!$D$258/Capex!$D$13,0))+IF(Capex!$F$14="Y",IF($A406+Capex!$D$14-1&gt;=Z$2,Book!$D$14/Capex!$D$255,0))+IF(Capex!$F$15="Y",IF($A406+Capex!$D$15-1&gt;=Z$2,Book!$D$330/Capex!$D$15,0)))*$D$401</f>
        <v>0</v>
      </c>
      <c r="AA406" s="4">
        <f>(IF(Capex!$F$6="Y",IF($A406+Capex!$D$6-1&gt;=AA$2,Book!$D$6/Capex!$D$6,0))+IF(Capex!$F$7="Y",IF($A406+Capex!$D$7-1&gt;=AA$2,Book!$D$42/Capex!$D$7,0))+IF(Capex!$F$8="Y",IF($A406+Capex!$D$8-1&gt;=AA$2,Book!$D$78/Capex!$D$8,0))+IF(Capex!$F$9="Y",IF($A406+Capex!$D$9-1&gt;=AA$2,Book!$D$114/Capex!$D$9,0))+IF(Capex!$F$10="Y",IF($A406+Capex!$D$10-1&gt;=AA$2,Book!$D$150/Capex!$D$10,0))+IF(Capex!$F$11="Y",IF($A406+Capex!$D$11-1&gt;=AA$2,Book!$D$186/Capex!$D$11,0))+IF(Capex!$F$12="Y",IF($A406+Capex!$D$12-1&gt;=AA$2,Book!$D$222/Capex!$D$12,0))+IF(Capex!$F$13="Y",IF($A406+Capex!$D$13-1&gt;=AA$2,Book!$D$258/Capex!$D$13,0))+IF(Capex!$F$14="Y",IF($A406+Capex!$D$14-1&gt;=AA$2,Book!$D$14/Capex!$D$255,0))+IF(Capex!$F$15="Y",IF($A406+Capex!$D$15-1&gt;=AA$2,Book!$D$330/Capex!$D$15,0)))*$D$401</f>
        <v>0</v>
      </c>
      <c r="AB406" s="4">
        <f>(IF(Capex!$F$6="Y",IF($A406+Capex!$D$6-1&gt;=AB$2,Book!$D$6/Capex!$D$6,0))+IF(Capex!$F$7="Y",IF($A406+Capex!$D$7-1&gt;=AB$2,Book!$D$42/Capex!$D$7,0))+IF(Capex!$F$8="Y",IF($A406+Capex!$D$8-1&gt;=AB$2,Book!$D$78/Capex!$D$8,0))+IF(Capex!$F$9="Y",IF($A406+Capex!$D$9-1&gt;=AB$2,Book!$D$114/Capex!$D$9,0))+IF(Capex!$F$10="Y",IF($A406+Capex!$D$10-1&gt;=AB$2,Book!$D$150/Capex!$D$10,0))+IF(Capex!$F$11="Y",IF($A406+Capex!$D$11-1&gt;=AB$2,Book!$D$186/Capex!$D$11,0))+IF(Capex!$F$12="Y",IF($A406+Capex!$D$12-1&gt;=AB$2,Book!$D$222/Capex!$D$12,0))+IF(Capex!$F$13="Y",IF($A406+Capex!$D$13-1&gt;=AB$2,Book!$D$258/Capex!$D$13,0))+IF(Capex!$F$14="Y",IF($A406+Capex!$D$14-1&gt;=AB$2,Book!$D$14/Capex!$D$255,0))+IF(Capex!$F$15="Y",IF($A406+Capex!$D$15-1&gt;=AB$2,Book!$D$330/Capex!$D$15,0)))*$D$401</f>
        <v>0</v>
      </c>
      <c r="AC406" s="4">
        <f>(IF(Capex!$F$6="Y",IF($A406+Capex!$D$6-1&gt;=AC$2,Book!$D$6/Capex!$D$6,0))+IF(Capex!$F$7="Y",IF($A406+Capex!$D$7-1&gt;=AC$2,Book!$D$42/Capex!$D$7,0))+IF(Capex!$F$8="Y",IF($A406+Capex!$D$8-1&gt;=AC$2,Book!$D$78/Capex!$D$8,0))+IF(Capex!$F$9="Y",IF($A406+Capex!$D$9-1&gt;=AC$2,Book!$D$114/Capex!$D$9,0))+IF(Capex!$F$10="Y",IF($A406+Capex!$D$10-1&gt;=AC$2,Book!$D$150/Capex!$D$10,0))+IF(Capex!$F$11="Y",IF($A406+Capex!$D$11-1&gt;=AC$2,Book!$D$186/Capex!$D$11,0))+IF(Capex!$F$12="Y",IF($A406+Capex!$D$12-1&gt;=AC$2,Book!$D$222/Capex!$D$12,0))+IF(Capex!$F$13="Y",IF($A406+Capex!$D$13-1&gt;=AC$2,Book!$D$258/Capex!$D$13,0))+IF(Capex!$F$14="Y",IF($A406+Capex!$D$14-1&gt;=AC$2,Book!$D$14/Capex!$D$255,0))+IF(Capex!$F$15="Y",IF($A406+Capex!$D$15-1&gt;=AC$2,Book!$D$330/Capex!$D$15,0)))*$D$401</f>
        <v>0</v>
      </c>
      <c r="AD406" s="4">
        <f>(IF(Capex!$F$6="Y",IF($A406+Capex!$D$6-1&gt;=AD$2,Book!$D$6/Capex!$D$6,0))+IF(Capex!$F$7="Y",IF($A406+Capex!$D$7-1&gt;=AD$2,Book!$D$42/Capex!$D$7,0))+IF(Capex!$F$8="Y",IF($A406+Capex!$D$8-1&gt;=AD$2,Book!$D$78/Capex!$D$8,0))+IF(Capex!$F$9="Y",IF($A406+Capex!$D$9-1&gt;=AD$2,Book!$D$114/Capex!$D$9,0))+IF(Capex!$F$10="Y",IF($A406+Capex!$D$10-1&gt;=AD$2,Book!$D$150/Capex!$D$10,0))+IF(Capex!$F$11="Y",IF($A406+Capex!$D$11-1&gt;=AD$2,Book!$D$186/Capex!$D$11,0))+IF(Capex!$F$12="Y",IF($A406+Capex!$D$12-1&gt;=AD$2,Book!$D$222/Capex!$D$12,0))+IF(Capex!$F$13="Y",IF($A406+Capex!$D$13-1&gt;=AD$2,Book!$D$258/Capex!$D$13,0))+IF(Capex!$F$14="Y",IF($A406+Capex!$D$14-1&gt;=AD$2,Book!$D$14/Capex!$D$255,0))+IF(Capex!$F$15="Y",IF($A406+Capex!$D$15-1&gt;=AD$2,Book!$D$330/Capex!$D$15,0)))*$D$401</f>
        <v>0</v>
      </c>
      <c r="AE406" s="4">
        <f>(IF(Capex!$F$6="Y",IF($A406+Capex!$D$6-1&gt;=AE$2,Book!$D$6/Capex!$D$6,0))+IF(Capex!$F$7="Y",IF($A406+Capex!$D$7-1&gt;=AE$2,Book!$D$42/Capex!$D$7,0))+IF(Capex!$F$8="Y",IF($A406+Capex!$D$8-1&gt;=AE$2,Book!$D$78/Capex!$D$8,0))+IF(Capex!$F$9="Y",IF($A406+Capex!$D$9-1&gt;=AE$2,Book!$D$114/Capex!$D$9,0))+IF(Capex!$F$10="Y",IF($A406+Capex!$D$10-1&gt;=AE$2,Book!$D$150/Capex!$D$10,0))+IF(Capex!$F$11="Y",IF($A406+Capex!$D$11-1&gt;=AE$2,Book!$D$186/Capex!$D$11,0))+IF(Capex!$F$12="Y",IF($A406+Capex!$D$12-1&gt;=AE$2,Book!$D$222/Capex!$D$12,0))+IF(Capex!$F$13="Y",IF($A406+Capex!$D$13-1&gt;=AE$2,Book!$D$258/Capex!$D$13,0))+IF(Capex!$F$14="Y",IF($A406+Capex!$D$14-1&gt;=AE$2,Book!$D$14/Capex!$D$255,0))+IF(Capex!$F$15="Y",IF($A406+Capex!$D$15-1&gt;=AE$2,Book!$D$330/Capex!$D$15,0)))*$D$401</f>
        <v>0</v>
      </c>
      <c r="AF406" s="4">
        <f>(IF(Capex!$F$6="Y",IF($A406+Capex!$D$6-1&gt;=AF$2,Book!$D$6/Capex!$D$6,0))+IF(Capex!$F$7="Y",IF($A406+Capex!$D$7-1&gt;=AF$2,Book!$D$42/Capex!$D$7,0))+IF(Capex!$F$8="Y",IF($A406+Capex!$D$8-1&gt;=AF$2,Book!$D$78/Capex!$D$8,0))+IF(Capex!$F$9="Y",IF($A406+Capex!$D$9-1&gt;=AF$2,Book!$D$114/Capex!$D$9,0))+IF(Capex!$F$10="Y",IF($A406+Capex!$D$10-1&gt;=AF$2,Book!$D$150/Capex!$D$10,0))+IF(Capex!$F$11="Y",IF($A406+Capex!$D$11-1&gt;=AF$2,Book!$D$186/Capex!$D$11,0))+IF(Capex!$F$12="Y",IF($A406+Capex!$D$12-1&gt;=AF$2,Book!$D$222/Capex!$D$12,0))+IF(Capex!$F$13="Y",IF($A406+Capex!$D$13-1&gt;=AF$2,Book!$D$258/Capex!$D$13,0))+IF(Capex!$F$14="Y",IF($A406+Capex!$D$14-1&gt;=AF$2,Book!$D$14/Capex!$D$255,0))+IF(Capex!$F$15="Y",IF($A406+Capex!$D$15-1&gt;=AF$2,Book!$D$330/Capex!$D$15,0)))*$D$401</f>
        <v>0</v>
      </c>
      <c r="AG406" s="4">
        <f t="shared" si="130"/>
        <v>0</v>
      </c>
      <c r="AH406" s="252">
        <f t="shared" ref="AH406:AH429" si="132">+B406-AG406</f>
        <v>0</v>
      </c>
    </row>
    <row r="407" spans="1:34">
      <c r="A407" s="718">
        <f t="shared" si="129"/>
        <v>2024</v>
      </c>
      <c r="B407" s="4">
        <f t="shared" si="131"/>
        <v>0</v>
      </c>
      <c r="E407" s="4">
        <f>(IF(Capex!$F$6="Y",IF($A407+Capex!$D$6-1&gt;=E$2,Book!$E$6/Capex!$D$6,0))+IF(Capex!$F$7="Y",IF($A407+Capex!$D$7-1&gt;=E$2,Book!$E$42/Capex!$D$7,0))+IF(Capex!$F$8="Y",IF($A407+Capex!$D$8-1&gt;=E$2,Book!$E$78/Capex!$D$8,0))+IF(Capex!$F$9="Y",IF($A407+Capex!$D$9-1&gt;=E$2,Book!$E$114/Capex!$D$9,0))+IF(Capex!$F$10="Y",IF($A407+Capex!$D$10-1&gt;=E$2,Book!$E$150/Capex!$D$10,0))+IF(Capex!$F$11="Y",IF($A407+Capex!$D$11-1&gt;=E$2,Book!$E$186/Capex!$D$11,0))+IF(Capex!$F$12="Y",IF($A407+Capex!$D$12-1&gt;=E$2,Book!$E$222/Capex!$D$12,0))+IF(Capex!$F$13="Y",IF($A407+Capex!$D$13-1&gt;=E$2,Book!$E$258/Capex!$D$13,0))+IF(Capex!$F$14="Y",IF($A407+Capex!$D$14-1&gt;=E$2,Book!$E$14/Capex!$D$255,0))+IF(Capex!$F$15="Y",IF($A407+Capex!$D$15-1&gt;=E$2,Book!$E$330/Capex!$D$15,0)))*$E$401</f>
        <v>0</v>
      </c>
      <c r="F407" s="4">
        <f>(IF(Capex!$F$6="Y",IF($A407+Capex!$D$6-1&gt;=F$2,Book!$E$6/Capex!$D$6,0))+IF(Capex!$F$7="Y",IF($A407+Capex!$D$7-1&gt;=F$2,Book!$E$42/Capex!$D$7,0))+IF(Capex!$F$8="Y",IF($A407+Capex!$D$8-1&gt;=F$2,Book!$E$78/Capex!$D$8,0))+IF(Capex!$F$9="Y",IF($A407+Capex!$D$9-1&gt;=F$2,Book!$E$114/Capex!$D$9,0))+IF(Capex!$F$10="Y",IF($A407+Capex!$D$10-1&gt;=F$2,Book!$E$150/Capex!$D$10,0))+IF(Capex!$F$11="Y",IF($A407+Capex!$D$11-1&gt;=F$2,Book!$E$186/Capex!$D$11,0))+IF(Capex!$F$12="Y",IF($A407+Capex!$D$12-1&gt;=F$2,Book!$E$222/Capex!$D$12,0))+IF(Capex!$F$13="Y",IF($A407+Capex!$D$13-1&gt;=F$2,Book!$E$258/Capex!$D$13,0))+IF(Capex!$F$14="Y",IF($A407+Capex!$D$14-1&gt;=F$2,Book!$E$14/Capex!$D$255,0))+IF(Capex!$F$15="Y",IF($A407+Capex!$D$15-1&gt;=F$2,Book!$E$330/Capex!$D$15,0)))*$E$401</f>
        <v>0</v>
      </c>
      <c r="G407" s="4">
        <f>(IF(Capex!$F$6="Y",IF($A407+Capex!$D$6-1&gt;=G$2,Book!$E$6/Capex!$D$6,0))+IF(Capex!$F$7="Y",IF($A407+Capex!$D$7-1&gt;=G$2,Book!$E$42/Capex!$D$7,0))+IF(Capex!$F$8="Y",IF($A407+Capex!$D$8-1&gt;=G$2,Book!$E$78/Capex!$D$8,0))+IF(Capex!$F$9="Y",IF($A407+Capex!$D$9-1&gt;=G$2,Book!$E$114/Capex!$D$9,0))+IF(Capex!$F$10="Y",IF($A407+Capex!$D$10-1&gt;=G$2,Book!$E$150/Capex!$D$10,0))+IF(Capex!$F$11="Y",IF($A407+Capex!$D$11-1&gt;=G$2,Book!$E$186/Capex!$D$11,0))+IF(Capex!$F$12="Y",IF($A407+Capex!$D$12-1&gt;=G$2,Book!$E$222/Capex!$D$12,0))+IF(Capex!$F$13="Y",IF($A407+Capex!$D$13-1&gt;=G$2,Book!$E$258/Capex!$D$13,0))+IF(Capex!$F$14="Y",IF($A407+Capex!$D$14-1&gt;=G$2,Book!$E$14/Capex!$D$255,0))+IF(Capex!$F$15="Y",IF($A407+Capex!$D$15-1&gt;=G$2,Book!$E$330/Capex!$D$15,0)))*$E$401</f>
        <v>0</v>
      </c>
      <c r="H407" s="4">
        <f>(IF(Capex!$F$6="Y",IF($A407+Capex!$D$6-1&gt;=H$2,Book!$E$6/Capex!$D$6,0))+IF(Capex!$F$7="Y",IF($A407+Capex!$D$7-1&gt;=H$2,Book!$E$42/Capex!$D$7,0))+IF(Capex!$F$8="Y",IF($A407+Capex!$D$8-1&gt;=H$2,Book!$E$78/Capex!$D$8,0))+IF(Capex!$F$9="Y",IF($A407+Capex!$D$9-1&gt;=H$2,Book!$E$114/Capex!$D$9,0))+IF(Capex!$F$10="Y",IF($A407+Capex!$D$10-1&gt;=H$2,Book!$E$150/Capex!$D$10,0))+IF(Capex!$F$11="Y",IF($A407+Capex!$D$11-1&gt;=H$2,Book!$E$186/Capex!$D$11,0))+IF(Capex!$F$12="Y",IF($A407+Capex!$D$12-1&gt;=H$2,Book!$E$222/Capex!$D$12,0))+IF(Capex!$F$13="Y",IF($A407+Capex!$D$13-1&gt;=H$2,Book!$E$258/Capex!$D$13,0))+IF(Capex!$F$14="Y",IF($A407+Capex!$D$14-1&gt;=H$2,Book!$E$14/Capex!$D$255,0))+IF(Capex!$F$15="Y",IF($A407+Capex!$D$15-1&gt;=H$2,Book!$E$330/Capex!$D$15,0)))*$E$401</f>
        <v>0</v>
      </c>
      <c r="I407" s="4">
        <f>(IF(Capex!$F$6="Y",IF($A407+Capex!$D$6-1&gt;=I$2,Book!$E$6/Capex!$D$6,0))+IF(Capex!$F$7="Y",IF($A407+Capex!$D$7-1&gt;=I$2,Book!$E$42/Capex!$D$7,0))+IF(Capex!$F$8="Y",IF($A407+Capex!$D$8-1&gt;=I$2,Book!$E$78/Capex!$D$8,0))+IF(Capex!$F$9="Y",IF($A407+Capex!$D$9-1&gt;=I$2,Book!$E$114/Capex!$D$9,0))+IF(Capex!$F$10="Y",IF($A407+Capex!$D$10-1&gt;=I$2,Book!$E$150/Capex!$D$10,0))+IF(Capex!$F$11="Y",IF($A407+Capex!$D$11-1&gt;=I$2,Book!$E$186/Capex!$D$11,0))+IF(Capex!$F$12="Y",IF($A407+Capex!$D$12-1&gt;=I$2,Book!$E$222/Capex!$D$12,0))+IF(Capex!$F$13="Y",IF($A407+Capex!$D$13-1&gt;=I$2,Book!$E$258/Capex!$D$13,0))+IF(Capex!$F$14="Y",IF($A407+Capex!$D$14-1&gt;=I$2,Book!$E$14/Capex!$D$255,0))+IF(Capex!$F$15="Y",IF($A407+Capex!$D$15-1&gt;=I$2,Book!$E$330/Capex!$D$15,0)))*$E$401</f>
        <v>0</v>
      </c>
      <c r="J407" s="4">
        <f>(IF(Capex!$F$6="Y",IF($A407+Capex!$D$6-1&gt;=J$2,Book!$E$6/Capex!$D$6,0))+IF(Capex!$F$7="Y",IF($A407+Capex!$D$7-1&gt;=J$2,Book!$E$42/Capex!$D$7,0))+IF(Capex!$F$8="Y",IF($A407+Capex!$D$8-1&gt;=J$2,Book!$E$78/Capex!$D$8,0))+IF(Capex!$F$9="Y",IF($A407+Capex!$D$9-1&gt;=J$2,Book!$E$114/Capex!$D$9,0))+IF(Capex!$F$10="Y",IF($A407+Capex!$D$10-1&gt;=J$2,Book!$E$150/Capex!$D$10,0))+IF(Capex!$F$11="Y",IF($A407+Capex!$D$11-1&gt;=J$2,Book!$E$186/Capex!$D$11,0))+IF(Capex!$F$12="Y",IF($A407+Capex!$D$12-1&gt;=J$2,Book!$E$222/Capex!$D$12,0))+IF(Capex!$F$13="Y",IF($A407+Capex!$D$13-1&gt;=J$2,Book!$E$258/Capex!$D$13,0))+IF(Capex!$F$14="Y",IF($A407+Capex!$D$14-1&gt;=J$2,Book!$E$14/Capex!$D$255,0))+IF(Capex!$F$15="Y",IF($A407+Capex!$D$15-1&gt;=J$2,Book!$E$330/Capex!$D$15,0)))*$E$401</f>
        <v>0</v>
      </c>
      <c r="K407" s="4">
        <f>(IF(Capex!$F$6="Y",IF($A407+Capex!$D$6-1&gt;=K$2,Book!$E$6/Capex!$D$6,0))+IF(Capex!$F$7="Y",IF($A407+Capex!$D$7-1&gt;=K$2,Book!$E$42/Capex!$D$7,0))+IF(Capex!$F$8="Y",IF($A407+Capex!$D$8-1&gt;=K$2,Book!$E$78/Capex!$D$8,0))+IF(Capex!$F$9="Y",IF($A407+Capex!$D$9-1&gt;=K$2,Book!$E$114/Capex!$D$9,0))+IF(Capex!$F$10="Y",IF($A407+Capex!$D$10-1&gt;=K$2,Book!$E$150/Capex!$D$10,0))+IF(Capex!$F$11="Y",IF($A407+Capex!$D$11-1&gt;=K$2,Book!$E$186/Capex!$D$11,0))+IF(Capex!$F$12="Y",IF($A407+Capex!$D$12-1&gt;=K$2,Book!$E$222/Capex!$D$12,0))+IF(Capex!$F$13="Y",IF($A407+Capex!$D$13-1&gt;=K$2,Book!$E$258/Capex!$D$13,0))+IF(Capex!$F$14="Y",IF($A407+Capex!$D$14-1&gt;=K$2,Book!$E$14/Capex!$D$255,0))+IF(Capex!$F$15="Y",IF($A407+Capex!$D$15-1&gt;=K$2,Book!$E$330/Capex!$D$15,0)))*$E$401</f>
        <v>0</v>
      </c>
      <c r="L407" s="4">
        <f>(IF(Capex!$F$6="Y",IF($A407+Capex!$D$6-1&gt;=L$2,Book!$E$6/Capex!$D$6,0))+IF(Capex!$F$7="Y",IF($A407+Capex!$D$7-1&gt;=L$2,Book!$E$42/Capex!$D$7,0))+IF(Capex!$F$8="Y",IF($A407+Capex!$D$8-1&gt;=L$2,Book!$E$78/Capex!$D$8,0))+IF(Capex!$F$9="Y",IF($A407+Capex!$D$9-1&gt;=L$2,Book!$E$114/Capex!$D$9,0))+IF(Capex!$F$10="Y",IF($A407+Capex!$D$10-1&gt;=L$2,Book!$E$150/Capex!$D$10,0))+IF(Capex!$F$11="Y",IF($A407+Capex!$D$11-1&gt;=L$2,Book!$E$186/Capex!$D$11,0))+IF(Capex!$F$12="Y",IF($A407+Capex!$D$12-1&gt;=L$2,Book!$E$222/Capex!$D$12,0))+IF(Capex!$F$13="Y",IF($A407+Capex!$D$13-1&gt;=L$2,Book!$E$258/Capex!$D$13,0))+IF(Capex!$F$14="Y",IF($A407+Capex!$D$14-1&gt;=L$2,Book!$E$14/Capex!$D$255,0))+IF(Capex!$F$15="Y",IF($A407+Capex!$D$15-1&gt;=L$2,Book!$E$330/Capex!$D$15,0)))*$E$401</f>
        <v>0</v>
      </c>
      <c r="M407" s="4">
        <f>(IF(Capex!$F$6="Y",IF($A407+Capex!$D$6-1&gt;=M$2,Book!$E$6/Capex!$D$6,0))+IF(Capex!$F$7="Y",IF($A407+Capex!$D$7-1&gt;=M$2,Book!$E$42/Capex!$D$7,0))+IF(Capex!$F$8="Y",IF($A407+Capex!$D$8-1&gt;=M$2,Book!$E$78/Capex!$D$8,0))+IF(Capex!$F$9="Y",IF($A407+Capex!$D$9-1&gt;=M$2,Book!$E$114/Capex!$D$9,0))+IF(Capex!$F$10="Y",IF($A407+Capex!$D$10-1&gt;=M$2,Book!$E$150/Capex!$D$10,0))+IF(Capex!$F$11="Y",IF($A407+Capex!$D$11-1&gt;=M$2,Book!$E$186/Capex!$D$11,0))+IF(Capex!$F$12="Y",IF($A407+Capex!$D$12-1&gt;=M$2,Book!$E$222/Capex!$D$12,0))+IF(Capex!$F$13="Y",IF($A407+Capex!$D$13-1&gt;=M$2,Book!$E$258/Capex!$D$13,0))+IF(Capex!$F$14="Y",IF($A407+Capex!$D$14-1&gt;=M$2,Book!$E$14/Capex!$D$255,0))+IF(Capex!$F$15="Y",IF($A407+Capex!$D$15-1&gt;=M$2,Book!$E$330/Capex!$D$15,0)))*$E$401</f>
        <v>0</v>
      </c>
      <c r="N407" s="4">
        <f>(IF(Capex!$F$6="Y",IF($A407+Capex!$D$6-1&gt;=N$2,Book!$E$6/Capex!$D$6,0))+IF(Capex!$F$7="Y",IF($A407+Capex!$D$7-1&gt;=N$2,Book!$E$42/Capex!$D$7,0))+IF(Capex!$F$8="Y",IF($A407+Capex!$D$8-1&gt;=N$2,Book!$E$78/Capex!$D$8,0))+IF(Capex!$F$9="Y",IF($A407+Capex!$D$9-1&gt;=N$2,Book!$E$114/Capex!$D$9,0))+IF(Capex!$F$10="Y",IF($A407+Capex!$D$10-1&gt;=N$2,Book!$E$150/Capex!$D$10,0))+IF(Capex!$F$11="Y",IF($A407+Capex!$D$11-1&gt;=N$2,Book!$E$186/Capex!$D$11,0))+IF(Capex!$F$12="Y",IF($A407+Capex!$D$12-1&gt;=N$2,Book!$E$222/Capex!$D$12,0))+IF(Capex!$F$13="Y",IF($A407+Capex!$D$13-1&gt;=N$2,Book!$E$258/Capex!$D$13,0))+IF(Capex!$F$14="Y",IF($A407+Capex!$D$14-1&gt;=N$2,Book!$E$14/Capex!$D$255,0))+IF(Capex!$F$15="Y",IF($A407+Capex!$D$15-1&gt;=N$2,Book!$E$330/Capex!$D$15,0)))*$E$401</f>
        <v>0</v>
      </c>
      <c r="O407" s="4">
        <f>(IF(Capex!$F$6="Y",IF($A407+Capex!$D$6-1&gt;=O$2,Book!$E$6/Capex!$D$6,0))+IF(Capex!$F$7="Y",IF($A407+Capex!$D$7-1&gt;=O$2,Book!$E$42/Capex!$D$7,0))+IF(Capex!$F$8="Y",IF($A407+Capex!$D$8-1&gt;=O$2,Book!$E$78/Capex!$D$8,0))+IF(Capex!$F$9="Y",IF($A407+Capex!$D$9-1&gt;=O$2,Book!$E$114/Capex!$D$9,0))+IF(Capex!$F$10="Y",IF($A407+Capex!$D$10-1&gt;=O$2,Book!$E$150/Capex!$D$10,0))+IF(Capex!$F$11="Y",IF($A407+Capex!$D$11-1&gt;=O$2,Book!$E$186/Capex!$D$11,0))+IF(Capex!$F$12="Y",IF($A407+Capex!$D$12-1&gt;=O$2,Book!$E$222/Capex!$D$12,0))+IF(Capex!$F$13="Y",IF($A407+Capex!$D$13-1&gt;=O$2,Book!$E$258/Capex!$D$13,0))+IF(Capex!$F$14="Y",IF($A407+Capex!$D$14-1&gt;=O$2,Book!$E$14/Capex!$D$255,0))+IF(Capex!$F$15="Y",IF($A407+Capex!$D$15-1&gt;=O$2,Book!$E$330/Capex!$D$15,0)))*$E$401</f>
        <v>0</v>
      </c>
      <c r="P407" s="4">
        <f>(IF(Capex!$F$6="Y",IF($A407+Capex!$D$6-1&gt;=P$2,Book!$E$6/Capex!$D$6,0))+IF(Capex!$F$7="Y",IF($A407+Capex!$D$7-1&gt;=P$2,Book!$E$42/Capex!$D$7,0))+IF(Capex!$F$8="Y",IF($A407+Capex!$D$8-1&gt;=P$2,Book!$E$78/Capex!$D$8,0))+IF(Capex!$F$9="Y",IF($A407+Capex!$D$9-1&gt;=P$2,Book!$E$114/Capex!$D$9,0))+IF(Capex!$F$10="Y",IF($A407+Capex!$D$10-1&gt;=P$2,Book!$E$150/Capex!$D$10,0))+IF(Capex!$F$11="Y",IF($A407+Capex!$D$11-1&gt;=P$2,Book!$E$186/Capex!$D$11,0))+IF(Capex!$F$12="Y",IF($A407+Capex!$D$12-1&gt;=P$2,Book!$E$222/Capex!$D$12,0))+IF(Capex!$F$13="Y",IF($A407+Capex!$D$13-1&gt;=P$2,Book!$E$258/Capex!$D$13,0))+IF(Capex!$F$14="Y",IF($A407+Capex!$D$14-1&gt;=P$2,Book!$E$14/Capex!$D$255,0))+IF(Capex!$F$15="Y",IF($A407+Capex!$D$15-1&gt;=P$2,Book!$E$330/Capex!$D$15,0)))*$E$401</f>
        <v>0</v>
      </c>
      <c r="Q407" s="4">
        <f>(IF(Capex!$F$6="Y",IF($A407+Capex!$D$6-1&gt;=Q$2,Book!$E$6/Capex!$D$6,0))+IF(Capex!$F$7="Y",IF($A407+Capex!$D$7-1&gt;=Q$2,Book!$E$42/Capex!$D$7,0))+IF(Capex!$F$8="Y",IF($A407+Capex!$D$8-1&gt;=Q$2,Book!$E$78/Capex!$D$8,0))+IF(Capex!$F$9="Y",IF($A407+Capex!$D$9-1&gt;=Q$2,Book!$E$114/Capex!$D$9,0))+IF(Capex!$F$10="Y",IF($A407+Capex!$D$10-1&gt;=Q$2,Book!$E$150/Capex!$D$10,0))+IF(Capex!$F$11="Y",IF($A407+Capex!$D$11-1&gt;=Q$2,Book!$E$186/Capex!$D$11,0))+IF(Capex!$F$12="Y",IF($A407+Capex!$D$12-1&gt;=Q$2,Book!$E$222/Capex!$D$12,0))+IF(Capex!$F$13="Y",IF($A407+Capex!$D$13-1&gt;=Q$2,Book!$E$258/Capex!$D$13,0))+IF(Capex!$F$14="Y",IF($A407+Capex!$D$14-1&gt;=Q$2,Book!$E$14/Capex!$D$255,0))+IF(Capex!$F$15="Y",IF($A407+Capex!$D$15-1&gt;=Q$2,Book!$E$330/Capex!$D$15,0)))*$E$401</f>
        <v>0</v>
      </c>
      <c r="R407" s="4">
        <f>(IF(Capex!$F$6="Y",IF($A407+Capex!$D$6-1&gt;=R$2,Book!$E$6/Capex!$D$6,0))+IF(Capex!$F$7="Y",IF($A407+Capex!$D$7-1&gt;=R$2,Book!$E$42/Capex!$D$7,0))+IF(Capex!$F$8="Y",IF($A407+Capex!$D$8-1&gt;=R$2,Book!$E$78/Capex!$D$8,0))+IF(Capex!$F$9="Y",IF($A407+Capex!$D$9-1&gt;=R$2,Book!$E$114/Capex!$D$9,0))+IF(Capex!$F$10="Y",IF($A407+Capex!$D$10-1&gt;=R$2,Book!$E$150/Capex!$D$10,0))+IF(Capex!$F$11="Y",IF($A407+Capex!$D$11-1&gt;=R$2,Book!$E$186/Capex!$D$11,0))+IF(Capex!$F$12="Y",IF($A407+Capex!$D$12-1&gt;=R$2,Book!$E$222/Capex!$D$12,0))+IF(Capex!$F$13="Y",IF($A407+Capex!$D$13-1&gt;=R$2,Book!$E$258/Capex!$D$13,0))+IF(Capex!$F$14="Y",IF($A407+Capex!$D$14-1&gt;=R$2,Book!$E$14/Capex!$D$255,0))+IF(Capex!$F$15="Y",IF($A407+Capex!$D$15-1&gt;=R$2,Book!$E$330/Capex!$D$15,0)))*$E$401</f>
        <v>0</v>
      </c>
      <c r="S407" s="4">
        <f>(IF(Capex!$F$6="Y",IF($A407+Capex!$D$6-1&gt;=S$2,Book!$E$6/Capex!$D$6,0))+IF(Capex!$F$7="Y",IF($A407+Capex!$D$7-1&gt;=S$2,Book!$E$42/Capex!$D$7,0))+IF(Capex!$F$8="Y",IF($A407+Capex!$D$8-1&gt;=S$2,Book!$E$78/Capex!$D$8,0))+IF(Capex!$F$9="Y",IF($A407+Capex!$D$9-1&gt;=S$2,Book!$E$114/Capex!$D$9,0))+IF(Capex!$F$10="Y",IF($A407+Capex!$D$10-1&gt;=S$2,Book!$E$150/Capex!$D$10,0))+IF(Capex!$F$11="Y",IF($A407+Capex!$D$11-1&gt;=S$2,Book!$E$186/Capex!$D$11,0))+IF(Capex!$F$12="Y",IF($A407+Capex!$D$12-1&gt;=S$2,Book!$E$222/Capex!$D$12,0))+IF(Capex!$F$13="Y",IF($A407+Capex!$D$13-1&gt;=S$2,Book!$E$258/Capex!$D$13,0))+IF(Capex!$F$14="Y",IF($A407+Capex!$D$14-1&gt;=S$2,Book!$E$14/Capex!$D$255,0))+IF(Capex!$F$15="Y",IF($A407+Capex!$D$15-1&gt;=S$2,Book!$E$330/Capex!$D$15,0)))*$E$401</f>
        <v>0</v>
      </c>
      <c r="T407" s="4">
        <f>(IF(Capex!$F$6="Y",IF($A407+Capex!$D$6-1&gt;=T$2,Book!$E$6/Capex!$D$6,0))+IF(Capex!$F$7="Y",IF($A407+Capex!$D$7-1&gt;=T$2,Book!$E$42/Capex!$D$7,0))+IF(Capex!$F$8="Y",IF($A407+Capex!$D$8-1&gt;=T$2,Book!$E$78/Capex!$D$8,0))+IF(Capex!$F$9="Y",IF($A407+Capex!$D$9-1&gt;=T$2,Book!$E$114/Capex!$D$9,0))+IF(Capex!$F$10="Y",IF($A407+Capex!$D$10-1&gt;=T$2,Book!$E$150/Capex!$D$10,0))+IF(Capex!$F$11="Y",IF($A407+Capex!$D$11-1&gt;=T$2,Book!$E$186/Capex!$D$11,0))+IF(Capex!$F$12="Y",IF($A407+Capex!$D$12-1&gt;=T$2,Book!$E$222/Capex!$D$12,0))+IF(Capex!$F$13="Y",IF($A407+Capex!$D$13-1&gt;=T$2,Book!$E$258/Capex!$D$13,0))+IF(Capex!$F$14="Y",IF($A407+Capex!$D$14-1&gt;=T$2,Book!$E$14/Capex!$D$255,0))+IF(Capex!$F$15="Y",IF($A407+Capex!$D$15-1&gt;=T$2,Book!$E$330/Capex!$D$15,0)))*$E$401</f>
        <v>0</v>
      </c>
      <c r="U407" s="4">
        <f>(IF(Capex!$F$6="Y",IF($A407+Capex!$D$6-1&gt;=U$2,Book!$E$6/Capex!$D$6,0))+IF(Capex!$F$7="Y",IF($A407+Capex!$D$7-1&gt;=U$2,Book!$E$42/Capex!$D$7,0))+IF(Capex!$F$8="Y",IF($A407+Capex!$D$8-1&gt;=U$2,Book!$E$78/Capex!$D$8,0))+IF(Capex!$F$9="Y",IF($A407+Capex!$D$9-1&gt;=U$2,Book!$E$114/Capex!$D$9,0))+IF(Capex!$F$10="Y",IF($A407+Capex!$D$10-1&gt;=U$2,Book!$E$150/Capex!$D$10,0))+IF(Capex!$F$11="Y",IF($A407+Capex!$D$11-1&gt;=U$2,Book!$E$186/Capex!$D$11,0))+IF(Capex!$F$12="Y",IF($A407+Capex!$D$12-1&gt;=U$2,Book!$E$222/Capex!$D$12,0))+IF(Capex!$F$13="Y",IF($A407+Capex!$D$13-1&gt;=U$2,Book!$E$258/Capex!$D$13,0))+IF(Capex!$F$14="Y",IF($A407+Capex!$D$14-1&gt;=U$2,Book!$E$14/Capex!$D$255,0))+IF(Capex!$F$15="Y",IF($A407+Capex!$D$15-1&gt;=U$2,Book!$E$330/Capex!$D$15,0)))*$E$401</f>
        <v>0</v>
      </c>
      <c r="V407" s="4">
        <f>(IF(Capex!$F$6="Y",IF($A407+Capex!$D$6-1&gt;=V$2,Book!$E$6/Capex!$D$6,0))+IF(Capex!$F$7="Y",IF($A407+Capex!$D$7-1&gt;=V$2,Book!$E$42/Capex!$D$7,0))+IF(Capex!$F$8="Y",IF($A407+Capex!$D$8-1&gt;=V$2,Book!$E$78/Capex!$D$8,0))+IF(Capex!$F$9="Y",IF($A407+Capex!$D$9-1&gt;=V$2,Book!$E$114/Capex!$D$9,0))+IF(Capex!$F$10="Y",IF($A407+Capex!$D$10-1&gt;=V$2,Book!$E$150/Capex!$D$10,0))+IF(Capex!$F$11="Y",IF($A407+Capex!$D$11-1&gt;=V$2,Book!$E$186/Capex!$D$11,0))+IF(Capex!$F$12="Y",IF($A407+Capex!$D$12-1&gt;=V$2,Book!$E$222/Capex!$D$12,0))+IF(Capex!$F$13="Y",IF($A407+Capex!$D$13-1&gt;=V$2,Book!$E$258/Capex!$D$13,0))+IF(Capex!$F$14="Y",IF($A407+Capex!$D$14-1&gt;=V$2,Book!$E$14/Capex!$D$255,0))+IF(Capex!$F$15="Y",IF($A407+Capex!$D$15-1&gt;=V$2,Book!$E$330/Capex!$D$15,0)))*$E$401</f>
        <v>0</v>
      </c>
      <c r="W407" s="4">
        <f>(IF(Capex!$F$6="Y",IF($A407+Capex!$D$6-1&gt;=W$2,Book!$E$6/Capex!$D$6,0))+IF(Capex!$F$7="Y",IF($A407+Capex!$D$7-1&gt;=W$2,Book!$E$42/Capex!$D$7,0))+IF(Capex!$F$8="Y",IF($A407+Capex!$D$8-1&gt;=W$2,Book!$E$78/Capex!$D$8,0))+IF(Capex!$F$9="Y",IF($A407+Capex!$D$9-1&gt;=W$2,Book!$E$114/Capex!$D$9,0))+IF(Capex!$F$10="Y",IF($A407+Capex!$D$10-1&gt;=W$2,Book!$E$150/Capex!$D$10,0))+IF(Capex!$F$11="Y",IF($A407+Capex!$D$11-1&gt;=W$2,Book!$E$186/Capex!$D$11,0))+IF(Capex!$F$12="Y",IF($A407+Capex!$D$12-1&gt;=W$2,Book!$E$222/Capex!$D$12,0))+IF(Capex!$F$13="Y",IF($A407+Capex!$D$13-1&gt;=W$2,Book!$E$258/Capex!$D$13,0))+IF(Capex!$F$14="Y",IF($A407+Capex!$D$14-1&gt;=W$2,Book!$E$14/Capex!$D$255,0))+IF(Capex!$F$15="Y",IF($A407+Capex!$D$15-1&gt;=W$2,Book!$E$330/Capex!$D$15,0)))*$E$401</f>
        <v>0</v>
      </c>
      <c r="X407" s="4">
        <f>(IF(Capex!$F$6="Y",IF($A407+Capex!$D$6-1&gt;=X$2,Book!$E$6/Capex!$D$6,0))+IF(Capex!$F$7="Y",IF($A407+Capex!$D$7-1&gt;=X$2,Book!$E$42/Capex!$D$7,0))+IF(Capex!$F$8="Y",IF($A407+Capex!$D$8-1&gt;=X$2,Book!$E$78/Capex!$D$8,0))+IF(Capex!$F$9="Y",IF($A407+Capex!$D$9-1&gt;=X$2,Book!$E$114/Capex!$D$9,0))+IF(Capex!$F$10="Y",IF($A407+Capex!$D$10-1&gt;=X$2,Book!$E$150/Capex!$D$10,0))+IF(Capex!$F$11="Y",IF($A407+Capex!$D$11-1&gt;=X$2,Book!$E$186/Capex!$D$11,0))+IF(Capex!$F$12="Y",IF($A407+Capex!$D$12-1&gt;=X$2,Book!$E$222/Capex!$D$12,0))+IF(Capex!$F$13="Y",IF($A407+Capex!$D$13-1&gt;=X$2,Book!$E$258/Capex!$D$13,0))+IF(Capex!$F$14="Y",IF($A407+Capex!$D$14-1&gt;=X$2,Book!$E$14/Capex!$D$255,0))+IF(Capex!$F$15="Y",IF($A407+Capex!$D$15-1&gt;=X$2,Book!$E$330/Capex!$D$15,0)))*$E$401</f>
        <v>0</v>
      </c>
      <c r="Y407" s="4">
        <f>(IF(Capex!$F$6="Y",IF($A407+Capex!$D$6-1&gt;=Y$2,Book!$E$6/Capex!$D$6,0))+IF(Capex!$F$7="Y",IF($A407+Capex!$D$7-1&gt;=Y$2,Book!$E$42/Capex!$D$7,0))+IF(Capex!$F$8="Y",IF($A407+Capex!$D$8-1&gt;=Y$2,Book!$E$78/Capex!$D$8,0))+IF(Capex!$F$9="Y",IF($A407+Capex!$D$9-1&gt;=Y$2,Book!$E$114/Capex!$D$9,0))+IF(Capex!$F$10="Y",IF($A407+Capex!$D$10-1&gt;=Y$2,Book!$E$150/Capex!$D$10,0))+IF(Capex!$F$11="Y",IF($A407+Capex!$D$11-1&gt;=Y$2,Book!$E$186/Capex!$D$11,0))+IF(Capex!$F$12="Y",IF($A407+Capex!$D$12-1&gt;=Y$2,Book!$E$222/Capex!$D$12,0))+IF(Capex!$F$13="Y",IF($A407+Capex!$D$13-1&gt;=Y$2,Book!$E$258/Capex!$D$13,0))+IF(Capex!$F$14="Y",IF($A407+Capex!$D$14-1&gt;=Y$2,Book!$E$14/Capex!$D$255,0))+IF(Capex!$F$15="Y",IF($A407+Capex!$D$15-1&gt;=Y$2,Book!$E$330/Capex!$D$15,0)))*$E$401</f>
        <v>0</v>
      </c>
      <c r="Z407" s="4">
        <f>(IF(Capex!$F$6="Y",IF($A407+Capex!$D$6-1&gt;=Z$2,Book!$E$6/Capex!$D$6,0))+IF(Capex!$F$7="Y",IF($A407+Capex!$D$7-1&gt;=Z$2,Book!$E$42/Capex!$D$7,0))+IF(Capex!$F$8="Y",IF($A407+Capex!$D$8-1&gt;=Z$2,Book!$E$78/Capex!$D$8,0))+IF(Capex!$F$9="Y",IF($A407+Capex!$D$9-1&gt;=Z$2,Book!$E$114/Capex!$D$9,0))+IF(Capex!$F$10="Y",IF($A407+Capex!$D$10-1&gt;=Z$2,Book!$E$150/Capex!$D$10,0))+IF(Capex!$F$11="Y",IF($A407+Capex!$D$11-1&gt;=Z$2,Book!$E$186/Capex!$D$11,0))+IF(Capex!$F$12="Y",IF($A407+Capex!$D$12-1&gt;=Z$2,Book!$E$222/Capex!$D$12,0))+IF(Capex!$F$13="Y",IF($A407+Capex!$D$13-1&gt;=Z$2,Book!$E$258/Capex!$D$13,0))+IF(Capex!$F$14="Y",IF($A407+Capex!$D$14-1&gt;=Z$2,Book!$E$14/Capex!$D$255,0))+IF(Capex!$F$15="Y",IF($A407+Capex!$D$15-1&gt;=Z$2,Book!$E$330/Capex!$D$15,0)))*$E$401</f>
        <v>0</v>
      </c>
      <c r="AA407" s="4">
        <f>(IF(Capex!$F$6="Y",IF($A407+Capex!$D$6-1&gt;=AA$2,Book!$E$6/Capex!$D$6,0))+IF(Capex!$F$7="Y",IF($A407+Capex!$D$7-1&gt;=AA$2,Book!$E$42/Capex!$D$7,0))+IF(Capex!$F$8="Y",IF($A407+Capex!$D$8-1&gt;=AA$2,Book!$E$78/Capex!$D$8,0))+IF(Capex!$F$9="Y",IF($A407+Capex!$D$9-1&gt;=AA$2,Book!$E$114/Capex!$D$9,0))+IF(Capex!$F$10="Y",IF($A407+Capex!$D$10-1&gt;=AA$2,Book!$E$150/Capex!$D$10,0))+IF(Capex!$F$11="Y",IF($A407+Capex!$D$11-1&gt;=AA$2,Book!$E$186/Capex!$D$11,0))+IF(Capex!$F$12="Y",IF($A407+Capex!$D$12-1&gt;=AA$2,Book!$E$222/Capex!$D$12,0))+IF(Capex!$F$13="Y",IF($A407+Capex!$D$13-1&gt;=AA$2,Book!$E$258/Capex!$D$13,0))+IF(Capex!$F$14="Y",IF($A407+Capex!$D$14-1&gt;=AA$2,Book!$E$14/Capex!$D$255,0))+IF(Capex!$F$15="Y",IF($A407+Capex!$D$15-1&gt;=AA$2,Book!$E$330/Capex!$D$15,0)))*$E$401</f>
        <v>0</v>
      </c>
      <c r="AB407" s="4">
        <f>(IF(Capex!$F$6="Y",IF($A407+Capex!$D$6-1&gt;=AB$2,Book!$E$6/Capex!$D$6,0))+IF(Capex!$F$7="Y",IF($A407+Capex!$D$7-1&gt;=AB$2,Book!$E$42/Capex!$D$7,0))+IF(Capex!$F$8="Y",IF($A407+Capex!$D$8-1&gt;=AB$2,Book!$E$78/Capex!$D$8,0))+IF(Capex!$F$9="Y",IF($A407+Capex!$D$9-1&gt;=AB$2,Book!$E$114/Capex!$D$9,0))+IF(Capex!$F$10="Y",IF($A407+Capex!$D$10-1&gt;=AB$2,Book!$E$150/Capex!$D$10,0))+IF(Capex!$F$11="Y",IF($A407+Capex!$D$11-1&gt;=AB$2,Book!$E$186/Capex!$D$11,0))+IF(Capex!$F$12="Y",IF($A407+Capex!$D$12-1&gt;=AB$2,Book!$E$222/Capex!$D$12,0))+IF(Capex!$F$13="Y",IF($A407+Capex!$D$13-1&gt;=AB$2,Book!$E$258/Capex!$D$13,0))+IF(Capex!$F$14="Y",IF($A407+Capex!$D$14-1&gt;=AB$2,Book!$E$14/Capex!$D$255,0))+IF(Capex!$F$15="Y",IF($A407+Capex!$D$15-1&gt;=AB$2,Book!$E$330/Capex!$D$15,0)))*$E$401</f>
        <v>0</v>
      </c>
      <c r="AC407" s="4">
        <f>(IF(Capex!$F$6="Y",IF($A407+Capex!$D$6-1&gt;=AC$2,Book!$E$6/Capex!$D$6,0))+IF(Capex!$F$7="Y",IF($A407+Capex!$D$7-1&gt;=AC$2,Book!$E$42/Capex!$D$7,0))+IF(Capex!$F$8="Y",IF($A407+Capex!$D$8-1&gt;=AC$2,Book!$E$78/Capex!$D$8,0))+IF(Capex!$F$9="Y",IF($A407+Capex!$D$9-1&gt;=AC$2,Book!$E$114/Capex!$D$9,0))+IF(Capex!$F$10="Y",IF($A407+Capex!$D$10-1&gt;=AC$2,Book!$E$150/Capex!$D$10,0))+IF(Capex!$F$11="Y",IF($A407+Capex!$D$11-1&gt;=AC$2,Book!$E$186/Capex!$D$11,0))+IF(Capex!$F$12="Y",IF($A407+Capex!$D$12-1&gt;=AC$2,Book!$E$222/Capex!$D$12,0))+IF(Capex!$F$13="Y",IF($A407+Capex!$D$13-1&gt;=AC$2,Book!$E$258/Capex!$D$13,0))+IF(Capex!$F$14="Y",IF($A407+Capex!$D$14-1&gt;=AC$2,Book!$E$14/Capex!$D$255,0))+IF(Capex!$F$15="Y",IF($A407+Capex!$D$15-1&gt;=AC$2,Book!$E$330/Capex!$D$15,0)))*$E$401</f>
        <v>0</v>
      </c>
      <c r="AD407" s="4">
        <f>(IF(Capex!$F$6="Y",IF($A407+Capex!$D$6-1&gt;=AD$2,Book!$E$6/Capex!$D$6,0))+IF(Capex!$F$7="Y",IF($A407+Capex!$D$7-1&gt;=AD$2,Book!$E$42/Capex!$D$7,0))+IF(Capex!$F$8="Y",IF($A407+Capex!$D$8-1&gt;=AD$2,Book!$E$78/Capex!$D$8,0))+IF(Capex!$F$9="Y",IF($A407+Capex!$D$9-1&gt;=AD$2,Book!$E$114/Capex!$D$9,0))+IF(Capex!$F$10="Y",IF($A407+Capex!$D$10-1&gt;=AD$2,Book!$E$150/Capex!$D$10,0))+IF(Capex!$F$11="Y",IF($A407+Capex!$D$11-1&gt;=AD$2,Book!$E$186/Capex!$D$11,0))+IF(Capex!$F$12="Y",IF($A407+Capex!$D$12-1&gt;=AD$2,Book!$E$222/Capex!$D$12,0))+IF(Capex!$F$13="Y",IF($A407+Capex!$D$13-1&gt;=AD$2,Book!$E$258/Capex!$D$13,0))+IF(Capex!$F$14="Y",IF($A407+Capex!$D$14-1&gt;=AD$2,Book!$E$14/Capex!$D$255,0))+IF(Capex!$F$15="Y",IF($A407+Capex!$D$15-1&gt;=AD$2,Book!$E$330/Capex!$D$15,0)))*$E$401</f>
        <v>0</v>
      </c>
      <c r="AE407" s="4">
        <f>(IF(Capex!$F$6="Y",IF($A407+Capex!$D$6-1&gt;=AE$2,Book!$E$6/Capex!$D$6,0))+IF(Capex!$F$7="Y",IF($A407+Capex!$D$7-1&gt;=AE$2,Book!$E$42/Capex!$D$7,0))+IF(Capex!$F$8="Y",IF($A407+Capex!$D$8-1&gt;=AE$2,Book!$E$78/Capex!$D$8,0))+IF(Capex!$F$9="Y",IF($A407+Capex!$D$9-1&gt;=AE$2,Book!$E$114/Capex!$D$9,0))+IF(Capex!$F$10="Y",IF($A407+Capex!$D$10-1&gt;=AE$2,Book!$E$150/Capex!$D$10,0))+IF(Capex!$F$11="Y",IF($A407+Capex!$D$11-1&gt;=AE$2,Book!$E$186/Capex!$D$11,0))+IF(Capex!$F$12="Y",IF($A407+Capex!$D$12-1&gt;=AE$2,Book!$E$222/Capex!$D$12,0))+IF(Capex!$F$13="Y",IF($A407+Capex!$D$13-1&gt;=AE$2,Book!$E$258/Capex!$D$13,0))+IF(Capex!$F$14="Y",IF($A407+Capex!$D$14-1&gt;=AE$2,Book!$E$14/Capex!$D$255,0))+IF(Capex!$F$15="Y",IF($A407+Capex!$D$15-1&gt;=AE$2,Book!$E$330/Capex!$D$15,0)))*$E$401</f>
        <v>0</v>
      </c>
      <c r="AF407" s="4">
        <f>(IF(Capex!$F$6="Y",IF($A407+Capex!$D$6-1&gt;=AF$2,Book!$E$6/Capex!$D$6,0))+IF(Capex!$F$7="Y",IF($A407+Capex!$D$7-1&gt;=AF$2,Book!$E$42/Capex!$D$7,0))+IF(Capex!$F$8="Y",IF($A407+Capex!$D$8-1&gt;=AF$2,Book!$E$78/Capex!$D$8,0))+IF(Capex!$F$9="Y",IF($A407+Capex!$D$9-1&gt;=AF$2,Book!$E$114/Capex!$D$9,0))+IF(Capex!$F$10="Y",IF($A407+Capex!$D$10-1&gt;=AF$2,Book!$E$150/Capex!$D$10,0))+IF(Capex!$F$11="Y",IF($A407+Capex!$D$11-1&gt;=AF$2,Book!$E$186/Capex!$D$11,0))+IF(Capex!$F$12="Y",IF($A407+Capex!$D$12-1&gt;=AF$2,Book!$E$222/Capex!$D$12,0))+IF(Capex!$F$13="Y",IF($A407+Capex!$D$13-1&gt;=AF$2,Book!$E$258/Capex!$D$13,0))+IF(Capex!$F$14="Y",IF($A407+Capex!$D$14-1&gt;=AF$2,Book!$E$14/Capex!$D$255,0))+IF(Capex!$F$15="Y",IF($A407+Capex!$D$15-1&gt;=AF$2,Book!$E$330/Capex!$D$15,0)))*$E$401</f>
        <v>0</v>
      </c>
      <c r="AG407" s="4">
        <f t="shared" si="130"/>
        <v>0</v>
      </c>
      <c r="AH407" s="252">
        <f t="shared" si="132"/>
        <v>0</v>
      </c>
    </row>
    <row r="408" spans="1:34">
      <c r="A408" s="718">
        <f t="shared" si="129"/>
        <v>2025</v>
      </c>
      <c r="B408" s="4">
        <f t="shared" si="131"/>
        <v>0</v>
      </c>
      <c r="F408" s="4">
        <f>(IF(Capex!$F$6="Y",IF($A408+Capex!$D$6-1&gt;=F$2,Book!$F$6/Capex!$D$6,0))+IF(Capex!$F$7="Y",IF($A408+Capex!$D$7-1&gt;=F$2,Book!$F$42/Capex!$D$7,0))+IF(Capex!$F$8="Y",IF($A408+Capex!$D$8-1&gt;=F$2,Book!$F$78/Capex!$D$8,0))+IF(Capex!$F$9="Y",IF($A408+Capex!$D$9-1&gt;=F$2,Book!$F$114/Capex!$D$9,0))+IF(Capex!$F$10="Y",IF($A408+Capex!$D$10-1&gt;=F$2,Book!$F$150/Capex!$D$10,0))+IF(Capex!$F$11="Y",IF($A408+Capex!$D$11-1&gt;=F$2,Book!$F$186/Capex!$D$11,0))+IF(Capex!$F$12="Y",IF($A408+Capex!$D$12-1&gt;=F$2,Book!$F$222/Capex!$D$12,0))+IF(Capex!$F$13="Y",IF($A408+Capex!$D$13-1&gt;=F$2,Book!$F$258/Capex!$D$13,0))+IF(Capex!$F$14="Y",IF($A408+Capex!$D$14-1&gt;=F$2,Book!$F$14/Capex!$D$255,0))+IF(Capex!$F$15="Y",IF($A408+Capex!$D$15-1&gt;=F$2,Book!$F$330/Capex!$D$15,0)))*$F$401</f>
        <v>0</v>
      </c>
      <c r="G408" s="4">
        <f>(IF(Capex!$F$6="Y",IF($A408+Capex!$D$6-1&gt;=G$2,Book!$F$6/Capex!$D$6,0))+IF(Capex!$F$7="Y",IF($A408+Capex!$D$7-1&gt;=G$2,Book!$F$42/Capex!$D$7,0))+IF(Capex!$F$8="Y",IF($A408+Capex!$D$8-1&gt;=G$2,Book!$F$78/Capex!$D$8,0))+IF(Capex!$F$9="Y",IF($A408+Capex!$D$9-1&gt;=G$2,Book!$F$114/Capex!$D$9,0))+IF(Capex!$F$10="Y",IF($A408+Capex!$D$10-1&gt;=G$2,Book!$F$150/Capex!$D$10,0))+IF(Capex!$F$11="Y",IF($A408+Capex!$D$11-1&gt;=G$2,Book!$F$186/Capex!$D$11,0))+IF(Capex!$F$12="Y",IF($A408+Capex!$D$12-1&gt;=G$2,Book!$F$222/Capex!$D$12,0))+IF(Capex!$F$13="Y",IF($A408+Capex!$D$13-1&gt;=G$2,Book!$F$258/Capex!$D$13,0))+IF(Capex!$F$14="Y",IF($A408+Capex!$D$14-1&gt;=G$2,Book!$F$14/Capex!$D$255,0))+IF(Capex!$F$15="Y",IF($A408+Capex!$D$15-1&gt;=G$2,Book!$F$330/Capex!$D$15,0)))*$F$401</f>
        <v>0</v>
      </c>
      <c r="H408" s="4">
        <f>(IF(Capex!$F$6="Y",IF($A408+Capex!$D$6-1&gt;=H$2,Book!$F$6/Capex!$D$6,0))+IF(Capex!$F$7="Y",IF($A408+Capex!$D$7-1&gt;=H$2,Book!$F$42/Capex!$D$7,0))+IF(Capex!$F$8="Y",IF($A408+Capex!$D$8-1&gt;=H$2,Book!$F$78/Capex!$D$8,0))+IF(Capex!$F$9="Y",IF($A408+Capex!$D$9-1&gt;=H$2,Book!$F$114/Capex!$D$9,0))+IF(Capex!$F$10="Y",IF($A408+Capex!$D$10-1&gt;=H$2,Book!$F$150/Capex!$D$10,0))+IF(Capex!$F$11="Y",IF($A408+Capex!$D$11-1&gt;=H$2,Book!$F$186/Capex!$D$11,0))+IF(Capex!$F$12="Y",IF($A408+Capex!$D$12-1&gt;=H$2,Book!$F$222/Capex!$D$12,0))+IF(Capex!$F$13="Y",IF($A408+Capex!$D$13-1&gt;=H$2,Book!$F$258/Capex!$D$13,0))+IF(Capex!$F$14="Y",IF($A408+Capex!$D$14-1&gt;=H$2,Book!$F$14/Capex!$D$255,0))+IF(Capex!$F$15="Y",IF($A408+Capex!$D$15-1&gt;=H$2,Book!$F$330/Capex!$D$15,0)))*$F$401</f>
        <v>0</v>
      </c>
      <c r="I408" s="4">
        <f>(IF(Capex!$F$6="Y",IF($A408+Capex!$D$6-1&gt;=I$2,Book!$F$6/Capex!$D$6,0))+IF(Capex!$F$7="Y",IF($A408+Capex!$D$7-1&gt;=I$2,Book!$F$42/Capex!$D$7,0))+IF(Capex!$F$8="Y",IF($A408+Capex!$D$8-1&gt;=I$2,Book!$F$78/Capex!$D$8,0))+IF(Capex!$F$9="Y",IF($A408+Capex!$D$9-1&gt;=I$2,Book!$F$114/Capex!$D$9,0))+IF(Capex!$F$10="Y",IF($A408+Capex!$D$10-1&gt;=I$2,Book!$F$150/Capex!$D$10,0))+IF(Capex!$F$11="Y",IF($A408+Capex!$D$11-1&gt;=I$2,Book!$F$186/Capex!$D$11,0))+IF(Capex!$F$12="Y",IF($A408+Capex!$D$12-1&gt;=I$2,Book!$F$222/Capex!$D$12,0))+IF(Capex!$F$13="Y",IF($A408+Capex!$D$13-1&gt;=I$2,Book!$F$258/Capex!$D$13,0))+IF(Capex!$F$14="Y",IF($A408+Capex!$D$14-1&gt;=I$2,Book!$F$14/Capex!$D$255,0))+IF(Capex!$F$15="Y",IF($A408+Capex!$D$15-1&gt;=I$2,Book!$F$330/Capex!$D$15,0)))*$F$401</f>
        <v>0</v>
      </c>
      <c r="J408" s="4">
        <f>(IF(Capex!$F$6="Y",IF($A408+Capex!$D$6-1&gt;=J$2,Book!$F$6/Capex!$D$6,0))+IF(Capex!$F$7="Y",IF($A408+Capex!$D$7-1&gt;=J$2,Book!$F$42/Capex!$D$7,0))+IF(Capex!$F$8="Y",IF($A408+Capex!$D$8-1&gt;=J$2,Book!$F$78/Capex!$D$8,0))+IF(Capex!$F$9="Y",IF($A408+Capex!$D$9-1&gt;=J$2,Book!$F$114/Capex!$D$9,0))+IF(Capex!$F$10="Y",IF($A408+Capex!$D$10-1&gt;=J$2,Book!$F$150/Capex!$D$10,0))+IF(Capex!$F$11="Y",IF($A408+Capex!$D$11-1&gt;=J$2,Book!$F$186/Capex!$D$11,0))+IF(Capex!$F$12="Y",IF($A408+Capex!$D$12-1&gt;=J$2,Book!$F$222/Capex!$D$12,0))+IF(Capex!$F$13="Y",IF($A408+Capex!$D$13-1&gt;=J$2,Book!$F$258/Capex!$D$13,0))+IF(Capex!$F$14="Y",IF($A408+Capex!$D$14-1&gt;=J$2,Book!$F$14/Capex!$D$255,0))+IF(Capex!$F$15="Y",IF($A408+Capex!$D$15-1&gt;=J$2,Book!$F$330/Capex!$D$15,0)))*$F$401</f>
        <v>0</v>
      </c>
      <c r="K408" s="4">
        <f>(IF(Capex!$F$6="Y",IF($A408+Capex!$D$6-1&gt;=K$2,Book!$F$6/Capex!$D$6,0))+IF(Capex!$F$7="Y",IF($A408+Capex!$D$7-1&gt;=K$2,Book!$F$42/Capex!$D$7,0))+IF(Capex!$F$8="Y",IF($A408+Capex!$D$8-1&gt;=K$2,Book!$F$78/Capex!$D$8,0))+IF(Capex!$F$9="Y",IF($A408+Capex!$D$9-1&gt;=K$2,Book!$F$114/Capex!$D$9,0))+IF(Capex!$F$10="Y",IF($A408+Capex!$D$10-1&gt;=K$2,Book!$F$150/Capex!$D$10,0))+IF(Capex!$F$11="Y",IF($A408+Capex!$D$11-1&gt;=K$2,Book!$F$186/Capex!$D$11,0))+IF(Capex!$F$12="Y",IF($A408+Capex!$D$12-1&gt;=K$2,Book!$F$222/Capex!$D$12,0))+IF(Capex!$F$13="Y",IF($A408+Capex!$D$13-1&gt;=K$2,Book!$F$258/Capex!$D$13,0))+IF(Capex!$F$14="Y",IF($A408+Capex!$D$14-1&gt;=K$2,Book!$F$14/Capex!$D$255,0))+IF(Capex!$F$15="Y",IF($A408+Capex!$D$15-1&gt;=K$2,Book!$F$330/Capex!$D$15,0)))*$F$401</f>
        <v>0</v>
      </c>
      <c r="L408" s="4">
        <f>(IF(Capex!$F$6="Y",IF($A408+Capex!$D$6-1&gt;=L$2,Book!$F$6/Capex!$D$6,0))+IF(Capex!$F$7="Y",IF($A408+Capex!$D$7-1&gt;=L$2,Book!$F$42/Capex!$D$7,0))+IF(Capex!$F$8="Y",IF($A408+Capex!$D$8-1&gt;=L$2,Book!$F$78/Capex!$D$8,0))+IF(Capex!$F$9="Y",IF($A408+Capex!$D$9-1&gt;=L$2,Book!$F$114/Capex!$D$9,0))+IF(Capex!$F$10="Y",IF($A408+Capex!$D$10-1&gt;=L$2,Book!$F$150/Capex!$D$10,0))+IF(Capex!$F$11="Y",IF($A408+Capex!$D$11-1&gt;=L$2,Book!$F$186/Capex!$D$11,0))+IF(Capex!$F$12="Y",IF($A408+Capex!$D$12-1&gt;=L$2,Book!$F$222/Capex!$D$12,0))+IF(Capex!$F$13="Y",IF($A408+Capex!$D$13-1&gt;=L$2,Book!$F$258/Capex!$D$13,0))+IF(Capex!$F$14="Y",IF($A408+Capex!$D$14-1&gt;=L$2,Book!$F$14/Capex!$D$255,0))+IF(Capex!$F$15="Y",IF($A408+Capex!$D$15-1&gt;=L$2,Book!$F$330/Capex!$D$15,0)))*$F$401</f>
        <v>0</v>
      </c>
      <c r="M408" s="4">
        <f>(IF(Capex!$F$6="Y",IF($A408+Capex!$D$6-1&gt;=M$2,Book!$F$6/Capex!$D$6,0))+IF(Capex!$F$7="Y",IF($A408+Capex!$D$7-1&gt;=M$2,Book!$F$42/Capex!$D$7,0))+IF(Capex!$F$8="Y",IF($A408+Capex!$D$8-1&gt;=M$2,Book!$F$78/Capex!$D$8,0))+IF(Capex!$F$9="Y",IF($A408+Capex!$D$9-1&gt;=M$2,Book!$F$114/Capex!$D$9,0))+IF(Capex!$F$10="Y",IF($A408+Capex!$D$10-1&gt;=M$2,Book!$F$150/Capex!$D$10,0))+IF(Capex!$F$11="Y",IF($A408+Capex!$D$11-1&gt;=M$2,Book!$F$186/Capex!$D$11,0))+IF(Capex!$F$12="Y",IF($A408+Capex!$D$12-1&gt;=M$2,Book!$F$222/Capex!$D$12,0))+IF(Capex!$F$13="Y",IF($A408+Capex!$D$13-1&gt;=M$2,Book!$F$258/Capex!$D$13,0))+IF(Capex!$F$14="Y",IF($A408+Capex!$D$14-1&gt;=M$2,Book!$F$14/Capex!$D$255,0))+IF(Capex!$F$15="Y",IF($A408+Capex!$D$15-1&gt;=M$2,Book!$F$330/Capex!$D$15,0)))*$F$401</f>
        <v>0</v>
      </c>
      <c r="N408" s="4">
        <f>(IF(Capex!$F$6="Y",IF($A408+Capex!$D$6-1&gt;=N$2,Book!$F$6/Capex!$D$6,0))+IF(Capex!$F$7="Y",IF($A408+Capex!$D$7-1&gt;=N$2,Book!$F$42/Capex!$D$7,0))+IF(Capex!$F$8="Y",IF($A408+Capex!$D$8-1&gt;=N$2,Book!$F$78/Capex!$D$8,0))+IF(Capex!$F$9="Y",IF($A408+Capex!$D$9-1&gt;=N$2,Book!$F$114/Capex!$D$9,0))+IF(Capex!$F$10="Y",IF($A408+Capex!$D$10-1&gt;=N$2,Book!$F$150/Capex!$D$10,0))+IF(Capex!$F$11="Y",IF($A408+Capex!$D$11-1&gt;=N$2,Book!$F$186/Capex!$D$11,0))+IF(Capex!$F$12="Y",IF($A408+Capex!$D$12-1&gt;=N$2,Book!$F$222/Capex!$D$12,0))+IF(Capex!$F$13="Y",IF($A408+Capex!$D$13-1&gt;=N$2,Book!$F$258/Capex!$D$13,0))+IF(Capex!$F$14="Y",IF($A408+Capex!$D$14-1&gt;=N$2,Book!$F$14/Capex!$D$255,0))+IF(Capex!$F$15="Y",IF($A408+Capex!$D$15-1&gt;=N$2,Book!$F$330/Capex!$D$15,0)))*$F$401</f>
        <v>0</v>
      </c>
      <c r="O408" s="4">
        <f>(IF(Capex!$F$6="Y",IF($A408+Capex!$D$6-1&gt;=O$2,Book!$F$6/Capex!$D$6,0))+IF(Capex!$F$7="Y",IF($A408+Capex!$D$7-1&gt;=O$2,Book!$F$42/Capex!$D$7,0))+IF(Capex!$F$8="Y",IF($A408+Capex!$D$8-1&gt;=O$2,Book!$F$78/Capex!$D$8,0))+IF(Capex!$F$9="Y",IF($A408+Capex!$D$9-1&gt;=O$2,Book!$F$114/Capex!$D$9,0))+IF(Capex!$F$10="Y",IF($A408+Capex!$D$10-1&gt;=O$2,Book!$F$150/Capex!$D$10,0))+IF(Capex!$F$11="Y",IF($A408+Capex!$D$11-1&gt;=O$2,Book!$F$186/Capex!$D$11,0))+IF(Capex!$F$12="Y",IF($A408+Capex!$D$12-1&gt;=O$2,Book!$F$222/Capex!$D$12,0))+IF(Capex!$F$13="Y",IF($A408+Capex!$D$13-1&gt;=O$2,Book!$F$258/Capex!$D$13,0))+IF(Capex!$F$14="Y",IF($A408+Capex!$D$14-1&gt;=O$2,Book!$F$14/Capex!$D$255,0))+IF(Capex!$F$15="Y",IF($A408+Capex!$D$15-1&gt;=O$2,Book!$F$330/Capex!$D$15,0)))*$F$401</f>
        <v>0</v>
      </c>
      <c r="P408" s="4">
        <f>(IF(Capex!$F$6="Y",IF($A408+Capex!$D$6-1&gt;=P$2,Book!$F$6/Capex!$D$6,0))+IF(Capex!$F$7="Y",IF($A408+Capex!$D$7-1&gt;=P$2,Book!$F$42/Capex!$D$7,0))+IF(Capex!$F$8="Y",IF($A408+Capex!$D$8-1&gt;=P$2,Book!$F$78/Capex!$D$8,0))+IF(Capex!$F$9="Y",IF($A408+Capex!$D$9-1&gt;=P$2,Book!$F$114/Capex!$D$9,0))+IF(Capex!$F$10="Y",IF($A408+Capex!$D$10-1&gt;=P$2,Book!$F$150/Capex!$D$10,0))+IF(Capex!$F$11="Y",IF($A408+Capex!$D$11-1&gt;=P$2,Book!$F$186/Capex!$D$11,0))+IF(Capex!$F$12="Y",IF($A408+Capex!$D$12-1&gt;=P$2,Book!$F$222/Capex!$D$12,0))+IF(Capex!$F$13="Y",IF($A408+Capex!$D$13-1&gt;=P$2,Book!$F$258/Capex!$D$13,0))+IF(Capex!$F$14="Y",IF($A408+Capex!$D$14-1&gt;=P$2,Book!$F$14/Capex!$D$255,0))+IF(Capex!$F$15="Y",IF($A408+Capex!$D$15-1&gt;=P$2,Book!$F$330/Capex!$D$15,0)))*$F$401</f>
        <v>0</v>
      </c>
      <c r="Q408" s="4">
        <f>(IF(Capex!$F$6="Y",IF($A408+Capex!$D$6-1&gt;=Q$2,Book!$F$6/Capex!$D$6,0))+IF(Capex!$F$7="Y",IF($A408+Capex!$D$7-1&gt;=Q$2,Book!$F$42/Capex!$D$7,0))+IF(Capex!$F$8="Y",IF($A408+Capex!$D$8-1&gt;=Q$2,Book!$F$78/Capex!$D$8,0))+IF(Capex!$F$9="Y",IF($A408+Capex!$D$9-1&gt;=Q$2,Book!$F$114/Capex!$D$9,0))+IF(Capex!$F$10="Y",IF($A408+Capex!$D$10-1&gt;=Q$2,Book!$F$150/Capex!$D$10,0))+IF(Capex!$F$11="Y",IF($A408+Capex!$D$11-1&gt;=Q$2,Book!$F$186/Capex!$D$11,0))+IF(Capex!$F$12="Y",IF($A408+Capex!$D$12-1&gt;=Q$2,Book!$F$222/Capex!$D$12,0))+IF(Capex!$F$13="Y",IF($A408+Capex!$D$13-1&gt;=Q$2,Book!$F$258/Capex!$D$13,0))+IF(Capex!$F$14="Y",IF($A408+Capex!$D$14-1&gt;=Q$2,Book!$F$14/Capex!$D$255,0))+IF(Capex!$F$15="Y",IF($A408+Capex!$D$15-1&gt;=Q$2,Book!$F$330/Capex!$D$15,0)))*$F$401</f>
        <v>0</v>
      </c>
      <c r="R408" s="4">
        <f>(IF(Capex!$F$6="Y",IF($A408+Capex!$D$6-1&gt;=R$2,Book!$F$6/Capex!$D$6,0))+IF(Capex!$F$7="Y",IF($A408+Capex!$D$7-1&gt;=R$2,Book!$F$42/Capex!$D$7,0))+IF(Capex!$F$8="Y",IF($A408+Capex!$D$8-1&gt;=R$2,Book!$F$78/Capex!$D$8,0))+IF(Capex!$F$9="Y",IF($A408+Capex!$D$9-1&gt;=R$2,Book!$F$114/Capex!$D$9,0))+IF(Capex!$F$10="Y",IF($A408+Capex!$D$10-1&gt;=R$2,Book!$F$150/Capex!$D$10,0))+IF(Capex!$F$11="Y",IF($A408+Capex!$D$11-1&gt;=R$2,Book!$F$186/Capex!$D$11,0))+IF(Capex!$F$12="Y",IF($A408+Capex!$D$12-1&gt;=R$2,Book!$F$222/Capex!$D$12,0))+IF(Capex!$F$13="Y",IF($A408+Capex!$D$13-1&gt;=R$2,Book!$F$258/Capex!$D$13,0))+IF(Capex!$F$14="Y",IF($A408+Capex!$D$14-1&gt;=R$2,Book!$F$14/Capex!$D$255,0))+IF(Capex!$F$15="Y",IF($A408+Capex!$D$15-1&gt;=R$2,Book!$F$330/Capex!$D$15,0)))*$F$401</f>
        <v>0</v>
      </c>
      <c r="S408" s="4">
        <f>(IF(Capex!$F$6="Y",IF($A408+Capex!$D$6-1&gt;=S$2,Book!$F$6/Capex!$D$6,0))+IF(Capex!$F$7="Y",IF($A408+Capex!$D$7-1&gt;=S$2,Book!$F$42/Capex!$D$7,0))+IF(Capex!$F$8="Y",IF($A408+Capex!$D$8-1&gt;=S$2,Book!$F$78/Capex!$D$8,0))+IF(Capex!$F$9="Y",IF($A408+Capex!$D$9-1&gt;=S$2,Book!$F$114/Capex!$D$9,0))+IF(Capex!$F$10="Y",IF($A408+Capex!$D$10-1&gt;=S$2,Book!$F$150/Capex!$D$10,0))+IF(Capex!$F$11="Y",IF($A408+Capex!$D$11-1&gt;=S$2,Book!$F$186/Capex!$D$11,0))+IF(Capex!$F$12="Y",IF($A408+Capex!$D$12-1&gt;=S$2,Book!$F$222/Capex!$D$12,0))+IF(Capex!$F$13="Y",IF($A408+Capex!$D$13-1&gt;=S$2,Book!$F$258/Capex!$D$13,0))+IF(Capex!$F$14="Y",IF($A408+Capex!$D$14-1&gt;=S$2,Book!$F$14/Capex!$D$255,0))+IF(Capex!$F$15="Y",IF($A408+Capex!$D$15-1&gt;=S$2,Book!$F$330/Capex!$D$15,0)))*$F$401</f>
        <v>0</v>
      </c>
      <c r="T408" s="4">
        <f>(IF(Capex!$F$6="Y",IF($A408+Capex!$D$6-1&gt;=T$2,Book!$F$6/Capex!$D$6,0))+IF(Capex!$F$7="Y",IF($A408+Capex!$D$7-1&gt;=T$2,Book!$F$42/Capex!$D$7,0))+IF(Capex!$F$8="Y",IF($A408+Capex!$D$8-1&gt;=T$2,Book!$F$78/Capex!$D$8,0))+IF(Capex!$F$9="Y",IF($A408+Capex!$D$9-1&gt;=T$2,Book!$F$114/Capex!$D$9,0))+IF(Capex!$F$10="Y",IF($A408+Capex!$D$10-1&gt;=T$2,Book!$F$150/Capex!$D$10,0))+IF(Capex!$F$11="Y",IF($A408+Capex!$D$11-1&gt;=T$2,Book!$F$186/Capex!$D$11,0))+IF(Capex!$F$12="Y",IF($A408+Capex!$D$12-1&gt;=T$2,Book!$F$222/Capex!$D$12,0))+IF(Capex!$F$13="Y",IF($A408+Capex!$D$13-1&gt;=T$2,Book!$F$258/Capex!$D$13,0))+IF(Capex!$F$14="Y",IF($A408+Capex!$D$14-1&gt;=T$2,Book!$F$14/Capex!$D$255,0))+IF(Capex!$F$15="Y",IF($A408+Capex!$D$15-1&gt;=T$2,Book!$F$330/Capex!$D$15,0)))*$F$401</f>
        <v>0</v>
      </c>
      <c r="U408" s="4">
        <f>(IF(Capex!$F$6="Y",IF($A408+Capex!$D$6-1&gt;=U$2,Book!$F$6/Capex!$D$6,0))+IF(Capex!$F$7="Y",IF($A408+Capex!$D$7-1&gt;=U$2,Book!$F$42/Capex!$D$7,0))+IF(Capex!$F$8="Y",IF($A408+Capex!$D$8-1&gt;=U$2,Book!$F$78/Capex!$D$8,0))+IF(Capex!$F$9="Y",IF($A408+Capex!$D$9-1&gt;=U$2,Book!$F$114/Capex!$D$9,0))+IF(Capex!$F$10="Y",IF($A408+Capex!$D$10-1&gt;=U$2,Book!$F$150/Capex!$D$10,0))+IF(Capex!$F$11="Y",IF($A408+Capex!$D$11-1&gt;=U$2,Book!$F$186/Capex!$D$11,0))+IF(Capex!$F$12="Y",IF($A408+Capex!$D$12-1&gt;=U$2,Book!$F$222/Capex!$D$12,0))+IF(Capex!$F$13="Y",IF($A408+Capex!$D$13-1&gt;=U$2,Book!$F$258/Capex!$D$13,0))+IF(Capex!$F$14="Y",IF($A408+Capex!$D$14-1&gt;=U$2,Book!$F$14/Capex!$D$255,0))+IF(Capex!$F$15="Y",IF($A408+Capex!$D$15-1&gt;=U$2,Book!$F$330/Capex!$D$15,0)))*$F$401</f>
        <v>0</v>
      </c>
      <c r="V408" s="4">
        <f>(IF(Capex!$F$6="Y",IF($A408+Capex!$D$6-1&gt;=V$2,Book!$F$6/Capex!$D$6,0))+IF(Capex!$F$7="Y",IF($A408+Capex!$D$7-1&gt;=V$2,Book!$F$42/Capex!$D$7,0))+IF(Capex!$F$8="Y",IF($A408+Capex!$D$8-1&gt;=V$2,Book!$F$78/Capex!$D$8,0))+IF(Capex!$F$9="Y",IF($A408+Capex!$D$9-1&gt;=V$2,Book!$F$114/Capex!$D$9,0))+IF(Capex!$F$10="Y",IF($A408+Capex!$D$10-1&gt;=V$2,Book!$F$150/Capex!$D$10,0))+IF(Capex!$F$11="Y",IF($A408+Capex!$D$11-1&gt;=V$2,Book!$F$186/Capex!$D$11,0))+IF(Capex!$F$12="Y",IF($A408+Capex!$D$12-1&gt;=V$2,Book!$F$222/Capex!$D$12,0))+IF(Capex!$F$13="Y",IF($A408+Capex!$D$13-1&gt;=V$2,Book!$F$258/Capex!$D$13,0))+IF(Capex!$F$14="Y",IF($A408+Capex!$D$14-1&gt;=V$2,Book!$F$14/Capex!$D$255,0))+IF(Capex!$F$15="Y",IF($A408+Capex!$D$15-1&gt;=V$2,Book!$F$330/Capex!$D$15,0)))*$F$401</f>
        <v>0</v>
      </c>
      <c r="W408" s="4">
        <f>(IF(Capex!$F$6="Y",IF($A408+Capex!$D$6-1&gt;=W$2,Book!$F$6/Capex!$D$6,0))+IF(Capex!$F$7="Y",IF($A408+Capex!$D$7-1&gt;=W$2,Book!$F$42/Capex!$D$7,0))+IF(Capex!$F$8="Y",IF($A408+Capex!$D$8-1&gt;=W$2,Book!$F$78/Capex!$D$8,0))+IF(Capex!$F$9="Y",IF($A408+Capex!$D$9-1&gt;=W$2,Book!$F$114/Capex!$D$9,0))+IF(Capex!$F$10="Y",IF($A408+Capex!$D$10-1&gt;=W$2,Book!$F$150/Capex!$D$10,0))+IF(Capex!$F$11="Y",IF($A408+Capex!$D$11-1&gt;=W$2,Book!$F$186/Capex!$D$11,0))+IF(Capex!$F$12="Y",IF($A408+Capex!$D$12-1&gt;=W$2,Book!$F$222/Capex!$D$12,0))+IF(Capex!$F$13="Y",IF($A408+Capex!$D$13-1&gt;=W$2,Book!$F$258/Capex!$D$13,0))+IF(Capex!$F$14="Y",IF($A408+Capex!$D$14-1&gt;=W$2,Book!$F$14/Capex!$D$255,0))+IF(Capex!$F$15="Y",IF($A408+Capex!$D$15-1&gt;=W$2,Book!$F$330/Capex!$D$15,0)))*$F$401</f>
        <v>0</v>
      </c>
      <c r="X408" s="4">
        <f>(IF(Capex!$F$6="Y",IF($A408+Capex!$D$6-1&gt;=X$2,Book!$F$6/Capex!$D$6,0))+IF(Capex!$F$7="Y",IF($A408+Capex!$D$7-1&gt;=X$2,Book!$F$42/Capex!$D$7,0))+IF(Capex!$F$8="Y",IF($A408+Capex!$D$8-1&gt;=X$2,Book!$F$78/Capex!$D$8,0))+IF(Capex!$F$9="Y",IF($A408+Capex!$D$9-1&gt;=X$2,Book!$F$114/Capex!$D$9,0))+IF(Capex!$F$10="Y",IF($A408+Capex!$D$10-1&gt;=X$2,Book!$F$150/Capex!$D$10,0))+IF(Capex!$F$11="Y",IF($A408+Capex!$D$11-1&gt;=X$2,Book!$F$186/Capex!$D$11,0))+IF(Capex!$F$12="Y",IF($A408+Capex!$D$12-1&gt;=X$2,Book!$F$222/Capex!$D$12,0))+IF(Capex!$F$13="Y",IF($A408+Capex!$D$13-1&gt;=X$2,Book!$F$258/Capex!$D$13,0))+IF(Capex!$F$14="Y",IF($A408+Capex!$D$14-1&gt;=X$2,Book!$F$14/Capex!$D$255,0))+IF(Capex!$F$15="Y",IF($A408+Capex!$D$15-1&gt;=X$2,Book!$F$330/Capex!$D$15,0)))*$F$401</f>
        <v>0</v>
      </c>
      <c r="Y408" s="4">
        <f>(IF(Capex!$F$6="Y",IF($A408+Capex!$D$6-1&gt;=Y$2,Book!$F$6/Capex!$D$6,0))+IF(Capex!$F$7="Y",IF($A408+Capex!$D$7-1&gt;=Y$2,Book!$F$42/Capex!$D$7,0))+IF(Capex!$F$8="Y",IF($A408+Capex!$D$8-1&gt;=Y$2,Book!$F$78/Capex!$D$8,0))+IF(Capex!$F$9="Y",IF($A408+Capex!$D$9-1&gt;=Y$2,Book!$F$114/Capex!$D$9,0))+IF(Capex!$F$10="Y",IF($A408+Capex!$D$10-1&gt;=Y$2,Book!$F$150/Capex!$D$10,0))+IF(Capex!$F$11="Y",IF($A408+Capex!$D$11-1&gt;=Y$2,Book!$F$186/Capex!$D$11,0))+IF(Capex!$F$12="Y",IF($A408+Capex!$D$12-1&gt;=Y$2,Book!$F$222/Capex!$D$12,0))+IF(Capex!$F$13="Y",IF($A408+Capex!$D$13-1&gt;=Y$2,Book!$F$258/Capex!$D$13,0))+IF(Capex!$F$14="Y",IF($A408+Capex!$D$14-1&gt;=Y$2,Book!$F$14/Capex!$D$255,0))+IF(Capex!$F$15="Y",IF($A408+Capex!$D$15-1&gt;=Y$2,Book!$F$330/Capex!$D$15,0)))*$F$401</f>
        <v>0</v>
      </c>
      <c r="Z408" s="4">
        <f>(IF(Capex!$F$6="Y",IF($A408+Capex!$D$6-1&gt;=Z$2,Book!$F$6/Capex!$D$6,0))+IF(Capex!$F$7="Y",IF($A408+Capex!$D$7-1&gt;=Z$2,Book!$F$42/Capex!$D$7,0))+IF(Capex!$F$8="Y",IF($A408+Capex!$D$8-1&gt;=Z$2,Book!$F$78/Capex!$D$8,0))+IF(Capex!$F$9="Y",IF($A408+Capex!$D$9-1&gt;=Z$2,Book!$F$114/Capex!$D$9,0))+IF(Capex!$F$10="Y",IF($A408+Capex!$D$10-1&gt;=Z$2,Book!$F$150/Capex!$D$10,0))+IF(Capex!$F$11="Y",IF($A408+Capex!$D$11-1&gt;=Z$2,Book!$F$186/Capex!$D$11,0))+IF(Capex!$F$12="Y",IF($A408+Capex!$D$12-1&gt;=Z$2,Book!$F$222/Capex!$D$12,0))+IF(Capex!$F$13="Y",IF($A408+Capex!$D$13-1&gt;=Z$2,Book!$F$258/Capex!$D$13,0))+IF(Capex!$F$14="Y",IF($A408+Capex!$D$14-1&gt;=Z$2,Book!$F$14/Capex!$D$255,0))+IF(Capex!$F$15="Y",IF($A408+Capex!$D$15-1&gt;=Z$2,Book!$F$330/Capex!$D$15,0)))*$F$401</f>
        <v>0</v>
      </c>
      <c r="AA408" s="4">
        <f>(IF(Capex!$F$6="Y",IF($A408+Capex!$D$6-1&gt;=AA$2,Book!$F$6/Capex!$D$6,0))+IF(Capex!$F$7="Y",IF($A408+Capex!$D$7-1&gt;=AA$2,Book!$F$42/Capex!$D$7,0))+IF(Capex!$F$8="Y",IF($A408+Capex!$D$8-1&gt;=AA$2,Book!$F$78/Capex!$D$8,0))+IF(Capex!$F$9="Y",IF($A408+Capex!$D$9-1&gt;=AA$2,Book!$F$114/Capex!$D$9,0))+IF(Capex!$F$10="Y",IF($A408+Capex!$D$10-1&gt;=AA$2,Book!$F$150/Capex!$D$10,0))+IF(Capex!$F$11="Y",IF($A408+Capex!$D$11-1&gt;=AA$2,Book!$F$186/Capex!$D$11,0))+IF(Capex!$F$12="Y",IF($A408+Capex!$D$12-1&gt;=AA$2,Book!$F$222/Capex!$D$12,0))+IF(Capex!$F$13="Y",IF($A408+Capex!$D$13-1&gt;=AA$2,Book!$F$258/Capex!$D$13,0))+IF(Capex!$F$14="Y",IF($A408+Capex!$D$14-1&gt;=AA$2,Book!$F$14/Capex!$D$255,0))+IF(Capex!$F$15="Y",IF($A408+Capex!$D$15-1&gt;=AA$2,Book!$F$330/Capex!$D$15,0)))*$F$401</f>
        <v>0</v>
      </c>
      <c r="AB408" s="4">
        <f>(IF(Capex!$F$6="Y",IF($A408+Capex!$D$6-1&gt;=AB$2,Book!$F$6/Capex!$D$6,0))+IF(Capex!$F$7="Y",IF($A408+Capex!$D$7-1&gt;=AB$2,Book!$F$42/Capex!$D$7,0))+IF(Capex!$F$8="Y",IF($A408+Capex!$D$8-1&gt;=AB$2,Book!$F$78/Capex!$D$8,0))+IF(Capex!$F$9="Y",IF($A408+Capex!$D$9-1&gt;=AB$2,Book!$F$114/Capex!$D$9,0))+IF(Capex!$F$10="Y",IF($A408+Capex!$D$10-1&gt;=AB$2,Book!$F$150/Capex!$D$10,0))+IF(Capex!$F$11="Y",IF($A408+Capex!$D$11-1&gt;=AB$2,Book!$F$186/Capex!$D$11,0))+IF(Capex!$F$12="Y",IF($A408+Capex!$D$12-1&gt;=AB$2,Book!$F$222/Capex!$D$12,0))+IF(Capex!$F$13="Y",IF($A408+Capex!$D$13-1&gt;=AB$2,Book!$F$258/Capex!$D$13,0))+IF(Capex!$F$14="Y",IF($A408+Capex!$D$14-1&gt;=AB$2,Book!$F$14/Capex!$D$255,0))+IF(Capex!$F$15="Y",IF($A408+Capex!$D$15-1&gt;=AB$2,Book!$F$330/Capex!$D$15,0)))*$F$401</f>
        <v>0</v>
      </c>
      <c r="AC408" s="4">
        <f>(IF(Capex!$F$6="Y",IF($A408+Capex!$D$6-1&gt;=AC$2,Book!$F$6/Capex!$D$6,0))+IF(Capex!$F$7="Y",IF($A408+Capex!$D$7-1&gt;=AC$2,Book!$F$42/Capex!$D$7,0))+IF(Capex!$F$8="Y",IF($A408+Capex!$D$8-1&gt;=AC$2,Book!$F$78/Capex!$D$8,0))+IF(Capex!$F$9="Y",IF($A408+Capex!$D$9-1&gt;=AC$2,Book!$F$114/Capex!$D$9,0))+IF(Capex!$F$10="Y",IF($A408+Capex!$D$10-1&gt;=AC$2,Book!$F$150/Capex!$D$10,0))+IF(Capex!$F$11="Y",IF($A408+Capex!$D$11-1&gt;=AC$2,Book!$F$186/Capex!$D$11,0))+IF(Capex!$F$12="Y",IF($A408+Capex!$D$12-1&gt;=AC$2,Book!$F$222/Capex!$D$12,0))+IF(Capex!$F$13="Y",IF($A408+Capex!$D$13-1&gt;=AC$2,Book!$F$258/Capex!$D$13,0))+IF(Capex!$F$14="Y",IF($A408+Capex!$D$14-1&gt;=AC$2,Book!$F$14/Capex!$D$255,0))+IF(Capex!$F$15="Y",IF($A408+Capex!$D$15-1&gt;=AC$2,Book!$F$330/Capex!$D$15,0)))*$F$401</f>
        <v>0</v>
      </c>
      <c r="AD408" s="4">
        <f>(IF(Capex!$F$6="Y",IF($A408+Capex!$D$6-1&gt;=AD$2,Book!$F$6/Capex!$D$6,0))+IF(Capex!$F$7="Y",IF($A408+Capex!$D$7-1&gt;=AD$2,Book!$F$42/Capex!$D$7,0))+IF(Capex!$F$8="Y",IF($A408+Capex!$D$8-1&gt;=AD$2,Book!$F$78/Capex!$D$8,0))+IF(Capex!$F$9="Y",IF($A408+Capex!$D$9-1&gt;=AD$2,Book!$F$114/Capex!$D$9,0))+IF(Capex!$F$10="Y",IF($A408+Capex!$D$10-1&gt;=AD$2,Book!$F$150/Capex!$D$10,0))+IF(Capex!$F$11="Y",IF($A408+Capex!$D$11-1&gt;=AD$2,Book!$F$186/Capex!$D$11,0))+IF(Capex!$F$12="Y",IF($A408+Capex!$D$12-1&gt;=AD$2,Book!$F$222/Capex!$D$12,0))+IF(Capex!$F$13="Y",IF($A408+Capex!$D$13-1&gt;=AD$2,Book!$F$258/Capex!$D$13,0))+IF(Capex!$F$14="Y",IF($A408+Capex!$D$14-1&gt;=AD$2,Book!$F$14/Capex!$D$255,0))+IF(Capex!$F$15="Y",IF($A408+Capex!$D$15-1&gt;=AD$2,Book!$F$330/Capex!$D$15,0)))*$F$401</f>
        <v>0</v>
      </c>
      <c r="AE408" s="4">
        <f>(IF(Capex!$F$6="Y",IF($A408+Capex!$D$6-1&gt;=AE$2,Book!$F$6/Capex!$D$6,0))+IF(Capex!$F$7="Y",IF($A408+Capex!$D$7-1&gt;=AE$2,Book!$F$42/Capex!$D$7,0))+IF(Capex!$F$8="Y",IF($A408+Capex!$D$8-1&gt;=AE$2,Book!$F$78/Capex!$D$8,0))+IF(Capex!$F$9="Y",IF($A408+Capex!$D$9-1&gt;=AE$2,Book!$F$114/Capex!$D$9,0))+IF(Capex!$F$10="Y",IF($A408+Capex!$D$10-1&gt;=AE$2,Book!$F$150/Capex!$D$10,0))+IF(Capex!$F$11="Y",IF($A408+Capex!$D$11-1&gt;=AE$2,Book!$F$186/Capex!$D$11,0))+IF(Capex!$F$12="Y",IF($A408+Capex!$D$12-1&gt;=AE$2,Book!$F$222/Capex!$D$12,0))+IF(Capex!$F$13="Y",IF($A408+Capex!$D$13-1&gt;=AE$2,Book!$F$258/Capex!$D$13,0))+IF(Capex!$F$14="Y",IF($A408+Capex!$D$14-1&gt;=AE$2,Book!$F$14/Capex!$D$255,0))+IF(Capex!$F$15="Y",IF($A408+Capex!$D$15-1&gt;=AE$2,Book!$F$330/Capex!$D$15,0)))*$F$401</f>
        <v>0</v>
      </c>
      <c r="AF408" s="4">
        <f>(IF(Capex!$F$6="Y",IF($A408+Capex!$D$6-1&gt;=AF$2,Book!$F$6/Capex!$D$6,0))+IF(Capex!$F$7="Y",IF($A408+Capex!$D$7-1&gt;=AF$2,Book!$F$42/Capex!$D$7,0))+IF(Capex!$F$8="Y",IF($A408+Capex!$D$8-1&gt;=AF$2,Book!$F$78/Capex!$D$8,0))+IF(Capex!$F$9="Y",IF($A408+Capex!$D$9-1&gt;=AF$2,Book!$F$114/Capex!$D$9,0))+IF(Capex!$F$10="Y",IF($A408+Capex!$D$10-1&gt;=AF$2,Book!$F$150/Capex!$D$10,0))+IF(Capex!$F$11="Y",IF($A408+Capex!$D$11-1&gt;=AF$2,Book!$F$186/Capex!$D$11,0))+IF(Capex!$F$12="Y",IF($A408+Capex!$D$12-1&gt;=AF$2,Book!$F$222/Capex!$D$12,0))+IF(Capex!$F$13="Y",IF($A408+Capex!$D$13-1&gt;=AF$2,Book!$F$258/Capex!$D$13,0))+IF(Capex!$F$14="Y",IF($A408+Capex!$D$14-1&gt;=AF$2,Book!$F$14/Capex!$D$255,0))+IF(Capex!$F$15="Y",IF($A408+Capex!$D$15-1&gt;=AF$2,Book!$F$330/Capex!$D$15,0)))*$F$401</f>
        <v>0</v>
      </c>
      <c r="AG408" s="4">
        <f t="shared" si="130"/>
        <v>0</v>
      </c>
      <c r="AH408" s="252">
        <f t="shared" si="132"/>
        <v>0</v>
      </c>
    </row>
    <row r="409" spans="1:34">
      <c r="A409" s="718">
        <f t="shared" si="129"/>
        <v>2026</v>
      </c>
      <c r="B409" s="4">
        <f t="shared" si="131"/>
        <v>0</v>
      </c>
      <c r="G409" s="4">
        <f>(IF(Capex!$F$6="Y",IF($A409+Capex!$D$6-1&gt;=G$2,Book!$G$6/Capex!$D$6,0))+IF(Capex!$F$7="Y",IF($A409+Capex!$D$7-1&gt;=G$2,Book!$G$42/Capex!$D$7,0))+IF(Capex!$F$8="Y",IF($A409+Capex!$D$8-1&gt;=G$2,Book!$G$78/Capex!$D$8,0))+IF(Capex!$F$9="Y",IF($A409+Capex!$D$9-1&gt;=G$2,Book!$G$114/Capex!$D$9,0))+IF(Capex!$F$10="Y",IF($A409+Capex!$D$10-1&gt;=G$2,Book!$G$150/Capex!$D$10,0))+IF(Capex!$F$11="Y",IF($A409+Capex!$D$11-1&gt;=G$2,Book!$G$186/Capex!$D$11,0))+IF(Capex!$F$12="Y",IF($A409+Capex!$D$12-1&gt;=G$2,Book!$G$222/Capex!$D$12,0))+IF(Capex!$F$13="Y",IF($A409+Capex!$D$13-1&gt;=G$2,Book!$G$258/Capex!$D$13,0))+IF(Capex!$F$14="Y",IF($A409+Capex!$D$14-1&gt;=G$2,Book!$G$14/Capex!$D$255,0))+IF(Capex!$F$15="Y",IF($A409+Capex!$D$15-1&gt;=G$2,Book!$G$330/Capex!$D$15,0)))*$G$401</f>
        <v>0</v>
      </c>
      <c r="H409" s="4">
        <f>(IF(Capex!$F$6="Y",IF($A409+Capex!$D$6-1&gt;=H$2,Book!$G$6/Capex!$D$6,0))+IF(Capex!$F$7="Y",IF($A409+Capex!$D$7-1&gt;=H$2,Book!$G$42/Capex!$D$7,0))+IF(Capex!$F$8="Y",IF($A409+Capex!$D$8-1&gt;=H$2,Book!$G$78/Capex!$D$8,0))+IF(Capex!$F$9="Y",IF($A409+Capex!$D$9-1&gt;=H$2,Book!$G$114/Capex!$D$9,0))+IF(Capex!$F$10="Y",IF($A409+Capex!$D$10-1&gt;=H$2,Book!$G$150/Capex!$D$10,0))+IF(Capex!$F$11="Y",IF($A409+Capex!$D$11-1&gt;=H$2,Book!$G$186/Capex!$D$11,0))+IF(Capex!$F$12="Y",IF($A409+Capex!$D$12-1&gt;=H$2,Book!$G$222/Capex!$D$12,0))+IF(Capex!$F$13="Y",IF($A409+Capex!$D$13-1&gt;=H$2,Book!$G$258/Capex!$D$13,0))+IF(Capex!$F$14="Y",IF($A409+Capex!$D$14-1&gt;=H$2,Book!$G$14/Capex!$D$255,0))+IF(Capex!$F$15="Y",IF($A409+Capex!$D$15-1&gt;=H$2,Book!$G$330/Capex!$D$15,0)))*$G$401</f>
        <v>0</v>
      </c>
      <c r="I409" s="4">
        <f>(IF(Capex!$F$6="Y",IF($A409+Capex!$D$6-1&gt;=I$2,Book!$G$6/Capex!$D$6,0))+IF(Capex!$F$7="Y",IF($A409+Capex!$D$7-1&gt;=I$2,Book!$G$42/Capex!$D$7,0))+IF(Capex!$F$8="Y",IF($A409+Capex!$D$8-1&gt;=I$2,Book!$G$78/Capex!$D$8,0))+IF(Capex!$F$9="Y",IF($A409+Capex!$D$9-1&gt;=I$2,Book!$G$114/Capex!$D$9,0))+IF(Capex!$F$10="Y",IF($A409+Capex!$D$10-1&gt;=I$2,Book!$G$150/Capex!$D$10,0))+IF(Capex!$F$11="Y",IF($A409+Capex!$D$11-1&gt;=I$2,Book!$G$186/Capex!$D$11,0))+IF(Capex!$F$12="Y",IF($A409+Capex!$D$12-1&gt;=I$2,Book!$G$222/Capex!$D$12,0))+IF(Capex!$F$13="Y",IF($A409+Capex!$D$13-1&gt;=I$2,Book!$G$258/Capex!$D$13,0))+IF(Capex!$F$14="Y",IF($A409+Capex!$D$14-1&gt;=I$2,Book!$G$14/Capex!$D$255,0))+IF(Capex!$F$15="Y",IF($A409+Capex!$D$15-1&gt;=I$2,Book!$G$330/Capex!$D$15,0)))*$G$401</f>
        <v>0</v>
      </c>
      <c r="J409" s="4">
        <f>(IF(Capex!$F$6="Y",IF($A409+Capex!$D$6-1&gt;=J$2,Book!$G$6/Capex!$D$6,0))+IF(Capex!$F$7="Y",IF($A409+Capex!$D$7-1&gt;=J$2,Book!$G$42/Capex!$D$7,0))+IF(Capex!$F$8="Y",IF($A409+Capex!$D$8-1&gt;=J$2,Book!$G$78/Capex!$D$8,0))+IF(Capex!$F$9="Y",IF($A409+Capex!$D$9-1&gt;=J$2,Book!$G$114/Capex!$D$9,0))+IF(Capex!$F$10="Y",IF($A409+Capex!$D$10-1&gt;=J$2,Book!$G$150/Capex!$D$10,0))+IF(Capex!$F$11="Y",IF($A409+Capex!$D$11-1&gt;=J$2,Book!$G$186/Capex!$D$11,0))+IF(Capex!$F$12="Y",IF($A409+Capex!$D$12-1&gt;=J$2,Book!$G$222/Capex!$D$12,0))+IF(Capex!$F$13="Y",IF($A409+Capex!$D$13-1&gt;=J$2,Book!$G$258/Capex!$D$13,0))+IF(Capex!$F$14="Y",IF($A409+Capex!$D$14-1&gt;=J$2,Book!$G$14/Capex!$D$255,0))+IF(Capex!$F$15="Y",IF($A409+Capex!$D$15-1&gt;=J$2,Book!$G$330/Capex!$D$15,0)))*$G$401</f>
        <v>0</v>
      </c>
      <c r="K409" s="4">
        <f>(IF(Capex!$F$6="Y",IF($A409+Capex!$D$6-1&gt;=K$2,Book!$G$6/Capex!$D$6,0))+IF(Capex!$F$7="Y",IF($A409+Capex!$D$7-1&gt;=K$2,Book!$G$42/Capex!$D$7,0))+IF(Capex!$F$8="Y",IF($A409+Capex!$D$8-1&gt;=K$2,Book!$G$78/Capex!$D$8,0))+IF(Capex!$F$9="Y",IF($A409+Capex!$D$9-1&gt;=K$2,Book!$G$114/Capex!$D$9,0))+IF(Capex!$F$10="Y",IF($A409+Capex!$D$10-1&gt;=K$2,Book!$G$150/Capex!$D$10,0))+IF(Capex!$F$11="Y",IF($A409+Capex!$D$11-1&gt;=K$2,Book!$G$186/Capex!$D$11,0))+IF(Capex!$F$12="Y",IF($A409+Capex!$D$12-1&gt;=K$2,Book!$G$222/Capex!$D$12,0))+IF(Capex!$F$13="Y",IF($A409+Capex!$D$13-1&gt;=K$2,Book!$G$258/Capex!$D$13,0))+IF(Capex!$F$14="Y",IF($A409+Capex!$D$14-1&gt;=K$2,Book!$G$14/Capex!$D$255,0))+IF(Capex!$F$15="Y",IF($A409+Capex!$D$15-1&gt;=K$2,Book!$G$330/Capex!$D$15,0)))*$G$401</f>
        <v>0</v>
      </c>
      <c r="L409" s="4">
        <f>(IF(Capex!$F$6="Y",IF($A409+Capex!$D$6-1&gt;=L$2,Book!$G$6/Capex!$D$6,0))+IF(Capex!$F$7="Y",IF($A409+Capex!$D$7-1&gt;=L$2,Book!$G$42/Capex!$D$7,0))+IF(Capex!$F$8="Y",IF($A409+Capex!$D$8-1&gt;=L$2,Book!$G$78/Capex!$D$8,0))+IF(Capex!$F$9="Y",IF($A409+Capex!$D$9-1&gt;=L$2,Book!$G$114/Capex!$D$9,0))+IF(Capex!$F$10="Y",IF($A409+Capex!$D$10-1&gt;=L$2,Book!$G$150/Capex!$D$10,0))+IF(Capex!$F$11="Y",IF($A409+Capex!$D$11-1&gt;=L$2,Book!$G$186/Capex!$D$11,0))+IF(Capex!$F$12="Y",IF($A409+Capex!$D$12-1&gt;=L$2,Book!$G$222/Capex!$D$12,0))+IF(Capex!$F$13="Y",IF($A409+Capex!$D$13-1&gt;=L$2,Book!$G$258/Capex!$D$13,0))+IF(Capex!$F$14="Y",IF($A409+Capex!$D$14-1&gt;=L$2,Book!$G$14/Capex!$D$255,0))+IF(Capex!$F$15="Y",IF($A409+Capex!$D$15-1&gt;=L$2,Book!$G$330/Capex!$D$15,0)))*$G$401</f>
        <v>0</v>
      </c>
      <c r="M409" s="4">
        <f>(IF(Capex!$F$6="Y",IF($A409+Capex!$D$6-1&gt;=M$2,Book!$G$6/Capex!$D$6,0))+IF(Capex!$F$7="Y",IF($A409+Capex!$D$7-1&gt;=M$2,Book!$G$42/Capex!$D$7,0))+IF(Capex!$F$8="Y",IF($A409+Capex!$D$8-1&gt;=M$2,Book!$G$78/Capex!$D$8,0))+IF(Capex!$F$9="Y",IF($A409+Capex!$D$9-1&gt;=M$2,Book!$G$114/Capex!$D$9,0))+IF(Capex!$F$10="Y",IF($A409+Capex!$D$10-1&gt;=M$2,Book!$G$150/Capex!$D$10,0))+IF(Capex!$F$11="Y",IF($A409+Capex!$D$11-1&gt;=M$2,Book!$G$186/Capex!$D$11,0))+IF(Capex!$F$12="Y",IF($A409+Capex!$D$12-1&gt;=M$2,Book!$G$222/Capex!$D$12,0))+IF(Capex!$F$13="Y",IF($A409+Capex!$D$13-1&gt;=M$2,Book!$G$258/Capex!$D$13,0))+IF(Capex!$F$14="Y",IF($A409+Capex!$D$14-1&gt;=M$2,Book!$G$14/Capex!$D$255,0))+IF(Capex!$F$15="Y",IF($A409+Capex!$D$15-1&gt;=M$2,Book!$G$330/Capex!$D$15,0)))*$G$401</f>
        <v>0</v>
      </c>
      <c r="N409" s="4">
        <f>(IF(Capex!$F$6="Y",IF($A409+Capex!$D$6-1&gt;=N$2,Book!$G$6/Capex!$D$6,0))+IF(Capex!$F$7="Y",IF($A409+Capex!$D$7-1&gt;=N$2,Book!$G$42/Capex!$D$7,0))+IF(Capex!$F$8="Y",IF($A409+Capex!$D$8-1&gt;=N$2,Book!$G$78/Capex!$D$8,0))+IF(Capex!$F$9="Y",IF($A409+Capex!$D$9-1&gt;=N$2,Book!$G$114/Capex!$D$9,0))+IF(Capex!$F$10="Y",IF($A409+Capex!$D$10-1&gt;=N$2,Book!$G$150/Capex!$D$10,0))+IF(Capex!$F$11="Y",IF($A409+Capex!$D$11-1&gt;=N$2,Book!$G$186/Capex!$D$11,0))+IF(Capex!$F$12="Y",IF($A409+Capex!$D$12-1&gt;=N$2,Book!$G$222/Capex!$D$12,0))+IF(Capex!$F$13="Y",IF($A409+Capex!$D$13-1&gt;=N$2,Book!$G$258/Capex!$D$13,0))+IF(Capex!$F$14="Y",IF($A409+Capex!$D$14-1&gt;=N$2,Book!$G$14/Capex!$D$255,0))+IF(Capex!$F$15="Y",IF($A409+Capex!$D$15-1&gt;=N$2,Book!$G$330/Capex!$D$15,0)))*$G$401</f>
        <v>0</v>
      </c>
      <c r="O409" s="4">
        <f>(IF(Capex!$F$6="Y",IF($A409+Capex!$D$6-1&gt;=O$2,Book!$G$6/Capex!$D$6,0))+IF(Capex!$F$7="Y",IF($A409+Capex!$D$7-1&gt;=O$2,Book!$G$42/Capex!$D$7,0))+IF(Capex!$F$8="Y",IF($A409+Capex!$D$8-1&gt;=O$2,Book!$G$78/Capex!$D$8,0))+IF(Capex!$F$9="Y",IF($A409+Capex!$D$9-1&gt;=O$2,Book!$G$114/Capex!$D$9,0))+IF(Capex!$F$10="Y",IF($A409+Capex!$D$10-1&gt;=O$2,Book!$G$150/Capex!$D$10,0))+IF(Capex!$F$11="Y",IF($A409+Capex!$D$11-1&gt;=O$2,Book!$G$186/Capex!$D$11,0))+IF(Capex!$F$12="Y",IF($A409+Capex!$D$12-1&gt;=O$2,Book!$G$222/Capex!$D$12,0))+IF(Capex!$F$13="Y",IF($A409+Capex!$D$13-1&gt;=O$2,Book!$G$258/Capex!$D$13,0))+IF(Capex!$F$14="Y",IF($A409+Capex!$D$14-1&gt;=O$2,Book!$G$14/Capex!$D$255,0))+IF(Capex!$F$15="Y",IF($A409+Capex!$D$15-1&gt;=O$2,Book!$G$330/Capex!$D$15,0)))*$G$401</f>
        <v>0</v>
      </c>
      <c r="P409" s="4">
        <f>(IF(Capex!$F$6="Y",IF($A409+Capex!$D$6-1&gt;=P$2,Book!$G$6/Capex!$D$6,0))+IF(Capex!$F$7="Y",IF($A409+Capex!$D$7-1&gt;=P$2,Book!$G$42/Capex!$D$7,0))+IF(Capex!$F$8="Y",IF($A409+Capex!$D$8-1&gt;=P$2,Book!$G$78/Capex!$D$8,0))+IF(Capex!$F$9="Y",IF($A409+Capex!$D$9-1&gt;=P$2,Book!$G$114/Capex!$D$9,0))+IF(Capex!$F$10="Y",IF($A409+Capex!$D$10-1&gt;=P$2,Book!$G$150/Capex!$D$10,0))+IF(Capex!$F$11="Y",IF($A409+Capex!$D$11-1&gt;=P$2,Book!$G$186/Capex!$D$11,0))+IF(Capex!$F$12="Y",IF($A409+Capex!$D$12-1&gt;=P$2,Book!$G$222/Capex!$D$12,0))+IF(Capex!$F$13="Y",IF($A409+Capex!$D$13-1&gt;=P$2,Book!$G$258/Capex!$D$13,0))+IF(Capex!$F$14="Y",IF($A409+Capex!$D$14-1&gt;=P$2,Book!$G$14/Capex!$D$255,0))+IF(Capex!$F$15="Y",IF($A409+Capex!$D$15-1&gt;=P$2,Book!$G$330/Capex!$D$15,0)))*$G$401</f>
        <v>0</v>
      </c>
      <c r="Q409" s="4">
        <f>(IF(Capex!$F$6="Y",IF($A409+Capex!$D$6-1&gt;=Q$2,Book!$G$6/Capex!$D$6,0))+IF(Capex!$F$7="Y",IF($A409+Capex!$D$7-1&gt;=Q$2,Book!$G$42/Capex!$D$7,0))+IF(Capex!$F$8="Y",IF($A409+Capex!$D$8-1&gt;=Q$2,Book!$G$78/Capex!$D$8,0))+IF(Capex!$F$9="Y",IF($A409+Capex!$D$9-1&gt;=Q$2,Book!$G$114/Capex!$D$9,0))+IF(Capex!$F$10="Y",IF($A409+Capex!$D$10-1&gt;=Q$2,Book!$G$150/Capex!$D$10,0))+IF(Capex!$F$11="Y",IF($A409+Capex!$D$11-1&gt;=Q$2,Book!$G$186/Capex!$D$11,0))+IF(Capex!$F$12="Y",IF($A409+Capex!$D$12-1&gt;=Q$2,Book!$G$222/Capex!$D$12,0))+IF(Capex!$F$13="Y",IF($A409+Capex!$D$13-1&gt;=Q$2,Book!$G$258/Capex!$D$13,0))+IF(Capex!$F$14="Y",IF($A409+Capex!$D$14-1&gt;=Q$2,Book!$G$14/Capex!$D$255,0))+IF(Capex!$F$15="Y",IF($A409+Capex!$D$15-1&gt;=Q$2,Book!$G$330/Capex!$D$15,0)))*$G$401</f>
        <v>0</v>
      </c>
      <c r="R409" s="4">
        <f>(IF(Capex!$F$6="Y",IF($A409+Capex!$D$6-1&gt;=R$2,Book!$G$6/Capex!$D$6,0))+IF(Capex!$F$7="Y",IF($A409+Capex!$D$7-1&gt;=R$2,Book!$G$42/Capex!$D$7,0))+IF(Capex!$F$8="Y",IF($A409+Capex!$D$8-1&gt;=R$2,Book!$G$78/Capex!$D$8,0))+IF(Capex!$F$9="Y",IF($A409+Capex!$D$9-1&gt;=R$2,Book!$G$114/Capex!$D$9,0))+IF(Capex!$F$10="Y",IF($A409+Capex!$D$10-1&gt;=R$2,Book!$G$150/Capex!$D$10,0))+IF(Capex!$F$11="Y",IF($A409+Capex!$D$11-1&gt;=R$2,Book!$G$186/Capex!$D$11,0))+IF(Capex!$F$12="Y",IF($A409+Capex!$D$12-1&gt;=R$2,Book!$G$222/Capex!$D$12,0))+IF(Capex!$F$13="Y",IF($A409+Capex!$D$13-1&gt;=R$2,Book!$G$258/Capex!$D$13,0))+IF(Capex!$F$14="Y",IF($A409+Capex!$D$14-1&gt;=R$2,Book!$G$14/Capex!$D$255,0))+IF(Capex!$F$15="Y",IF($A409+Capex!$D$15-1&gt;=R$2,Book!$G$330/Capex!$D$15,0)))*$G$401</f>
        <v>0</v>
      </c>
      <c r="S409" s="4">
        <f>(IF(Capex!$F$6="Y",IF($A409+Capex!$D$6-1&gt;=S$2,Book!$G$6/Capex!$D$6,0))+IF(Capex!$F$7="Y",IF($A409+Capex!$D$7-1&gt;=S$2,Book!$G$42/Capex!$D$7,0))+IF(Capex!$F$8="Y",IF($A409+Capex!$D$8-1&gt;=S$2,Book!$G$78/Capex!$D$8,0))+IF(Capex!$F$9="Y",IF($A409+Capex!$D$9-1&gt;=S$2,Book!$G$114/Capex!$D$9,0))+IF(Capex!$F$10="Y",IF($A409+Capex!$D$10-1&gt;=S$2,Book!$G$150/Capex!$D$10,0))+IF(Capex!$F$11="Y",IF($A409+Capex!$D$11-1&gt;=S$2,Book!$G$186/Capex!$D$11,0))+IF(Capex!$F$12="Y",IF($A409+Capex!$D$12-1&gt;=S$2,Book!$G$222/Capex!$D$12,0))+IF(Capex!$F$13="Y",IF($A409+Capex!$D$13-1&gt;=S$2,Book!$G$258/Capex!$D$13,0))+IF(Capex!$F$14="Y",IF($A409+Capex!$D$14-1&gt;=S$2,Book!$G$14/Capex!$D$255,0))+IF(Capex!$F$15="Y",IF($A409+Capex!$D$15-1&gt;=S$2,Book!$G$330/Capex!$D$15,0)))*$G$401</f>
        <v>0</v>
      </c>
      <c r="T409" s="4">
        <f>(IF(Capex!$F$6="Y",IF($A409+Capex!$D$6-1&gt;=T$2,Book!$G$6/Capex!$D$6,0))+IF(Capex!$F$7="Y",IF($A409+Capex!$D$7-1&gt;=T$2,Book!$G$42/Capex!$D$7,0))+IF(Capex!$F$8="Y",IF($A409+Capex!$D$8-1&gt;=T$2,Book!$G$78/Capex!$D$8,0))+IF(Capex!$F$9="Y",IF($A409+Capex!$D$9-1&gt;=T$2,Book!$G$114/Capex!$D$9,0))+IF(Capex!$F$10="Y",IF($A409+Capex!$D$10-1&gt;=T$2,Book!$G$150/Capex!$D$10,0))+IF(Capex!$F$11="Y",IF($A409+Capex!$D$11-1&gt;=T$2,Book!$G$186/Capex!$D$11,0))+IF(Capex!$F$12="Y",IF($A409+Capex!$D$12-1&gt;=T$2,Book!$G$222/Capex!$D$12,0))+IF(Capex!$F$13="Y",IF($A409+Capex!$D$13-1&gt;=T$2,Book!$G$258/Capex!$D$13,0))+IF(Capex!$F$14="Y",IF($A409+Capex!$D$14-1&gt;=T$2,Book!$G$14/Capex!$D$255,0))+IF(Capex!$F$15="Y",IF($A409+Capex!$D$15-1&gt;=T$2,Book!$G$330/Capex!$D$15,0)))*$G$401</f>
        <v>0</v>
      </c>
      <c r="U409" s="4">
        <f>(IF(Capex!$F$6="Y",IF($A409+Capex!$D$6-1&gt;=U$2,Book!$G$6/Capex!$D$6,0))+IF(Capex!$F$7="Y",IF($A409+Capex!$D$7-1&gt;=U$2,Book!$G$42/Capex!$D$7,0))+IF(Capex!$F$8="Y",IF($A409+Capex!$D$8-1&gt;=U$2,Book!$G$78/Capex!$D$8,0))+IF(Capex!$F$9="Y",IF($A409+Capex!$D$9-1&gt;=U$2,Book!$G$114/Capex!$D$9,0))+IF(Capex!$F$10="Y",IF($A409+Capex!$D$10-1&gt;=U$2,Book!$G$150/Capex!$D$10,0))+IF(Capex!$F$11="Y",IF($A409+Capex!$D$11-1&gt;=U$2,Book!$G$186/Capex!$D$11,0))+IF(Capex!$F$12="Y",IF($A409+Capex!$D$12-1&gt;=U$2,Book!$G$222/Capex!$D$12,0))+IF(Capex!$F$13="Y",IF($A409+Capex!$D$13-1&gt;=U$2,Book!$G$258/Capex!$D$13,0))+IF(Capex!$F$14="Y",IF($A409+Capex!$D$14-1&gt;=U$2,Book!$G$14/Capex!$D$255,0))+IF(Capex!$F$15="Y",IF($A409+Capex!$D$15-1&gt;=U$2,Book!$G$330/Capex!$D$15,0)))*$G$401</f>
        <v>0</v>
      </c>
      <c r="V409" s="4">
        <f>(IF(Capex!$F$6="Y",IF($A409+Capex!$D$6-1&gt;=V$2,Book!$G$6/Capex!$D$6,0))+IF(Capex!$F$7="Y",IF($A409+Capex!$D$7-1&gt;=V$2,Book!$G$42/Capex!$D$7,0))+IF(Capex!$F$8="Y",IF($A409+Capex!$D$8-1&gt;=V$2,Book!$G$78/Capex!$D$8,0))+IF(Capex!$F$9="Y",IF($A409+Capex!$D$9-1&gt;=V$2,Book!$G$114/Capex!$D$9,0))+IF(Capex!$F$10="Y",IF($A409+Capex!$D$10-1&gt;=V$2,Book!$G$150/Capex!$D$10,0))+IF(Capex!$F$11="Y",IF($A409+Capex!$D$11-1&gt;=V$2,Book!$G$186/Capex!$D$11,0))+IF(Capex!$F$12="Y",IF($A409+Capex!$D$12-1&gt;=V$2,Book!$G$222/Capex!$D$12,0))+IF(Capex!$F$13="Y",IF($A409+Capex!$D$13-1&gt;=V$2,Book!$G$258/Capex!$D$13,0))+IF(Capex!$F$14="Y",IF($A409+Capex!$D$14-1&gt;=V$2,Book!$G$14/Capex!$D$255,0))+IF(Capex!$F$15="Y",IF($A409+Capex!$D$15-1&gt;=V$2,Book!$G$330/Capex!$D$15,0)))*$G$401</f>
        <v>0</v>
      </c>
      <c r="W409" s="4">
        <f>(IF(Capex!$F$6="Y",IF($A409+Capex!$D$6-1&gt;=W$2,Book!$G$6/Capex!$D$6,0))+IF(Capex!$F$7="Y",IF($A409+Capex!$D$7-1&gt;=W$2,Book!$G$42/Capex!$D$7,0))+IF(Capex!$F$8="Y",IF($A409+Capex!$D$8-1&gt;=W$2,Book!$G$78/Capex!$D$8,0))+IF(Capex!$F$9="Y",IF($A409+Capex!$D$9-1&gt;=W$2,Book!$G$114/Capex!$D$9,0))+IF(Capex!$F$10="Y",IF($A409+Capex!$D$10-1&gt;=W$2,Book!$G$150/Capex!$D$10,0))+IF(Capex!$F$11="Y",IF($A409+Capex!$D$11-1&gt;=W$2,Book!$G$186/Capex!$D$11,0))+IF(Capex!$F$12="Y",IF($A409+Capex!$D$12-1&gt;=W$2,Book!$G$222/Capex!$D$12,0))+IF(Capex!$F$13="Y",IF($A409+Capex!$D$13-1&gt;=W$2,Book!$G$258/Capex!$D$13,0))+IF(Capex!$F$14="Y",IF($A409+Capex!$D$14-1&gt;=W$2,Book!$G$14/Capex!$D$255,0))+IF(Capex!$F$15="Y",IF($A409+Capex!$D$15-1&gt;=W$2,Book!$G$330/Capex!$D$15,0)))*$G$401</f>
        <v>0</v>
      </c>
      <c r="X409" s="4">
        <f>(IF(Capex!$F$6="Y",IF($A409+Capex!$D$6-1&gt;=X$2,Book!$G$6/Capex!$D$6,0))+IF(Capex!$F$7="Y",IF($A409+Capex!$D$7-1&gt;=X$2,Book!$G$42/Capex!$D$7,0))+IF(Capex!$F$8="Y",IF($A409+Capex!$D$8-1&gt;=X$2,Book!$G$78/Capex!$D$8,0))+IF(Capex!$F$9="Y",IF($A409+Capex!$D$9-1&gt;=X$2,Book!$G$114/Capex!$D$9,0))+IF(Capex!$F$10="Y",IF($A409+Capex!$D$10-1&gt;=X$2,Book!$G$150/Capex!$D$10,0))+IF(Capex!$F$11="Y",IF($A409+Capex!$D$11-1&gt;=X$2,Book!$G$186/Capex!$D$11,0))+IF(Capex!$F$12="Y",IF($A409+Capex!$D$12-1&gt;=X$2,Book!$G$222/Capex!$D$12,0))+IF(Capex!$F$13="Y",IF($A409+Capex!$D$13-1&gt;=X$2,Book!$G$258/Capex!$D$13,0))+IF(Capex!$F$14="Y",IF($A409+Capex!$D$14-1&gt;=X$2,Book!$G$14/Capex!$D$255,0))+IF(Capex!$F$15="Y",IF($A409+Capex!$D$15-1&gt;=X$2,Book!$G$330/Capex!$D$15,0)))*$G$401</f>
        <v>0</v>
      </c>
      <c r="Y409" s="4">
        <f>(IF(Capex!$F$6="Y",IF($A409+Capex!$D$6-1&gt;=Y$2,Book!$G$6/Capex!$D$6,0))+IF(Capex!$F$7="Y",IF($A409+Capex!$D$7-1&gt;=Y$2,Book!$G$42/Capex!$D$7,0))+IF(Capex!$F$8="Y",IF($A409+Capex!$D$8-1&gt;=Y$2,Book!$G$78/Capex!$D$8,0))+IF(Capex!$F$9="Y",IF($A409+Capex!$D$9-1&gt;=Y$2,Book!$G$114/Capex!$D$9,0))+IF(Capex!$F$10="Y",IF($A409+Capex!$D$10-1&gt;=Y$2,Book!$G$150/Capex!$D$10,0))+IF(Capex!$F$11="Y",IF($A409+Capex!$D$11-1&gt;=Y$2,Book!$G$186/Capex!$D$11,0))+IF(Capex!$F$12="Y",IF($A409+Capex!$D$12-1&gt;=Y$2,Book!$G$222/Capex!$D$12,0))+IF(Capex!$F$13="Y",IF($A409+Capex!$D$13-1&gt;=Y$2,Book!$G$258/Capex!$D$13,0))+IF(Capex!$F$14="Y",IF($A409+Capex!$D$14-1&gt;=Y$2,Book!$G$14/Capex!$D$255,0))+IF(Capex!$F$15="Y",IF($A409+Capex!$D$15-1&gt;=Y$2,Book!$G$330/Capex!$D$15,0)))*$G$401</f>
        <v>0</v>
      </c>
      <c r="Z409" s="4">
        <f>(IF(Capex!$F$6="Y",IF($A409+Capex!$D$6-1&gt;=Z$2,Book!$G$6/Capex!$D$6,0))+IF(Capex!$F$7="Y",IF($A409+Capex!$D$7-1&gt;=Z$2,Book!$G$42/Capex!$D$7,0))+IF(Capex!$F$8="Y",IF($A409+Capex!$D$8-1&gt;=Z$2,Book!$G$78/Capex!$D$8,0))+IF(Capex!$F$9="Y",IF($A409+Capex!$D$9-1&gt;=Z$2,Book!$G$114/Capex!$D$9,0))+IF(Capex!$F$10="Y",IF($A409+Capex!$D$10-1&gt;=Z$2,Book!$G$150/Capex!$D$10,0))+IF(Capex!$F$11="Y",IF($A409+Capex!$D$11-1&gt;=Z$2,Book!$G$186/Capex!$D$11,0))+IF(Capex!$F$12="Y",IF($A409+Capex!$D$12-1&gt;=Z$2,Book!$G$222/Capex!$D$12,0))+IF(Capex!$F$13="Y",IF($A409+Capex!$D$13-1&gt;=Z$2,Book!$G$258/Capex!$D$13,0))+IF(Capex!$F$14="Y",IF($A409+Capex!$D$14-1&gt;=Z$2,Book!$G$14/Capex!$D$255,0))+IF(Capex!$F$15="Y",IF($A409+Capex!$D$15-1&gt;=Z$2,Book!$G$330/Capex!$D$15,0)))*$G$401</f>
        <v>0</v>
      </c>
      <c r="AA409" s="4">
        <f>(IF(Capex!$F$6="Y",IF($A409+Capex!$D$6-1&gt;=AA$2,Book!$G$6/Capex!$D$6,0))+IF(Capex!$F$7="Y",IF($A409+Capex!$D$7-1&gt;=AA$2,Book!$G$42/Capex!$D$7,0))+IF(Capex!$F$8="Y",IF($A409+Capex!$D$8-1&gt;=AA$2,Book!$G$78/Capex!$D$8,0))+IF(Capex!$F$9="Y",IF($A409+Capex!$D$9-1&gt;=AA$2,Book!$G$114/Capex!$D$9,0))+IF(Capex!$F$10="Y",IF($A409+Capex!$D$10-1&gt;=AA$2,Book!$G$150/Capex!$D$10,0))+IF(Capex!$F$11="Y",IF($A409+Capex!$D$11-1&gt;=AA$2,Book!$G$186/Capex!$D$11,0))+IF(Capex!$F$12="Y",IF($A409+Capex!$D$12-1&gt;=AA$2,Book!$G$222/Capex!$D$12,0))+IF(Capex!$F$13="Y",IF($A409+Capex!$D$13-1&gt;=AA$2,Book!$G$258/Capex!$D$13,0))+IF(Capex!$F$14="Y",IF($A409+Capex!$D$14-1&gt;=AA$2,Book!$G$14/Capex!$D$255,0))+IF(Capex!$F$15="Y",IF($A409+Capex!$D$15-1&gt;=AA$2,Book!$G$330/Capex!$D$15,0)))*$G$401</f>
        <v>0</v>
      </c>
      <c r="AB409" s="4">
        <f>(IF(Capex!$F$6="Y",IF($A409+Capex!$D$6-1&gt;=AB$2,Book!$G$6/Capex!$D$6,0))+IF(Capex!$F$7="Y",IF($A409+Capex!$D$7-1&gt;=AB$2,Book!$G$42/Capex!$D$7,0))+IF(Capex!$F$8="Y",IF($A409+Capex!$D$8-1&gt;=AB$2,Book!$G$78/Capex!$D$8,0))+IF(Capex!$F$9="Y",IF($A409+Capex!$D$9-1&gt;=AB$2,Book!$G$114/Capex!$D$9,0))+IF(Capex!$F$10="Y",IF($A409+Capex!$D$10-1&gt;=AB$2,Book!$G$150/Capex!$D$10,0))+IF(Capex!$F$11="Y",IF($A409+Capex!$D$11-1&gt;=AB$2,Book!$G$186/Capex!$D$11,0))+IF(Capex!$F$12="Y",IF($A409+Capex!$D$12-1&gt;=AB$2,Book!$G$222/Capex!$D$12,0))+IF(Capex!$F$13="Y",IF($A409+Capex!$D$13-1&gt;=AB$2,Book!$G$258/Capex!$D$13,0))+IF(Capex!$F$14="Y",IF($A409+Capex!$D$14-1&gt;=AB$2,Book!$G$14/Capex!$D$255,0))+IF(Capex!$F$15="Y",IF($A409+Capex!$D$15-1&gt;=AB$2,Book!$G$330/Capex!$D$15,0)))*$G$401</f>
        <v>0</v>
      </c>
      <c r="AC409" s="4">
        <f>(IF(Capex!$F$6="Y",IF($A409+Capex!$D$6-1&gt;=AC$2,Book!$G$6/Capex!$D$6,0))+IF(Capex!$F$7="Y",IF($A409+Capex!$D$7-1&gt;=AC$2,Book!$G$42/Capex!$D$7,0))+IF(Capex!$F$8="Y",IF($A409+Capex!$D$8-1&gt;=AC$2,Book!$G$78/Capex!$D$8,0))+IF(Capex!$F$9="Y",IF($A409+Capex!$D$9-1&gt;=AC$2,Book!$G$114/Capex!$D$9,0))+IF(Capex!$F$10="Y",IF($A409+Capex!$D$10-1&gt;=AC$2,Book!$G$150/Capex!$D$10,0))+IF(Capex!$F$11="Y",IF($A409+Capex!$D$11-1&gt;=AC$2,Book!$G$186/Capex!$D$11,0))+IF(Capex!$F$12="Y",IF($A409+Capex!$D$12-1&gt;=AC$2,Book!$G$222/Capex!$D$12,0))+IF(Capex!$F$13="Y",IF($A409+Capex!$D$13-1&gt;=AC$2,Book!$G$258/Capex!$D$13,0))+IF(Capex!$F$14="Y",IF($A409+Capex!$D$14-1&gt;=AC$2,Book!$G$14/Capex!$D$255,0))+IF(Capex!$F$15="Y",IF($A409+Capex!$D$15-1&gt;=AC$2,Book!$G$330/Capex!$D$15,0)))*$G$401</f>
        <v>0</v>
      </c>
      <c r="AD409" s="4">
        <f>(IF(Capex!$F$6="Y",IF($A409+Capex!$D$6-1&gt;=AD$2,Book!$G$6/Capex!$D$6,0))+IF(Capex!$F$7="Y",IF($A409+Capex!$D$7-1&gt;=AD$2,Book!$G$42/Capex!$D$7,0))+IF(Capex!$F$8="Y",IF($A409+Capex!$D$8-1&gt;=AD$2,Book!$G$78/Capex!$D$8,0))+IF(Capex!$F$9="Y",IF($A409+Capex!$D$9-1&gt;=AD$2,Book!$G$114/Capex!$D$9,0))+IF(Capex!$F$10="Y",IF($A409+Capex!$D$10-1&gt;=AD$2,Book!$G$150/Capex!$D$10,0))+IF(Capex!$F$11="Y",IF($A409+Capex!$D$11-1&gt;=AD$2,Book!$G$186/Capex!$D$11,0))+IF(Capex!$F$12="Y",IF($A409+Capex!$D$12-1&gt;=AD$2,Book!$G$222/Capex!$D$12,0))+IF(Capex!$F$13="Y",IF($A409+Capex!$D$13-1&gt;=AD$2,Book!$G$258/Capex!$D$13,0))+IF(Capex!$F$14="Y",IF($A409+Capex!$D$14-1&gt;=AD$2,Book!$G$14/Capex!$D$255,0))+IF(Capex!$F$15="Y",IF($A409+Capex!$D$15-1&gt;=AD$2,Book!$G$330/Capex!$D$15,0)))*$G$401</f>
        <v>0</v>
      </c>
      <c r="AE409" s="4">
        <f>(IF(Capex!$F$6="Y",IF($A409+Capex!$D$6-1&gt;=AE$2,Book!$G$6/Capex!$D$6,0))+IF(Capex!$F$7="Y",IF($A409+Capex!$D$7-1&gt;=AE$2,Book!$G$42/Capex!$D$7,0))+IF(Capex!$F$8="Y",IF($A409+Capex!$D$8-1&gt;=AE$2,Book!$G$78/Capex!$D$8,0))+IF(Capex!$F$9="Y",IF($A409+Capex!$D$9-1&gt;=AE$2,Book!$G$114/Capex!$D$9,0))+IF(Capex!$F$10="Y",IF($A409+Capex!$D$10-1&gt;=AE$2,Book!$G$150/Capex!$D$10,0))+IF(Capex!$F$11="Y",IF($A409+Capex!$D$11-1&gt;=AE$2,Book!$G$186/Capex!$D$11,0))+IF(Capex!$F$12="Y",IF($A409+Capex!$D$12-1&gt;=AE$2,Book!$G$222/Capex!$D$12,0))+IF(Capex!$F$13="Y",IF($A409+Capex!$D$13-1&gt;=AE$2,Book!$G$258/Capex!$D$13,0))+IF(Capex!$F$14="Y",IF($A409+Capex!$D$14-1&gt;=AE$2,Book!$G$14/Capex!$D$255,0))+IF(Capex!$F$15="Y",IF($A409+Capex!$D$15-1&gt;=AE$2,Book!$G$330/Capex!$D$15,0)))*$G$401</f>
        <v>0</v>
      </c>
      <c r="AF409" s="4">
        <f>(IF(Capex!$F$6="Y",IF($A409+Capex!$D$6-1&gt;=AF$2,Book!$G$6/Capex!$D$6,0))+IF(Capex!$F$7="Y",IF($A409+Capex!$D$7-1&gt;=AF$2,Book!$G$42/Capex!$D$7,0))+IF(Capex!$F$8="Y",IF($A409+Capex!$D$8-1&gt;=AF$2,Book!$G$78/Capex!$D$8,0))+IF(Capex!$F$9="Y",IF($A409+Capex!$D$9-1&gt;=AF$2,Book!$G$114/Capex!$D$9,0))+IF(Capex!$F$10="Y",IF($A409+Capex!$D$10-1&gt;=AF$2,Book!$G$150/Capex!$D$10,0))+IF(Capex!$F$11="Y",IF($A409+Capex!$D$11-1&gt;=AF$2,Book!$G$186/Capex!$D$11,0))+IF(Capex!$F$12="Y",IF($A409+Capex!$D$12-1&gt;=AF$2,Book!$G$222/Capex!$D$12,0))+IF(Capex!$F$13="Y",IF($A409+Capex!$D$13-1&gt;=AF$2,Book!$G$258/Capex!$D$13,0))+IF(Capex!$F$14="Y",IF($A409+Capex!$D$14-1&gt;=AF$2,Book!$G$14/Capex!$D$255,0))+IF(Capex!$F$15="Y",IF($A409+Capex!$D$15-1&gt;=AF$2,Book!$G$330/Capex!$D$15,0)))*$G$401</f>
        <v>0</v>
      </c>
      <c r="AG409" s="4">
        <f t="shared" si="130"/>
        <v>0</v>
      </c>
      <c r="AH409" s="252">
        <f t="shared" si="132"/>
        <v>0</v>
      </c>
    </row>
    <row r="410" spans="1:34">
      <c r="A410" s="718">
        <f t="shared" si="129"/>
        <v>2027</v>
      </c>
      <c r="B410" s="4">
        <f t="shared" si="131"/>
        <v>0</v>
      </c>
      <c r="H410" s="4">
        <f>(IF(Capex!$F$6="Y",IF($A410+Capex!$D$6-1&gt;=H$2,Book!$H$6/Capex!$D$6,0))+IF(Capex!$F$7="Y",IF($A410+Capex!$D$7-1&gt;=H$2,Book!$H$42/Capex!$D$7,0))+IF(Capex!$F$8="Y",IF($A410+Capex!$D$8-1&gt;=H$2,Book!$H$78/Capex!$D$8,0))+IF(Capex!$F$9="Y",IF($A410+Capex!$D$9-1&gt;=H$2,Book!$H$114/Capex!$D$9,0))+IF(Capex!$F$10="Y",IF($A410+Capex!$D$10-1&gt;=H$2,Book!$H$150/Capex!$D$10,0))+IF(Capex!$F$11="Y",IF($A410+Capex!$D$11-1&gt;=H$2,Book!$H$186/Capex!$D$11,0))+IF(Capex!$F$12="Y",IF($A410+Capex!$D$12-1&gt;=H$2,Book!$H$222/Capex!$D$12,0))+IF(Capex!$F$13="Y",IF($A410+Capex!$D$13-1&gt;=H$2,Book!$H$258/Capex!$D$13,0))+IF(Capex!$F$14="Y",IF($A410+Capex!$D$14-1&gt;=H$2,Book!$H$14/Capex!$D$255,0))+IF(Capex!$F$15="Y",IF($A410+Capex!$D$15-1&gt;=H$2,Book!$H$330/Capex!$D$15,0)))*$H$401</f>
        <v>0</v>
      </c>
      <c r="I410" s="4">
        <f>(IF(Capex!$F$6="Y",IF($A410+Capex!$D$6-1&gt;=I$2,Book!$H$6/Capex!$D$6,0))+IF(Capex!$F$7="Y",IF($A410+Capex!$D$7-1&gt;=I$2,Book!$H$42/Capex!$D$7,0))+IF(Capex!$F$8="Y",IF($A410+Capex!$D$8-1&gt;=I$2,Book!$H$78/Capex!$D$8,0))+IF(Capex!$F$9="Y",IF($A410+Capex!$D$9-1&gt;=I$2,Book!$H$114/Capex!$D$9,0))+IF(Capex!$F$10="Y",IF($A410+Capex!$D$10-1&gt;=I$2,Book!$H$150/Capex!$D$10,0))+IF(Capex!$F$11="Y",IF($A410+Capex!$D$11-1&gt;=I$2,Book!$H$186/Capex!$D$11,0))+IF(Capex!$F$12="Y",IF($A410+Capex!$D$12-1&gt;=I$2,Book!$H$222/Capex!$D$12,0))+IF(Capex!$F$13="Y",IF($A410+Capex!$D$13-1&gt;=I$2,Book!$H$258/Capex!$D$13,0))+IF(Capex!$F$14="Y",IF($A410+Capex!$D$14-1&gt;=I$2,Book!$H$14/Capex!$D$255,0))+IF(Capex!$F$15="Y",IF($A410+Capex!$D$15-1&gt;=I$2,Book!$H$330/Capex!$D$15,0)))*$H$401</f>
        <v>0</v>
      </c>
      <c r="J410" s="4">
        <f>(IF(Capex!$F$6="Y",IF($A410+Capex!$D$6-1&gt;=J$2,Book!$H$6/Capex!$D$6,0))+IF(Capex!$F$7="Y",IF($A410+Capex!$D$7-1&gt;=J$2,Book!$H$42/Capex!$D$7,0))+IF(Capex!$F$8="Y",IF($A410+Capex!$D$8-1&gt;=J$2,Book!$H$78/Capex!$D$8,0))+IF(Capex!$F$9="Y",IF($A410+Capex!$D$9-1&gt;=J$2,Book!$H$114/Capex!$D$9,0))+IF(Capex!$F$10="Y",IF($A410+Capex!$D$10-1&gt;=J$2,Book!$H$150/Capex!$D$10,0))+IF(Capex!$F$11="Y",IF($A410+Capex!$D$11-1&gt;=J$2,Book!$H$186/Capex!$D$11,0))+IF(Capex!$F$12="Y",IF($A410+Capex!$D$12-1&gt;=J$2,Book!$H$222/Capex!$D$12,0))+IF(Capex!$F$13="Y",IF($A410+Capex!$D$13-1&gt;=J$2,Book!$H$258/Capex!$D$13,0))+IF(Capex!$F$14="Y",IF($A410+Capex!$D$14-1&gt;=J$2,Book!$H$14/Capex!$D$255,0))+IF(Capex!$F$15="Y",IF($A410+Capex!$D$15-1&gt;=J$2,Book!$H$330/Capex!$D$15,0)))*$H$401</f>
        <v>0</v>
      </c>
      <c r="K410" s="4">
        <f>(IF(Capex!$F$6="Y",IF($A410+Capex!$D$6-1&gt;=K$2,Book!$H$6/Capex!$D$6,0))+IF(Capex!$F$7="Y",IF($A410+Capex!$D$7-1&gt;=K$2,Book!$H$42/Capex!$D$7,0))+IF(Capex!$F$8="Y",IF($A410+Capex!$D$8-1&gt;=K$2,Book!$H$78/Capex!$D$8,0))+IF(Capex!$F$9="Y",IF($A410+Capex!$D$9-1&gt;=K$2,Book!$H$114/Capex!$D$9,0))+IF(Capex!$F$10="Y",IF($A410+Capex!$D$10-1&gt;=K$2,Book!$H$150/Capex!$D$10,0))+IF(Capex!$F$11="Y",IF($A410+Capex!$D$11-1&gt;=K$2,Book!$H$186/Capex!$D$11,0))+IF(Capex!$F$12="Y",IF($A410+Capex!$D$12-1&gt;=K$2,Book!$H$222/Capex!$D$12,0))+IF(Capex!$F$13="Y",IF($A410+Capex!$D$13-1&gt;=K$2,Book!$H$258/Capex!$D$13,0))+IF(Capex!$F$14="Y",IF($A410+Capex!$D$14-1&gt;=K$2,Book!$H$14/Capex!$D$255,0))+IF(Capex!$F$15="Y",IF($A410+Capex!$D$15-1&gt;=K$2,Book!$H$330/Capex!$D$15,0)))*$H$401</f>
        <v>0</v>
      </c>
      <c r="L410" s="4">
        <f>(IF(Capex!$F$6="Y",IF($A410+Capex!$D$6-1&gt;=L$2,Book!$H$6/Capex!$D$6,0))+IF(Capex!$F$7="Y",IF($A410+Capex!$D$7-1&gt;=L$2,Book!$H$42/Capex!$D$7,0))+IF(Capex!$F$8="Y",IF($A410+Capex!$D$8-1&gt;=L$2,Book!$H$78/Capex!$D$8,0))+IF(Capex!$F$9="Y",IF($A410+Capex!$D$9-1&gt;=L$2,Book!$H$114/Capex!$D$9,0))+IF(Capex!$F$10="Y",IF($A410+Capex!$D$10-1&gt;=L$2,Book!$H$150/Capex!$D$10,0))+IF(Capex!$F$11="Y",IF($A410+Capex!$D$11-1&gt;=L$2,Book!$H$186/Capex!$D$11,0))+IF(Capex!$F$12="Y",IF($A410+Capex!$D$12-1&gt;=L$2,Book!$H$222/Capex!$D$12,0))+IF(Capex!$F$13="Y",IF($A410+Capex!$D$13-1&gt;=L$2,Book!$H$258/Capex!$D$13,0))+IF(Capex!$F$14="Y",IF($A410+Capex!$D$14-1&gt;=L$2,Book!$H$14/Capex!$D$255,0))+IF(Capex!$F$15="Y",IF($A410+Capex!$D$15-1&gt;=L$2,Book!$H$330/Capex!$D$15,0)))*$H$401</f>
        <v>0</v>
      </c>
      <c r="M410" s="4">
        <f>(IF(Capex!$F$6="Y",IF($A410+Capex!$D$6-1&gt;=M$2,Book!$H$6/Capex!$D$6,0))+IF(Capex!$F$7="Y",IF($A410+Capex!$D$7-1&gt;=M$2,Book!$H$42/Capex!$D$7,0))+IF(Capex!$F$8="Y",IF($A410+Capex!$D$8-1&gt;=M$2,Book!$H$78/Capex!$D$8,0))+IF(Capex!$F$9="Y",IF($A410+Capex!$D$9-1&gt;=M$2,Book!$H$114/Capex!$D$9,0))+IF(Capex!$F$10="Y",IF($A410+Capex!$D$10-1&gt;=M$2,Book!$H$150/Capex!$D$10,0))+IF(Capex!$F$11="Y",IF($A410+Capex!$D$11-1&gt;=M$2,Book!$H$186/Capex!$D$11,0))+IF(Capex!$F$12="Y",IF($A410+Capex!$D$12-1&gt;=M$2,Book!$H$222/Capex!$D$12,0))+IF(Capex!$F$13="Y",IF($A410+Capex!$D$13-1&gt;=M$2,Book!$H$258/Capex!$D$13,0))+IF(Capex!$F$14="Y",IF($A410+Capex!$D$14-1&gt;=M$2,Book!$H$14/Capex!$D$255,0))+IF(Capex!$F$15="Y",IF($A410+Capex!$D$15-1&gt;=M$2,Book!$H$330/Capex!$D$15,0)))*$H$401</f>
        <v>0</v>
      </c>
      <c r="N410" s="4">
        <f>(IF(Capex!$F$6="Y",IF($A410+Capex!$D$6-1&gt;=N$2,Book!$H$6/Capex!$D$6,0))+IF(Capex!$F$7="Y",IF($A410+Capex!$D$7-1&gt;=N$2,Book!$H$42/Capex!$D$7,0))+IF(Capex!$F$8="Y",IF($A410+Capex!$D$8-1&gt;=N$2,Book!$H$78/Capex!$D$8,0))+IF(Capex!$F$9="Y",IF($A410+Capex!$D$9-1&gt;=N$2,Book!$H$114/Capex!$D$9,0))+IF(Capex!$F$10="Y",IF($A410+Capex!$D$10-1&gt;=N$2,Book!$H$150/Capex!$D$10,0))+IF(Capex!$F$11="Y",IF($A410+Capex!$D$11-1&gt;=N$2,Book!$H$186/Capex!$D$11,0))+IF(Capex!$F$12="Y",IF($A410+Capex!$D$12-1&gt;=N$2,Book!$H$222/Capex!$D$12,0))+IF(Capex!$F$13="Y",IF($A410+Capex!$D$13-1&gt;=N$2,Book!$H$258/Capex!$D$13,0))+IF(Capex!$F$14="Y",IF($A410+Capex!$D$14-1&gt;=N$2,Book!$H$14/Capex!$D$255,0))+IF(Capex!$F$15="Y",IF($A410+Capex!$D$15-1&gt;=N$2,Book!$H$330/Capex!$D$15,0)))*$H$401</f>
        <v>0</v>
      </c>
      <c r="O410" s="4">
        <f>(IF(Capex!$F$6="Y",IF($A410+Capex!$D$6-1&gt;=O$2,Book!$H$6/Capex!$D$6,0))+IF(Capex!$F$7="Y",IF($A410+Capex!$D$7-1&gt;=O$2,Book!$H$42/Capex!$D$7,0))+IF(Capex!$F$8="Y",IF($A410+Capex!$D$8-1&gt;=O$2,Book!$H$78/Capex!$D$8,0))+IF(Capex!$F$9="Y",IF($A410+Capex!$D$9-1&gt;=O$2,Book!$H$114/Capex!$D$9,0))+IF(Capex!$F$10="Y",IF($A410+Capex!$D$10-1&gt;=O$2,Book!$H$150/Capex!$D$10,0))+IF(Capex!$F$11="Y",IF($A410+Capex!$D$11-1&gt;=O$2,Book!$H$186/Capex!$D$11,0))+IF(Capex!$F$12="Y",IF($A410+Capex!$D$12-1&gt;=O$2,Book!$H$222/Capex!$D$12,0))+IF(Capex!$F$13="Y",IF($A410+Capex!$D$13-1&gt;=O$2,Book!$H$258/Capex!$D$13,0))+IF(Capex!$F$14="Y",IF($A410+Capex!$D$14-1&gt;=O$2,Book!$H$14/Capex!$D$255,0))+IF(Capex!$F$15="Y",IF($A410+Capex!$D$15-1&gt;=O$2,Book!$H$330/Capex!$D$15,0)))*$H$401</f>
        <v>0</v>
      </c>
      <c r="P410" s="4">
        <f>(IF(Capex!$F$6="Y",IF($A410+Capex!$D$6-1&gt;=P$2,Book!$H$6/Capex!$D$6,0))+IF(Capex!$F$7="Y",IF($A410+Capex!$D$7-1&gt;=P$2,Book!$H$42/Capex!$D$7,0))+IF(Capex!$F$8="Y",IF($A410+Capex!$D$8-1&gt;=P$2,Book!$H$78/Capex!$D$8,0))+IF(Capex!$F$9="Y",IF($A410+Capex!$D$9-1&gt;=P$2,Book!$H$114/Capex!$D$9,0))+IF(Capex!$F$10="Y",IF($A410+Capex!$D$10-1&gt;=P$2,Book!$H$150/Capex!$D$10,0))+IF(Capex!$F$11="Y",IF($A410+Capex!$D$11-1&gt;=P$2,Book!$H$186/Capex!$D$11,0))+IF(Capex!$F$12="Y",IF($A410+Capex!$D$12-1&gt;=P$2,Book!$H$222/Capex!$D$12,0))+IF(Capex!$F$13="Y",IF($A410+Capex!$D$13-1&gt;=P$2,Book!$H$258/Capex!$D$13,0))+IF(Capex!$F$14="Y",IF($A410+Capex!$D$14-1&gt;=P$2,Book!$H$14/Capex!$D$255,0))+IF(Capex!$F$15="Y",IF($A410+Capex!$D$15-1&gt;=P$2,Book!$H$330/Capex!$D$15,0)))*$H$401</f>
        <v>0</v>
      </c>
      <c r="Q410" s="4">
        <f>(IF(Capex!$F$6="Y",IF($A410+Capex!$D$6-1&gt;=Q$2,Book!$H$6/Capex!$D$6,0))+IF(Capex!$F$7="Y",IF($A410+Capex!$D$7-1&gt;=Q$2,Book!$H$42/Capex!$D$7,0))+IF(Capex!$F$8="Y",IF($A410+Capex!$D$8-1&gt;=Q$2,Book!$H$78/Capex!$D$8,0))+IF(Capex!$F$9="Y",IF($A410+Capex!$D$9-1&gt;=Q$2,Book!$H$114/Capex!$D$9,0))+IF(Capex!$F$10="Y",IF($A410+Capex!$D$10-1&gt;=Q$2,Book!$H$150/Capex!$D$10,0))+IF(Capex!$F$11="Y",IF($A410+Capex!$D$11-1&gt;=Q$2,Book!$H$186/Capex!$D$11,0))+IF(Capex!$F$12="Y",IF($A410+Capex!$D$12-1&gt;=Q$2,Book!$H$222/Capex!$D$12,0))+IF(Capex!$F$13="Y",IF($A410+Capex!$D$13-1&gt;=Q$2,Book!$H$258/Capex!$D$13,0))+IF(Capex!$F$14="Y",IF($A410+Capex!$D$14-1&gt;=Q$2,Book!$H$14/Capex!$D$255,0))+IF(Capex!$F$15="Y",IF($A410+Capex!$D$15-1&gt;=Q$2,Book!$H$330/Capex!$D$15,0)))*$H$401</f>
        <v>0</v>
      </c>
      <c r="R410" s="4">
        <f>(IF(Capex!$F$6="Y",IF($A410+Capex!$D$6-1&gt;=R$2,Book!$H$6/Capex!$D$6,0))+IF(Capex!$F$7="Y",IF($A410+Capex!$D$7-1&gt;=R$2,Book!$H$42/Capex!$D$7,0))+IF(Capex!$F$8="Y",IF($A410+Capex!$D$8-1&gt;=R$2,Book!$H$78/Capex!$D$8,0))+IF(Capex!$F$9="Y",IF($A410+Capex!$D$9-1&gt;=R$2,Book!$H$114/Capex!$D$9,0))+IF(Capex!$F$10="Y",IF($A410+Capex!$D$10-1&gt;=R$2,Book!$H$150/Capex!$D$10,0))+IF(Capex!$F$11="Y",IF($A410+Capex!$D$11-1&gt;=R$2,Book!$H$186/Capex!$D$11,0))+IF(Capex!$F$12="Y",IF($A410+Capex!$D$12-1&gt;=R$2,Book!$H$222/Capex!$D$12,0))+IF(Capex!$F$13="Y",IF($A410+Capex!$D$13-1&gt;=R$2,Book!$H$258/Capex!$D$13,0))+IF(Capex!$F$14="Y",IF($A410+Capex!$D$14-1&gt;=R$2,Book!$H$14/Capex!$D$255,0))+IF(Capex!$F$15="Y",IF($A410+Capex!$D$15-1&gt;=R$2,Book!$H$330/Capex!$D$15,0)))*$H$401</f>
        <v>0</v>
      </c>
      <c r="S410" s="4">
        <f>(IF(Capex!$F$6="Y",IF($A410+Capex!$D$6-1&gt;=S$2,Book!$H$6/Capex!$D$6,0))+IF(Capex!$F$7="Y",IF($A410+Capex!$D$7-1&gt;=S$2,Book!$H$42/Capex!$D$7,0))+IF(Capex!$F$8="Y",IF($A410+Capex!$D$8-1&gt;=S$2,Book!$H$78/Capex!$D$8,0))+IF(Capex!$F$9="Y",IF($A410+Capex!$D$9-1&gt;=S$2,Book!$H$114/Capex!$D$9,0))+IF(Capex!$F$10="Y",IF($A410+Capex!$D$10-1&gt;=S$2,Book!$H$150/Capex!$D$10,0))+IF(Capex!$F$11="Y",IF($A410+Capex!$D$11-1&gt;=S$2,Book!$H$186/Capex!$D$11,0))+IF(Capex!$F$12="Y",IF($A410+Capex!$D$12-1&gt;=S$2,Book!$H$222/Capex!$D$12,0))+IF(Capex!$F$13="Y",IF($A410+Capex!$D$13-1&gt;=S$2,Book!$H$258/Capex!$D$13,0))+IF(Capex!$F$14="Y",IF($A410+Capex!$D$14-1&gt;=S$2,Book!$H$14/Capex!$D$255,0))+IF(Capex!$F$15="Y",IF($A410+Capex!$D$15-1&gt;=S$2,Book!$H$330/Capex!$D$15,0)))*$H$401</f>
        <v>0</v>
      </c>
      <c r="T410" s="4">
        <f>(IF(Capex!$F$6="Y",IF($A410+Capex!$D$6-1&gt;=T$2,Book!$H$6/Capex!$D$6,0))+IF(Capex!$F$7="Y",IF($A410+Capex!$D$7-1&gt;=T$2,Book!$H$42/Capex!$D$7,0))+IF(Capex!$F$8="Y",IF($A410+Capex!$D$8-1&gt;=T$2,Book!$H$78/Capex!$D$8,0))+IF(Capex!$F$9="Y",IF($A410+Capex!$D$9-1&gt;=T$2,Book!$H$114/Capex!$D$9,0))+IF(Capex!$F$10="Y",IF($A410+Capex!$D$10-1&gt;=T$2,Book!$H$150/Capex!$D$10,0))+IF(Capex!$F$11="Y",IF($A410+Capex!$D$11-1&gt;=T$2,Book!$H$186/Capex!$D$11,0))+IF(Capex!$F$12="Y",IF($A410+Capex!$D$12-1&gt;=T$2,Book!$H$222/Capex!$D$12,0))+IF(Capex!$F$13="Y",IF($A410+Capex!$D$13-1&gt;=T$2,Book!$H$258/Capex!$D$13,0))+IF(Capex!$F$14="Y",IF($A410+Capex!$D$14-1&gt;=T$2,Book!$H$14/Capex!$D$255,0))+IF(Capex!$F$15="Y",IF($A410+Capex!$D$15-1&gt;=T$2,Book!$H$330/Capex!$D$15,0)))*$H$401</f>
        <v>0</v>
      </c>
      <c r="U410" s="4">
        <f>(IF(Capex!$F$6="Y",IF($A410+Capex!$D$6-1&gt;=U$2,Book!$H$6/Capex!$D$6,0))+IF(Capex!$F$7="Y",IF($A410+Capex!$D$7-1&gt;=U$2,Book!$H$42/Capex!$D$7,0))+IF(Capex!$F$8="Y",IF($A410+Capex!$D$8-1&gt;=U$2,Book!$H$78/Capex!$D$8,0))+IF(Capex!$F$9="Y",IF($A410+Capex!$D$9-1&gt;=U$2,Book!$H$114/Capex!$D$9,0))+IF(Capex!$F$10="Y",IF($A410+Capex!$D$10-1&gt;=U$2,Book!$H$150/Capex!$D$10,0))+IF(Capex!$F$11="Y",IF($A410+Capex!$D$11-1&gt;=U$2,Book!$H$186/Capex!$D$11,0))+IF(Capex!$F$12="Y",IF($A410+Capex!$D$12-1&gt;=U$2,Book!$H$222/Capex!$D$12,0))+IF(Capex!$F$13="Y",IF($A410+Capex!$D$13-1&gt;=U$2,Book!$H$258/Capex!$D$13,0))+IF(Capex!$F$14="Y",IF($A410+Capex!$D$14-1&gt;=U$2,Book!$H$14/Capex!$D$255,0))+IF(Capex!$F$15="Y",IF($A410+Capex!$D$15-1&gt;=U$2,Book!$H$330/Capex!$D$15,0)))*$H$401</f>
        <v>0</v>
      </c>
      <c r="V410" s="4">
        <f>(IF(Capex!$F$6="Y",IF($A410+Capex!$D$6-1&gt;=V$2,Book!$H$6/Capex!$D$6,0))+IF(Capex!$F$7="Y",IF($A410+Capex!$D$7-1&gt;=V$2,Book!$H$42/Capex!$D$7,0))+IF(Capex!$F$8="Y",IF($A410+Capex!$D$8-1&gt;=V$2,Book!$H$78/Capex!$D$8,0))+IF(Capex!$F$9="Y",IF($A410+Capex!$D$9-1&gt;=V$2,Book!$H$114/Capex!$D$9,0))+IF(Capex!$F$10="Y",IF($A410+Capex!$D$10-1&gt;=V$2,Book!$H$150/Capex!$D$10,0))+IF(Capex!$F$11="Y",IF($A410+Capex!$D$11-1&gt;=V$2,Book!$H$186/Capex!$D$11,0))+IF(Capex!$F$12="Y",IF($A410+Capex!$D$12-1&gt;=V$2,Book!$H$222/Capex!$D$12,0))+IF(Capex!$F$13="Y",IF($A410+Capex!$D$13-1&gt;=V$2,Book!$H$258/Capex!$D$13,0))+IF(Capex!$F$14="Y",IF($A410+Capex!$D$14-1&gt;=V$2,Book!$H$14/Capex!$D$255,0))+IF(Capex!$F$15="Y",IF($A410+Capex!$D$15-1&gt;=V$2,Book!$H$330/Capex!$D$15,0)))*$H$401</f>
        <v>0</v>
      </c>
      <c r="W410" s="4">
        <f>(IF(Capex!$F$6="Y",IF($A410+Capex!$D$6-1&gt;=W$2,Book!$H$6/Capex!$D$6,0))+IF(Capex!$F$7="Y",IF($A410+Capex!$D$7-1&gt;=W$2,Book!$H$42/Capex!$D$7,0))+IF(Capex!$F$8="Y",IF($A410+Capex!$D$8-1&gt;=W$2,Book!$H$78/Capex!$D$8,0))+IF(Capex!$F$9="Y",IF($A410+Capex!$D$9-1&gt;=W$2,Book!$H$114/Capex!$D$9,0))+IF(Capex!$F$10="Y",IF($A410+Capex!$D$10-1&gt;=W$2,Book!$H$150/Capex!$D$10,0))+IF(Capex!$F$11="Y",IF($A410+Capex!$D$11-1&gt;=W$2,Book!$H$186/Capex!$D$11,0))+IF(Capex!$F$12="Y",IF($A410+Capex!$D$12-1&gt;=W$2,Book!$H$222/Capex!$D$12,0))+IF(Capex!$F$13="Y",IF($A410+Capex!$D$13-1&gt;=W$2,Book!$H$258/Capex!$D$13,0))+IF(Capex!$F$14="Y",IF($A410+Capex!$D$14-1&gt;=W$2,Book!$H$14/Capex!$D$255,0))+IF(Capex!$F$15="Y",IF($A410+Capex!$D$15-1&gt;=W$2,Book!$H$330/Capex!$D$15,0)))*$H$401</f>
        <v>0</v>
      </c>
      <c r="X410" s="4">
        <f>(IF(Capex!$F$6="Y",IF($A410+Capex!$D$6-1&gt;=X$2,Book!$H$6/Capex!$D$6,0))+IF(Capex!$F$7="Y",IF($A410+Capex!$D$7-1&gt;=X$2,Book!$H$42/Capex!$D$7,0))+IF(Capex!$F$8="Y",IF($A410+Capex!$D$8-1&gt;=X$2,Book!$H$78/Capex!$D$8,0))+IF(Capex!$F$9="Y",IF($A410+Capex!$D$9-1&gt;=X$2,Book!$H$114/Capex!$D$9,0))+IF(Capex!$F$10="Y",IF($A410+Capex!$D$10-1&gt;=X$2,Book!$H$150/Capex!$D$10,0))+IF(Capex!$F$11="Y",IF($A410+Capex!$D$11-1&gt;=X$2,Book!$H$186/Capex!$D$11,0))+IF(Capex!$F$12="Y",IF($A410+Capex!$D$12-1&gt;=X$2,Book!$H$222/Capex!$D$12,0))+IF(Capex!$F$13="Y",IF($A410+Capex!$D$13-1&gt;=X$2,Book!$H$258/Capex!$D$13,0))+IF(Capex!$F$14="Y",IF($A410+Capex!$D$14-1&gt;=X$2,Book!$H$14/Capex!$D$255,0))+IF(Capex!$F$15="Y",IF($A410+Capex!$D$15-1&gt;=X$2,Book!$H$330/Capex!$D$15,0)))*$H$401</f>
        <v>0</v>
      </c>
      <c r="Y410" s="4">
        <f>(IF(Capex!$F$6="Y",IF($A410+Capex!$D$6-1&gt;=Y$2,Book!$H$6/Capex!$D$6,0))+IF(Capex!$F$7="Y",IF($A410+Capex!$D$7-1&gt;=Y$2,Book!$H$42/Capex!$D$7,0))+IF(Capex!$F$8="Y",IF($A410+Capex!$D$8-1&gt;=Y$2,Book!$H$78/Capex!$D$8,0))+IF(Capex!$F$9="Y",IF($A410+Capex!$D$9-1&gt;=Y$2,Book!$H$114/Capex!$D$9,0))+IF(Capex!$F$10="Y",IF($A410+Capex!$D$10-1&gt;=Y$2,Book!$H$150/Capex!$D$10,0))+IF(Capex!$F$11="Y",IF($A410+Capex!$D$11-1&gt;=Y$2,Book!$H$186/Capex!$D$11,0))+IF(Capex!$F$12="Y",IF($A410+Capex!$D$12-1&gt;=Y$2,Book!$H$222/Capex!$D$12,0))+IF(Capex!$F$13="Y",IF($A410+Capex!$D$13-1&gt;=Y$2,Book!$H$258/Capex!$D$13,0))+IF(Capex!$F$14="Y",IF($A410+Capex!$D$14-1&gt;=Y$2,Book!$H$14/Capex!$D$255,0))+IF(Capex!$F$15="Y",IF($A410+Capex!$D$15-1&gt;=Y$2,Book!$H$330/Capex!$D$15,0)))*$H$401</f>
        <v>0</v>
      </c>
      <c r="Z410" s="4">
        <f>(IF(Capex!$F$6="Y",IF($A410+Capex!$D$6-1&gt;=Z$2,Book!$H$6/Capex!$D$6,0))+IF(Capex!$F$7="Y",IF($A410+Capex!$D$7-1&gt;=Z$2,Book!$H$42/Capex!$D$7,0))+IF(Capex!$F$8="Y",IF($A410+Capex!$D$8-1&gt;=Z$2,Book!$H$78/Capex!$D$8,0))+IF(Capex!$F$9="Y",IF($A410+Capex!$D$9-1&gt;=Z$2,Book!$H$114/Capex!$D$9,0))+IF(Capex!$F$10="Y",IF($A410+Capex!$D$10-1&gt;=Z$2,Book!$H$150/Capex!$D$10,0))+IF(Capex!$F$11="Y",IF($A410+Capex!$D$11-1&gt;=Z$2,Book!$H$186/Capex!$D$11,0))+IF(Capex!$F$12="Y",IF($A410+Capex!$D$12-1&gt;=Z$2,Book!$H$222/Capex!$D$12,0))+IF(Capex!$F$13="Y",IF($A410+Capex!$D$13-1&gt;=Z$2,Book!$H$258/Capex!$D$13,0))+IF(Capex!$F$14="Y",IF($A410+Capex!$D$14-1&gt;=Z$2,Book!$H$14/Capex!$D$255,0))+IF(Capex!$F$15="Y",IF($A410+Capex!$D$15-1&gt;=Z$2,Book!$H$330/Capex!$D$15,0)))*$H$401</f>
        <v>0</v>
      </c>
      <c r="AA410" s="4">
        <f>(IF(Capex!$F$6="Y",IF($A410+Capex!$D$6-1&gt;=AA$2,Book!$H$6/Capex!$D$6,0))+IF(Capex!$F$7="Y",IF($A410+Capex!$D$7-1&gt;=AA$2,Book!$H$42/Capex!$D$7,0))+IF(Capex!$F$8="Y",IF($A410+Capex!$D$8-1&gt;=AA$2,Book!$H$78/Capex!$D$8,0))+IF(Capex!$F$9="Y",IF($A410+Capex!$D$9-1&gt;=AA$2,Book!$H$114/Capex!$D$9,0))+IF(Capex!$F$10="Y",IF($A410+Capex!$D$10-1&gt;=AA$2,Book!$H$150/Capex!$D$10,0))+IF(Capex!$F$11="Y",IF($A410+Capex!$D$11-1&gt;=AA$2,Book!$H$186/Capex!$D$11,0))+IF(Capex!$F$12="Y",IF($A410+Capex!$D$12-1&gt;=AA$2,Book!$H$222/Capex!$D$12,0))+IF(Capex!$F$13="Y",IF($A410+Capex!$D$13-1&gt;=AA$2,Book!$H$258/Capex!$D$13,0))+IF(Capex!$F$14="Y",IF($A410+Capex!$D$14-1&gt;=AA$2,Book!$H$14/Capex!$D$255,0))+IF(Capex!$F$15="Y",IF($A410+Capex!$D$15-1&gt;=AA$2,Book!$H$330/Capex!$D$15,0)))*$H$401</f>
        <v>0</v>
      </c>
      <c r="AB410" s="4">
        <f>(IF(Capex!$F$6="Y",IF($A410+Capex!$D$6-1&gt;=AB$2,Book!$H$6/Capex!$D$6,0))+IF(Capex!$F$7="Y",IF($A410+Capex!$D$7-1&gt;=AB$2,Book!$H$42/Capex!$D$7,0))+IF(Capex!$F$8="Y",IF($A410+Capex!$D$8-1&gt;=AB$2,Book!$H$78/Capex!$D$8,0))+IF(Capex!$F$9="Y",IF($A410+Capex!$D$9-1&gt;=AB$2,Book!$H$114/Capex!$D$9,0))+IF(Capex!$F$10="Y",IF($A410+Capex!$D$10-1&gt;=AB$2,Book!$H$150/Capex!$D$10,0))+IF(Capex!$F$11="Y",IF($A410+Capex!$D$11-1&gt;=AB$2,Book!$H$186/Capex!$D$11,0))+IF(Capex!$F$12="Y",IF($A410+Capex!$D$12-1&gt;=AB$2,Book!$H$222/Capex!$D$12,0))+IF(Capex!$F$13="Y",IF($A410+Capex!$D$13-1&gt;=AB$2,Book!$H$258/Capex!$D$13,0))+IF(Capex!$F$14="Y",IF($A410+Capex!$D$14-1&gt;=AB$2,Book!$H$14/Capex!$D$255,0))+IF(Capex!$F$15="Y",IF($A410+Capex!$D$15-1&gt;=AB$2,Book!$H$330/Capex!$D$15,0)))*$H$401</f>
        <v>0</v>
      </c>
      <c r="AC410" s="4">
        <f>(IF(Capex!$F$6="Y",IF($A410+Capex!$D$6-1&gt;=AC$2,Book!$H$6/Capex!$D$6,0))+IF(Capex!$F$7="Y",IF($A410+Capex!$D$7-1&gt;=AC$2,Book!$H$42/Capex!$D$7,0))+IF(Capex!$F$8="Y",IF($A410+Capex!$D$8-1&gt;=AC$2,Book!$H$78/Capex!$D$8,0))+IF(Capex!$F$9="Y",IF($A410+Capex!$D$9-1&gt;=AC$2,Book!$H$114/Capex!$D$9,0))+IF(Capex!$F$10="Y",IF($A410+Capex!$D$10-1&gt;=AC$2,Book!$H$150/Capex!$D$10,0))+IF(Capex!$F$11="Y",IF($A410+Capex!$D$11-1&gt;=AC$2,Book!$H$186/Capex!$D$11,0))+IF(Capex!$F$12="Y",IF($A410+Capex!$D$12-1&gt;=AC$2,Book!$H$222/Capex!$D$12,0))+IF(Capex!$F$13="Y",IF($A410+Capex!$D$13-1&gt;=AC$2,Book!$H$258/Capex!$D$13,0))+IF(Capex!$F$14="Y",IF($A410+Capex!$D$14-1&gt;=AC$2,Book!$H$14/Capex!$D$255,0))+IF(Capex!$F$15="Y",IF($A410+Capex!$D$15-1&gt;=AC$2,Book!$H$330/Capex!$D$15,0)))*$H$401</f>
        <v>0</v>
      </c>
      <c r="AD410" s="4">
        <f>(IF(Capex!$F$6="Y",IF($A410+Capex!$D$6-1&gt;=AD$2,Book!$H$6/Capex!$D$6,0))+IF(Capex!$F$7="Y",IF($A410+Capex!$D$7-1&gt;=AD$2,Book!$H$42/Capex!$D$7,0))+IF(Capex!$F$8="Y",IF($A410+Capex!$D$8-1&gt;=AD$2,Book!$H$78/Capex!$D$8,0))+IF(Capex!$F$9="Y",IF($A410+Capex!$D$9-1&gt;=AD$2,Book!$H$114/Capex!$D$9,0))+IF(Capex!$F$10="Y",IF($A410+Capex!$D$10-1&gt;=AD$2,Book!$H$150/Capex!$D$10,0))+IF(Capex!$F$11="Y",IF($A410+Capex!$D$11-1&gt;=AD$2,Book!$H$186/Capex!$D$11,0))+IF(Capex!$F$12="Y",IF($A410+Capex!$D$12-1&gt;=AD$2,Book!$H$222/Capex!$D$12,0))+IF(Capex!$F$13="Y",IF($A410+Capex!$D$13-1&gt;=AD$2,Book!$H$258/Capex!$D$13,0))+IF(Capex!$F$14="Y",IF($A410+Capex!$D$14-1&gt;=AD$2,Book!$H$14/Capex!$D$255,0))+IF(Capex!$F$15="Y",IF($A410+Capex!$D$15-1&gt;=AD$2,Book!$H$330/Capex!$D$15,0)))*$H$401</f>
        <v>0</v>
      </c>
      <c r="AE410" s="4">
        <f>(IF(Capex!$F$6="Y",IF($A410+Capex!$D$6-1&gt;=AE$2,Book!$H$6/Capex!$D$6,0))+IF(Capex!$F$7="Y",IF($A410+Capex!$D$7-1&gt;=AE$2,Book!$H$42/Capex!$D$7,0))+IF(Capex!$F$8="Y",IF($A410+Capex!$D$8-1&gt;=AE$2,Book!$H$78/Capex!$D$8,0))+IF(Capex!$F$9="Y",IF($A410+Capex!$D$9-1&gt;=AE$2,Book!$H$114/Capex!$D$9,0))+IF(Capex!$F$10="Y",IF($A410+Capex!$D$10-1&gt;=AE$2,Book!$H$150/Capex!$D$10,0))+IF(Capex!$F$11="Y",IF($A410+Capex!$D$11-1&gt;=AE$2,Book!$H$186/Capex!$D$11,0))+IF(Capex!$F$12="Y",IF($A410+Capex!$D$12-1&gt;=AE$2,Book!$H$222/Capex!$D$12,0))+IF(Capex!$F$13="Y",IF($A410+Capex!$D$13-1&gt;=AE$2,Book!$H$258/Capex!$D$13,0))+IF(Capex!$F$14="Y",IF($A410+Capex!$D$14-1&gt;=AE$2,Book!$H$14/Capex!$D$255,0))+IF(Capex!$F$15="Y",IF($A410+Capex!$D$15-1&gt;=AE$2,Book!$H$330/Capex!$D$15,0)))*$H$401</f>
        <v>0</v>
      </c>
      <c r="AF410" s="4">
        <f>(IF(Capex!$F$6="Y",IF($A410+Capex!$D$6-1&gt;=AF$2,Book!$H$6/Capex!$D$6,0))+IF(Capex!$F$7="Y",IF($A410+Capex!$D$7-1&gt;=AF$2,Book!$H$42/Capex!$D$7,0))+IF(Capex!$F$8="Y",IF($A410+Capex!$D$8-1&gt;=AF$2,Book!$H$78/Capex!$D$8,0))+IF(Capex!$F$9="Y",IF($A410+Capex!$D$9-1&gt;=AF$2,Book!$H$114/Capex!$D$9,0))+IF(Capex!$F$10="Y",IF($A410+Capex!$D$10-1&gt;=AF$2,Book!$H$150/Capex!$D$10,0))+IF(Capex!$F$11="Y",IF($A410+Capex!$D$11-1&gt;=AF$2,Book!$H$186/Capex!$D$11,0))+IF(Capex!$F$12="Y",IF($A410+Capex!$D$12-1&gt;=AF$2,Book!$H$222/Capex!$D$12,0))+IF(Capex!$F$13="Y",IF($A410+Capex!$D$13-1&gt;=AF$2,Book!$H$258/Capex!$D$13,0))+IF(Capex!$F$14="Y",IF($A410+Capex!$D$14-1&gt;=AF$2,Book!$H$14/Capex!$D$255,0))+IF(Capex!$F$15="Y",IF($A410+Capex!$D$15-1&gt;=AF$2,Book!$H$330/Capex!$D$15,0)))*$H$401</f>
        <v>0</v>
      </c>
      <c r="AG410" s="4">
        <f t="shared" si="130"/>
        <v>0</v>
      </c>
      <c r="AH410" s="252">
        <f t="shared" si="132"/>
        <v>0</v>
      </c>
    </row>
    <row r="411" spans="1:34">
      <c r="A411" s="718">
        <f t="shared" si="129"/>
        <v>2028</v>
      </c>
      <c r="B411" s="4">
        <f t="shared" si="131"/>
        <v>0</v>
      </c>
      <c r="I411" s="4">
        <f>(IF(Capex!$F$6="Y",IF($A411+Capex!$D$6-1&gt;=I$2,Book!$I$6/Capex!$D$6,0))+IF(Capex!$F$7="Y",IF($A411+Capex!$D$7-1&gt;=I$2,Book!$I$42/Capex!$D$7,0))+IF(Capex!$F$8="Y",IF($A411+Capex!$D$8-1&gt;=I$2,Book!$I$78/Capex!$D$8,0))+IF(Capex!$F$9="Y",IF($A411+Capex!$D$9-1&gt;=I$2,Book!$I$114/Capex!$D$9,0))+IF(Capex!$F$10="Y",IF($A411+Capex!$D$10-1&gt;=I$2,Book!$I$150/Capex!$D$10,0))+IF(Capex!$F$11="Y",IF($A411+Capex!$D$11-1&gt;=I$2,Book!$I$186/Capex!$D$11,0))+IF(Capex!$F$12="Y",IF($A411+Capex!$D$12-1&gt;=I$2,Book!$I$222/Capex!$D$12,0))+IF(Capex!$F$13="Y",IF($A411+Capex!$D$13-1&gt;=I$2,Book!$I$258/Capex!$D$13,0))+IF(Capex!$F$14="Y",IF($A411+Capex!$D$14-1&gt;=I$2,Book!$I$14/Capex!$D$255,0))+IF(Capex!$F$15="Y",IF($A411+Capex!$D$15-1&gt;=I$2,Book!$I$330/Capex!$D$15,0)))*$I$401</f>
        <v>0</v>
      </c>
      <c r="J411" s="4">
        <f>(IF(Capex!$F$6="Y",IF($A411+Capex!$D$6-1&gt;=J$2,Book!$I$6/Capex!$D$6,0))+IF(Capex!$F$7="Y",IF($A411+Capex!$D$7-1&gt;=J$2,Book!$I$42/Capex!$D$7,0))+IF(Capex!$F$8="Y",IF($A411+Capex!$D$8-1&gt;=J$2,Book!$I$78/Capex!$D$8,0))+IF(Capex!$F$9="Y",IF($A411+Capex!$D$9-1&gt;=J$2,Book!$I$114/Capex!$D$9,0))+IF(Capex!$F$10="Y",IF($A411+Capex!$D$10-1&gt;=J$2,Book!$I$150/Capex!$D$10,0))+IF(Capex!$F$11="Y",IF($A411+Capex!$D$11-1&gt;=J$2,Book!$I$186/Capex!$D$11,0))+IF(Capex!$F$12="Y",IF($A411+Capex!$D$12-1&gt;=J$2,Book!$I$222/Capex!$D$12,0))+IF(Capex!$F$13="Y",IF($A411+Capex!$D$13-1&gt;=J$2,Book!$I$258/Capex!$D$13,0))+IF(Capex!$F$14="Y",IF($A411+Capex!$D$14-1&gt;=J$2,Book!$I$14/Capex!$D$255,0))+IF(Capex!$F$15="Y",IF($A411+Capex!$D$15-1&gt;=J$2,Book!$I$330/Capex!$D$15,0)))*$I$401</f>
        <v>0</v>
      </c>
      <c r="K411" s="4">
        <f>(IF(Capex!$F$6="Y",IF($A411+Capex!$D$6-1&gt;=K$2,Book!$I$6/Capex!$D$6,0))+IF(Capex!$F$7="Y",IF($A411+Capex!$D$7-1&gt;=K$2,Book!$I$42/Capex!$D$7,0))+IF(Capex!$F$8="Y",IF($A411+Capex!$D$8-1&gt;=K$2,Book!$I$78/Capex!$D$8,0))+IF(Capex!$F$9="Y",IF($A411+Capex!$D$9-1&gt;=K$2,Book!$I$114/Capex!$D$9,0))+IF(Capex!$F$10="Y",IF($A411+Capex!$D$10-1&gt;=K$2,Book!$I$150/Capex!$D$10,0))+IF(Capex!$F$11="Y",IF($A411+Capex!$D$11-1&gt;=K$2,Book!$I$186/Capex!$D$11,0))+IF(Capex!$F$12="Y",IF($A411+Capex!$D$12-1&gt;=K$2,Book!$I$222/Capex!$D$12,0))+IF(Capex!$F$13="Y",IF($A411+Capex!$D$13-1&gt;=K$2,Book!$I$258/Capex!$D$13,0))+IF(Capex!$F$14="Y",IF($A411+Capex!$D$14-1&gt;=K$2,Book!$I$14/Capex!$D$255,0))+IF(Capex!$F$15="Y",IF($A411+Capex!$D$15-1&gt;=K$2,Book!$I$330/Capex!$D$15,0)))*$I$401</f>
        <v>0</v>
      </c>
      <c r="L411" s="4">
        <f>(IF(Capex!$F$6="Y",IF($A411+Capex!$D$6-1&gt;=L$2,Book!$I$6/Capex!$D$6,0))+IF(Capex!$F$7="Y",IF($A411+Capex!$D$7-1&gt;=L$2,Book!$I$42/Capex!$D$7,0))+IF(Capex!$F$8="Y",IF($A411+Capex!$D$8-1&gt;=L$2,Book!$I$78/Capex!$D$8,0))+IF(Capex!$F$9="Y",IF($A411+Capex!$D$9-1&gt;=L$2,Book!$I$114/Capex!$D$9,0))+IF(Capex!$F$10="Y",IF($A411+Capex!$D$10-1&gt;=L$2,Book!$I$150/Capex!$D$10,0))+IF(Capex!$F$11="Y",IF($A411+Capex!$D$11-1&gt;=L$2,Book!$I$186/Capex!$D$11,0))+IF(Capex!$F$12="Y",IF($A411+Capex!$D$12-1&gt;=L$2,Book!$I$222/Capex!$D$12,0))+IF(Capex!$F$13="Y",IF($A411+Capex!$D$13-1&gt;=L$2,Book!$I$258/Capex!$D$13,0))+IF(Capex!$F$14="Y",IF($A411+Capex!$D$14-1&gt;=L$2,Book!$I$14/Capex!$D$255,0))+IF(Capex!$F$15="Y",IF($A411+Capex!$D$15-1&gt;=L$2,Book!$I$330/Capex!$D$15,0)))*$I$401</f>
        <v>0</v>
      </c>
      <c r="M411" s="4">
        <f>(IF(Capex!$F$6="Y",IF($A411+Capex!$D$6-1&gt;=M$2,Book!$I$6/Capex!$D$6,0))+IF(Capex!$F$7="Y",IF($A411+Capex!$D$7-1&gt;=M$2,Book!$I$42/Capex!$D$7,0))+IF(Capex!$F$8="Y",IF($A411+Capex!$D$8-1&gt;=M$2,Book!$I$78/Capex!$D$8,0))+IF(Capex!$F$9="Y",IF($A411+Capex!$D$9-1&gt;=M$2,Book!$I$114/Capex!$D$9,0))+IF(Capex!$F$10="Y",IF($A411+Capex!$D$10-1&gt;=M$2,Book!$I$150/Capex!$D$10,0))+IF(Capex!$F$11="Y",IF($A411+Capex!$D$11-1&gt;=M$2,Book!$I$186/Capex!$D$11,0))+IF(Capex!$F$12="Y",IF($A411+Capex!$D$12-1&gt;=M$2,Book!$I$222/Capex!$D$12,0))+IF(Capex!$F$13="Y",IF($A411+Capex!$D$13-1&gt;=M$2,Book!$I$258/Capex!$D$13,0))+IF(Capex!$F$14="Y",IF($A411+Capex!$D$14-1&gt;=M$2,Book!$I$14/Capex!$D$255,0))+IF(Capex!$F$15="Y",IF($A411+Capex!$D$15-1&gt;=M$2,Book!$I$330/Capex!$D$15,0)))*$I$401</f>
        <v>0</v>
      </c>
      <c r="N411" s="4">
        <f>(IF(Capex!$F$6="Y",IF($A411+Capex!$D$6-1&gt;=N$2,Book!$I$6/Capex!$D$6,0))+IF(Capex!$F$7="Y",IF($A411+Capex!$D$7-1&gt;=N$2,Book!$I$42/Capex!$D$7,0))+IF(Capex!$F$8="Y",IF($A411+Capex!$D$8-1&gt;=N$2,Book!$I$78/Capex!$D$8,0))+IF(Capex!$F$9="Y",IF($A411+Capex!$D$9-1&gt;=N$2,Book!$I$114/Capex!$D$9,0))+IF(Capex!$F$10="Y",IF($A411+Capex!$D$10-1&gt;=N$2,Book!$I$150/Capex!$D$10,0))+IF(Capex!$F$11="Y",IF($A411+Capex!$D$11-1&gt;=N$2,Book!$I$186/Capex!$D$11,0))+IF(Capex!$F$12="Y",IF($A411+Capex!$D$12-1&gt;=N$2,Book!$I$222/Capex!$D$12,0))+IF(Capex!$F$13="Y",IF($A411+Capex!$D$13-1&gt;=N$2,Book!$I$258/Capex!$D$13,0))+IF(Capex!$F$14="Y",IF($A411+Capex!$D$14-1&gt;=N$2,Book!$I$14/Capex!$D$255,0))+IF(Capex!$F$15="Y",IF($A411+Capex!$D$15-1&gt;=N$2,Book!$I$330/Capex!$D$15,0)))*$I$401</f>
        <v>0</v>
      </c>
      <c r="O411" s="4">
        <f>(IF(Capex!$F$6="Y",IF($A411+Capex!$D$6-1&gt;=O$2,Book!$I$6/Capex!$D$6,0))+IF(Capex!$F$7="Y",IF($A411+Capex!$D$7-1&gt;=O$2,Book!$I$42/Capex!$D$7,0))+IF(Capex!$F$8="Y",IF($A411+Capex!$D$8-1&gt;=O$2,Book!$I$78/Capex!$D$8,0))+IF(Capex!$F$9="Y",IF($A411+Capex!$D$9-1&gt;=O$2,Book!$I$114/Capex!$D$9,0))+IF(Capex!$F$10="Y",IF($A411+Capex!$D$10-1&gt;=O$2,Book!$I$150/Capex!$D$10,0))+IF(Capex!$F$11="Y",IF($A411+Capex!$D$11-1&gt;=O$2,Book!$I$186/Capex!$D$11,0))+IF(Capex!$F$12="Y",IF($A411+Capex!$D$12-1&gt;=O$2,Book!$I$222/Capex!$D$12,0))+IF(Capex!$F$13="Y",IF($A411+Capex!$D$13-1&gt;=O$2,Book!$I$258/Capex!$D$13,0))+IF(Capex!$F$14="Y",IF($A411+Capex!$D$14-1&gt;=O$2,Book!$I$14/Capex!$D$255,0))+IF(Capex!$F$15="Y",IF($A411+Capex!$D$15-1&gt;=O$2,Book!$I$330/Capex!$D$15,0)))*$I$401</f>
        <v>0</v>
      </c>
      <c r="P411" s="4">
        <f>(IF(Capex!$F$6="Y",IF($A411+Capex!$D$6-1&gt;=P$2,Book!$I$6/Capex!$D$6,0))+IF(Capex!$F$7="Y",IF($A411+Capex!$D$7-1&gt;=P$2,Book!$I$42/Capex!$D$7,0))+IF(Capex!$F$8="Y",IF($A411+Capex!$D$8-1&gt;=P$2,Book!$I$78/Capex!$D$8,0))+IF(Capex!$F$9="Y",IF($A411+Capex!$D$9-1&gt;=P$2,Book!$I$114/Capex!$D$9,0))+IF(Capex!$F$10="Y",IF($A411+Capex!$D$10-1&gt;=P$2,Book!$I$150/Capex!$D$10,0))+IF(Capex!$F$11="Y",IF($A411+Capex!$D$11-1&gt;=P$2,Book!$I$186/Capex!$D$11,0))+IF(Capex!$F$12="Y",IF($A411+Capex!$D$12-1&gt;=P$2,Book!$I$222/Capex!$D$12,0))+IF(Capex!$F$13="Y",IF($A411+Capex!$D$13-1&gt;=P$2,Book!$I$258/Capex!$D$13,0))+IF(Capex!$F$14="Y",IF($A411+Capex!$D$14-1&gt;=P$2,Book!$I$14/Capex!$D$255,0))+IF(Capex!$F$15="Y",IF($A411+Capex!$D$15-1&gt;=P$2,Book!$I$330/Capex!$D$15,0)))*$I$401</f>
        <v>0</v>
      </c>
      <c r="Q411" s="4">
        <f>(IF(Capex!$F$6="Y",IF($A411+Capex!$D$6-1&gt;=Q$2,Book!$I$6/Capex!$D$6,0))+IF(Capex!$F$7="Y",IF($A411+Capex!$D$7-1&gt;=Q$2,Book!$I$42/Capex!$D$7,0))+IF(Capex!$F$8="Y",IF($A411+Capex!$D$8-1&gt;=Q$2,Book!$I$78/Capex!$D$8,0))+IF(Capex!$F$9="Y",IF($A411+Capex!$D$9-1&gt;=Q$2,Book!$I$114/Capex!$D$9,0))+IF(Capex!$F$10="Y",IF($A411+Capex!$D$10-1&gt;=Q$2,Book!$I$150/Capex!$D$10,0))+IF(Capex!$F$11="Y",IF($A411+Capex!$D$11-1&gt;=Q$2,Book!$I$186/Capex!$D$11,0))+IF(Capex!$F$12="Y",IF($A411+Capex!$D$12-1&gt;=Q$2,Book!$I$222/Capex!$D$12,0))+IF(Capex!$F$13="Y",IF($A411+Capex!$D$13-1&gt;=Q$2,Book!$I$258/Capex!$D$13,0))+IF(Capex!$F$14="Y",IF($A411+Capex!$D$14-1&gt;=Q$2,Book!$I$14/Capex!$D$255,0))+IF(Capex!$F$15="Y",IF($A411+Capex!$D$15-1&gt;=Q$2,Book!$I$330/Capex!$D$15,0)))*$I$401</f>
        <v>0</v>
      </c>
      <c r="R411" s="4">
        <f>(IF(Capex!$F$6="Y",IF($A411+Capex!$D$6-1&gt;=R$2,Book!$I$6/Capex!$D$6,0))+IF(Capex!$F$7="Y",IF($A411+Capex!$D$7-1&gt;=R$2,Book!$I$42/Capex!$D$7,0))+IF(Capex!$F$8="Y",IF($A411+Capex!$D$8-1&gt;=R$2,Book!$I$78/Capex!$D$8,0))+IF(Capex!$F$9="Y",IF($A411+Capex!$D$9-1&gt;=R$2,Book!$I$114/Capex!$D$9,0))+IF(Capex!$F$10="Y",IF($A411+Capex!$D$10-1&gt;=R$2,Book!$I$150/Capex!$D$10,0))+IF(Capex!$F$11="Y",IF($A411+Capex!$D$11-1&gt;=R$2,Book!$I$186/Capex!$D$11,0))+IF(Capex!$F$12="Y",IF($A411+Capex!$D$12-1&gt;=R$2,Book!$I$222/Capex!$D$12,0))+IF(Capex!$F$13="Y",IF($A411+Capex!$D$13-1&gt;=R$2,Book!$I$258/Capex!$D$13,0))+IF(Capex!$F$14="Y",IF($A411+Capex!$D$14-1&gt;=R$2,Book!$I$14/Capex!$D$255,0))+IF(Capex!$F$15="Y",IF($A411+Capex!$D$15-1&gt;=R$2,Book!$I$330/Capex!$D$15,0)))*$I$401</f>
        <v>0</v>
      </c>
      <c r="S411" s="4">
        <f>(IF(Capex!$F$6="Y",IF($A411+Capex!$D$6-1&gt;=S$2,Book!$I$6/Capex!$D$6,0))+IF(Capex!$F$7="Y",IF($A411+Capex!$D$7-1&gt;=S$2,Book!$I$42/Capex!$D$7,0))+IF(Capex!$F$8="Y",IF($A411+Capex!$D$8-1&gt;=S$2,Book!$I$78/Capex!$D$8,0))+IF(Capex!$F$9="Y",IF($A411+Capex!$D$9-1&gt;=S$2,Book!$I$114/Capex!$D$9,0))+IF(Capex!$F$10="Y",IF($A411+Capex!$D$10-1&gt;=S$2,Book!$I$150/Capex!$D$10,0))+IF(Capex!$F$11="Y",IF($A411+Capex!$D$11-1&gt;=S$2,Book!$I$186/Capex!$D$11,0))+IF(Capex!$F$12="Y",IF($A411+Capex!$D$12-1&gt;=S$2,Book!$I$222/Capex!$D$12,0))+IF(Capex!$F$13="Y",IF($A411+Capex!$D$13-1&gt;=S$2,Book!$I$258/Capex!$D$13,0))+IF(Capex!$F$14="Y",IF($A411+Capex!$D$14-1&gt;=S$2,Book!$I$14/Capex!$D$255,0))+IF(Capex!$F$15="Y",IF($A411+Capex!$D$15-1&gt;=S$2,Book!$I$330/Capex!$D$15,0)))*$I$401</f>
        <v>0</v>
      </c>
      <c r="T411" s="4">
        <f>(IF(Capex!$F$6="Y",IF($A411+Capex!$D$6-1&gt;=T$2,Book!$I$6/Capex!$D$6,0))+IF(Capex!$F$7="Y",IF($A411+Capex!$D$7-1&gt;=T$2,Book!$I$42/Capex!$D$7,0))+IF(Capex!$F$8="Y",IF($A411+Capex!$D$8-1&gt;=T$2,Book!$I$78/Capex!$D$8,0))+IF(Capex!$F$9="Y",IF($A411+Capex!$D$9-1&gt;=T$2,Book!$I$114/Capex!$D$9,0))+IF(Capex!$F$10="Y",IF($A411+Capex!$D$10-1&gt;=T$2,Book!$I$150/Capex!$D$10,0))+IF(Capex!$F$11="Y",IF($A411+Capex!$D$11-1&gt;=T$2,Book!$I$186/Capex!$D$11,0))+IF(Capex!$F$12="Y",IF($A411+Capex!$D$12-1&gt;=T$2,Book!$I$222/Capex!$D$12,0))+IF(Capex!$F$13="Y",IF($A411+Capex!$D$13-1&gt;=T$2,Book!$I$258/Capex!$D$13,0))+IF(Capex!$F$14="Y",IF($A411+Capex!$D$14-1&gt;=T$2,Book!$I$14/Capex!$D$255,0))+IF(Capex!$F$15="Y",IF($A411+Capex!$D$15-1&gt;=T$2,Book!$I$330/Capex!$D$15,0)))*$I$401</f>
        <v>0</v>
      </c>
      <c r="U411" s="4">
        <f>(IF(Capex!$F$6="Y",IF($A411+Capex!$D$6-1&gt;=U$2,Book!$I$6/Capex!$D$6,0))+IF(Capex!$F$7="Y",IF($A411+Capex!$D$7-1&gt;=U$2,Book!$I$42/Capex!$D$7,0))+IF(Capex!$F$8="Y",IF($A411+Capex!$D$8-1&gt;=U$2,Book!$I$78/Capex!$D$8,0))+IF(Capex!$F$9="Y",IF($A411+Capex!$D$9-1&gt;=U$2,Book!$I$114/Capex!$D$9,0))+IF(Capex!$F$10="Y",IF($A411+Capex!$D$10-1&gt;=U$2,Book!$I$150/Capex!$D$10,0))+IF(Capex!$F$11="Y",IF($A411+Capex!$D$11-1&gt;=U$2,Book!$I$186/Capex!$D$11,0))+IF(Capex!$F$12="Y",IF($A411+Capex!$D$12-1&gt;=U$2,Book!$I$222/Capex!$D$12,0))+IF(Capex!$F$13="Y",IF($A411+Capex!$D$13-1&gt;=U$2,Book!$I$258/Capex!$D$13,0))+IF(Capex!$F$14="Y",IF($A411+Capex!$D$14-1&gt;=U$2,Book!$I$14/Capex!$D$255,0))+IF(Capex!$F$15="Y",IF($A411+Capex!$D$15-1&gt;=U$2,Book!$I$330/Capex!$D$15,0)))*$I$401</f>
        <v>0</v>
      </c>
      <c r="V411" s="4">
        <f>(IF(Capex!$F$6="Y",IF($A411+Capex!$D$6-1&gt;=V$2,Book!$I$6/Capex!$D$6,0))+IF(Capex!$F$7="Y",IF($A411+Capex!$D$7-1&gt;=V$2,Book!$I$42/Capex!$D$7,0))+IF(Capex!$F$8="Y",IF($A411+Capex!$D$8-1&gt;=V$2,Book!$I$78/Capex!$D$8,0))+IF(Capex!$F$9="Y",IF($A411+Capex!$D$9-1&gt;=V$2,Book!$I$114/Capex!$D$9,0))+IF(Capex!$F$10="Y",IF($A411+Capex!$D$10-1&gt;=V$2,Book!$I$150/Capex!$D$10,0))+IF(Capex!$F$11="Y",IF($A411+Capex!$D$11-1&gt;=V$2,Book!$I$186/Capex!$D$11,0))+IF(Capex!$F$12="Y",IF($A411+Capex!$D$12-1&gt;=V$2,Book!$I$222/Capex!$D$12,0))+IF(Capex!$F$13="Y",IF($A411+Capex!$D$13-1&gt;=V$2,Book!$I$258/Capex!$D$13,0))+IF(Capex!$F$14="Y",IF($A411+Capex!$D$14-1&gt;=V$2,Book!$I$14/Capex!$D$255,0))+IF(Capex!$F$15="Y",IF($A411+Capex!$D$15-1&gt;=V$2,Book!$I$330/Capex!$D$15,0)))*$I$401</f>
        <v>0</v>
      </c>
      <c r="W411" s="4">
        <f>(IF(Capex!$F$6="Y",IF($A411+Capex!$D$6-1&gt;=W$2,Book!$I$6/Capex!$D$6,0))+IF(Capex!$F$7="Y",IF($A411+Capex!$D$7-1&gt;=W$2,Book!$I$42/Capex!$D$7,0))+IF(Capex!$F$8="Y",IF($A411+Capex!$D$8-1&gt;=W$2,Book!$I$78/Capex!$D$8,0))+IF(Capex!$F$9="Y",IF($A411+Capex!$D$9-1&gt;=W$2,Book!$I$114/Capex!$D$9,0))+IF(Capex!$F$10="Y",IF($A411+Capex!$D$10-1&gt;=W$2,Book!$I$150/Capex!$D$10,0))+IF(Capex!$F$11="Y",IF($A411+Capex!$D$11-1&gt;=W$2,Book!$I$186/Capex!$D$11,0))+IF(Capex!$F$12="Y",IF($A411+Capex!$D$12-1&gt;=W$2,Book!$I$222/Capex!$D$12,0))+IF(Capex!$F$13="Y",IF($A411+Capex!$D$13-1&gt;=W$2,Book!$I$258/Capex!$D$13,0))+IF(Capex!$F$14="Y",IF($A411+Capex!$D$14-1&gt;=W$2,Book!$I$14/Capex!$D$255,0))+IF(Capex!$F$15="Y",IF($A411+Capex!$D$15-1&gt;=W$2,Book!$I$330/Capex!$D$15,0)))*$I$401</f>
        <v>0</v>
      </c>
      <c r="X411" s="4">
        <f>(IF(Capex!$F$6="Y",IF($A411+Capex!$D$6-1&gt;=X$2,Book!$I$6/Capex!$D$6,0))+IF(Capex!$F$7="Y",IF($A411+Capex!$D$7-1&gt;=X$2,Book!$I$42/Capex!$D$7,0))+IF(Capex!$F$8="Y",IF($A411+Capex!$D$8-1&gt;=X$2,Book!$I$78/Capex!$D$8,0))+IF(Capex!$F$9="Y",IF($A411+Capex!$D$9-1&gt;=X$2,Book!$I$114/Capex!$D$9,0))+IF(Capex!$F$10="Y",IF($A411+Capex!$D$10-1&gt;=X$2,Book!$I$150/Capex!$D$10,0))+IF(Capex!$F$11="Y",IF($A411+Capex!$D$11-1&gt;=X$2,Book!$I$186/Capex!$D$11,0))+IF(Capex!$F$12="Y",IF($A411+Capex!$D$12-1&gt;=X$2,Book!$I$222/Capex!$D$12,0))+IF(Capex!$F$13="Y",IF($A411+Capex!$D$13-1&gt;=X$2,Book!$I$258/Capex!$D$13,0))+IF(Capex!$F$14="Y",IF($A411+Capex!$D$14-1&gt;=X$2,Book!$I$14/Capex!$D$255,0))+IF(Capex!$F$15="Y",IF($A411+Capex!$D$15-1&gt;=X$2,Book!$I$330/Capex!$D$15,0)))*$I$401</f>
        <v>0</v>
      </c>
      <c r="Y411" s="4">
        <f>(IF(Capex!$F$6="Y",IF($A411+Capex!$D$6-1&gt;=Y$2,Book!$I$6/Capex!$D$6,0))+IF(Capex!$F$7="Y",IF($A411+Capex!$D$7-1&gt;=Y$2,Book!$I$42/Capex!$D$7,0))+IF(Capex!$F$8="Y",IF($A411+Capex!$D$8-1&gt;=Y$2,Book!$I$78/Capex!$D$8,0))+IF(Capex!$F$9="Y",IF($A411+Capex!$D$9-1&gt;=Y$2,Book!$I$114/Capex!$D$9,0))+IF(Capex!$F$10="Y",IF($A411+Capex!$D$10-1&gt;=Y$2,Book!$I$150/Capex!$D$10,0))+IF(Capex!$F$11="Y",IF($A411+Capex!$D$11-1&gt;=Y$2,Book!$I$186/Capex!$D$11,0))+IF(Capex!$F$12="Y",IF($A411+Capex!$D$12-1&gt;=Y$2,Book!$I$222/Capex!$D$12,0))+IF(Capex!$F$13="Y",IF($A411+Capex!$D$13-1&gt;=Y$2,Book!$I$258/Capex!$D$13,0))+IF(Capex!$F$14="Y",IF($A411+Capex!$D$14-1&gt;=Y$2,Book!$I$14/Capex!$D$255,0))+IF(Capex!$F$15="Y",IF($A411+Capex!$D$15-1&gt;=Y$2,Book!$I$330/Capex!$D$15,0)))*$I$401</f>
        <v>0</v>
      </c>
      <c r="Z411" s="4">
        <f>(IF(Capex!$F$6="Y",IF($A411+Capex!$D$6-1&gt;=Z$2,Book!$I$6/Capex!$D$6,0))+IF(Capex!$F$7="Y",IF($A411+Capex!$D$7-1&gt;=Z$2,Book!$I$42/Capex!$D$7,0))+IF(Capex!$F$8="Y",IF($A411+Capex!$D$8-1&gt;=Z$2,Book!$I$78/Capex!$D$8,0))+IF(Capex!$F$9="Y",IF($A411+Capex!$D$9-1&gt;=Z$2,Book!$I$114/Capex!$D$9,0))+IF(Capex!$F$10="Y",IF($A411+Capex!$D$10-1&gt;=Z$2,Book!$I$150/Capex!$D$10,0))+IF(Capex!$F$11="Y",IF($A411+Capex!$D$11-1&gt;=Z$2,Book!$I$186/Capex!$D$11,0))+IF(Capex!$F$12="Y",IF($A411+Capex!$D$12-1&gt;=Z$2,Book!$I$222/Capex!$D$12,0))+IF(Capex!$F$13="Y",IF($A411+Capex!$D$13-1&gt;=Z$2,Book!$I$258/Capex!$D$13,0))+IF(Capex!$F$14="Y",IF($A411+Capex!$D$14-1&gt;=Z$2,Book!$I$14/Capex!$D$255,0))+IF(Capex!$F$15="Y",IF($A411+Capex!$D$15-1&gt;=Z$2,Book!$I$330/Capex!$D$15,0)))*$I$401</f>
        <v>0</v>
      </c>
      <c r="AA411" s="4">
        <f>(IF(Capex!$F$6="Y",IF($A411+Capex!$D$6-1&gt;=AA$2,Book!$I$6/Capex!$D$6,0))+IF(Capex!$F$7="Y",IF($A411+Capex!$D$7-1&gt;=AA$2,Book!$I$42/Capex!$D$7,0))+IF(Capex!$F$8="Y",IF($A411+Capex!$D$8-1&gt;=AA$2,Book!$I$78/Capex!$D$8,0))+IF(Capex!$F$9="Y",IF($A411+Capex!$D$9-1&gt;=AA$2,Book!$I$114/Capex!$D$9,0))+IF(Capex!$F$10="Y",IF($A411+Capex!$D$10-1&gt;=AA$2,Book!$I$150/Capex!$D$10,0))+IF(Capex!$F$11="Y",IF($A411+Capex!$D$11-1&gt;=AA$2,Book!$I$186/Capex!$D$11,0))+IF(Capex!$F$12="Y",IF($A411+Capex!$D$12-1&gt;=AA$2,Book!$I$222/Capex!$D$12,0))+IF(Capex!$F$13="Y",IF($A411+Capex!$D$13-1&gt;=AA$2,Book!$I$258/Capex!$D$13,0))+IF(Capex!$F$14="Y",IF($A411+Capex!$D$14-1&gt;=AA$2,Book!$I$14/Capex!$D$255,0))+IF(Capex!$F$15="Y",IF($A411+Capex!$D$15-1&gt;=AA$2,Book!$I$330/Capex!$D$15,0)))*$I$401</f>
        <v>0</v>
      </c>
      <c r="AB411" s="4">
        <f>(IF(Capex!$F$6="Y",IF($A411+Capex!$D$6-1&gt;=AB$2,Book!$I$6/Capex!$D$6,0))+IF(Capex!$F$7="Y",IF($A411+Capex!$D$7-1&gt;=AB$2,Book!$I$42/Capex!$D$7,0))+IF(Capex!$F$8="Y",IF($A411+Capex!$D$8-1&gt;=AB$2,Book!$I$78/Capex!$D$8,0))+IF(Capex!$F$9="Y",IF($A411+Capex!$D$9-1&gt;=AB$2,Book!$I$114/Capex!$D$9,0))+IF(Capex!$F$10="Y",IF($A411+Capex!$D$10-1&gt;=AB$2,Book!$I$150/Capex!$D$10,0))+IF(Capex!$F$11="Y",IF($A411+Capex!$D$11-1&gt;=AB$2,Book!$I$186/Capex!$D$11,0))+IF(Capex!$F$12="Y",IF($A411+Capex!$D$12-1&gt;=AB$2,Book!$I$222/Capex!$D$12,0))+IF(Capex!$F$13="Y",IF($A411+Capex!$D$13-1&gt;=AB$2,Book!$I$258/Capex!$D$13,0))+IF(Capex!$F$14="Y",IF($A411+Capex!$D$14-1&gt;=AB$2,Book!$I$14/Capex!$D$255,0))+IF(Capex!$F$15="Y",IF($A411+Capex!$D$15-1&gt;=AB$2,Book!$I$330/Capex!$D$15,0)))*$I$401</f>
        <v>0</v>
      </c>
      <c r="AC411" s="4">
        <f>(IF(Capex!$F$6="Y",IF($A411+Capex!$D$6-1&gt;=AC$2,Book!$I$6/Capex!$D$6,0))+IF(Capex!$F$7="Y",IF($A411+Capex!$D$7-1&gt;=AC$2,Book!$I$42/Capex!$D$7,0))+IF(Capex!$F$8="Y",IF($A411+Capex!$D$8-1&gt;=AC$2,Book!$I$78/Capex!$D$8,0))+IF(Capex!$F$9="Y",IF($A411+Capex!$D$9-1&gt;=AC$2,Book!$I$114/Capex!$D$9,0))+IF(Capex!$F$10="Y",IF($A411+Capex!$D$10-1&gt;=AC$2,Book!$I$150/Capex!$D$10,0))+IF(Capex!$F$11="Y",IF($A411+Capex!$D$11-1&gt;=AC$2,Book!$I$186/Capex!$D$11,0))+IF(Capex!$F$12="Y",IF($A411+Capex!$D$12-1&gt;=AC$2,Book!$I$222/Capex!$D$12,0))+IF(Capex!$F$13="Y",IF($A411+Capex!$D$13-1&gt;=AC$2,Book!$I$258/Capex!$D$13,0))+IF(Capex!$F$14="Y",IF($A411+Capex!$D$14-1&gt;=AC$2,Book!$I$14/Capex!$D$255,0))+IF(Capex!$F$15="Y",IF($A411+Capex!$D$15-1&gt;=AC$2,Book!$I$330/Capex!$D$15,0)))*$I$401</f>
        <v>0</v>
      </c>
      <c r="AD411" s="4">
        <f>(IF(Capex!$F$6="Y",IF($A411+Capex!$D$6-1&gt;=AD$2,Book!$I$6/Capex!$D$6,0))+IF(Capex!$F$7="Y",IF($A411+Capex!$D$7-1&gt;=AD$2,Book!$I$42/Capex!$D$7,0))+IF(Capex!$F$8="Y",IF($A411+Capex!$D$8-1&gt;=AD$2,Book!$I$78/Capex!$D$8,0))+IF(Capex!$F$9="Y",IF($A411+Capex!$D$9-1&gt;=AD$2,Book!$I$114/Capex!$D$9,0))+IF(Capex!$F$10="Y",IF($A411+Capex!$D$10-1&gt;=AD$2,Book!$I$150/Capex!$D$10,0))+IF(Capex!$F$11="Y",IF($A411+Capex!$D$11-1&gt;=AD$2,Book!$I$186/Capex!$D$11,0))+IF(Capex!$F$12="Y",IF($A411+Capex!$D$12-1&gt;=AD$2,Book!$I$222/Capex!$D$12,0))+IF(Capex!$F$13="Y",IF($A411+Capex!$D$13-1&gt;=AD$2,Book!$I$258/Capex!$D$13,0))+IF(Capex!$F$14="Y",IF($A411+Capex!$D$14-1&gt;=AD$2,Book!$I$14/Capex!$D$255,0))+IF(Capex!$F$15="Y",IF($A411+Capex!$D$15-1&gt;=AD$2,Book!$I$330/Capex!$D$15,0)))*$I$401</f>
        <v>0</v>
      </c>
      <c r="AE411" s="4">
        <f>(IF(Capex!$F$6="Y",IF($A411+Capex!$D$6-1&gt;=AE$2,Book!$I$6/Capex!$D$6,0))+IF(Capex!$F$7="Y",IF($A411+Capex!$D$7-1&gt;=AE$2,Book!$I$42/Capex!$D$7,0))+IF(Capex!$F$8="Y",IF($A411+Capex!$D$8-1&gt;=AE$2,Book!$I$78/Capex!$D$8,0))+IF(Capex!$F$9="Y",IF($A411+Capex!$D$9-1&gt;=AE$2,Book!$I$114/Capex!$D$9,0))+IF(Capex!$F$10="Y",IF($A411+Capex!$D$10-1&gt;=AE$2,Book!$I$150/Capex!$D$10,0))+IF(Capex!$F$11="Y",IF($A411+Capex!$D$11-1&gt;=AE$2,Book!$I$186/Capex!$D$11,0))+IF(Capex!$F$12="Y",IF($A411+Capex!$D$12-1&gt;=AE$2,Book!$I$222/Capex!$D$12,0))+IF(Capex!$F$13="Y",IF($A411+Capex!$D$13-1&gt;=AE$2,Book!$I$258/Capex!$D$13,0))+IF(Capex!$F$14="Y",IF($A411+Capex!$D$14-1&gt;=AE$2,Book!$I$14/Capex!$D$255,0))+IF(Capex!$F$15="Y",IF($A411+Capex!$D$15-1&gt;=AE$2,Book!$I$330/Capex!$D$15,0)))*$I$401</f>
        <v>0</v>
      </c>
      <c r="AF411" s="4">
        <f>(IF(Capex!$F$6="Y",IF($A411+Capex!$D$6-1&gt;=AF$2,Book!$I$6/Capex!$D$6,0))+IF(Capex!$F$7="Y",IF($A411+Capex!$D$7-1&gt;=AF$2,Book!$I$42/Capex!$D$7,0))+IF(Capex!$F$8="Y",IF($A411+Capex!$D$8-1&gt;=AF$2,Book!$I$78/Capex!$D$8,0))+IF(Capex!$F$9="Y",IF($A411+Capex!$D$9-1&gt;=AF$2,Book!$I$114/Capex!$D$9,0))+IF(Capex!$F$10="Y",IF($A411+Capex!$D$10-1&gt;=AF$2,Book!$I$150/Capex!$D$10,0))+IF(Capex!$F$11="Y",IF($A411+Capex!$D$11-1&gt;=AF$2,Book!$I$186/Capex!$D$11,0))+IF(Capex!$F$12="Y",IF($A411+Capex!$D$12-1&gt;=AF$2,Book!$I$222/Capex!$D$12,0))+IF(Capex!$F$13="Y",IF($A411+Capex!$D$13-1&gt;=AF$2,Book!$I$258/Capex!$D$13,0))+IF(Capex!$F$14="Y",IF($A411+Capex!$D$14-1&gt;=AF$2,Book!$I$14/Capex!$D$255,0))+IF(Capex!$F$15="Y",IF($A411+Capex!$D$15-1&gt;=AF$2,Book!$I$330/Capex!$D$15,0)))*$I$401</f>
        <v>0</v>
      </c>
      <c r="AG411" s="4">
        <f t="shared" si="130"/>
        <v>0</v>
      </c>
      <c r="AH411" s="252">
        <f t="shared" si="132"/>
        <v>0</v>
      </c>
    </row>
    <row r="412" spans="1:34">
      <c r="A412" s="718">
        <f t="shared" si="129"/>
        <v>2029</v>
      </c>
      <c r="B412" s="4">
        <f t="shared" si="131"/>
        <v>0</v>
      </c>
      <c r="J412" s="4">
        <f>(IF(Capex!$F$6="Y",IF($A412+Capex!$D$6-1&gt;=J$2,Book!$J$6/Capex!$D$6,0))+IF(Capex!$F$7="Y",IF($A412+Capex!$D$7-1&gt;=J$2,Book!$J$42/Capex!$D$7,0))+IF(Capex!$F$8="Y",IF($A412+Capex!$D$8-1&gt;=J$2,Book!$J$78/Capex!$D$8,0))+IF(Capex!$F$9="Y",IF($A412+Capex!$D$9-1&gt;=J$2,Book!$J$114/Capex!$D$9,0))+IF(Capex!$F$10="Y",IF($A412+Capex!$D$10-1&gt;=J$2,Book!$J$150/Capex!$D$10,0))+IF(Capex!$F$11="Y",IF($A412+Capex!$D$11-1&gt;=J$2,Book!$J$186/Capex!$D$11,0))+IF(Capex!$F$12="Y",IF($A412+Capex!$D$12-1&gt;=J$2,Book!$J$222/Capex!$D$12,0))+IF(Capex!$F$13="Y",IF($A412+Capex!$D$13-1&gt;=J$2,Book!$J$258/Capex!$D$13,0))+IF(Capex!$F$14="Y",IF($A412+Capex!$D$14-1&gt;=J$2,Book!$J$14/Capex!$D$255,0))+IF(Capex!$F$15="Y",IF($A412+Capex!$D$15-1&gt;=J$2,Book!$J$330/Capex!$D$15,0)))*$J$401</f>
        <v>0</v>
      </c>
      <c r="K412" s="4">
        <f>(IF(Capex!$F$6="Y",IF($A412+Capex!$D$6-1&gt;=K$2,Book!$J$6/Capex!$D$6,0))+IF(Capex!$F$7="Y",IF($A412+Capex!$D$7-1&gt;=K$2,Book!$J$42/Capex!$D$7,0))+IF(Capex!$F$8="Y",IF($A412+Capex!$D$8-1&gt;=K$2,Book!$J$78/Capex!$D$8,0))+IF(Capex!$F$9="Y",IF($A412+Capex!$D$9-1&gt;=K$2,Book!$J$114/Capex!$D$9,0))+IF(Capex!$F$10="Y",IF($A412+Capex!$D$10-1&gt;=K$2,Book!$J$150/Capex!$D$10,0))+IF(Capex!$F$11="Y",IF($A412+Capex!$D$11-1&gt;=K$2,Book!$J$186/Capex!$D$11,0))+IF(Capex!$F$12="Y",IF($A412+Capex!$D$12-1&gt;=K$2,Book!$J$222/Capex!$D$12,0))+IF(Capex!$F$13="Y",IF($A412+Capex!$D$13-1&gt;=K$2,Book!$J$258/Capex!$D$13,0))+IF(Capex!$F$14="Y",IF($A412+Capex!$D$14-1&gt;=K$2,Book!$J$14/Capex!$D$255,0))+IF(Capex!$F$15="Y",IF($A412+Capex!$D$15-1&gt;=K$2,Book!$J$330/Capex!$D$15,0)))*$J$401</f>
        <v>0</v>
      </c>
      <c r="L412" s="4">
        <f>(IF(Capex!$F$6="Y",IF($A412+Capex!$D$6-1&gt;=L$2,Book!$J$6/Capex!$D$6,0))+IF(Capex!$F$7="Y",IF($A412+Capex!$D$7-1&gt;=L$2,Book!$J$42/Capex!$D$7,0))+IF(Capex!$F$8="Y",IF($A412+Capex!$D$8-1&gt;=L$2,Book!$J$78/Capex!$D$8,0))+IF(Capex!$F$9="Y",IF($A412+Capex!$D$9-1&gt;=L$2,Book!$J$114/Capex!$D$9,0))+IF(Capex!$F$10="Y",IF($A412+Capex!$D$10-1&gt;=L$2,Book!$J$150/Capex!$D$10,0))+IF(Capex!$F$11="Y",IF($A412+Capex!$D$11-1&gt;=L$2,Book!$J$186/Capex!$D$11,0))+IF(Capex!$F$12="Y",IF($A412+Capex!$D$12-1&gt;=L$2,Book!$J$222/Capex!$D$12,0))+IF(Capex!$F$13="Y",IF($A412+Capex!$D$13-1&gt;=L$2,Book!$J$258/Capex!$D$13,0))+IF(Capex!$F$14="Y",IF($A412+Capex!$D$14-1&gt;=L$2,Book!$J$14/Capex!$D$255,0))+IF(Capex!$F$15="Y",IF($A412+Capex!$D$15-1&gt;=L$2,Book!$J$330/Capex!$D$15,0)))*$J$401</f>
        <v>0</v>
      </c>
      <c r="M412" s="4">
        <f>(IF(Capex!$F$6="Y",IF($A412+Capex!$D$6-1&gt;=M$2,Book!$J$6/Capex!$D$6,0))+IF(Capex!$F$7="Y",IF($A412+Capex!$D$7-1&gt;=M$2,Book!$J$42/Capex!$D$7,0))+IF(Capex!$F$8="Y",IF($A412+Capex!$D$8-1&gt;=M$2,Book!$J$78/Capex!$D$8,0))+IF(Capex!$F$9="Y",IF($A412+Capex!$D$9-1&gt;=M$2,Book!$J$114/Capex!$D$9,0))+IF(Capex!$F$10="Y",IF($A412+Capex!$D$10-1&gt;=M$2,Book!$J$150/Capex!$D$10,0))+IF(Capex!$F$11="Y",IF($A412+Capex!$D$11-1&gt;=M$2,Book!$J$186/Capex!$D$11,0))+IF(Capex!$F$12="Y",IF($A412+Capex!$D$12-1&gt;=M$2,Book!$J$222/Capex!$D$12,0))+IF(Capex!$F$13="Y",IF($A412+Capex!$D$13-1&gt;=M$2,Book!$J$258/Capex!$D$13,0))+IF(Capex!$F$14="Y",IF($A412+Capex!$D$14-1&gt;=M$2,Book!$J$14/Capex!$D$255,0))+IF(Capex!$F$15="Y",IF($A412+Capex!$D$15-1&gt;=M$2,Book!$J$330/Capex!$D$15,0)))*$J$401</f>
        <v>0</v>
      </c>
      <c r="N412" s="4">
        <f>(IF(Capex!$F$6="Y",IF($A412+Capex!$D$6-1&gt;=N$2,Book!$J$6/Capex!$D$6,0))+IF(Capex!$F$7="Y",IF($A412+Capex!$D$7-1&gt;=N$2,Book!$J$42/Capex!$D$7,0))+IF(Capex!$F$8="Y",IF($A412+Capex!$D$8-1&gt;=N$2,Book!$J$78/Capex!$D$8,0))+IF(Capex!$F$9="Y",IF($A412+Capex!$D$9-1&gt;=N$2,Book!$J$114/Capex!$D$9,0))+IF(Capex!$F$10="Y",IF($A412+Capex!$D$10-1&gt;=N$2,Book!$J$150/Capex!$D$10,0))+IF(Capex!$F$11="Y",IF($A412+Capex!$D$11-1&gt;=N$2,Book!$J$186/Capex!$D$11,0))+IF(Capex!$F$12="Y",IF($A412+Capex!$D$12-1&gt;=N$2,Book!$J$222/Capex!$D$12,0))+IF(Capex!$F$13="Y",IF($A412+Capex!$D$13-1&gt;=N$2,Book!$J$258/Capex!$D$13,0))+IF(Capex!$F$14="Y",IF($A412+Capex!$D$14-1&gt;=N$2,Book!$J$14/Capex!$D$255,0))+IF(Capex!$F$15="Y",IF($A412+Capex!$D$15-1&gt;=N$2,Book!$J$330/Capex!$D$15,0)))*$J$401</f>
        <v>0</v>
      </c>
      <c r="O412" s="4">
        <f>(IF(Capex!$F$6="Y",IF($A412+Capex!$D$6-1&gt;=O$2,Book!$J$6/Capex!$D$6,0))+IF(Capex!$F$7="Y",IF($A412+Capex!$D$7-1&gt;=O$2,Book!$J$42/Capex!$D$7,0))+IF(Capex!$F$8="Y",IF($A412+Capex!$D$8-1&gt;=O$2,Book!$J$78/Capex!$D$8,0))+IF(Capex!$F$9="Y",IF($A412+Capex!$D$9-1&gt;=O$2,Book!$J$114/Capex!$D$9,0))+IF(Capex!$F$10="Y",IF($A412+Capex!$D$10-1&gt;=O$2,Book!$J$150/Capex!$D$10,0))+IF(Capex!$F$11="Y",IF($A412+Capex!$D$11-1&gt;=O$2,Book!$J$186/Capex!$D$11,0))+IF(Capex!$F$12="Y",IF($A412+Capex!$D$12-1&gt;=O$2,Book!$J$222/Capex!$D$12,0))+IF(Capex!$F$13="Y",IF($A412+Capex!$D$13-1&gt;=O$2,Book!$J$258/Capex!$D$13,0))+IF(Capex!$F$14="Y",IF($A412+Capex!$D$14-1&gt;=O$2,Book!$J$14/Capex!$D$255,0))+IF(Capex!$F$15="Y",IF($A412+Capex!$D$15-1&gt;=O$2,Book!$J$330/Capex!$D$15,0)))*$J$401</f>
        <v>0</v>
      </c>
      <c r="P412" s="4">
        <f>(IF(Capex!$F$6="Y",IF($A412+Capex!$D$6-1&gt;=P$2,Book!$J$6/Capex!$D$6,0))+IF(Capex!$F$7="Y",IF($A412+Capex!$D$7-1&gt;=P$2,Book!$J$42/Capex!$D$7,0))+IF(Capex!$F$8="Y",IF($A412+Capex!$D$8-1&gt;=P$2,Book!$J$78/Capex!$D$8,0))+IF(Capex!$F$9="Y",IF($A412+Capex!$D$9-1&gt;=P$2,Book!$J$114/Capex!$D$9,0))+IF(Capex!$F$10="Y",IF($A412+Capex!$D$10-1&gt;=P$2,Book!$J$150/Capex!$D$10,0))+IF(Capex!$F$11="Y",IF($A412+Capex!$D$11-1&gt;=P$2,Book!$J$186/Capex!$D$11,0))+IF(Capex!$F$12="Y",IF($A412+Capex!$D$12-1&gt;=P$2,Book!$J$222/Capex!$D$12,0))+IF(Capex!$F$13="Y",IF($A412+Capex!$D$13-1&gt;=P$2,Book!$J$258/Capex!$D$13,0))+IF(Capex!$F$14="Y",IF($A412+Capex!$D$14-1&gt;=P$2,Book!$J$14/Capex!$D$255,0))+IF(Capex!$F$15="Y",IF($A412+Capex!$D$15-1&gt;=P$2,Book!$J$330/Capex!$D$15,0)))*$J$401</f>
        <v>0</v>
      </c>
      <c r="Q412" s="4">
        <f>(IF(Capex!$F$6="Y",IF($A412+Capex!$D$6-1&gt;=Q$2,Book!$J$6/Capex!$D$6,0))+IF(Capex!$F$7="Y",IF($A412+Capex!$D$7-1&gt;=Q$2,Book!$J$42/Capex!$D$7,0))+IF(Capex!$F$8="Y",IF($A412+Capex!$D$8-1&gt;=Q$2,Book!$J$78/Capex!$D$8,0))+IF(Capex!$F$9="Y",IF($A412+Capex!$D$9-1&gt;=Q$2,Book!$J$114/Capex!$D$9,0))+IF(Capex!$F$10="Y",IF($A412+Capex!$D$10-1&gt;=Q$2,Book!$J$150/Capex!$D$10,0))+IF(Capex!$F$11="Y",IF($A412+Capex!$D$11-1&gt;=Q$2,Book!$J$186/Capex!$D$11,0))+IF(Capex!$F$12="Y",IF($A412+Capex!$D$12-1&gt;=Q$2,Book!$J$222/Capex!$D$12,0))+IF(Capex!$F$13="Y",IF($A412+Capex!$D$13-1&gt;=Q$2,Book!$J$258/Capex!$D$13,0))+IF(Capex!$F$14="Y",IF($A412+Capex!$D$14-1&gt;=Q$2,Book!$J$14/Capex!$D$255,0))+IF(Capex!$F$15="Y",IF($A412+Capex!$D$15-1&gt;=Q$2,Book!$J$330/Capex!$D$15,0)))*$J$401</f>
        <v>0</v>
      </c>
      <c r="R412" s="4">
        <f>(IF(Capex!$F$6="Y",IF($A412+Capex!$D$6-1&gt;=R$2,Book!$J$6/Capex!$D$6,0))+IF(Capex!$F$7="Y",IF($A412+Capex!$D$7-1&gt;=R$2,Book!$J$42/Capex!$D$7,0))+IF(Capex!$F$8="Y",IF($A412+Capex!$D$8-1&gt;=R$2,Book!$J$78/Capex!$D$8,0))+IF(Capex!$F$9="Y",IF($A412+Capex!$D$9-1&gt;=R$2,Book!$J$114/Capex!$D$9,0))+IF(Capex!$F$10="Y",IF($A412+Capex!$D$10-1&gt;=R$2,Book!$J$150/Capex!$D$10,0))+IF(Capex!$F$11="Y",IF($A412+Capex!$D$11-1&gt;=R$2,Book!$J$186/Capex!$D$11,0))+IF(Capex!$F$12="Y",IF($A412+Capex!$D$12-1&gt;=R$2,Book!$J$222/Capex!$D$12,0))+IF(Capex!$F$13="Y",IF($A412+Capex!$D$13-1&gt;=R$2,Book!$J$258/Capex!$D$13,0))+IF(Capex!$F$14="Y",IF($A412+Capex!$D$14-1&gt;=R$2,Book!$J$14/Capex!$D$255,0))+IF(Capex!$F$15="Y",IF($A412+Capex!$D$15-1&gt;=R$2,Book!$J$330/Capex!$D$15,0)))*$J$401</f>
        <v>0</v>
      </c>
      <c r="S412" s="4">
        <f>(IF(Capex!$F$6="Y",IF($A412+Capex!$D$6-1&gt;=S$2,Book!$J$6/Capex!$D$6,0))+IF(Capex!$F$7="Y",IF($A412+Capex!$D$7-1&gt;=S$2,Book!$J$42/Capex!$D$7,0))+IF(Capex!$F$8="Y",IF($A412+Capex!$D$8-1&gt;=S$2,Book!$J$78/Capex!$D$8,0))+IF(Capex!$F$9="Y",IF($A412+Capex!$D$9-1&gt;=S$2,Book!$J$114/Capex!$D$9,0))+IF(Capex!$F$10="Y",IF($A412+Capex!$D$10-1&gt;=S$2,Book!$J$150/Capex!$D$10,0))+IF(Capex!$F$11="Y",IF($A412+Capex!$D$11-1&gt;=S$2,Book!$J$186/Capex!$D$11,0))+IF(Capex!$F$12="Y",IF($A412+Capex!$D$12-1&gt;=S$2,Book!$J$222/Capex!$D$12,0))+IF(Capex!$F$13="Y",IF($A412+Capex!$D$13-1&gt;=S$2,Book!$J$258/Capex!$D$13,0))+IF(Capex!$F$14="Y",IF($A412+Capex!$D$14-1&gt;=S$2,Book!$J$14/Capex!$D$255,0))+IF(Capex!$F$15="Y",IF($A412+Capex!$D$15-1&gt;=S$2,Book!$J$330/Capex!$D$15,0)))*$J$401</f>
        <v>0</v>
      </c>
      <c r="T412" s="4">
        <f>(IF(Capex!$F$6="Y",IF($A412+Capex!$D$6-1&gt;=T$2,Book!$J$6/Capex!$D$6,0))+IF(Capex!$F$7="Y",IF($A412+Capex!$D$7-1&gt;=T$2,Book!$J$42/Capex!$D$7,0))+IF(Capex!$F$8="Y",IF($A412+Capex!$D$8-1&gt;=T$2,Book!$J$78/Capex!$D$8,0))+IF(Capex!$F$9="Y",IF($A412+Capex!$D$9-1&gt;=T$2,Book!$J$114/Capex!$D$9,0))+IF(Capex!$F$10="Y",IF($A412+Capex!$D$10-1&gt;=T$2,Book!$J$150/Capex!$D$10,0))+IF(Capex!$F$11="Y",IF($A412+Capex!$D$11-1&gt;=T$2,Book!$J$186/Capex!$D$11,0))+IF(Capex!$F$12="Y",IF($A412+Capex!$D$12-1&gt;=T$2,Book!$J$222/Capex!$D$12,0))+IF(Capex!$F$13="Y",IF($A412+Capex!$D$13-1&gt;=T$2,Book!$J$258/Capex!$D$13,0))+IF(Capex!$F$14="Y",IF($A412+Capex!$D$14-1&gt;=T$2,Book!$J$14/Capex!$D$255,0))+IF(Capex!$F$15="Y",IF($A412+Capex!$D$15-1&gt;=T$2,Book!$J$330/Capex!$D$15,0)))*$J$401</f>
        <v>0</v>
      </c>
      <c r="U412" s="4">
        <f>(IF(Capex!$F$6="Y",IF($A412+Capex!$D$6-1&gt;=U$2,Book!$J$6/Capex!$D$6,0))+IF(Capex!$F$7="Y",IF($A412+Capex!$D$7-1&gt;=U$2,Book!$J$42/Capex!$D$7,0))+IF(Capex!$F$8="Y",IF($A412+Capex!$D$8-1&gt;=U$2,Book!$J$78/Capex!$D$8,0))+IF(Capex!$F$9="Y",IF($A412+Capex!$D$9-1&gt;=U$2,Book!$J$114/Capex!$D$9,0))+IF(Capex!$F$10="Y",IF($A412+Capex!$D$10-1&gt;=U$2,Book!$J$150/Capex!$D$10,0))+IF(Capex!$F$11="Y",IF($A412+Capex!$D$11-1&gt;=U$2,Book!$J$186/Capex!$D$11,0))+IF(Capex!$F$12="Y",IF($A412+Capex!$D$12-1&gt;=U$2,Book!$J$222/Capex!$D$12,0))+IF(Capex!$F$13="Y",IF($A412+Capex!$D$13-1&gt;=U$2,Book!$J$258/Capex!$D$13,0))+IF(Capex!$F$14="Y",IF($A412+Capex!$D$14-1&gt;=U$2,Book!$J$14/Capex!$D$255,0))+IF(Capex!$F$15="Y",IF($A412+Capex!$D$15-1&gt;=U$2,Book!$J$330/Capex!$D$15,0)))*$J$401</f>
        <v>0</v>
      </c>
      <c r="V412" s="4">
        <f>(IF(Capex!$F$6="Y",IF($A412+Capex!$D$6-1&gt;=V$2,Book!$J$6/Capex!$D$6,0))+IF(Capex!$F$7="Y",IF($A412+Capex!$D$7-1&gt;=V$2,Book!$J$42/Capex!$D$7,0))+IF(Capex!$F$8="Y",IF($A412+Capex!$D$8-1&gt;=V$2,Book!$J$78/Capex!$D$8,0))+IF(Capex!$F$9="Y",IF($A412+Capex!$D$9-1&gt;=V$2,Book!$J$114/Capex!$D$9,0))+IF(Capex!$F$10="Y",IF($A412+Capex!$D$10-1&gt;=V$2,Book!$J$150/Capex!$D$10,0))+IF(Capex!$F$11="Y",IF($A412+Capex!$D$11-1&gt;=V$2,Book!$J$186/Capex!$D$11,0))+IF(Capex!$F$12="Y",IF($A412+Capex!$D$12-1&gt;=V$2,Book!$J$222/Capex!$D$12,0))+IF(Capex!$F$13="Y",IF($A412+Capex!$D$13-1&gt;=V$2,Book!$J$258/Capex!$D$13,0))+IF(Capex!$F$14="Y",IF($A412+Capex!$D$14-1&gt;=V$2,Book!$J$14/Capex!$D$255,0))+IF(Capex!$F$15="Y",IF($A412+Capex!$D$15-1&gt;=V$2,Book!$J$330/Capex!$D$15,0)))*$J$401</f>
        <v>0</v>
      </c>
      <c r="W412" s="4">
        <f>(IF(Capex!$F$6="Y",IF($A412+Capex!$D$6-1&gt;=W$2,Book!$J$6/Capex!$D$6,0))+IF(Capex!$F$7="Y",IF($A412+Capex!$D$7-1&gt;=W$2,Book!$J$42/Capex!$D$7,0))+IF(Capex!$F$8="Y",IF($A412+Capex!$D$8-1&gt;=W$2,Book!$J$78/Capex!$D$8,0))+IF(Capex!$F$9="Y",IF($A412+Capex!$D$9-1&gt;=W$2,Book!$J$114/Capex!$D$9,0))+IF(Capex!$F$10="Y",IF($A412+Capex!$D$10-1&gt;=W$2,Book!$J$150/Capex!$D$10,0))+IF(Capex!$F$11="Y",IF($A412+Capex!$D$11-1&gt;=W$2,Book!$J$186/Capex!$D$11,0))+IF(Capex!$F$12="Y",IF($A412+Capex!$D$12-1&gt;=W$2,Book!$J$222/Capex!$D$12,0))+IF(Capex!$F$13="Y",IF($A412+Capex!$D$13-1&gt;=W$2,Book!$J$258/Capex!$D$13,0))+IF(Capex!$F$14="Y",IF($A412+Capex!$D$14-1&gt;=W$2,Book!$J$14/Capex!$D$255,0))+IF(Capex!$F$15="Y",IF($A412+Capex!$D$15-1&gt;=W$2,Book!$J$330/Capex!$D$15,0)))*$J$401</f>
        <v>0</v>
      </c>
      <c r="X412" s="4">
        <f>(IF(Capex!$F$6="Y",IF($A412+Capex!$D$6-1&gt;=X$2,Book!$J$6/Capex!$D$6,0))+IF(Capex!$F$7="Y",IF($A412+Capex!$D$7-1&gt;=X$2,Book!$J$42/Capex!$D$7,0))+IF(Capex!$F$8="Y",IF($A412+Capex!$D$8-1&gt;=X$2,Book!$J$78/Capex!$D$8,0))+IF(Capex!$F$9="Y",IF($A412+Capex!$D$9-1&gt;=X$2,Book!$J$114/Capex!$D$9,0))+IF(Capex!$F$10="Y",IF($A412+Capex!$D$10-1&gt;=X$2,Book!$J$150/Capex!$D$10,0))+IF(Capex!$F$11="Y",IF($A412+Capex!$D$11-1&gt;=X$2,Book!$J$186/Capex!$D$11,0))+IF(Capex!$F$12="Y",IF($A412+Capex!$D$12-1&gt;=X$2,Book!$J$222/Capex!$D$12,0))+IF(Capex!$F$13="Y",IF($A412+Capex!$D$13-1&gt;=X$2,Book!$J$258/Capex!$D$13,0))+IF(Capex!$F$14="Y",IF($A412+Capex!$D$14-1&gt;=X$2,Book!$J$14/Capex!$D$255,0))+IF(Capex!$F$15="Y",IF($A412+Capex!$D$15-1&gt;=X$2,Book!$J$330/Capex!$D$15,0)))*$J$401</f>
        <v>0</v>
      </c>
      <c r="Y412" s="4">
        <f>(IF(Capex!$F$6="Y",IF($A412+Capex!$D$6-1&gt;=Y$2,Book!$J$6/Capex!$D$6,0))+IF(Capex!$F$7="Y",IF($A412+Capex!$D$7-1&gt;=Y$2,Book!$J$42/Capex!$D$7,0))+IF(Capex!$F$8="Y",IF($A412+Capex!$D$8-1&gt;=Y$2,Book!$J$78/Capex!$D$8,0))+IF(Capex!$F$9="Y",IF($A412+Capex!$D$9-1&gt;=Y$2,Book!$J$114/Capex!$D$9,0))+IF(Capex!$F$10="Y",IF($A412+Capex!$D$10-1&gt;=Y$2,Book!$J$150/Capex!$D$10,0))+IF(Capex!$F$11="Y",IF($A412+Capex!$D$11-1&gt;=Y$2,Book!$J$186/Capex!$D$11,0))+IF(Capex!$F$12="Y",IF($A412+Capex!$D$12-1&gt;=Y$2,Book!$J$222/Capex!$D$12,0))+IF(Capex!$F$13="Y",IF($A412+Capex!$D$13-1&gt;=Y$2,Book!$J$258/Capex!$D$13,0))+IF(Capex!$F$14="Y",IF($A412+Capex!$D$14-1&gt;=Y$2,Book!$J$14/Capex!$D$255,0))+IF(Capex!$F$15="Y",IF($A412+Capex!$D$15-1&gt;=Y$2,Book!$J$330/Capex!$D$15,0)))*$J$401</f>
        <v>0</v>
      </c>
      <c r="Z412" s="4">
        <f>(IF(Capex!$F$6="Y",IF($A412+Capex!$D$6-1&gt;=Z$2,Book!$J$6/Capex!$D$6,0))+IF(Capex!$F$7="Y",IF($A412+Capex!$D$7-1&gt;=Z$2,Book!$J$42/Capex!$D$7,0))+IF(Capex!$F$8="Y",IF($A412+Capex!$D$8-1&gt;=Z$2,Book!$J$78/Capex!$D$8,0))+IF(Capex!$F$9="Y",IF($A412+Capex!$D$9-1&gt;=Z$2,Book!$J$114/Capex!$D$9,0))+IF(Capex!$F$10="Y",IF($A412+Capex!$D$10-1&gt;=Z$2,Book!$J$150/Capex!$D$10,0))+IF(Capex!$F$11="Y",IF($A412+Capex!$D$11-1&gt;=Z$2,Book!$J$186/Capex!$D$11,0))+IF(Capex!$F$12="Y",IF($A412+Capex!$D$12-1&gt;=Z$2,Book!$J$222/Capex!$D$12,0))+IF(Capex!$F$13="Y",IF($A412+Capex!$D$13-1&gt;=Z$2,Book!$J$258/Capex!$D$13,0))+IF(Capex!$F$14="Y",IF($A412+Capex!$D$14-1&gt;=Z$2,Book!$J$14/Capex!$D$255,0))+IF(Capex!$F$15="Y",IF($A412+Capex!$D$15-1&gt;=Z$2,Book!$J$330/Capex!$D$15,0)))*$J$401</f>
        <v>0</v>
      </c>
      <c r="AA412" s="4">
        <f>(IF(Capex!$F$6="Y",IF($A412+Capex!$D$6-1&gt;=AA$2,Book!$J$6/Capex!$D$6,0))+IF(Capex!$F$7="Y",IF($A412+Capex!$D$7-1&gt;=AA$2,Book!$J$42/Capex!$D$7,0))+IF(Capex!$F$8="Y",IF($A412+Capex!$D$8-1&gt;=AA$2,Book!$J$78/Capex!$D$8,0))+IF(Capex!$F$9="Y",IF($A412+Capex!$D$9-1&gt;=AA$2,Book!$J$114/Capex!$D$9,0))+IF(Capex!$F$10="Y",IF($A412+Capex!$D$10-1&gt;=AA$2,Book!$J$150/Capex!$D$10,0))+IF(Capex!$F$11="Y",IF($A412+Capex!$D$11-1&gt;=AA$2,Book!$J$186/Capex!$D$11,0))+IF(Capex!$F$12="Y",IF($A412+Capex!$D$12-1&gt;=AA$2,Book!$J$222/Capex!$D$12,0))+IF(Capex!$F$13="Y",IF($A412+Capex!$D$13-1&gt;=AA$2,Book!$J$258/Capex!$D$13,0))+IF(Capex!$F$14="Y",IF($A412+Capex!$D$14-1&gt;=AA$2,Book!$J$14/Capex!$D$255,0))+IF(Capex!$F$15="Y",IF($A412+Capex!$D$15-1&gt;=AA$2,Book!$J$330/Capex!$D$15,0)))*$J$401</f>
        <v>0</v>
      </c>
      <c r="AB412" s="4">
        <f>(IF(Capex!$F$6="Y",IF($A412+Capex!$D$6-1&gt;=AB$2,Book!$J$6/Capex!$D$6,0))+IF(Capex!$F$7="Y",IF($A412+Capex!$D$7-1&gt;=AB$2,Book!$J$42/Capex!$D$7,0))+IF(Capex!$F$8="Y",IF($A412+Capex!$D$8-1&gt;=AB$2,Book!$J$78/Capex!$D$8,0))+IF(Capex!$F$9="Y",IF($A412+Capex!$D$9-1&gt;=AB$2,Book!$J$114/Capex!$D$9,0))+IF(Capex!$F$10="Y",IF($A412+Capex!$D$10-1&gt;=AB$2,Book!$J$150/Capex!$D$10,0))+IF(Capex!$F$11="Y",IF($A412+Capex!$D$11-1&gt;=AB$2,Book!$J$186/Capex!$D$11,0))+IF(Capex!$F$12="Y",IF($A412+Capex!$D$12-1&gt;=AB$2,Book!$J$222/Capex!$D$12,0))+IF(Capex!$F$13="Y",IF($A412+Capex!$D$13-1&gt;=AB$2,Book!$J$258/Capex!$D$13,0))+IF(Capex!$F$14="Y",IF($A412+Capex!$D$14-1&gt;=AB$2,Book!$J$14/Capex!$D$255,0))+IF(Capex!$F$15="Y",IF($A412+Capex!$D$15-1&gt;=AB$2,Book!$J$330/Capex!$D$15,0)))*$J$401</f>
        <v>0</v>
      </c>
      <c r="AC412" s="4">
        <f>(IF(Capex!$F$6="Y",IF($A412+Capex!$D$6-1&gt;=AC$2,Book!$J$6/Capex!$D$6,0))+IF(Capex!$F$7="Y",IF($A412+Capex!$D$7-1&gt;=AC$2,Book!$J$42/Capex!$D$7,0))+IF(Capex!$F$8="Y",IF($A412+Capex!$D$8-1&gt;=AC$2,Book!$J$78/Capex!$D$8,0))+IF(Capex!$F$9="Y",IF($A412+Capex!$D$9-1&gt;=AC$2,Book!$J$114/Capex!$D$9,0))+IF(Capex!$F$10="Y",IF($A412+Capex!$D$10-1&gt;=AC$2,Book!$J$150/Capex!$D$10,0))+IF(Capex!$F$11="Y",IF($A412+Capex!$D$11-1&gt;=AC$2,Book!$J$186/Capex!$D$11,0))+IF(Capex!$F$12="Y",IF($A412+Capex!$D$12-1&gt;=AC$2,Book!$J$222/Capex!$D$12,0))+IF(Capex!$F$13="Y",IF($A412+Capex!$D$13-1&gt;=AC$2,Book!$J$258/Capex!$D$13,0))+IF(Capex!$F$14="Y",IF($A412+Capex!$D$14-1&gt;=AC$2,Book!$J$14/Capex!$D$255,0))+IF(Capex!$F$15="Y",IF($A412+Capex!$D$15-1&gt;=AC$2,Book!$J$330/Capex!$D$15,0)))*$J$401</f>
        <v>0</v>
      </c>
      <c r="AD412" s="4">
        <f>(IF(Capex!$F$6="Y",IF($A412+Capex!$D$6-1&gt;=AD$2,Book!$J$6/Capex!$D$6,0))+IF(Capex!$F$7="Y",IF($A412+Capex!$D$7-1&gt;=AD$2,Book!$J$42/Capex!$D$7,0))+IF(Capex!$F$8="Y",IF($A412+Capex!$D$8-1&gt;=AD$2,Book!$J$78/Capex!$D$8,0))+IF(Capex!$F$9="Y",IF($A412+Capex!$D$9-1&gt;=AD$2,Book!$J$114/Capex!$D$9,0))+IF(Capex!$F$10="Y",IF($A412+Capex!$D$10-1&gt;=AD$2,Book!$J$150/Capex!$D$10,0))+IF(Capex!$F$11="Y",IF($A412+Capex!$D$11-1&gt;=AD$2,Book!$J$186/Capex!$D$11,0))+IF(Capex!$F$12="Y",IF($A412+Capex!$D$12-1&gt;=AD$2,Book!$J$222/Capex!$D$12,0))+IF(Capex!$F$13="Y",IF($A412+Capex!$D$13-1&gt;=AD$2,Book!$J$258/Capex!$D$13,0))+IF(Capex!$F$14="Y",IF($A412+Capex!$D$14-1&gt;=AD$2,Book!$J$14/Capex!$D$255,0))+IF(Capex!$F$15="Y",IF($A412+Capex!$D$15-1&gt;=AD$2,Book!$J$330/Capex!$D$15,0)))*$J$401</f>
        <v>0</v>
      </c>
      <c r="AE412" s="4">
        <f>(IF(Capex!$F$6="Y",IF($A412+Capex!$D$6-1&gt;=AE$2,Book!$J$6/Capex!$D$6,0))+IF(Capex!$F$7="Y",IF($A412+Capex!$D$7-1&gt;=AE$2,Book!$J$42/Capex!$D$7,0))+IF(Capex!$F$8="Y",IF($A412+Capex!$D$8-1&gt;=AE$2,Book!$J$78/Capex!$D$8,0))+IF(Capex!$F$9="Y",IF($A412+Capex!$D$9-1&gt;=AE$2,Book!$J$114/Capex!$D$9,0))+IF(Capex!$F$10="Y",IF($A412+Capex!$D$10-1&gt;=AE$2,Book!$J$150/Capex!$D$10,0))+IF(Capex!$F$11="Y",IF($A412+Capex!$D$11-1&gt;=AE$2,Book!$J$186/Capex!$D$11,0))+IF(Capex!$F$12="Y",IF($A412+Capex!$D$12-1&gt;=AE$2,Book!$J$222/Capex!$D$12,0))+IF(Capex!$F$13="Y",IF($A412+Capex!$D$13-1&gt;=AE$2,Book!$J$258/Capex!$D$13,0))+IF(Capex!$F$14="Y",IF($A412+Capex!$D$14-1&gt;=AE$2,Book!$J$14/Capex!$D$255,0))+IF(Capex!$F$15="Y",IF($A412+Capex!$D$15-1&gt;=AE$2,Book!$J$330/Capex!$D$15,0)))*$J$401</f>
        <v>0</v>
      </c>
      <c r="AF412" s="4">
        <f>(IF(Capex!$F$6="Y",IF($A412+Capex!$D$6-1&gt;=AF$2,Book!$J$6/Capex!$D$6,0))+IF(Capex!$F$7="Y",IF($A412+Capex!$D$7-1&gt;=AF$2,Book!$J$42/Capex!$D$7,0))+IF(Capex!$F$8="Y",IF($A412+Capex!$D$8-1&gt;=AF$2,Book!$J$78/Capex!$D$8,0))+IF(Capex!$F$9="Y",IF($A412+Capex!$D$9-1&gt;=AF$2,Book!$J$114/Capex!$D$9,0))+IF(Capex!$F$10="Y",IF($A412+Capex!$D$10-1&gt;=AF$2,Book!$J$150/Capex!$D$10,0))+IF(Capex!$F$11="Y",IF($A412+Capex!$D$11-1&gt;=AF$2,Book!$J$186/Capex!$D$11,0))+IF(Capex!$F$12="Y",IF($A412+Capex!$D$12-1&gt;=AF$2,Book!$J$222/Capex!$D$12,0))+IF(Capex!$F$13="Y",IF($A412+Capex!$D$13-1&gt;=AF$2,Book!$J$258/Capex!$D$13,0))+IF(Capex!$F$14="Y",IF($A412+Capex!$D$14-1&gt;=AF$2,Book!$J$14/Capex!$D$255,0))+IF(Capex!$F$15="Y",IF($A412+Capex!$D$15-1&gt;=AF$2,Book!$J$330/Capex!$D$15,0)))*$J$401</f>
        <v>0</v>
      </c>
      <c r="AG412" s="4">
        <f t="shared" si="130"/>
        <v>0</v>
      </c>
      <c r="AH412" s="252">
        <f t="shared" si="132"/>
        <v>0</v>
      </c>
    </row>
    <row r="413" spans="1:34">
      <c r="A413" s="718">
        <f t="shared" si="129"/>
        <v>2030</v>
      </c>
      <c r="B413" s="4">
        <f t="shared" si="131"/>
        <v>0</v>
      </c>
      <c r="K413" s="4">
        <f>(IF(Capex!$F$6="Y",IF($A413+Capex!$D$6-1&gt;=K$2,Book!$K$6/Capex!$D$6,0))+IF(Capex!$F$7="Y",IF($A413+Capex!$D$7-1&gt;=K$2,Book!$K$42/Capex!$D$7,0))+IF(Capex!$F$8="Y",IF($A413+Capex!$D$8-1&gt;=K$2,Book!$K$78/Capex!$D$8,0))+IF(Capex!$F$9="Y",IF($A413+Capex!$D$9-1&gt;=K$2,Book!$K$114/Capex!$D$9,0))+IF(Capex!$F$10="Y",IF($A413+Capex!$D$10-1&gt;=K$2,Book!$K$150/Capex!$D$10,0))+IF(Capex!$F$11="Y",IF($A413+Capex!$D$11-1&gt;=K$2,Book!$K$186/Capex!$D$11,0))+IF(Capex!$F$12="Y",IF($A413+Capex!$D$12-1&gt;=K$2,Book!$K$222/Capex!$D$12,0))+IF(Capex!$F$13="Y",IF($A413+Capex!$D$13-1&gt;=K$2,Book!$K$258/Capex!$D$13,0))+IF(Capex!$F$14="Y",IF($A413+Capex!$D$14-1&gt;=K$2,Book!$K$14/Capex!$D$255,0))+IF(Capex!$F$15="Y",IF($A413+Capex!$D$15-1&gt;=K$2,Book!$K$330/Capex!$D$15,0)))*$K$401</f>
        <v>0</v>
      </c>
      <c r="L413" s="4">
        <f>(IF(Capex!$F$6="Y",IF($A413+Capex!$D$6-1&gt;=L$2,Book!$K$6/Capex!$D$6,0))+IF(Capex!$F$7="Y",IF($A413+Capex!$D$7-1&gt;=L$2,Book!$K$42/Capex!$D$7,0))+IF(Capex!$F$8="Y",IF($A413+Capex!$D$8-1&gt;=L$2,Book!$K$78/Capex!$D$8,0))+IF(Capex!$F$9="Y",IF($A413+Capex!$D$9-1&gt;=L$2,Book!$K$114/Capex!$D$9,0))+IF(Capex!$F$10="Y",IF($A413+Capex!$D$10-1&gt;=L$2,Book!$K$150/Capex!$D$10,0))+IF(Capex!$F$11="Y",IF($A413+Capex!$D$11-1&gt;=L$2,Book!$K$186/Capex!$D$11,0))+IF(Capex!$F$12="Y",IF($A413+Capex!$D$12-1&gt;=L$2,Book!$K$222/Capex!$D$12,0))+IF(Capex!$F$13="Y",IF($A413+Capex!$D$13-1&gt;=L$2,Book!$K$258/Capex!$D$13,0))+IF(Capex!$F$14="Y",IF($A413+Capex!$D$14-1&gt;=L$2,Book!$K$14/Capex!$D$255,0))+IF(Capex!$F$15="Y",IF($A413+Capex!$D$15-1&gt;=L$2,Book!$K$330/Capex!$D$15,0)))*$K$401</f>
        <v>0</v>
      </c>
      <c r="M413" s="4">
        <f>(IF(Capex!$F$6="Y",IF($A413+Capex!$D$6-1&gt;=M$2,Book!$K$6/Capex!$D$6,0))+IF(Capex!$F$7="Y",IF($A413+Capex!$D$7-1&gt;=M$2,Book!$K$42/Capex!$D$7,0))+IF(Capex!$F$8="Y",IF($A413+Capex!$D$8-1&gt;=M$2,Book!$K$78/Capex!$D$8,0))+IF(Capex!$F$9="Y",IF($A413+Capex!$D$9-1&gt;=M$2,Book!$K$114/Capex!$D$9,0))+IF(Capex!$F$10="Y",IF($A413+Capex!$D$10-1&gt;=M$2,Book!$K$150/Capex!$D$10,0))+IF(Capex!$F$11="Y",IF($A413+Capex!$D$11-1&gt;=M$2,Book!$K$186/Capex!$D$11,0))+IF(Capex!$F$12="Y",IF($A413+Capex!$D$12-1&gt;=M$2,Book!$K$222/Capex!$D$12,0))+IF(Capex!$F$13="Y",IF($A413+Capex!$D$13-1&gt;=M$2,Book!$K$258/Capex!$D$13,0))+IF(Capex!$F$14="Y",IF($A413+Capex!$D$14-1&gt;=M$2,Book!$K$14/Capex!$D$255,0))+IF(Capex!$F$15="Y",IF($A413+Capex!$D$15-1&gt;=M$2,Book!$K$330/Capex!$D$15,0)))*$K$401</f>
        <v>0</v>
      </c>
      <c r="N413" s="4">
        <f>(IF(Capex!$F$6="Y",IF($A413+Capex!$D$6-1&gt;=N$2,Book!$K$6/Capex!$D$6,0))+IF(Capex!$F$7="Y",IF($A413+Capex!$D$7-1&gt;=N$2,Book!$K$42/Capex!$D$7,0))+IF(Capex!$F$8="Y",IF($A413+Capex!$D$8-1&gt;=N$2,Book!$K$78/Capex!$D$8,0))+IF(Capex!$F$9="Y",IF($A413+Capex!$D$9-1&gt;=N$2,Book!$K$114/Capex!$D$9,0))+IF(Capex!$F$10="Y",IF($A413+Capex!$D$10-1&gt;=N$2,Book!$K$150/Capex!$D$10,0))+IF(Capex!$F$11="Y",IF($A413+Capex!$D$11-1&gt;=N$2,Book!$K$186/Capex!$D$11,0))+IF(Capex!$F$12="Y",IF($A413+Capex!$D$12-1&gt;=N$2,Book!$K$222/Capex!$D$12,0))+IF(Capex!$F$13="Y",IF($A413+Capex!$D$13-1&gt;=N$2,Book!$K$258/Capex!$D$13,0))+IF(Capex!$F$14="Y",IF($A413+Capex!$D$14-1&gt;=N$2,Book!$K$14/Capex!$D$255,0))+IF(Capex!$F$15="Y",IF($A413+Capex!$D$15-1&gt;=N$2,Book!$K$330/Capex!$D$15,0)))*$K$401</f>
        <v>0</v>
      </c>
      <c r="O413" s="4">
        <f>(IF(Capex!$F$6="Y",IF($A413+Capex!$D$6-1&gt;=O$2,Book!$K$6/Capex!$D$6,0))+IF(Capex!$F$7="Y",IF($A413+Capex!$D$7-1&gt;=O$2,Book!$K$42/Capex!$D$7,0))+IF(Capex!$F$8="Y",IF($A413+Capex!$D$8-1&gt;=O$2,Book!$K$78/Capex!$D$8,0))+IF(Capex!$F$9="Y",IF($A413+Capex!$D$9-1&gt;=O$2,Book!$K$114/Capex!$D$9,0))+IF(Capex!$F$10="Y",IF($A413+Capex!$D$10-1&gt;=O$2,Book!$K$150/Capex!$D$10,0))+IF(Capex!$F$11="Y",IF($A413+Capex!$D$11-1&gt;=O$2,Book!$K$186/Capex!$D$11,0))+IF(Capex!$F$12="Y",IF($A413+Capex!$D$12-1&gt;=O$2,Book!$K$222/Capex!$D$12,0))+IF(Capex!$F$13="Y",IF($A413+Capex!$D$13-1&gt;=O$2,Book!$K$258/Capex!$D$13,0))+IF(Capex!$F$14="Y",IF($A413+Capex!$D$14-1&gt;=O$2,Book!$K$14/Capex!$D$255,0))+IF(Capex!$F$15="Y",IF($A413+Capex!$D$15-1&gt;=O$2,Book!$K$330/Capex!$D$15,0)))*$K$401</f>
        <v>0</v>
      </c>
      <c r="P413" s="4">
        <f>(IF(Capex!$F$6="Y",IF($A413+Capex!$D$6-1&gt;=P$2,Book!$K$6/Capex!$D$6,0))+IF(Capex!$F$7="Y",IF($A413+Capex!$D$7-1&gt;=P$2,Book!$K$42/Capex!$D$7,0))+IF(Capex!$F$8="Y",IF($A413+Capex!$D$8-1&gt;=P$2,Book!$K$78/Capex!$D$8,0))+IF(Capex!$F$9="Y",IF($A413+Capex!$D$9-1&gt;=P$2,Book!$K$114/Capex!$D$9,0))+IF(Capex!$F$10="Y",IF($A413+Capex!$D$10-1&gt;=P$2,Book!$K$150/Capex!$D$10,0))+IF(Capex!$F$11="Y",IF($A413+Capex!$D$11-1&gt;=P$2,Book!$K$186/Capex!$D$11,0))+IF(Capex!$F$12="Y",IF($A413+Capex!$D$12-1&gt;=P$2,Book!$K$222/Capex!$D$12,0))+IF(Capex!$F$13="Y",IF($A413+Capex!$D$13-1&gt;=P$2,Book!$K$258/Capex!$D$13,0))+IF(Capex!$F$14="Y",IF($A413+Capex!$D$14-1&gt;=P$2,Book!$K$14/Capex!$D$255,0))+IF(Capex!$F$15="Y",IF($A413+Capex!$D$15-1&gt;=P$2,Book!$K$330/Capex!$D$15,0)))*$K$401</f>
        <v>0</v>
      </c>
      <c r="Q413" s="4">
        <f>(IF(Capex!$F$6="Y",IF($A413+Capex!$D$6-1&gt;=Q$2,Book!$K$6/Capex!$D$6,0))+IF(Capex!$F$7="Y",IF($A413+Capex!$D$7-1&gt;=Q$2,Book!$K$42/Capex!$D$7,0))+IF(Capex!$F$8="Y",IF($A413+Capex!$D$8-1&gt;=Q$2,Book!$K$78/Capex!$D$8,0))+IF(Capex!$F$9="Y",IF($A413+Capex!$D$9-1&gt;=Q$2,Book!$K$114/Capex!$D$9,0))+IF(Capex!$F$10="Y",IF($A413+Capex!$D$10-1&gt;=Q$2,Book!$K$150/Capex!$D$10,0))+IF(Capex!$F$11="Y",IF($A413+Capex!$D$11-1&gt;=Q$2,Book!$K$186/Capex!$D$11,0))+IF(Capex!$F$12="Y",IF($A413+Capex!$D$12-1&gt;=Q$2,Book!$K$222/Capex!$D$12,0))+IF(Capex!$F$13="Y",IF($A413+Capex!$D$13-1&gt;=Q$2,Book!$K$258/Capex!$D$13,0))+IF(Capex!$F$14="Y",IF($A413+Capex!$D$14-1&gt;=Q$2,Book!$K$14/Capex!$D$255,0))+IF(Capex!$F$15="Y",IF($A413+Capex!$D$15-1&gt;=Q$2,Book!$K$330/Capex!$D$15,0)))*$K$401</f>
        <v>0</v>
      </c>
      <c r="R413" s="4">
        <f>(IF(Capex!$F$6="Y",IF($A413+Capex!$D$6-1&gt;=R$2,Book!$K$6/Capex!$D$6,0))+IF(Capex!$F$7="Y",IF($A413+Capex!$D$7-1&gt;=R$2,Book!$K$42/Capex!$D$7,0))+IF(Capex!$F$8="Y",IF($A413+Capex!$D$8-1&gt;=R$2,Book!$K$78/Capex!$D$8,0))+IF(Capex!$F$9="Y",IF($A413+Capex!$D$9-1&gt;=R$2,Book!$K$114/Capex!$D$9,0))+IF(Capex!$F$10="Y",IF($A413+Capex!$D$10-1&gt;=R$2,Book!$K$150/Capex!$D$10,0))+IF(Capex!$F$11="Y",IF($A413+Capex!$D$11-1&gt;=R$2,Book!$K$186/Capex!$D$11,0))+IF(Capex!$F$12="Y",IF($A413+Capex!$D$12-1&gt;=R$2,Book!$K$222/Capex!$D$12,0))+IF(Capex!$F$13="Y",IF($A413+Capex!$D$13-1&gt;=R$2,Book!$K$258/Capex!$D$13,0))+IF(Capex!$F$14="Y",IF($A413+Capex!$D$14-1&gt;=R$2,Book!$K$14/Capex!$D$255,0))+IF(Capex!$F$15="Y",IF($A413+Capex!$D$15-1&gt;=R$2,Book!$K$330/Capex!$D$15,0)))*$K$401</f>
        <v>0</v>
      </c>
      <c r="S413" s="4">
        <f>(IF(Capex!$F$6="Y",IF($A413+Capex!$D$6-1&gt;=S$2,Book!$K$6/Capex!$D$6,0))+IF(Capex!$F$7="Y",IF($A413+Capex!$D$7-1&gt;=S$2,Book!$K$42/Capex!$D$7,0))+IF(Capex!$F$8="Y",IF($A413+Capex!$D$8-1&gt;=S$2,Book!$K$78/Capex!$D$8,0))+IF(Capex!$F$9="Y",IF($A413+Capex!$D$9-1&gt;=S$2,Book!$K$114/Capex!$D$9,0))+IF(Capex!$F$10="Y",IF($A413+Capex!$D$10-1&gt;=S$2,Book!$K$150/Capex!$D$10,0))+IF(Capex!$F$11="Y",IF($A413+Capex!$D$11-1&gt;=S$2,Book!$K$186/Capex!$D$11,0))+IF(Capex!$F$12="Y",IF($A413+Capex!$D$12-1&gt;=S$2,Book!$K$222/Capex!$D$12,0))+IF(Capex!$F$13="Y",IF($A413+Capex!$D$13-1&gt;=S$2,Book!$K$258/Capex!$D$13,0))+IF(Capex!$F$14="Y",IF($A413+Capex!$D$14-1&gt;=S$2,Book!$K$14/Capex!$D$255,0))+IF(Capex!$F$15="Y",IF($A413+Capex!$D$15-1&gt;=S$2,Book!$K$330/Capex!$D$15,0)))*$K$401</f>
        <v>0</v>
      </c>
      <c r="T413" s="4">
        <f>(IF(Capex!$F$6="Y",IF($A413+Capex!$D$6-1&gt;=T$2,Book!$K$6/Capex!$D$6,0))+IF(Capex!$F$7="Y",IF($A413+Capex!$D$7-1&gt;=T$2,Book!$K$42/Capex!$D$7,0))+IF(Capex!$F$8="Y",IF($A413+Capex!$D$8-1&gt;=T$2,Book!$K$78/Capex!$D$8,0))+IF(Capex!$F$9="Y",IF($A413+Capex!$D$9-1&gt;=T$2,Book!$K$114/Capex!$D$9,0))+IF(Capex!$F$10="Y",IF($A413+Capex!$D$10-1&gt;=T$2,Book!$K$150/Capex!$D$10,0))+IF(Capex!$F$11="Y",IF($A413+Capex!$D$11-1&gt;=T$2,Book!$K$186/Capex!$D$11,0))+IF(Capex!$F$12="Y",IF($A413+Capex!$D$12-1&gt;=T$2,Book!$K$222/Capex!$D$12,0))+IF(Capex!$F$13="Y",IF($A413+Capex!$D$13-1&gt;=T$2,Book!$K$258/Capex!$D$13,0))+IF(Capex!$F$14="Y",IF($A413+Capex!$D$14-1&gt;=T$2,Book!$K$14/Capex!$D$255,0))+IF(Capex!$F$15="Y",IF($A413+Capex!$D$15-1&gt;=T$2,Book!$K$330/Capex!$D$15,0)))*$K$401</f>
        <v>0</v>
      </c>
      <c r="U413" s="4">
        <f>(IF(Capex!$F$6="Y",IF($A413+Capex!$D$6-1&gt;=U$2,Book!$K$6/Capex!$D$6,0))+IF(Capex!$F$7="Y",IF($A413+Capex!$D$7-1&gt;=U$2,Book!$K$42/Capex!$D$7,0))+IF(Capex!$F$8="Y",IF($A413+Capex!$D$8-1&gt;=U$2,Book!$K$78/Capex!$D$8,0))+IF(Capex!$F$9="Y",IF($A413+Capex!$D$9-1&gt;=U$2,Book!$K$114/Capex!$D$9,0))+IF(Capex!$F$10="Y",IF($A413+Capex!$D$10-1&gt;=U$2,Book!$K$150/Capex!$D$10,0))+IF(Capex!$F$11="Y",IF($A413+Capex!$D$11-1&gt;=U$2,Book!$K$186/Capex!$D$11,0))+IF(Capex!$F$12="Y",IF($A413+Capex!$D$12-1&gt;=U$2,Book!$K$222/Capex!$D$12,0))+IF(Capex!$F$13="Y",IF($A413+Capex!$D$13-1&gt;=U$2,Book!$K$258/Capex!$D$13,0))+IF(Capex!$F$14="Y",IF($A413+Capex!$D$14-1&gt;=U$2,Book!$K$14/Capex!$D$255,0))+IF(Capex!$F$15="Y",IF($A413+Capex!$D$15-1&gt;=U$2,Book!$K$330/Capex!$D$15,0)))*$K$401</f>
        <v>0</v>
      </c>
      <c r="V413" s="4">
        <f>(IF(Capex!$F$6="Y",IF($A413+Capex!$D$6-1&gt;=V$2,Book!$K$6/Capex!$D$6,0))+IF(Capex!$F$7="Y",IF($A413+Capex!$D$7-1&gt;=V$2,Book!$K$42/Capex!$D$7,0))+IF(Capex!$F$8="Y",IF($A413+Capex!$D$8-1&gt;=V$2,Book!$K$78/Capex!$D$8,0))+IF(Capex!$F$9="Y",IF($A413+Capex!$D$9-1&gt;=V$2,Book!$K$114/Capex!$D$9,0))+IF(Capex!$F$10="Y",IF($A413+Capex!$D$10-1&gt;=V$2,Book!$K$150/Capex!$D$10,0))+IF(Capex!$F$11="Y",IF($A413+Capex!$D$11-1&gt;=V$2,Book!$K$186/Capex!$D$11,0))+IF(Capex!$F$12="Y",IF($A413+Capex!$D$12-1&gt;=V$2,Book!$K$222/Capex!$D$12,0))+IF(Capex!$F$13="Y",IF($A413+Capex!$D$13-1&gt;=V$2,Book!$K$258/Capex!$D$13,0))+IF(Capex!$F$14="Y",IF($A413+Capex!$D$14-1&gt;=V$2,Book!$K$14/Capex!$D$255,0))+IF(Capex!$F$15="Y",IF($A413+Capex!$D$15-1&gt;=V$2,Book!$K$330/Capex!$D$15,0)))*$K$401</f>
        <v>0</v>
      </c>
      <c r="W413" s="4">
        <f>(IF(Capex!$F$6="Y",IF($A413+Capex!$D$6-1&gt;=W$2,Book!$K$6/Capex!$D$6,0))+IF(Capex!$F$7="Y",IF($A413+Capex!$D$7-1&gt;=W$2,Book!$K$42/Capex!$D$7,0))+IF(Capex!$F$8="Y",IF($A413+Capex!$D$8-1&gt;=W$2,Book!$K$78/Capex!$D$8,0))+IF(Capex!$F$9="Y",IF($A413+Capex!$D$9-1&gt;=W$2,Book!$K$114/Capex!$D$9,0))+IF(Capex!$F$10="Y",IF($A413+Capex!$D$10-1&gt;=W$2,Book!$K$150/Capex!$D$10,0))+IF(Capex!$F$11="Y",IF($A413+Capex!$D$11-1&gt;=W$2,Book!$K$186/Capex!$D$11,0))+IF(Capex!$F$12="Y",IF($A413+Capex!$D$12-1&gt;=W$2,Book!$K$222/Capex!$D$12,0))+IF(Capex!$F$13="Y",IF($A413+Capex!$D$13-1&gt;=W$2,Book!$K$258/Capex!$D$13,0))+IF(Capex!$F$14="Y",IF($A413+Capex!$D$14-1&gt;=W$2,Book!$K$14/Capex!$D$255,0))+IF(Capex!$F$15="Y",IF($A413+Capex!$D$15-1&gt;=W$2,Book!$K$330/Capex!$D$15,0)))*$K$401</f>
        <v>0</v>
      </c>
      <c r="X413" s="4">
        <f>(IF(Capex!$F$6="Y",IF($A413+Capex!$D$6-1&gt;=X$2,Book!$K$6/Capex!$D$6,0))+IF(Capex!$F$7="Y",IF($A413+Capex!$D$7-1&gt;=X$2,Book!$K$42/Capex!$D$7,0))+IF(Capex!$F$8="Y",IF($A413+Capex!$D$8-1&gt;=X$2,Book!$K$78/Capex!$D$8,0))+IF(Capex!$F$9="Y",IF($A413+Capex!$D$9-1&gt;=X$2,Book!$K$114/Capex!$D$9,0))+IF(Capex!$F$10="Y",IF($A413+Capex!$D$10-1&gt;=X$2,Book!$K$150/Capex!$D$10,0))+IF(Capex!$F$11="Y",IF($A413+Capex!$D$11-1&gt;=X$2,Book!$K$186/Capex!$D$11,0))+IF(Capex!$F$12="Y",IF($A413+Capex!$D$12-1&gt;=X$2,Book!$K$222/Capex!$D$12,0))+IF(Capex!$F$13="Y",IF($A413+Capex!$D$13-1&gt;=X$2,Book!$K$258/Capex!$D$13,0))+IF(Capex!$F$14="Y",IF($A413+Capex!$D$14-1&gt;=X$2,Book!$K$14/Capex!$D$255,0))+IF(Capex!$F$15="Y",IF($A413+Capex!$D$15-1&gt;=X$2,Book!$K$330/Capex!$D$15,0)))*$K$401</f>
        <v>0</v>
      </c>
      <c r="Y413" s="4">
        <f>(IF(Capex!$F$6="Y",IF($A413+Capex!$D$6-1&gt;=Y$2,Book!$K$6/Capex!$D$6,0))+IF(Capex!$F$7="Y",IF($A413+Capex!$D$7-1&gt;=Y$2,Book!$K$42/Capex!$D$7,0))+IF(Capex!$F$8="Y",IF($A413+Capex!$D$8-1&gt;=Y$2,Book!$K$78/Capex!$D$8,0))+IF(Capex!$F$9="Y",IF($A413+Capex!$D$9-1&gt;=Y$2,Book!$K$114/Capex!$D$9,0))+IF(Capex!$F$10="Y",IF($A413+Capex!$D$10-1&gt;=Y$2,Book!$K$150/Capex!$D$10,0))+IF(Capex!$F$11="Y",IF($A413+Capex!$D$11-1&gt;=Y$2,Book!$K$186/Capex!$D$11,0))+IF(Capex!$F$12="Y",IF($A413+Capex!$D$12-1&gt;=Y$2,Book!$K$222/Capex!$D$12,0))+IF(Capex!$F$13="Y",IF($A413+Capex!$D$13-1&gt;=Y$2,Book!$K$258/Capex!$D$13,0))+IF(Capex!$F$14="Y",IF($A413+Capex!$D$14-1&gt;=Y$2,Book!$K$14/Capex!$D$255,0))+IF(Capex!$F$15="Y",IF($A413+Capex!$D$15-1&gt;=Y$2,Book!$K$330/Capex!$D$15,0)))*$K$401</f>
        <v>0</v>
      </c>
      <c r="Z413" s="4">
        <f>(IF(Capex!$F$6="Y",IF($A413+Capex!$D$6-1&gt;=Z$2,Book!$K$6/Capex!$D$6,0))+IF(Capex!$F$7="Y",IF($A413+Capex!$D$7-1&gt;=Z$2,Book!$K$42/Capex!$D$7,0))+IF(Capex!$F$8="Y",IF($A413+Capex!$D$8-1&gt;=Z$2,Book!$K$78/Capex!$D$8,0))+IF(Capex!$F$9="Y",IF($A413+Capex!$D$9-1&gt;=Z$2,Book!$K$114/Capex!$D$9,0))+IF(Capex!$F$10="Y",IF($A413+Capex!$D$10-1&gt;=Z$2,Book!$K$150/Capex!$D$10,0))+IF(Capex!$F$11="Y",IF($A413+Capex!$D$11-1&gt;=Z$2,Book!$K$186/Capex!$D$11,0))+IF(Capex!$F$12="Y",IF($A413+Capex!$D$12-1&gt;=Z$2,Book!$K$222/Capex!$D$12,0))+IF(Capex!$F$13="Y",IF($A413+Capex!$D$13-1&gt;=Z$2,Book!$K$258/Capex!$D$13,0))+IF(Capex!$F$14="Y",IF($A413+Capex!$D$14-1&gt;=Z$2,Book!$K$14/Capex!$D$255,0))+IF(Capex!$F$15="Y",IF($A413+Capex!$D$15-1&gt;=Z$2,Book!$K$330/Capex!$D$15,0)))*$K$401</f>
        <v>0</v>
      </c>
      <c r="AA413" s="4">
        <f>(IF(Capex!$F$6="Y",IF($A413+Capex!$D$6-1&gt;=AA$2,Book!$K$6/Capex!$D$6,0))+IF(Capex!$F$7="Y",IF($A413+Capex!$D$7-1&gt;=AA$2,Book!$K$42/Capex!$D$7,0))+IF(Capex!$F$8="Y",IF($A413+Capex!$D$8-1&gt;=AA$2,Book!$K$78/Capex!$D$8,0))+IF(Capex!$F$9="Y",IF($A413+Capex!$D$9-1&gt;=AA$2,Book!$K$114/Capex!$D$9,0))+IF(Capex!$F$10="Y",IF($A413+Capex!$D$10-1&gt;=AA$2,Book!$K$150/Capex!$D$10,0))+IF(Capex!$F$11="Y",IF($A413+Capex!$D$11-1&gt;=AA$2,Book!$K$186/Capex!$D$11,0))+IF(Capex!$F$12="Y",IF($A413+Capex!$D$12-1&gt;=AA$2,Book!$K$222/Capex!$D$12,0))+IF(Capex!$F$13="Y",IF($A413+Capex!$D$13-1&gt;=AA$2,Book!$K$258/Capex!$D$13,0))+IF(Capex!$F$14="Y",IF($A413+Capex!$D$14-1&gt;=AA$2,Book!$K$14/Capex!$D$255,0))+IF(Capex!$F$15="Y",IF($A413+Capex!$D$15-1&gt;=AA$2,Book!$K$330/Capex!$D$15,0)))*$K$401</f>
        <v>0</v>
      </c>
      <c r="AB413" s="4">
        <f>(IF(Capex!$F$6="Y",IF($A413+Capex!$D$6-1&gt;=AB$2,Book!$K$6/Capex!$D$6,0))+IF(Capex!$F$7="Y",IF($A413+Capex!$D$7-1&gt;=AB$2,Book!$K$42/Capex!$D$7,0))+IF(Capex!$F$8="Y",IF($A413+Capex!$D$8-1&gt;=AB$2,Book!$K$78/Capex!$D$8,0))+IF(Capex!$F$9="Y",IF($A413+Capex!$D$9-1&gt;=AB$2,Book!$K$114/Capex!$D$9,0))+IF(Capex!$F$10="Y",IF($A413+Capex!$D$10-1&gt;=AB$2,Book!$K$150/Capex!$D$10,0))+IF(Capex!$F$11="Y",IF($A413+Capex!$D$11-1&gt;=AB$2,Book!$K$186/Capex!$D$11,0))+IF(Capex!$F$12="Y",IF($A413+Capex!$D$12-1&gt;=AB$2,Book!$K$222/Capex!$D$12,0))+IF(Capex!$F$13="Y",IF($A413+Capex!$D$13-1&gt;=AB$2,Book!$K$258/Capex!$D$13,0))+IF(Capex!$F$14="Y",IF($A413+Capex!$D$14-1&gt;=AB$2,Book!$K$14/Capex!$D$255,0))+IF(Capex!$F$15="Y",IF($A413+Capex!$D$15-1&gt;=AB$2,Book!$K$330/Capex!$D$15,0)))*$K$401</f>
        <v>0</v>
      </c>
      <c r="AC413" s="4">
        <f>(IF(Capex!$F$6="Y",IF($A413+Capex!$D$6-1&gt;=AC$2,Book!$K$6/Capex!$D$6,0))+IF(Capex!$F$7="Y",IF($A413+Capex!$D$7-1&gt;=AC$2,Book!$K$42/Capex!$D$7,0))+IF(Capex!$F$8="Y",IF($A413+Capex!$D$8-1&gt;=AC$2,Book!$K$78/Capex!$D$8,0))+IF(Capex!$F$9="Y",IF($A413+Capex!$D$9-1&gt;=AC$2,Book!$K$114/Capex!$D$9,0))+IF(Capex!$F$10="Y",IF($A413+Capex!$D$10-1&gt;=AC$2,Book!$K$150/Capex!$D$10,0))+IF(Capex!$F$11="Y",IF($A413+Capex!$D$11-1&gt;=AC$2,Book!$K$186/Capex!$D$11,0))+IF(Capex!$F$12="Y",IF($A413+Capex!$D$12-1&gt;=AC$2,Book!$K$222/Capex!$D$12,0))+IF(Capex!$F$13="Y",IF($A413+Capex!$D$13-1&gt;=AC$2,Book!$K$258/Capex!$D$13,0))+IF(Capex!$F$14="Y",IF($A413+Capex!$D$14-1&gt;=AC$2,Book!$K$14/Capex!$D$255,0))+IF(Capex!$F$15="Y",IF($A413+Capex!$D$15-1&gt;=AC$2,Book!$K$330/Capex!$D$15,0)))*$K$401</f>
        <v>0</v>
      </c>
      <c r="AD413" s="4">
        <f>(IF(Capex!$F$6="Y",IF($A413+Capex!$D$6-1&gt;=AD$2,Book!$K$6/Capex!$D$6,0))+IF(Capex!$F$7="Y",IF($A413+Capex!$D$7-1&gt;=AD$2,Book!$K$42/Capex!$D$7,0))+IF(Capex!$F$8="Y",IF($A413+Capex!$D$8-1&gt;=AD$2,Book!$K$78/Capex!$D$8,0))+IF(Capex!$F$9="Y",IF($A413+Capex!$D$9-1&gt;=AD$2,Book!$K$114/Capex!$D$9,0))+IF(Capex!$F$10="Y",IF($A413+Capex!$D$10-1&gt;=AD$2,Book!$K$150/Capex!$D$10,0))+IF(Capex!$F$11="Y",IF($A413+Capex!$D$11-1&gt;=AD$2,Book!$K$186/Capex!$D$11,0))+IF(Capex!$F$12="Y",IF($A413+Capex!$D$12-1&gt;=AD$2,Book!$K$222/Capex!$D$12,0))+IF(Capex!$F$13="Y",IF($A413+Capex!$D$13-1&gt;=AD$2,Book!$K$258/Capex!$D$13,0))+IF(Capex!$F$14="Y",IF($A413+Capex!$D$14-1&gt;=AD$2,Book!$K$14/Capex!$D$255,0))+IF(Capex!$F$15="Y",IF($A413+Capex!$D$15-1&gt;=AD$2,Book!$K$330/Capex!$D$15,0)))*$K$401</f>
        <v>0</v>
      </c>
      <c r="AE413" s="4">
        <f>(IF(Capex!$F$6="Y",IF($A413+Capex!$D$6-1&gt;=AE$2,Book!$K$6/Capex!$D$6,0))+IF(Capex!$F$7="Y",IF($A413+Capex!$D$7-1&gt;=AE$2,Book!$K$42/Capex!$D$7,0))+IF(Capex!$F$8="Y",IF($A413+Capex!$D$8-1&gt;=AE$2,Book!$K$78/Capex!$D$8,0))+IF(Capex!$F$9="Y",IF($A413+Capex!$D$9-1&gt;=AE$2,Book!$K$114/Capex!$D$9,0))+IF(Capex!$F$10="Y",IF($A413+Capex!$D$10-1&gt;=AE$2,Book!$K$150/Capex!$D$10,0))+IF(Capex!$F$11="Y",IF($A413+Capex!$D$11-1&gt;=AE$2,Book!$K$186/Capex!$D$11,0))+IF(Capex!$F$12="Y",IF($A413+Capex!$D$12-1&gt;=AE$2,Book!$K$222/Capex!$D$12,0))+IF(Capex!$F$13="Y",IF($A413+Capex!$D$13-1&gt;=AE$2,Book!$K$258/Capex!$D$13,0))+IF(Capex!$F$14="Y",IF($A413+Capex!$D$14-1&gt;=AE$2,Book!$K$14/Capex!$D$255,0))+IF(Capex!$F$15="Y",IF($A413+Capex!$D$15-1&gt;=AE$2,Book!$K$330/Capex!$D$15,0)))*$K$401</f>
        <v>0</v>
      </c>
      <c r="AF413" s="4">
        <f>(IF(Capex!$F$6="Y",IF($A413+Capex!$D$6-1&gt;=AF$2,Book!$K$6/Capex!$D$6,0))+IF(Capex!$F$7="Y",IF($A413+Capex!$D$7-1&gt;=AF$2,Book!$K$42/Capex!$D$7,0))+IF(Capex!$F$8="Y",IF($A413+Capex!$D$8-1&gt;=AF$2,Book!$K$78/Capex!$D$8,0))+IF(Capex!$F$9="Y",IF($A413+Capex!$D$9-1&gt;=AF$2,Book!$K$114/Capex!$D$9,0))+IF(Capex!$F$10="Y",IF($A413+Capex!$D$10-1&gt;=AF$2,Book!$K$150/Capex!$D$10,0))+IF(Capex!$F$11="Y",IF($A413+Capex!$D$11-1&gt;=AF$2,Book!$K$186/Capex!$D$11,0))+IF(Capex!$F$12="Y",IF($A413+Capex!$D$12-1&gt;=AF$2,Book!$K$222/Capex!$D$12,0))+IF(Capex!$F$13="Y",IF($A413+Capex!$D$13-1&gt;=AF$2,Book!$K$258/Capex!$D$13,0))+IF(Capex!$F$14="Y",IF($A413+Capex!$D$14-1&gt;=AF$2,Book!$K$14/Capex!$D$255,0))+IF(Capex!$F$15="Y",IF($A413+Capex!$D$15-1&gt;=AF$2,Book!$K$330/Capex!$D$15,0)))*$K$401</f>
        <v>0</v>
      </c>
      <c r="AG413" s="4">
        <f t="shared" si="130"/>
        <v>0</v>
      </c>
      <c r="AH413" s="252">
        <f t="shared" si="132"/>
        <v>0</v>
      </c>
    </row>
    <row r="414" spans="1:34">
      <c r="A414" s="718">
        <f t="shared" si="129"/>
        <v>2031</v>
      </c>
      <c r="B414" s="4">
        <f t="shared" si="131"/>
        <v>0</v>
      </c>
      <c r="L414" s="4">
        <f>(IF(Capex!$F$6="Y",IF($A414+Capex!$D$6-1&gt;=L$2,Book!$L$6/Capex!$D$6,0))+IF(Capex!$F$7="Y",IF($A414+Capex!$D$7-1&gt;=L$2,Book!$L$42/Capex!$D$7,0))+IF(Capex!$F$8="Y",IF($A414+Capex!$D$8-1&gt;=L$2,Book!$L$78/Capex!$D$8,0))+IF(Capex!$F$9="Y",IF($A414+Capex!$D$9-1&gt;=L$2,Book!$L$114/Capex!$D$9,0))+IF(Capex!$F$10="Y",IF($A414+Capex!$D$10-1&gt;=L$2,Book!$L$150/Capex!$D$10,0))+IF(Capex!$F$11="Y",IF($A414+Capex!$D$11-1&gt;=L$2,Book!$L$186/Capex!$D$11,0))+IF(Capex!$F$12="Y",IF($A414+Capex!$D$12-1&gt;=L$2,Book!$L$222/Capex!$D$12,0))+IF(Capex!$F$13="Y",IF($A414+Capex!$D$13-1&gt;=L$2,Book!$L$258/Capex!$D$13,0))+IF(Capex!$F$14="Y",IF($A414+Capex!$D$14-1&gt;=L$2,Book!$L$14/Capex!$D$255,0))+IF(Capex!$F$15="Y",IF($A414+Capex!$D$15-1&gt;=L$2,Book!$L$330/Capex!$D$15,0)))*$L$401</f>
        <v>0</v>
      </c>
      <c r="M414" s="4">
        <f>(IF(Capex!$F$6="Y",IF($A414+Capex!$D$6-1&gt;=M$2,Book!$L$6/Capex!$D$6,0))+IF(Capex!$F$7="Y",IF($A414+Capex!$D$7-1&gt;=M$2,Book!$L$42/Capex!$D$7,0))+IF(Capex!$F$8="Y",IF($A414+Capex!$D$8-1&gt;=M$2,Book!$L$78/Capex!$D$8,0))+IF(Capex!$F$9="Y",IF($A414+Capex!$D$9-1&gt;=M$2,Book!$L$114/Capex!$D$9,0))+IF(Capex!$F$10="Y",IF($A414+Capex!$D$10-1&gt;=M$2,Book!$L$150/Capex!$D$10,0))+IF(Capex!$F$11="Y",IF($A414+Capex!$D$11-1&gt;=M$2,Book!$L$186/Capex!$D$11,0))+IF(Capex!$F$12="Y",IF($A414+Capex!$D$12-1&gt;=M$2,Book!$L$222/Capex!$D$12,0))+IF(Capex!$F$13="Y",IF($A414+Capex!$D$13-1&gt;=M$2,Book!$L$258/Capex!$D$13,0))+IF(Capex!$F$14="Y",IF($A414+Capex!$D$14-1&gt;=M$2,Book!$L$14/Capex!$D$255,0))+IF(Capex!$F$15="Y",IF($A414+Capex!$D$15-1&gt;=M$2,Book!$L$330/Capex!$D$15,0)))*$L$401</f>
        <v>0</v>
      </c>
      <c r="N414" s="4">
        <f>(IF(Capex!$F$6="Y",IF($A414+Capex!$D$6-1&gt;=N$2,Book!$L$6/Capex!$D$6,0))+IF(Capex!$F$7="Y",IF($A414+Capex!$D$7-1&gt;=N$2,Book!$L$42/Capex!$D$7,0))+IF(Capex!$F$8="Y",IF($A414+Capex!$D$8-1&gt;=N$2,Book!$L$78/Capex!$D$8,0))+IF(Capex!$F$9="Y",IF($A414+Capex!$D$9-1&gt;=N$2,Book!$L$114/Capex!$D$9,0))+IF(Capex!$F$10="Y",IF($A414+Capex!$D$10-1&gt;=N$2,Book!$L$150/Capex!$D$10,0))+IF(Capex!$F$11="Y",IF($A414+Capex!$D$11-1&gt;=N$2,Book!$L$186/Capex!$D$11,0))+IF(Capex!$F$12="Y",IF($A414+Capex!$D$12-1&gt;=N$2,Book!$L$222/Capex!$D$12,0))+IF(Capex!$F$13="Y",IF($A414+Capex!$D$13-1&gt;=N$2,Book!$L$258/Capex!$D$13,0))+IF(Capex!$F$14="Y",IF($A414+Capex!$D$14-1&gt;=N$2,Book!$L$14/Capex!$D$255,0))+IF(Capex!$F$15="Y",IF($A414+Capex!$D$15-1&gt;=N$2,Book!$L$330/Capex!$D$15,0)))*$L$401</f>
        <v>0</v>
      </c>
      <c r="O414" s="4">
        <f>(IF(Capex!$F$6="Y",IF($A414+Capex!$D$6-1&gt;=O$2,Book!$L$6/Capex!$D$6,0))+IF(Capex!$F$7="Y",IF($A414+Capex!$D$7-1&gt;=O$2,Book!$L$42/Capex!$D$7,0))+IF(Capex!$F$8="Y",IF($A414+Capex!$D$8-1&gt;=O$2,Book!$L$78/Capex!$D$8,0))+IF(Capex!$F$9="Y",IF($A414+Capex!$D$9-1&gt;=O$2,Book!$L$114/Capex!$D$9,0))+IF(Capex!$F$10="Y",IF($A414+Capex!$D$10-1&gt;=O$2,Book!$L$150/Capex!$D$10,0))+IF(Capex!$F$11="Y",IF($A414+Capex!$D$11-1&gt;=O$2,Book!$L$186/Capex!$D$11,0))+IF(Capex!$F$12="Y",IF($A414+Capex!$D$12-1&gt;=O$2,Book!$L$222/Capex!$D$12,0))+IF(Capex!$F$13="Y",IF($A414+Capex!$D$13-1&gt;=O$2,Book!$L$258/Capex!$D$13,0))+IF(Capex!$F$14="Y",IF($A414+Capex!$D$14-1&gt;=O$2,Book!$L$14/Capex!$D$255,0))+IF(Capex!$F$15="Y",IF($A414+Capex!$D$15-1&gt;=O$2,Book!$L$330/Capex!$D$15,0)))*$L$401</f>
        <v>0</v>
      </c>
      <c r="P414" s="4">
        <f>(IF(Capex!$F$6="Y",IF($A414+Capex!$D$6-1&gt;=P$2,Book!$L$6/Capex!$D$6,0))+IF(Capex!$F$7="Y",IF($A414+Capex!$D$7-1&gt;=P$2,Book!$L$42/Capex!$D$7,0))+IF(Capex!$F$8="Y",IF($A414+Capex!$D$8-1&gt;=P$2,Book!$L$78/Capex!$D$8,0))+IF(Capex!$F$9="Y",IF($A414+Capex!$D$9-1&gt;=P$2,Book!$L$114/Capex!$D$9,0))+IF(Capex!$F$10="Y",IF($A414+Capex!$D$10-1&gt;=P$2,Book!$L$150/Capex!$D$10,0))+IF(Capex!$F$11="Y",IF($A414+Capex!$D$11-1&gt;=P$2,Book!$L$186/Capex!$D$11,0))+IF(Capex!$F$12="Y",IF($A414+Capex!$D$12-1&gt;=P$2,Book!$L$222/Capex!$D$12,0))+IF(Capex!$F$13="Y",IF($A414+Capex!$D$13-1&gt;=P$2,Book!$L$258/Capex!$D$13,0))+IF(Capex!$F$14="Y",IF($A414+Capex!$D$14-1&gt;=P$2,Book!$L$14/Capex!$D$255,0))+IF(Capex!$F$15="Y",IF($A414+Capex!$D$15-1&gt;=P$2,Book!$L$330/Capex!$D$15,0)))*$L$401</f>
        <v>0</v>
      </c>
      <c r="Q414" s="4">
        <f>(IF(Capex!$F$6="Y",IF($A414+Capex!$D$6-1&gt;=Q$2,Book!$L$6/Capex!$D$6,0))+IF(Capex!$F$7="Y",IF($A414+Capex!$D$7-1&gt;=Q$2,Book!$L$42/Capex!$D$7,0))+IF(Capex!$F$8="Y",IF($A414+Capex!$D$8-1&gt;=Q$2,Book!$L$78/Capex!$D$8,0))+IF(Capex!$F$9="Y",IF($A414+Capex!$D$9-1&gt;=Q$2,Book!$L$114/Capex!$D$9,0))+IF(Capex!$F$10="Y",IF($A414+Capex!$D$10-1&gt;=Q$2,Book!$L$150/Capex!$D$10,0))+IF(Capex!$F$11="Y",IF($A414+Capex!$D$11-1&gt;=Q$2,Book!$L$186/Capex!$D$11,0))+IF(Capex!$F$12="Y",IF($A414+Capex!$D$12-1&gt;=Q$2,Book!$L$222/Capex!$D$12,0))+IF(Capex!$F$13="Y",IF($A414+Capex!$D$13-1&gt;=Q$2,Book!$L$258/Capex!$D$13,0))+IF(Capex!$F$14="Y",IF($A414+Capex!$D$14-1&gt;=Q$2,Book!$L$14/Capex!$D$255,0))+IF(Capex!$F$15="Y",IF($A414+Capex!$D$15-1&gt;=Q$2,Book!$L$330/Capex!$D$15,0)))*$L$401</f>
        <v>0</v>
      </c>
      <c r="R414" s="4">
        <f>(IF(Capex!$F$6="Y",IF($A414+Capex!$D$6-1&gt;=R$2,Book!$L$6/Capex!$D$6,0))+IF(Capex!$F$7="Y",IF($A414+Capex!$D$7-1&gt;=R$2,Book!$L$42/Capex!$D$7,0))+IF(Capex!$F$8="Y",IF($A414+Capex!$D$8-1&gt;=R$2,Book!$L$78/Capex!$D$8,0))+IF(Capex!$F$9="Y",IF($A414+Capex!$D$9-1&gt;=R$2,Book!$L$114/Capex!$D$9,0))+IF(Capex!$F$10="Y",IF($A414+Capex!$D$10-1&gt;=R$2,Book!$L$150/Capex!$D$10,0))+IF(Capex!$F$11="Y",IF($A414+Capex!$D$11-1&gt;=R$2,Book!$L$186/Capex!$D$11,0))+IF(Capex!$F$12="Y",IF($A414+Capex!$D$12-1&gt;=R$2,Book!$L$222/Capex!$D$12,0))+IF(Capex!$F$13="Y",IF($A414+Capex!$D$13-1&gt;=R$2,Book!$L$258/Capex!$D$13,0))+IF(Capex!$F$14="Y",IF($A414+Capex!$D$14-1&gt;=R$2,Book!$L$14/Capex!$D$255,0))+IF(Capex!$F$15="Y",IF($A414+Capex!$D$15-1&gt;=R$2,Book!$L$330/Capex!$D$15,0)))*$L$401</f>
        <v>0</v>
      </c>
      <c r="S414" s="4">
        <f>(IF(Capex!$F$6="Y",IF($A414+Capex!$D$6-1&gt;=S$2,Book!$L$6/Capex!$D$6,0))+IF(Capex!$F$7="Y",IF($A414+Capex!$D$7-1&gt;=S$2,Book!$L$42/Capex!$D$7,0))+IF(Capex!$F$8="Y",IF($A414+Capex!$D$8-1&gt;=S$2,Book!$L$78/Capex!$D$8,0))+IF(Capex!$F$9="Y",IF($A414+Capex!$D$9-1&gt;=S$2,Book!$L$114/Capex!$D$9,0))+IF(Capex!$F$10="Y",IF($A414+Capex!$D$10-1&gt;=S$2,Book!$L$150/Capex!$D$10,0))+IF(Capex!$F$11="Y",IF($A414+Capex!$D$11-1&gt;=S$2,Book!$L$186/Capex!$D$11,0))+IF(Capex!$F$12="Y",IF($A414+Capex!$D$12-1&gt;=S$2,Book!$L$222/Capex!$D$12,0))+IF(Capex!$F$13="Y",IF($A414+Capex!$D$13-1&gt;=S$2,Book!$L$258/Capex!$D$13,0))+IF(Capex!$F$14="Y",IF($A414+Capex!$D$14-1&gt;=S$2,Book!$L$14/Capex!$D$255,0))+IF(Capex!$F$15="Y",IF($A414+Capex!$D$15-1&gt;=S$2,Book!$L$330/Capex!$D$15,0)))*$L$401</f>
        <v>0</v>
      </c>
      <c r="T414" s="4">
        <f>(IF(Capex!$F$6="Y",IF($A414+Capex!$D$6-1&gt;=T$2,Book!$L$6/Capex!$D$6,0))+IF(Capex!$F$7="Y",IF($A414+Capex!$D$7-1&gt;=T$2,Book!$L$42/Capex!$D$7,0))+IF(Capex!$F$8="Y",IF($A414+Capex!$D$8-1&gt;=T$2,Book!$L$78/Capex!$D$8,0))+IF(Capex!$F$9="Y",IF($A414+Capex!$D$9-1&gt;=T$2,Book!$L$114/Capex!$D$9,0))+IF(Capex!$F$10="Y",IF($A414+Capex!$D$10-1&gt;=T$2,Book!$L$150/Capex!$D$10,0))+IF(Capex!$F$11="Y",IF($A414+Capex!$D$11-1&gt;=T$2,Book!$L$186/Capex!$D$11,0))+IF(Capex!$F$12="Y",IF($A414+Capex!$D$12-1&gt;=T$2,Book!$L$222/Capex!$D$12,0))+IF(Capex!$F$13="Y",IF($A414+Capex!$D$13-1&gt;=T$2,Book!$L$258/Capex!$D$13,0))+IF(Capex!$F$14="Y",IF($A414+Capex!$D$14-1&gt;=T$2,Book!$L$14/Capex!$D$255,0))+IF(Capex!$F$15="Y",IF($A414+Capex!$D$15-1&gt;=T$2,Book!$L$330/Capex!$D$15,0)))*$L$401</f>
        <v>0</v>
      </c>
      <c r="U414" s="4">
        <f>(IF(Capex!$F$6="Y",IF($A414+Capex!$D$6-1&gt;=U$2,Book!$L$6/Capex!$D$6,0))+IF(Capex!$F$7="Y",IF($A414+Capex!$D$7-1&gt;=U$2,Book!$L$42/Capex!$D$7,0))+IF(Capex!$F$8="Y",IF($A414+Capex!$D$8-1&gt;=U$2,Book!$L$78/Capex!$D$8,0))+IF(Capex!$F$9="Y",IF($A414+Capex!$D$9-1&gt;=U$2,Book!$L$114/Capex!$D$9,0))+IF(Capex!$F$10="Y",IF($A414+Capex!$D$10-1&gt;=U$2,Book!$L$150/Capex!$D$10,0))+IF(Capex!$F$11="Y",IF($A414+Capex!$D$11-1&gt;=U$2,Book!$L$186/Capex!$D$11,0))+IF(Capex!$F$12="Y",IF($A414+Capex!$D$12-1&gt;=U$2,Book!$L$222/Capex!$D$12,0))+IF(Capex!$F$13="Y",IF($A414+Capex!$D$13-1&gt;=U$2,Book!$L$258/Capex!$D$13,0))+IF(Capex!$F$14="Y",IF($A414+Capex!$D$14-1&gt;=U$2,Book!$L$14/Capex!$D$255,0))+IF(Capex!$F$15="Y",IF($A414+Capex!$D$15-1&gt;=U$2,Book!$L$330/Capex!$D$15,0)))*$L$401</f>
        <v>0</v>
      </c>
      <c r="V414" s="4">
        <f>(IF(Capex!$F$6="Y",IF($A414+Capex!$D$6-1&gt;=V$2,Book!$L$6/Capex!$D$6,0))+IF(Capex!$F$7="Y",IF($A414+Capex!$D$7-1&gt;=V$2,Book!$L$42/Capex!$D$7,0))+IF(Capex!$F$8="Y",IF($A414+Capex!$D$8-1&gt;=V$2,Book!$L$78/Capex!$D$8,0))+IF(Capex!$F$9="Y",IF($A414+Capex!$D$9-1&gt;=V$2,Book!$L$114/Capex!$D$9,0))+IF(Capex!$F$10="Y",IF($A414+Capex!$D$10-1&gt;=V$2,Book!$L$150/Capex!$D$10,0))+IF(Capex!$F$11="Y",IF($A414+Capex!$D$11-1&gt;=V$2,Book!$L$186/Capex!$D$11,0))+IF(Capex!$F$12="Y",IF($A414+Capex!$D$12-1&gt;=V$2,Book!$L$222/Capex!$D$12,0))+IF(Capex!$F$13="Y",IF($A414+Capex!$D$13-1&gt;=V$2,Book!$L$258/Capex!$D$13,0))+IF(Capex!$F$14="Y",IF($A414+Capex!$D$14-1&gt;=V$2,Book!$L$14/Capex!$D$255,0))+IF(Capex!$F$15="Y",IF($A414+Capex!$D$15-1&gt;=V$2,Book!$L$330/Capex!$D$15,0)))*$L$401</f>
        <v>0</v>
      </c>
      <c r="W414" s="4">
        <f>(IF(Capex!$F$6="Y",IF($A414+Capex!$D$6-1&gt;=W$2,Book!$L$6/Capex!$D$6,0))+IF(Capex!$F$7="Y",IF($A414+Capex!$D$7-1&gt;=W$2,Book!$L$42/Capex!$D$7,0))+IF(Capex!$F$8="Y",IF($A414+Capex!$D$8-1&gt;=W$2,Book!$L$78/Capex!$D$8,0))+IF(Capex!$F$9="Y",IF($A414+Capex!$D$9-1&gt;=W$2,Book!$L$114/Capex!$D$9,0))+IF(Capex!$F$10="Y",IF($A414+Capex!$D$10-1&gt;=W$2,Book!$L$150/Capex!$D$10,0))+IF(Capex!$F$11="Y",IF($A414+Capex!$D$11-1&gt;=W$2,Book!$L$186/Capex!$D$11,0))+IF(Capex!$F$12="Y",IF($A414+Capex!$D$12-1&gt;=W$2,Book!$L$222/Capex!$D$12,0))+IF(Capex!$F$13="Y",IF($A414+Capex!$D$13-1&gt;=W$2,Book!$L$258/Capex!$D$13,0))+IF(Capex!$F$14="Y",IF($A414+Capex!$D$14-1&gt;=W$2,Book!$L$14/Capex!$D$255,0))+IF(Capex!$F$15="Y",IF($A414+Capex!$D$15-1&gt;=W$2,Book!$L$330/Capex!$D$15,0)))*$L$401</f>
        <v>0</v>
      </c>
      <c r="X414" s="4">
        <f>(IF(Capex!$F$6="Y",IF($A414+Capex!$D$6-1&gt;=X$2,Book!$L$6/Capex!$D$6,0))+IF(Capex!$F$7="Y",IF($A414+Capex!$D$7-1&gt;=X$2,Book!$L$42/Capex!$D$7,0))+IF(Capex!$F$8="Y",IF($A414+Capex!$D$8-1&gt;=X$2,Book!$L$78/Capex!$D$8,0))+IF(Capex!$F$9="Y",IF($A414+Capex!$D$9-1&gt;=X$2,Book!$L$114/Capex!$D$9,0))+IF(Capex!$F$10="Y",IF($A414+Capex!$D$10-1&gt;=X$2,Book!$L$150/Capex!$D$10,0))+IF(Capex!$F$11="Y",IF($A414+Capex!$D$11-1&gt;=X$2,Book!$L$186/Capex!$D$11,0))+IF(Capex!$F$12="Y",IF($A414+Capex!$D$12-1&gt;=X$2,Book!$L$222/Capex!$D$12,0))+IF(Capex!$F$13="Y",IF($A414+Capex!$D$13-1&gt;=X$2,Book!$L$258/Capex!$D$13,0))+IF(Capex!$F$14="Y",IF($A414+Capex!$D$14-1&gt;=X$2,Book!$L$14/Capex!$D$255,0))+IF(Capex!$F$15="Y",IF($A414+Capex!$D$15-1&gt;=X$2,Book!$L$330/Capex!$D$15,0)))*$L$401</f>
        <v>0</v>
      </c>
      <c r="Y414" s="4">
        <f>(IF(Capex!$F$6="Y",IF($A414+Capex!$D$6-1&gt;=Y$2,Book!$L$6/Capex!$D$6,0))+IF(Capex!$F$7="Y",IF($A414+Capex!$D$7-1&gt;=Y$2,Book!$L$42/Capex!$D$7,0))+IF(Capex!$F$8="Y",IF($A414+Capex!$D$8-1&gt;=Y$2,Book!$L$78/Capex!$D$8,0))+IF(Capex!$F$9="Y",IF($A414+Capex!$D$9-1&gt;=Y$2,Book!$L$114/Capex!$D$9,0))+IF(Capex!$F$10="Y",IF($A414+Capex!$D$10-1&gt;=Y$2,Book!$L$150/Capex!$D$10,0))+IF(Capex!$F$11="Y",IF($A414+Capex!$D$11-1&gt;=Y$2,Book!$L$186/Capex!$D$11,0))+IF(Capex!$F$12="Y",IF($A414+Capex!$D$12-1&gt;=Y$2,Book!$L$222/Capex!$D$12,0))+IF(Capex!$F$13="Y",IF($A414+Capex!$D$13-1&gt;=Y$2,Book!$L$258/Capex!$D$13,0))+IF(Capex!$F$14="Y",IF($A414+Capex!$D$14-1&gt;=Y$2,Book!$L$14/Capex!$D$255,0))+IF(Capex!$F$15="Y",IF($A414+Capex!$D$15-1&gt;=Y$2,Book!$L$330/Capex!$D$15,0)))*$L$401</f>
        <v>0</v>
      </c>
      <c r="Z414" s="4">
        <f>(IF(Capex!$F$6="Y",IF($A414+Capex!$D$6-1&gt;=Z$2,Book!$L$6/Capex!$D$6,0))+IF(Capex!$F$7="Y",IF($A414+Capex!$D$7-1&gt;=Z$2,Book!$L$42/Capex!$D$7,0))+IF(Capex!$F$8="Y",IF($A414+Capex!$D$8-1&gt;=Z$2,Book!$L$78/Capex!$D$8,0))+IF(Capex!$F$9="Y",IF($A414+Capex!$D$9-1&gt;=Z$2,Book!$L$114/Capex!$D$9,0))+IF(Capex!$F$10="Y",IF($A414+Capex!$D$10-1&gt;=Z$2,Book!$L$150/Capex!$D$10,0))+IF(Capex!$F$11="Y",IF($A414+Capex!$D$11-1&gt;=Z$2,Book!$L$186/Capex!$D$11,0))+IF(Capex!$F$12="Y",IF($A414+Capex!$D$12-1&gt;=Z$2,Book!$L$222/Capex!$D$12,0))+IF(Capex!$F$13="Y",IF($A414+Capex!$D$13-1&gt;=Z$2,Book!$L$258/Capex!$D$13,0))+IF(Capex!$F$14="Y",IF($A414+Capex!$D$14-1&gt;=Z$2,Book!$L$14/Capex!$D$255,0))+IF(Capex!$F$15="Y",IF($A414+Capex!$D$15-1&gt;=Z$2,Book!$L$330/Capex!$D$15,0)))*$L$401</f>
        <v>0</v>
      </c>
      <c r="AA414" s="4">
        <f>(IF(Capex!$F$6="Y",IF($A414+Capex!$D$6-1&gt;=AA$2,Book!$L$6/Capex!$D$6,0))+IF(Capex!$F$7="Y",IF($A414+Capex!$D$7-1&gt;=AA$2,Book!$L$42/Capex!$D$7,0))+IF(Capex!$F$8="Y",IF($A414+Capex!$D$8-1&gt;=AA$2,Book!$L$78/Capex!$D$8,0))+IF(Capex!$F$9="Y",IF($A414+Capex!$D$9-1&gt;=AA$2,Book!$L$114/Capex!$D$9,0))+IF(Capex!$F$10="Y",IF($A414+Capex!$D$10-1&gt;=AA$2,Book!$L$150/Capex!$D$10,0))+IF(Capex!$F$11="Y",IF($A414+Capex!$D$11-1&gt;=AA$2,Book!$L$186/Capex!$D$11,0))+IF(Capex!$F$12="Y",IF($A414+Capex!$D$12-1&gt;=AA$2,Book!$L$222/Capex!$D$12,0))+IF(Capex!$F$13="Y",IF($A414+Capex!$D$13-1&gt;=AA$2,Book!$L$258/Capex!$D$13,0))+IF(Capex!$F$14="Y",IF($A414+Capex!$D$14-1&gt;=AA$2,Book!$L$14/Capex!$D$255,0))+IF(Capex!$F$15="Y",IF($A414+Capex!$D$15-1&gt;=AA$2,Book!$L$330/Capex!$D$15,0)))*$L$401</f>
        <v>0</v>
      </c>
      <c r="AB414" s="4">
        <f>(IF(Capex!$F$6="Y",IF($A414+Capex!$D$6-1&gt;=AB$2,Book!$L$6/Capex!$D$6,0))+IF(Capex!$F$7="Y",IF($A414+Capex!$D$7-1&gt;=AB$2,Book!$L$42/Capex!$D$7,0))+IF(Capex!$F$8="Y",IF($A414+Capex!$D$8-1&gt;=AB$2,Book!$L$78/Capex!$D$8,0))+IF(Capex!$F$9="Y",IF($A414+Capex!$D$9-1&gt;=AB$2,Book!$L$114/Capex!$D$9,0))+IF(Capex!$F$10="Y",IF($A414+Capex!$D$10-1&gt;=AB$2,Book!$L$150/Capex!$D$10,0))+IF(Capex!$F$11="Y",IF($A414+Capex!$D$11-1&gt;=AB$2,Book!$L$186/Capex!$D$11,0))+IF(Capex!$F$12="Y",IF($A414+Capex!$D$12-1&gt;=AB$2,Book!$L$222/Capex!$D$12,0))+IF(Capex!$F$13="Y",IF($A414+Capex!$D$13-1&gt;=AB$2,Book!$L$258/Capex!$D$13,0))+IF(Capex!$F$14="Y",IF($A414+Capex!$D$14-1&gt;=AB$2,Book!$L$14/Capex!$D$255,0))+IF(Capex!$F$15="Y",IF($A414+Capex!$D$15-1&gt;=AB$2,Book!$L$330/Capex!$D$15,0)))*$L$401</f>
        <v>0</v>
      </c>
      <c r="AC414" s="4">
        <f>(IF(Capex!$F$6="Y",IF($A414+Capex!$D$6-1&gt;=AC$2,Book!$L$6/Capex!$D$6,0))+IF(Capex!$F$7="Y",IF($A414+Capex!$D$7-1&gt;=AC$2,Book!$L$42/Capex!$D$7,0))+IF(Capex!$F$8="Y",IF($A414+Capex!$D$8-1&gt;=AC$2,Book!$L$78/Capex!$D$8,0))+IF(Capex!$F$9="Y",IF($A414+Capex!$D$9-1&gt;=AC$2,Book!$L$114/Capex!$D$9,0))+IF(Capex!$F$10="Y",IF($A414+Capex!$D$10-1&gt;=AC$2,Book!$L$150/Capex!$D$10,0))+IF(Capex!$F$11="Y",IF($A414+Capex!$D$11-1&gt;=AC$2,Book!$L$186/Capex!$D$11,0))+IF(Capex!$F$12="Y",IF($A414+Capex!$D$12-1&gt;=AC$2,Book!$L$222/Capex!$D$12,0))+IF(Capex!$F$13="Y",IF($A414+Capex!$D$13-1&gt;=AC$2,Book!$L$258/Capex!$D$13,0))+IF(Capex!$F$14="Y",IF($A414+Capex!$D$14-1&gt;=AC$2,Book!$L$14/Capex!$D$255,0))+IF(Capex!$F$15="Y",IF($A414+Capex!$D$15-1&gt;=AC$2,Book!$L$330/Capex!$D$15,0)))*$L$401</f>
        <v>0</v>
      </c>
      <c r="AD414" s="4">
        <f>(IF(Capex!$F$6="Y",IF($A414+Capex!$D$6-1&gt;=AD$2,Book!$L$6/Capex!$D$6,0))+IF(Capex!$F$7="Y",IF($A414+Capex!$D$7-1&gt;=AD$2,Book!$L$42/Capex!$D$7,0))+IF(Capex!$F$8="Y",IF($A414+Capex!$D$8-1&gt;=AD$2,Book!$L$78/Capex!$D$8,0))+IF(Capex!$F$9="Y",IF($A414+Capex!$D$9-1&gt;=AD$2,Book!$L$114/Capex!$D$9,0))+IF(Capex!$F$10="Y",IF($A414+Capex!$D$10-1&gt;=AD$2,Book!$L$150/Capex!$D$10,0))+IF(Capex!$F$11="Y",IF($A414+Capex!$D$11-1&gt;=AD$2,Book!$L$186/Capex!$D$11,0))+IF(Capex!$F$12="Y",IF($A414+Capex!$D$12-1&gt;=AD$2,Book!$L$222/Capex!$D$12,0))+IF(Capex!$F$13="Y",IF($A414+Capex!$D$13-1&gt;=AD$2,Book!$L$258/Capex!$D$13,0))+IF(Capex!$F$14="Y",IF($A414+Capex!$D$14-1&gt;=AD$2,Book!$L$14/Capex!$D$255,0))+IF(Capex!$F$15="Y",IF($A414+Capex!$D$15-1&gt;=AD$2,Book!$L$330/Capex!$D$15,0)))*$L$401</f>
        <v>0</v>
      </c>
      <c r="AE414" s="4">
        <f>(IF(Capex!$F$6="Y",IF($A414+Capex!$D$6-1&gt;=AE$2,Book!$L$6/Capex!$D$6,0))+IF(Capex!$F$7="Y",IF($A414+Capex!$D$7-1&gt;=AE$2,Book!$L$42/Capex!$D$7,0))+IF(Capex!$F$8="Y",IF($A414+Capex!$D$8-1&gt;=AE$2,Book!$L$78/Capex!$D$8,0))+IF(Capex!$F$9="Y",IF($A414+Capex!$D$9-1&gt;=AE$2,Book!$L$114/Capex!$D$9,0))+IF(Capex!$F$10="Y",IF($A414+Capex!$D$10-1&gt;=AE$2,Book!$L$150/Capex!$D$10,0))+IF(Capex!$F$11="Y",IF($A414+Capex!$D$11-1&gt;=AE$2,Book!$L$186/Capex!$D$11,0))+IF(Capex!$F$12="Y",IF($A414+Capex!$D$12-1&gt;=AE$2,Book!$L$222/Capex!$D$12,0))+IF(Capex!$F$13="Y",IF($A414+Capex!$D$13-1&gt;=AE$2,Book!$L$258/Capex!$D$13,0))+IF(Capex!$F$14="Y",IF($A414+Capex!$D$14-1&gt;=AE$2,Book!$L$14/Capex!$D$255,0))+IF(Capex!$F$15="Y",IF($A414+Capex!$D$15-1&gt;=AE$2,Book!$L$330/Capex!$D$15,0)))*$L$401</f>
        <v>0</v>
      </c>
      <c r="AF414" s="4">
        <f>(IF(Capex!$F$6="Y",IF($A414+Capex!$D$6-1&gt;=AF$2,Book!$L$6/Capex!$D$6,0))+IF(Capex!$F$7="Y",IF($A414+Capex!$D$7-1&gt;=AF$2,Book!$L$42/Capex!$D$7,0))+IF(Capex!$F$8="Y",IF($A414+Capex!$D$8-1&gt;=AF$2,Book!$L$78/Capex!$D$8,0))+IF(Capex!$F$9="Y",IF($A414+Capex!$D$9-1&gt;=AF$2,Book!$L$114/Capex!$D$9,0))+IF(Capex!$F$10="Y",IF($A414+Capex!$D$10-1&gt;=AF$2,Book!$L$150/Capex!$D$10,0))+IF(Capex!$F$11="Y",IF($A414+Capex!$D$11-1&gt;=AF$2,Book!$L$186/Capex!$D$11,0))+IF(Capex!$F$12="Y",IF($A414+Capex!$D$12-1&gt;=AF$2,Book!$L$222/Capex!$D$12,0))+IF(Capex!$F$13="Y",IF($A414+Capex!$D$13-1&gt;=AF$2,Book!$L$258/Capex!$D$13,0))+IF(Capex!$F$14="Y",IF($A414+Capex!$D$14-1&gt;=AF$2,Book!$L$14/Capex!$D$255,0))+IF(Capex!$F$15="Y",IF($A414+Capex!$D$15-1&gt;=AF$2,Book!$L$330/Capex!$D$15,0)))*$L$401</f>
        <v>0</v>
      </c>
      <c r="AG414" s="4">
        <f t="shared" si="130"/>
        <v>0</v>
      </c>
      <c r="AH414" s="252">
        <f t="shared" si="132"/>
        <v>0</v>
      </c>
    </row>
    <row r="415" spans="1:34">
      <c r="A415" s="718">
        <f t="shared" si="129"/>
        <v>2032</v>
      </c>
      <c r="B415" s="4">
        <f t="shared" si="131"/>
        <v>0</v>
      </c>
      <c r="M415" s="4">
        <f>(IF(Capex!$F$6="Y",IF($A415+Capex!$D$6-1&gt;=M$2,Book!$M$6/Capex!$D$6,0))+IF(Capex!$F$7="Y",IF($A415+Capex!$D$7-1&gt;=M$2,Book!$M$42/Capex!$D$7,0))+IF(Capex!$F$8="Y",IF($A415+Capex!$D$8-1&gt;=M$2,Book!$M$78/Capex!$D$8,0))+IF(Capex!$F$9="Y",IF($A415+Capex!$D$9-1&gt;=M$2,Book!$M$114/Capex!$D$9,0))+IF(Capex!$F$10="Y",IF($A415+Capex!$D$10-1&gt;=M$2,Book!$M$150/Capex!$D$10,0))+IF(Capex!$F$11="Y",IF($A415+Capex!$D$11-1&gt;=M$2,Book!$M$186/Capex!$D$11,0))+IF(Capex!$F$12="Y",IF($A415+Capex!$D$12-1&gt;=M$2,Book!$M$222/Capex!$D$12,0))+IF(Capex!$F$13="Y",IF($A415+Capex!$D$13-1&gt;=M$2,Book!$M$258/Capex!$D$13,0))+IF(Capex!$F$14="Y",IF($A415+Capex!$D$14-1&gt;=M$2,Book!$M$14/Capex!$D$255,0))+IF(Capex!$F$15="Y",IF($A415+Capex!$D$15-1&gt;=M$2,Book!$M$330/Capex!$D$15,0)))*$M$401</f>
        <v>0</v>
      </c>
      <c r="N415" s="4">
        <f>(IF(Capex!$F$6="Y",IF($A415+Capex!$D$6-1&gt;=N$2,Book!$M$6/Capex!$D$6,0))+IF(Capex!$F$7="Y",IF($A415+Capex!$D$7-1&gt;=N$2,Book!$M$42/Capex!$D$7,0))+IF(Capex!$F$8="Y",IF($A415+Capex!$D$8-1&gt;=N$2,Book!$M$78/Capex!$D$8,0))+IF(Capex!$F$9="Y",IF($A415+Capex!$D$9-1&gt;=N$2,Book!$M$114/Capex!$D$9,0))+IF(Capex!$F$10="Y",IF($A415+Capex!$D$10-1&gt;=N$2,Book!$M$150/Capex!$D$10,0))+IF(Capex!$F$11="Y",IF($A415+Capex!$D$11-1&gt;=N$2,Book!$M$186/Capex!$D$11,0))+IF(Capex!$F$12="Y",IF($A415+Capex!$D$12-1&gt;=N$2,Book!$M$222/Capex!$D$12,0))+IF(Capex!$F$13="Y",IF($A415+Capex!$D$13-1&gt;=N$2,Book!$M$258/Capex!$D$13,0))+IF(Capex!$F$14="Y",IF($A415+Capex!$D$14-1&gt;=N$2,Book!$M$14/Capex!$D$255,0))+IF(Capex!$F$15="Y",IF($A415+Capex!$D$15-1&gt;=N$2,Book!$M$330/Capex!$D$15,0)))*$M$401</f>
        <v>0</v>
      </c>
      <c r="O415" s="4">
        <f>(IF(Capex!$F$6="Y",IF($A415+Capex!$D$6-1&gt;=O$2,Book!$M$6/Capex!$D$6,0))+IF(Capex!$F$7="Y",IF($A415+Capex!$D$7-1&gt;=O$2,Book!$M$42/Capex!$D$7,0))+IF(Capex!$F$8="Y",IF($A415+Capex!$D$8-1&gt;=O$2,Book!$M$78/Capex!$D$8,0))+IF(Capex!$F$9="Y",IF($A415+Capex!$D$9-1&gt;=O$2,Book!$M$114/Capex!$D$9,0))+IF(Capex!$F$10="Y",IF($A415+Capex!$D$10-1&gt;=O$2,Book!$M$150/Capex!$D$10,0))+IF(Capex!$F$11="Y",IF($A415+Capex!$D$11-1&gt;=O$2,Book!$M$186/Capex!$D$11,0))+IF(Capex!$F$12="Y",IF($A415+Capex!$D$12-1&gt;=O$2,Book!$M$222/Capex!$D$12,0))+IF(Capex!$F$13="Y",IF($A415+Capex!$D$13-1&gt;=O$2,Book!$M$258/Capex!$D$13,0))+IF(Capex!$F$14="Y",IF($A415+Capex!$D$14-1&gt;=O$2,Book!$M$14/Capex!$D$255,0))+IF(Capex!$F$15="Y",IF($A415+Capex!$D$15-1&gt;=O$2,Book!$M$330/Capex!$D$15,0)))*$M$401</f>
        <v>0</v>
      </c>
      <c r="P415" s="4">
        <f>(IF(Capex!$F$6="Y",IF($A415+Capex!$D$6-1&gt;=P$2,Book!$M$6/Capex!$D$6,0))+IF(Capex!$F$7="Y",IF($A415+Capex!$D$7-1&gt;=P$2,Book!$M$42/Capex!$D$7,0))+IF(Capex!$F$8="Y",IF($A415+Capex!$D$8-1&gt;=P$2,Book!$M$78/Capex!$D$8,0))+IF(Capex!$F$9="Y",IF($A415+Capex!$D$9-1&gt;=P$2,Book!$M$114/Capex!$D$9,0))+IF(Capex!$F$10="Y",IF($A415+Capex!$D$10-1&gt;=P$2,Book!$M$150/Capex!$D$10,0))+IF(Capex!$F$11="Y",IF($A415+Capex!$D$11-1&gt;=P$2,Book!$M$186/Capex!$D$11,0))+IF(Capex!$F$12="Y",IF($A415+Capex!$D$12-1&gt;=P$2,Book!$M$222/Capex!$D$12,0))+IF(Capex!$F$13="Y",IF($A415+Capex!$D$13-1&gt;=P$2,Book!$M$258/Capex!$D$13,0))+IF(Capex!$F$14="Y",IF($A415+Capex!$D$14-1&gt;=P$2,Book!$M$14/Capex!$D$255,0))+IF(Capex!$F$15="Y",IF($A415+Capex!$D$15-1&gt;=P$2,Book!$M$330/Capex!$D$15,0)))*$M$401</f>
        <v>0</v>
      </c>
      <c r="Q415" s="4">
        <f>(IF(Capex!$F$6="Y",IF($A415+Capex!$D$6-1&gt;=Q$2,Book!$M$6/Capex!$D$6,0))+IF(Capex!$F$7="Y",IF($A415+Capex!$D$7-1&gt;=Q$2,Book!$M$42/Capex!$D$7,0))+IF(Capex!$F$8="Y",IF($A415+Capex!$D$8-1&gt;=Q$2,Book!$M$78/Capex!$D$8,0))+IF(Capex!$F$9="Y",IF($A415+Capex!$D$9-1&gt;=Q$2,Book!$M$114/Capex!$D$9,0))+IF(Capex!$F$10="Y",IF($A415+Capex!$D$10-1&gt;=Q$2,Book!$M$150/Capex!$D$10,0))+IF(Capex!$F$11="Y",IF($A415+Capex!$D$11-1&gt;=Q$2,Book!$M$186/Capex!$D$11,0))+IF(Capex!$F$12="Y",IF($A415+Capex!$D$12-1&gt;=Q$2,Book!$M$222/Capex!$D$12,0))+IF(Capex!$F$13="Y",IF($A415+Capex!$D$13-1&gt;=Q$2,Book!$M$258/Capex!$D$13,0))+IF(Capex!$F$14="Y",IF($A415+Capex!$D$14-1&gt;=Q$2,Book!$M$14/Capex!$D$255,0))+IF(Capex!$F$15="Y",IF($A415+Capex!$D$15-1&gt;=Q$2,Book!$M$330/Capex!$D$15,0)))*$M$401</f>
        <v>0</v>
      </c>
      <c r="R415" s="4">
        <f>(IF(Capex!$F$6="Y",IF($A415+Capex!$D$6-1&gt;=R$2,Book!$M$6/Capex!$D$6,0))+IF(Capex!$F$7="Y",IF($A415+Capex!$D$7-1&gt;=R$2,Book!$M$42/Capex!$D$7,0))+IF(Capex!$F$8="Y",IF($A415+Capex!$D$8-1&gt;=R$2,Book!$M$78/Capex!$D$8,0))+IF(Capex!$F$9="Y",IF($A415+Capex!$D$9-1&gt;=R$2,Book!$M$114/Capex!$D$9,0))+IF(Capex!$F$10="Y",IF($A415+Capex!$D$10-1&gt;=R$2,Book!$M$150/Capex!$D$10,0))+IF(Capex!$F$11="Y",IF($A415+Capex!$D$11-1&gt;=R$2,Book!$M$186/Capex!$D$11,0))+IF(Capex!$F$12="Y",IF($A415+Capex!$D$12-1&gt;=R$2,Book!$M$222/Capex!$D$12,0))+IF(Capex!$F$13="Y",IF($A415+Capex!$D$13-1&gt;=R$2,Book!$M$258/Capex!$D$13,0))+IF(Capex!$F$14="Y",IF($A415+Capex!$D$14-1&gt;=R$2,Book!$M$14/Capex!$D$255,0))+IF(Capex!$F$15="Y",IF($A415+Capex!$D$15-1&gt;=R$2,Book!$M$330/Capex!$D$15,0)))*$M$401</f>
        <v>0</v>
      </c>
      <c r="S415" s="4">
        <f>(IF(Capex!$F$6="Y",IF($A415+Capex!$D$6-1&gt;=S$2,Book!$M$6/Capex!$D$6,0))+IF(Capex!$F$7="Y",IF($A415+Capex!$D$7-1&gt;=S$2,Book!$M$42/Capex!$D$7,0))+IF(Capex!$F$8="Y",IF($A415+Capex!$D$8-1&gt;=S$2,Book!$M$78/Capex!$D$8,0))+IF(Capex!$F$9="Y",IF($A415+Capex!$D$9-1&gt;=S$2,Book!$M$114/Capex!$D$9,0))+IF(Capex!$F$10="Y",IF($A415+Capex!$D$10-1&gt;=S$2,Book!$M$150/Capex!$D$10,0))+IF(Capex!$F$11="Y",IF($A415+Capex!$D$11-1&gt;=S$2,Book!$M$186/Capex!$D$11,0))+IF(Capex!$F$12="Y",IF($A415+Capex!$D$12-1&gt;=S$2,Book!$M$222/Capex!$D$12,0))+IF(Capex!$F$13="Y",IF($A415+Capex!$D$13-1&gt;=S$2,Book!$M$258/Capex!$D$13,0))+IF(Capex!$F$14="Y",IF($A415+Capex!$D$14-1&gt;=S$2,Book!$M$14/Capex!$D$255,0))+IF(Capex!$F$15="Y",IF($A415+Capex!$D$15-1&gt;=S$2,Book!$M$330/Capex!$D$15,0)))*$M$401</f>
        <v>0</v>
      </c>
      <c r="T415" s="4">
        <f>(IF(Capex!$F$6="Y",IF($A415+Capex!$D$6-1&gt;=T$2,Book!$M$6/Capex!$D$6,0))+IF(Capex!$F$7="Y",IF($A415+Capex!$D$7-1&gt;=T$2,Book!$M$42/Capex!$D$7,0))+IF(Capex!$F$8="Y",IF($A415+Capex!$D$8-1&gt;=T$2,Book!$M$78/Capex!$D$8,0))+IF(Capex!$F$9="Y",IF($A415+Capex!$D$9-1&gt;=T$2,Book!$M$114/Capex!$D$9,0))+IF(Capex!$F$10="Y",IF($A415+Capex!$D$10-1&gt;=T$2,Book!$M$150/Capex!$D$10,0))+IF(Capex!$F$11="Y",IF($A415+Capex!$D$11-1&gt;=T$2,Book!$M$186/Capex!$D$11,0))+IF(Capex!$F$12="Y",IF($A415+Capex!$D$12-1&gt;=T$2,Book!$M$222/Capex!$D$12,0))+IF(Capex!$F$13="Y",IF($A415+Capex!$D$13-1&gt;=T$2,Book!$M$258/Capex!$D$13,0))+IF(Capex!$F$14="Y",IF($A415+Capex!$D$14-1&gt;=T$2,Book!$M$14/Capex!$D$255,0))+IF(Capex!$F$15="Y",IF($A415+Capex!$D$15-1&gt;=T$2,Book!$M$330/Capex!$D$15,0)))*$M$401</f>
        <v>0</v>
      </c>
      <c r="U415" s="4">
        <f>(IF(Capex!$F$6="Y",IF($A415+Capex!$D$6-1&gt;=U$2,Book!$M$6/Capex!$D$6,0))+IF(Capex!$F$7="Y",IF($A415+Capex!$D$7-1&gt;=U$2,Book!$M$42/Capex!$D$7,0))+IF(Capex!$F$8="Y",IF($A415+Capex!$D$8-1&gt;=U$2,Book!$M$78/Capex!$D$8,0))+IF(Capex!$F$9="Y",IF($A415+Capex!$D$9-1&gt;=U$2,Book!$M$114/Capex!$D$9,0))+IF(Capex!$F$10="Y",IF($A415+Capex!$D$10-1&gt;=U$2,Book!$M$150/Capex!$D$10,0))+IF(Capex!$F$11="Y",IF($A415+Capex!$D$11-1&gt;=U$2,Book!$M$186/Capex!$D$11,0))+IF(Capex!$F$12="Y",IF($A415+Capex!$D$12-1&gt;=U$2,Book!$M$222/Capex!$D$12,0))+IF(Capex!$F$13="Y",IF($A415+Capex!$D$13-1&gt;=U$2,Book!$M$258/Capex!$D$13,0))+IF(Capex!$F$14="Y",IF($A415+Capex!$D$14-1&gt;=U$2,Book!$M$14/Capex!$D$255,0))+IF(Capex!$F$15="Y",IF($A415+Capex!$D$15-1&gt;=U$2,Book!$M$330/Capex!$D$15,0)))*$M$401</f>
        <v>0</v>
      </c>
      <c r="V415" s="4">
        <f>(IF(Capex!$F$6="Y",IF($A415+Capex!$D$6-1&gt;=V$2,Book!$M$6/Capex!$D$6,0))+IF(Capex!$F$7="Y",IF($A415+Capex!$D$7-1&gt;=V$2,Book!$M$42/Capex!$D$7,0))+IF(Capex!$F$8="Y",IF($A415+Capex!$D$8-1&gt;=V$2,Book!$M$78/Capex!$D$8,0))+IF(Capex!$F$9="Y",IF($A415+Capex!$D$9-1&gt;=V$2,Book!$M$114/Capex!$D$9,0))+IF(Capex!$F$10="Y",IF($A415+Capex!$D$10-1&gt;=V$2,Book!$M$150/Capex!$D$10,0))+IF(Capex!$F$11="Y",IF($A415+Capex!$D$11-1&gt;=V$2,Book!$M$186/Capex!$D$11,0))+IF(Capex!$F$12="Y",IF($A415+Capex!$D$12-1&gt;=V$2,Book!$M$222/Capex!$D$12,0))+IF(Capex!$F$13="Y",IF($A415+Capex!$D$13-1&gt;=V$2,Book!$M$258/Capex!$D$13,0))+IF(Capex!$F$14="Y",IF($A415+Capex!$D$14-1&gt;=V$2,Book!$M$14/Capex!$D$255,0))+IF(Capex!$F$15="Y",IF($A415+Capex!$D$15-1&gt;=V$2,Book!$M$330/Capex!$D$15,0)))*$M$401</f>
        <v>0</v>
      </c>
      <c r="W415" s="4">
        <f>(IF(Capex!$F$6="Y",IF($A415+Capex!$D$6-1&gt;=W$2,Book!$M$6/Capex!$D$6,0))+IF(Capex!$F$7="Y",IF($A415+Capex!$D$7-1&gt;=W$2,Book!$M$42/Capex!$D$7,0))+IF(Capex!$F$8="Y",IF($A415+Capex!$D$8-1&gt;=W$2,Book!$M$78/Capex!$D$8,0))+IF(Capex!$F$9="Y",IF($A415+Capex!$D$9-1&gt;=W$2,Book!$M$114/Capex!$D$9,0))+IF(Capex!$F$10="Y",IF($A415+Capex!$D$10-1&gt;=W$2,Book!$M$150/Capex!$D$10,0))+IF(Capex!$F$11="Y",IF($A415+Capex!$D$11-1&gt;=W$2,Book!$M$186/Capex!$D$11,0))+IF(Capex!$F$12="Y",IF($A415+Capex!$D$12-1&gt;=W$2,Book!$M$222/Capex!$D$12,0))+IF(Capex!$F$13="Y",IF($A415+Capex!$D$13-1&gt;=W$2,Book!$M$258/Capex!$D$13,0))+IF(Capex!$F$14="Y",IF($A415+Capex!$D$14-1&gt;=W$2,Book!$M$14/Capex!$D$255,0))+IF(Capex!$F$15="Y",IF($A415+Capex!$D$15-1&gt;=W$2,Book!$M$330/Capex!$D$15,0)))*$M$401</f>
        <v>0</v>
      </c>
      <c r="X415" s="4">
        <f>(IF(Capex!$F$6="Y",IF($A415+Capex!$D$6-1&gt;=X$2,Book!$M$6/Capex!$D$6,0))+IF(Capex!$F$7="Y",IF($A415+Capex!$D$7-1&gt;=X$2,Book!$M$42/Capex!$D$7,0))+IF(Capex!$F$8="Y",IF($A415+Capex!$D$8-1&gt;=X$2,Book!$M$78/Capex!$D$8,0))+IF(Capex!$F$9="Y",IF($A415+Capex!$D$9-1&gt;=X$2,Book!$M$114/Capex!$D$9,0))+IF(Capex!$F$10="Y",IF($A415+Capex!$D$10-1&gt;=X$2,Book!$M$150/Capex!$D$10,0))+IF(Capex!$F$11="Y",IF($A415+Capex!$D$11-1&gt;=X$2,Book!$M$186/Capex!$D$11,0))+IF(Capex!$F$12="Y",IF($A415+Capex!$D$12-1&gt;=X$2,Book!$M$222/Capex!$D$12,0))+IF(Capex!$F$13="Y",IF($A415+Capex!$D$13-1&gt;=X$2,Book!$M$258/Capex!$D$13,0))+IF(Capex!$F$14="Y",IF($A415+Capex!$D$14-1&gt;=X$2,Book!$M$14/Capex!$D$255,0))+IF(Capex!$F$15="Y",IF($A415+Capex!$D$15-1&gt;=X$2,Book!$M$330/Capex!$D$15,0)))*$M$401</f>
        <v>0</v>
      </c>
      <c r="Y415" s="4">
        <f>(IF(Capex!$F$6="Y",IF($A415+Capex!$D$6-1&gt;=Y$2,Book!$M$6/Capex!$D$6,0))+IF(Capex!$F$7="Y",IF($A415+Capex!$D$7-1&gt;=Y$2,Book!$M$42/Capex!$D$7,0))+IF(Capex!$F$8="Y",IF($A415+Capex!$D$8-1&gt;=Y$2,Book!$M$78/Capex!$D$8,0))+IF(Capex!$F$9="Y",IF($A415+Capex!$D$9-1&gt;=Y$2,Book!$M$114/Capex!$D$9,0))+IF(Capex!$F$10="Y",IF($A415+Capex!$D$10-1&gt;=Y$2,Book!$M$150/Capex!$D$10,0))+IF(Capex!$F$11="Y",IF($A415+Capex!$D$11-1&gt;=Y$2,Book!$M$186/Capex!$D$11,0))+IF(Capex!$F$12="Y",IF($A415+Capex!$D$12-1&gt;=Y$2,Book!$M$222/Capex!$D$12,0))+IF(Capex!$F$13="Y",IF($A415+Capex!$D$13-1&gt;=Y$2,Book!$M$258/Capex!$D$13,0))+IF(Capex!$F$14="Y",IF($A415+Capex!$D$14-1&gt;=Y$2,Book!$M$14/Capex!$D$255,0))+IF(Capex!$F$15="Y",IF($A415+Capex!$D$15-1&gt;=Y$2,Book!$M$330/Capex!$D$15,0)))*$M$401</f>
        <v>0</v>
      </c>
      <c r="Z415" s="4">
        <f>(IF(Capex!$F$6="Y",IF($A415+Capex!$D$6-1&gt;=Z$2,Book!$M$6/Capex!$D$6,0))+IF(Capex!$F$7="Y",IF($A415+Capex!$D$7-1&gt;=Z$2,Book!$M$42/Capex!$D$7,0))+IF(Capex!$F$8="Y",IF($A415+Capex!$D$8-1&gt;=Z$2,Book!$M$78/Capex!$D$8,0))+IF(Capex!$F$9="Y",IF($A415+Capex!$D$9-1&gt;=Z$2,Book!$M$114/Capex!$D$9,0))+IF(Capex!$F$10="Y",IF($A415+Capex!$D$10-1&gt;=Z$2,Book!$M$150/Capex!$D$10,0))+IF(Capex!$F$11="Y",IF($A415+Capex!$D$11-1&gt;=Z$2,Book!$M$186/Capex!$D$11,0))+IF(Capex!$F$12="Y",IF($A415+Capex!$D$12-1&gt;=Z$2,Book!$M$222/Capex!$D$12,0))+IF(Capex!$F$13="Y",IF($A415+Capex!$D$13-1&gt;=Z$2,Book!$M$258/Capex!$D$13,0))+IF(Capex!$F$14="Y",IF($A415+Capex!$D$14-1&gt;=Z$2,Book!$M$14/Capex!$D$255,0))+IF(Capex!$F$15="Y",IF($A415+Capex!$D$15-1&gt;=Z$2,Book!$M$330/Capex!$D$15,0)))*$M$401</f>
        <v>0</v>
      </c>
      <c r="AA415" s="4">
        <f>(IF(Capex!$F$6="Y",IF($A415+Capex!$D$6-1&gt;=AA$2,Book!$M$6/Capex!$D$6,0))+IF(Capex!$F$7="Y",IF($A415+Capex!$D$7-1&gt;=AA$2,Book!$M$42/Capex!$D$7,0))+IF(Capex!$F$8="Y",IF($A415+Capex!$D$8-1&gt;=AA$2,Book!$M$78/Capex!$D$8,0))+IF(Capex!$F$9="Y",IF($A415+Capex!$D$9-1&gt;=AA$2,Book!$M$114/Capex!$D$9,0))+IF(Capex!$F$10="Y",IF($A415+Capex!$D$10-1&gt;=AA$2,Book!$M$150/Capex!$D$10,0))+IF(Capex!$F$11="Y",IF($A415+Capex!$D$11-1&gt;=AA$2,Book!$M$186/Capex!$D$11,0))+IF(Capex!$F$12="Y",IF($A415+Capex!$D$12-1&gt;=AA$2,Book!$M$222/Capex!$D$12,0))+IF(Capex!$F$13="Y",IF($A415+Capex!$D$13-1&gt;=AA$2,Book!$M$258/Capex!$D$13,0))+IF(Capex!$F$14="Y",IF($A415+Capex!$D$14-1&gt;=AA$2,Book!$M$14/Capex!$D$255,0))+IF(Capex!$F$15="Y",IF($A415+Capex!$D$15-1&gt;=AA$2,Book!$M$330/Capex!$D$15,0)))*$M$401</f>
        <v>0</v>
      </c>
      <c r="AB415" s="4">
        <f>(IF(Capex!$F$6="Y",IF($A415+Capex!$D$6-1&gt;=AB$2,Book!$M$6/Capex!$D$6,0))+IF(Capex!$F$7="Y",IF($A415+Capex!$D$7-1&gt;=AB$2,Book!$M$42/Capex!$D$7,0))+IF(Capex!$F$8="Y",IF($A415+Capex!$D$8-1&gt;=AB$2,Book!$M$78/Capex!$D$8,0))+IF(Capex!$F$9="Y",IF($A415+Capex!$D$9-1&gt;=AB$2,Book!$M$114/Capex!$D$9,0))+IF(Capex!$F$10="Y",IF($A415+Capex!$D$10-1&gt;=AB$2,Book!$M$150/Capex!$D$10,0))+IF(Capex!$F$11="Y",IF($A415+Capex!$D$11-1&gt;=AB$2,Book!$M$186/Capex!$D$11,0))+IF(Capex!$F$12="Y",IF($A415+Capex!$D$12-1&gt;=AB$2,Book!$M$222/Capex!$D$12,0))+IF(Capex!$F$13="Y",IF($A415+Capex!$D$13-1&gt;=AB$2,Book!$M$258/Capex!$D$13,0))+IF(Capex!$F$14="Y",IF($A415+Capex!$D$14-1&gt;=AB$2,Book!$M$14/Capex!$D$255,0))+IF(Capex!$F$15="Y",IF($A415+Capex!$D$15-1&gt;=AB$2,Book!$M$330/Capex!$D$15,0)))*$M$401</f>
        <v>0</v>
      </c>
      <c r="AC415" s="4">
        <f>(IF(Capex!$F$6="Y",IF($A415+Capex!$D$6-1&gt;=AC$2,Book!$M$6/Capex!$D$6,0))+IF(Capex!$F$7="Y",IF($A415+Capex!$D$7-1&gt;=AC$2,Book!$M$42/Capex!$D$7,0))+IF(Capex!$F$8="Y",IF($A415+Capex!$D$8-1&gt;=AC$2,Book!$M$78/Capex!$D$8,0))+IF(Capex!$F$9="Y",IF($A415+Capex!$D$9-1&gt;=AC$2,Book!$M$114/Capex!$D$9,0))+IF(Capex!$F$10="Y",IF($A415+Capex!$D$10-1&gt;=AC$2,Book!$M$150/Capex!$D$10,0))+IF(Capex!$F$11="Y",IF($A415+Capex!$D$11-1&gt;=AC$2,Book!$M$186/Capex!$D$11,0))+IF(Capex!$F$12="Y",IF($A415+Capex!$D$12-1&gt;=AC$2,Book!$M$222/Capex!$D$12,0))+IF(Capex!$F$13="Y",IF($A415+Capex!$D$13-1&gt;=AC$2,Book!$M$258/Capex!$D$13,0))+IF(Capex!$F$14="Y",IF($A415+Capex!$D$14-1&gt;=AC$2,Book!$M$14/Capex!$D$255,0))+IF(Capex!$F$15="Y",IF($A415+Capex!$D$15-1&gt;=AC$2,Book!$M$330/Capex!$D$15,0)))*$M$401</f>
        <v>0</v>
      </c>
      <c r="AD415" s="4">
        <f>(IF(Capex!$F$6="Y",IF($A415+Capex!$D$6-1&gt;=AD$2,Book!$M$6/Capex!$D$6,0))+IF(Capex!$F$7="Y",IF($A415+Capex!$D$7-1&gt;=AD$2,Book!$M$42/Capex!$D$7,0))+IF(Capex!$F$8="Y",IF($A415+Capex!$D$8-1&gt;=AD$2,Book!$M$78/Capex!$D$8,0))+IF(Capex!$F$9="Y",IF($A415+Capex!$D$9-1&gt;=AD$2,Book!$M$114/Capex!$D$9,0))+IF(Capex!$F$10="Y",IF($A415+Capex!$D$10-1&gt;=AD$2,Book!$M$150/Capex!$D$10,0))+IF(Capex!$F$11="Y",IF($A415+Capex!$D$11-1&gt;=AD$2,Book!$M$186/Capex!$D$11,0))+IF(Capex!$F$12="Y",IF($A415+Capex!$D$12-1&gt;=AD$2,Book!$M$222/Capex!$D$12,0))+IF(Capex!$F$13="Y",IF($A415+Capex!$D$13-1&gt;=AD$2,Book!$M$258/Capex!$D$13,0))+IF(Capex!$F$14="Y",IF($A415+Capex!$D$14-1&gt;=AD$2,Book!$M$14/Capex!$D$255,0))+IF(Capex!$F$15="Y",IF($A415+Capex!$D$15-1&gt;=AD$2,Book!$M$330/Capex!$D$15,0)))*$M$401</f>
        <v>0</v>
      </c>
      <c r="AE415" s="4">
        <f>(IF(Capex!$F$6="Y",IF($A415+Capex!$D$6-1&gt;=AE$2,Book!$M$6/Capex!$D$6,0))+IF(Capex!$F$7="Y",IF($A415+Capex!$D$7-1&gt;=AE$2,Book!$M$42/Capex!$D$7,0))+IF(Capex!$F$8="Y",IF($A415+Capex!$D$8-1&gt;=AE$2,Book!$M$78/Capex!$D$8,0))+IF(Capex!$F$9="Y",IF($A415+Capex!$D$9-1&gt;=AE$2,Book!$M$114/Capex!$D$9,0))+IF(Capex!$F$10="Y",IF($A415+Capex!$D$10-1&gt;=AE$2,Book!$M$150/Capex!$D$10,0))+IF(Capex!$F$11="Y",IF($A415+Capex!$D$11-1&gt;=AE$2,Book!$M$186/Capex!$D$11,0))+IF(Capex!$F$12="Y",IF($A415+Capex!$D$12-1&gt;=AE$2,Book!$M$222/Capex!$D$12,0))+IF(Capex!$F$13="Y",IF($A415+Capex!$D$13-1&gt;=AE$2,Book!$M$258/Capex!$D$13,0))+IF(Capex!$F$14="Y",IF($A415+Capex!$D$14-1&gt;=AE$2,Book!$M$14/Capex!$D$255,0))+IF(Capex!$F$15="Y",IF($A415+Capex!$D$15-1&gt;=AE$2,Book!$M$330/Capex!$D$15,0)))*$M$401</f>
        <v>0</v>
      </c>
      <c r="AF415" s="4">
        <f>(IF(Capex!$F$6="Y",IF($A415+Capex!$D$6-1&gt;=AF$2,Book!$M$6/Capex!$D$6,0))+IF(Capex!$F$7="Y",IF($A415+Capex!$D$7-1&gt;=AF$2,Book!$M$42/Capex!$D$7,0))+IF(Capex!$F$8="Y",IF($A415+Capex!$D$8-1&gt;=AF$2,Book!$M$78/Capex!$D$8,0))+IF(Capex!$F$9="Y",IF($A415+Capex!$D$9-1&gt;=AF$2,Book!$M$114/Capex!$D$9,0))+IF(Capex!$F$10="Y",IF($A415+Capex!$D$10-1&gt;=AF$2,Book!$M$150/Capex!$D$10,0))+IF(Capex!$F$11="Y",IF($A415+Capex!$D$11-1&gt;=AF$2,Book!$M$186/Capex!$D$11,0))+IF(Capex!$F$12="Y",IF($A415+Capex!$D$12-1&gt;=AF$2,Book!$M$222/Capex!$D$12,0))+IF(Capex!$F$13="Y",IF($A415+Capex!$D$13-1&gt;=AF$2,Book!$M$258/Capex!$D$13,0))+IF(Capex!$F$14="Y",IF($A415+Capex!$D$14-1&gt;=AF$2,Book!$M$14/Capex!$D$255,0))+IF(Capex!$F$15="Y",IF($A415+Capex!$D$15-1&gt;=AF$2,Book!$M$330/Capex!$D$15,0)))*$M$401</f>
        <v>0</v>
      </c>
      <c r="AG415" s="4">
        <f t="shared" si="130"/>
        <v>0</v>
      </c>
      <c r="AH415" s="252">
        <f t="shared" si="132"/>
        <v>0</v>
      </c>
    </row>
    <row r="416" spans="1:34">
      <c r="A416" s="718">
        <f t="shared" si="129"/>
        <v>2033</v>
      </c>
      <c r="B416" s="4">
        <f t="shared" si="131"/>
        <v>0</v>
      </c>
      <c r="N416" s="4">
        <f>(IF(Capex!$F$6="Y",IF($A416+Capex!$D$6-1&gt;=N$2,Book!$N$6/Capex!$D$6,0))+IF(Capex!$F$7="Y",IF($A416+Capex!$D$7-1&gt;=N$2,Book!$N$42/Capex!$D$7,0))+IF(Capex!$F$8="Y",IF($A416+Capex!$D$8-1&gt;=N$2,Book!$N$78/Capex!$D$8,0))+IF(Capex!$F$9="Y",IF($A416+Capex!$D$9-1&gt;=N$2,Book!$N$114/Capex!$D$9,0))+IF(Capex!$F$10="Y",IF($A416+Capex!$D$10-1&gt;=N$2,Book!$N$150/Capex!$D$10,0))+IF(Capex!$F$11="Y",IF($A416+Capex!$D$11-1&gt;=N$2,Book!$N$186/Capex!$D$11,0))+IF(Capex!$F$12="Y",IF($A416+Capex!$D$12-1&gt;=N$2,Book!$N$222/Capex!$D$12,0))+IF(Capex!$F$13="Y",IF($A416+Capex!$D$13-1&gt;=N$2,Book!$N$258/Capex!$D$13,0))+IF(Capex!$F$14="Y",IF($A416+Capex!$D$14-1&gt;=N$2,Book!$N$14/Capex!$D$255,0))+IF(Capex!$F$15="Y",IF($A416+Capex!$D$15-1&gt;=N$2,Book!$N$330/Capex!$D$15,0)))*$N$401</f>
        <v>0</v>
      </c>
      <c r="O416" s="4">
        <f>(IF(Capex!$F$6="Y",IF($A416+Capex!$D$6-1&gt;=O$2,Book!$N$6/Capex!$D$6,0))+IF(Capex!$F$7="Y",IF($A416+Capex!$D$7-1&gt;=O$2,Book!$N$42/Capex!$D$7,0))+IF(Capex!$F$8="Y",IF($A416+Capex!$D$8-1&gt;=O$2,Book!$N$78/Capex!$D$8,0))+IF(Capex!$F$9="Y",IF($A416+Capex!$D$9-1&gt;=O$2,Book!$N$114/Capex!$D$9,0))+IF(Capex!$F$10="Y",IF($A416+Capex!$D$10-1&gt;=O$2,Book!$N$150/Capex!$D$10,0))+IF(Capex!$F$11="Y",IF($A416+Capex!$D$11-1&gt;=O$2,Book!$N$186/Capex!$D$11,0))+IF(Capex!$F$12="Y",IF($A416+Capex!$D$12-1&gt;=O$2,Book!$N$222/Capex!$D$12,0))+IF(Capex!$F$13="Y",IF($A416+Capex!$D$13-1&gt;=O$2,Book!$N$258/Capex!$D$13,0))+IF(Capex!$F$14="Y",IF($A416+Capex!$D$14-1&gt;=O$2,Book!$N$14/Capex!$D$255,0))+IF(Capex!$F$15="Y",IF($A416+Capex!$D$15-1&gt;=O$2,Book!$N$330/Capex!$D$15,0)))*$N$401</f>
        <v>0</v>
      </c>
      <c r="P416" s="4">
        <f>(IF(Capex!$F$6="Y",IF($A416+Capex!$D$6-1&gt;=P$2,Book!$N$6/Capex!$D$6,0))+IF(Capex!$F$7="Y",IF($A416+Capex!$D$7-1&gt;=P$2,Book!$N$42/Capex!$D$7,0))+IF(Capex!$F$8="Y",IF($A416+Capex!$D$8-1&gt;=P$2,Book!$N$78/Capex!$D$8,0))+IF(Capex!$F$9="Y",IF($A416+Capex!$D$9-1&gt;=P$2,Book!$N$114/Capex!$D$9,0))+IF(Capex!$F$10="Y",IF($A416+Capex!$D$10-1&gt;=P$2,Book!$N$150/Capex!$D$10,0))+IF(Capex!$F$11="Y",IF($A416+Capex!$D$11-1&gt;=P$2,Book!$N$186/Capex!$D$11,0))+IF(Capex!$F$12="Y",IF($A416+Capex!$D$12-1&gt;=P$2,Book!$N$222/Capex!$D$12,0))+IF(Capex!$F$13="Y",IF($A416+Capex!$D$13-1&gt;=P$2,Book!$N$258/Capex!$D$13,0))+IF(Capex!$F$14="Y",IF($A416+Capex!$D$14-1&gt;=P$2,Book!$N$14/Capex!$D$255,0))+IF(Capex!$F$15="Y",IF($A416+Capex!$D$15-1&gt;=P$2,Book!$N$330/Capex!$D$15,0)))*$N$401</f>
        <v>0</v>
      </c>
      <c r="Q416" s="4">
        <f>(IF(Capex!$F$6="Y",IF($A416+Capex!$D$6-1&gt;=Q$2,Book!$N$6/Capex!$D$6,0))+IF(Capex!$F$7="Y",IF($A416+Capex!$D$7-1&gt;=Q$2,Book!$N$42/Capex!$D$7,0))+IF(Capex!$F$8="Y",IF($A416+Capex!$D$8-1&gt;=Q$2,Book!$N$78/Capex!$D$8,0))+IF(Capex!$F$9="Y",IF($A416+Capex!$D$9-1&gt;=Q$2,Book!$N$114/Capex!$D$9,0))+IF(Capex!$F$10="Y",IF($A416+Capex!$D$10-1&gt;=Q$2,Book!$N$150/Capex!$D$10,0))+IF(Capex!$F$11="Y",IF($A416+Capex!$D$11-1&gt;=Q$2,Book!$N$186/Capex!$D$11,0))+IF(Capex!$F$12="Y",IF($A416+Capex!$D$12-1&gt;=Q$2,Book!$N$222/Capex!$D$12,0))+IF(Capex!$F$13="Y",IF($A416+Capex!$D$13-1&gt;=Q$2,Book!$N$258/Capex!$D$13,0))+IF(Capex!$F$14="Y",IF($A416+Capex!$D$14-1&gt;=Q$2,Book!$N$14/Capex!$D$255,0))+IF(Capex!$F$15="Y",IF($A416+Capex!$D$15-1&gt;=Q$2,Book!$N$330/Capex!$D$15,0)))*$N$401</f>
        <v>0</v>
      </c>
      <c r="R416" s="4">
        <f>(IF(Capex!$F$6="Y",IF($A416+Capex!$D$6-1&gt;=R$2,Book!$N$6/Capex!$D$6,0))+IF(Capex!$F$7="Y",IF($A416+Capex!$D$7-1&gt;=R$2,Book!$N$42/Capex!$D$7,0))+IF(Capex!$F$8="Y",IF($A416+Capex!$D$8-1&gt;=R$2,Book!$N$78/Capex!$D$8,0))+IF(Capex!$F$9="Y",IF($A416+Capex!$D$9-1&gt;=R$2,Book!$N$114/Capex!$D$9,0))+IF(Capex!$F$10="Y",IF($A416+Capex!$D$10-1&gt;=R$2,Book!$N$150/Capex!$D$10,0))+IF(Capex!$F$11="Y",IF($A416+Capex!$D$11-1&gt;=R$2,Book!$N$186/Capex!$D$11,0))+IF(Capex!$F$12="Y",IF($A416+Capex!$D$12-1&gt;=R$2,Book!$N$222/Capex!$D$12,0))+IF(Capex!$F$13="Y",IF($A416+Capex!$D$13-1&gt;=R$2,Book!$N$258/Capex!$D$13,0))+IF(Capex!$F$14="Y",IF($A416+Capex!$D$14-1&gt;=R$2,Book!$N$14/Capex!$D$255,0))+IF(Capex!$F$15="Y",IF($A416+Capex!$D$15-1&gt;=R$2,Book!$N$330/Capex!$D$15,0)))*$N$401</f>
        <v>0</v>
      </c>
      <c r="S416" s="4">
        <f>(IF(Capex!$F$6="Y",IF($A416+Capex!$D$6-1&gt;=S$2,Book!$N$6/Capex!$D$6,0))+IF(Capex!$F$7="Y",IF($A416+Capex!$D$7-1&gt;=S$2,Book!$N$42/Capex!$D$7,0))+IF(Capex!$F$8="Y",IF($A416+Capex!$D$8-1&gt;=S$2,Book!$N$78/Capex!$D$8,0))+IF(Capex!$F$9="Y",IF($A416+Capex!$D$9-1&gt;=S$2,Book!$N$114/Capex!$D$9,0))+IF(Capex!$F$10="Y",IF($A416+Capex!$D$10-1&gt;=S$2,Book!$N$150/Capex!$D$10,0))+IF(Capex!$F$11="Y",IF($A416+Capex!$D$11-1&gt;=S$2,Book!$N$186/Capex!$D$11,0))+IF(Capex!$F$12="Y",IF($A416+Capex!$D$12-1&gt;=S$2,Book!$N$222/Capex!$D$12,0))+IF(Capex!$F$13="Y",IF($A416+Capex!$D$13-1&gt;=S$2,Book!$N$258/Capex!$D$13,0))+IF(Capex!$F$14="Y",IF($A416+Capex!$D$14-1&gt;=S$2,Book!$N$14/Capex!$D$255,0))+IF(Capex!$F$15="Y",IF($A416+Capex!$D$15-1&gt;=S$2,Book!$N$330/Capex!$D$15,0)))*$N$401</f>
        <v>0</v>
      </c>
      <c r="T416" s="4">
        <f>(IF(Capex!$F$6="Y",IF($A416+Capex!$D$6-1&gt;=T$2,Book!$N$6/Capex!$D$6,0))+IF(Capex!$F$7="Y",IF($A416+Capex!$D$7-1&gt;=T$2,Book!$N$42/Capex!$D$7,0))+IF(Capex!$F$8="Y",IF($A416+Capex!$D$8-1&gt;=T$2,Book!$N$78/Capex!$D$8,0))+IF(Capex!$F$9="Y",IF($A416+Capex!$D$9-1&gt;=T$2,Book!$N$114/Capex!$D$9,0))+IF(Capex!$F$10="Y",IF($A416+Capex!$D$10-1&gt;=T$2,Book!$N$150/Capex!$D$10,0))+IF(Capex!$F$11="Y",IF($A416+Capex!$D$11-1&gt;=T$2,Book!$N$186/Capex!$D$11,0))+IF(Capex!$F$12="Y",IF($A416+Capex!$D$12-1&gt;=T$2,Book!$N$222/Capex!$D$12,0))+IF(Capex!$F$13="Y",IF($A416+Capex!$D$13-1&gt;=T$2,Book!$N$258/Capex!$D$13,0))+IF(Capex!$F$14="Y",IF($A416+Capex!$D$14-1&gt;=T$2,Book!$N$14/Capex!$D$255,0))+IF(Capex!$F$15="Y",IF($A416+Capex!$D$15-1&gt;=T$2,Book!$N$330/Capex!$D$15,0)))*$N$401</f>
        <v>0</v>
      </c>
      <c r="U416" s="4">
        <f>(IF(Capex!$F$6="Y",IF($A416+Capex!$D$6-1&gt;=U$2,Book!$N$6/Capex!$D$6,0))+IF(Capex!$F$7="Y",IF($A416+Capex!$D$7-1&gt;=U$2,Book!$N$42/Capex!$D$7,0))+IF(Capex!$F$8="Y",IF($A416+Capex!$D$8-1&gt;=U$2,Book!$N$78/Capex!$D$8,0))+IF(Capex!$F$9="Y",IF($A416+Capex!$D$9-1&gt;=U$2,Book!$N$114/Capex!$D$9,0))+IF(Capex!$F$10="Y",IF($A416+Capex!$D$10-1&gt;=U$2,Book!$N$150/Capex!$D$10,0))+IF(Capex!$F$11="Y",IF($A416+Capex!$D$11-1&gt;=U$2,Book!$N$186/Capex!$D$11,0))+IF(Capex!$F$12="Y",IF($A416+Capex!$D$12-1&gt;=U$2,Book!$N$222/Capex!$D$12,0))+IF(Capex!$F$13="Y",IF($A416+Capex!$D$13-1&gt;=U$2,Book!$N$258/Capex!$D$13,0))+IF(Capex!$F$14="Y",IF($A416+Capex!$D$14-1&gt;=U$2,Book!$N$14/Capex!$D$255,0))+IF(Capex!$F$15="Y",IF($A416+Capex!$D$15-1&gt;=U$2,Book!$N$330/Capex!$D$15,0)))*$N$401</f>
        <v>0</v>
      </c>
      <c r="V416" s="4">
        <f>(IF(Capex!$F$6="Y",IF($A416+Capex!$D$6-1&gt;=V$2,Book!$N$6/Capex!$D$6,0))+IF(Capex!$F$7="Y",IF($A416+Capex!$D$7-1&gt;=V$2,Book!$N$42/Capex!$D$7,0))+IF(Capex!$F$8="Y",IF($A416+Capex!$D$8-1&gt;=V$2,Book!$N$78/Capex!$D$8,0))+IF(Capex!$F$9="Y",IF($A416+Capex!$D$9-1&gt;=V$2,Book!$N$114/Capex!$D$9,0))+IF(Capex!$F$10="Y",IF($A416+Capex!$D$10-1&gt;=V$2,Book!$N$150/Capex!$D$10,0))+IF(Capex!$F$11="Y",IF($A416+Capex!$D$11-1&gt;=V$2,Book!$N$186/Capex!$D$11,0))+IF(Capex!$F$12="Y",IF($A416+Capex!$D$12-1&gt;=V$2,Book!$N$222/Capex!$D$12,0))+IF(Capex!$F$13="Y",IF($A416+Capex!$D$13-1&gt;=V$2,Book!$N$258/Capex!$D$13,0))+IF(Capex!$F$14="Y",IF($A416+Capex!$D$14-1&gt;=V$2,Book!$N$14/Capex!$D$255,0))+IF(Capex!$F$15="Y",IF($A416+Capex!$D$15-1&gt;=V$2,Book!$N$330/Capex!$D$15,0)))*$N$401</f>
        <v>0</v>
      </c>
      <c r="W416" s="4">
        <f>(IF(Capex!$F$6="Y",IF($A416+Capex!$D$6-1&gt;=W$2,Book!$N$6/Capex!$D$6,0))+IF(Capex!$F$7="Y",IF($A416+Capex!$D$7-1&gt;=W$2,Book!$N$42/Capex!$D$7,0))+IF(Capex!$F$8="Y",IF($A416+Capex!$D$8-1&gt;=W$2,Book!$N$78/Capex!$D$8,0))+IF(Capex!$F$9="Y",IF($A416+Capex!$D$9-1&gt;=W$2,Book!$N$114/Capex!$D$9,0))+IF(Capex!$F$10="Y",IF($A416+Capex!$D$10-1&gt;=W$2,Book!$N$150/Capex!$D$10,0))+IF(Capex!$F$11="Y",IF($A416+Capex!$D$11-1&gt;=W$2,Book!$N$186/Capex!$D$11,0))+IF(Capex!$F$12="Y",IF($A416+Capex!$D$12-1&gt;=W$2,Book!$N$222/Capex!$D$12,0))+IF(Capex!$F$13="Y",IF($A416+Capex!$D$13-1&gt;=W$2,Book!$N$258/Capex!$D$13,0))+IF(Capex!$F$14="Y",IF($A416+Capex!$D$14-1&gt;=W$2,Book!$N$14/Capex!$D$255,0))+IF(Capex!$F$15="Y",IF($A416+Capex!$D$15-1&gt;=W$2,Book!$N$330/Capex!$D$15,0)))*$N$401</f>
        <v>0</v>
      </c>
      <c r="X416" s="4">
        <f>(IF(Capex!$F$6="Y",IF($A416+Capex!$D$6-1&gt;=X$2,Book!$N$6/Capex!$D$6,0))+IF(Capex!$F$7="Y",IF($A416+Capex!$D$7-1&gt;=X$2,Book!$N$42/Capex!$D$7,0))+IF(Capex!$F$8="Y",IF($A416+Capex!$D$8-1&gt;=X$2,Book!$N$78/Capex!$D$8,0))+IF(Capex!$F$9="Y",IF($A416+Capex!$D$9-1&gt;=X$2,Book!$N$114/Capex!$D$9,0))+IF(Capex!$F$10="Y",IF($A416+Capex!$D$10-1&gt;=X$2,Book!$N$150/Capex!$D$10,0))+IF(Capex!$F$11="Y",IF($A416+Capex!$D$11-1&gt;=X$2,Book!$N$186/Capex!$D$11,0))+IF(Capex!$F$12="Y",IF($A416+Capex!$D$12-1&gt;=X$2,Book!$N$222/Capex!$D$12,0))+IF(Capex!$F$13="Y",IF($A416+Capex!$D$13-1&gt;=X$2,Book!$N$258/Capex!$D$13,0))+IF(Capex!$F$14="Y",IF($A416+Capex!$D$14-1&gt;=X$2,Book!$N$14/Capex!$D$255,0))+IF(Capex!$F$15="Y",IF($A416+Capex!$D$15-1&gt;=X$2,Book!$N$330/Capex!$D$15,0)))*$N$401</f>
        <v>0</v>
      </c>
      <c r="Y416" s="4">
        <f>(IF(Capex!$F$6="Y",IF($A416+Capex!$D$6-1&gt;=Y$2,Book!$N$6/Capex!$D$6,0))+IF(Capex!$F$7="Y",IF($A416+Capex!$D$7-1&gt;=Y$2,Book!$N$42/Capex!$D$7,0))+IF(Capex!$F$8="Y",IF($A416+Capex!$D$8-1&gt;=Y$2,Book!$N$78/Capex!$D$8,0))+IF(Capex!$F$9="Y",IF($A416+Capex!$D$9-1&gt;=Y$2,Book!$N$114/Capex!$D$9,0))+IF(Capex!$F$10="Y",IF($A416+Capex!$D$10-1&gt;=Y$2,Book!$N$150/Capex!$D$10,0))+IF(Capex!$F$11="Y",IF($A416+Capex!$D$11-1&gt;=Y$2,Book!$N$186/Capex!$D$11,0))+IF(Capex!$F$12="Y",IF($A416+Capex!$D$12-1&gt;=Y$2,Book!$N$222/Capex!$D$12,0))+IF(Capex!$F$13="Y",IF($A416+Capex!$D$13-1&gt;=Y$2,Book!$N$258/Capex!$D$13,0))+IF(Capex!$F$14="Y",IF($A416+Capex!$D$14-1&gt;=Y$2,Book!$N$14/Capex!$D$255,0))+IF(Capex!$F$15="Y",IF($A416+Capex!$D$15-1&gt;=Y$2,Book!$N$330/Capex!$D$15,0)))*$N$401</f>
        <v>0</v>
      </c>
      <c r="Z416" s="4">
        <f>(IF(Capex!$F$6="Y",IF($A416+Capex!$D$6-1&gt;=Z$2,Book!$N$6/Capex!$D$6,0))+IF(Capex!$F$7="Y",IF($A416+Capex!$D$7-1&gt;=Z$2,Book!$N$42/Capex!$D$7,0))+IF(Capex!$F$8="Y",IF($A416+Capex!$D$8-1&gt;=Z$2,Book!$N$78/Capex!$D$8,0))+IF(Capex!$F$9="Y",IF($A416+Capex!$D$9-1&gt;=Z$2,Book!$N$114/Capex!$D$9,0))+IF(Capex!$F$10="Y",IF($A416+Capex!$D$10-1&gt;=Z$2,Book!$N$150/Capex!$D$10,0))+IF(Capex!$F$11="Y",IF($A416+Capex!$D$11-1&gt;=Z$2,Book!$N$186/Capex!$D$11,0))+IF(Capex!$F$12="Y",IF($A416+Capex!$D$12-1&gt;=Z$2,Book!$N$222/Capex!$D$12,0))+IF(Capex!$F$13="Y",IF($A416+Capex!$D$13-1&gt;=Z$2,Book!$N$258/Capex!$D$13,0))+IF(Capex!$F$14="Y",IF($A416+Capex!$D$14-1&gt;=Z$2,Book!$N$14/Capex!$D$255,0))+IF(Capex!$F$15="Y",IF($A416+Capex!$D$15-1&gt;=Z$2,Book!$N$330/Capex!$D$15,0)))*$N$401</f>
        <v>0</v>
      </c>
      <c r="AA416" s="4">
        <f>(IF(Capex!$F$6="Y",IF($A416+Capex!$D$6-1&gt;=AA$2,Book!$N$6/Capex!$D$6,0))+IF(Capex!$F$7="Y",IF($A416+Capex!$D$7-1&gt;=AA$2,Book!$N$42/Capex!$D$7,0))+IF(Capex!$F$8="Y",IF($A416+Capex!$D$8-1&gt;=AA$2,Book!$N$78/Capex!$D$8,0))+IF(Capex!$F$9="Y",IF($A416+Capex!$D$9-1&gt;=AA$2,Book!$N$114/Capex!$D$9,0))+IF(Capex!$F$10="Y",IF($A416+Capex!$D$10-1&gt;=AA$2,Book!$N$150/Capex!$D$10,0))+IF(Capex!$F$11="Y",IF($A416+Capex!$D$11-1&gt;=AA$2,Book!$N$186/Capex!$D$11,0))+IF(Capex!$F$12="Y",IF($A416+Capex!$D$12-1&gt;=AA$2,Book!$N$222/Capex!$D$12,0))+IF(Capex!$F$13="Y",IF($A416+Capex!$D$13-1&gt;=AA$2,Book!$N$258/Capex!$D$13,0))+IF(Capex!$F$14="Y",IF($A416+Capex!$D$14-1&gt;=AA$2,Book!$N$14/Capex!$D$255,0))+IF(Capex!$F$15="Y",IF($A416+Capex!$D$15-1&gt;=AA$2,Book!$N$330/Capex!$D$15,0)))*$N$401</f>
        <v>0</v>
      </c>
      <c r="AB416" s="4">
        <f>(IF(Capex!$F$6="Y",IF($A416+Capex!$D$6-1&gt;=AB$2,Book!$N$6/Capex!$D$6,0))+IF(Capex!$F$7="Y",IF($A416+Capex!$D$7-1&gt;=AB$2,Book!$N$42/Capex!$D$7,0))+IF(Capex!$F$8="Y",IF($A416+Capex!$D$8-1&gt;=AB$2,Book!$N$78/Capex!$D$8,0))+IF(Capex!$F$9="Y",IF($A416+Capex!$D$9-1&gt;=AB$2,Book!$N$114/Capex!$D$9,0))+IF(Capex!$F$10="Y",IF($A416+Capex!$D$10-1&gt;=AB$2,Book!$N$150/Capex!$D$10,0))+IF(Capex!$F$11="Y",IF($A416+Capex!$D$11-1&gt;=AB$2,Book!$N$186/Capex!$D$11,0))+IF(Capex!$F$12="Y",IF($A416+Capex!$D$12-1&gt;=AB$2,Book!$N$222/Capex!$D$12,0))+IF(Capex!$F$13="Y",IF($A416+Capex!$D$13-1&gt;=AB$2,Book!$N$258/Capex!$D$13,0))+IF(Capex!$F$14="Y",IF($A416+Capex!$D$14-1&gt;=AB$2,Book!$N$14/Capex!$D$255,0))+IF(Capex!$F$15="Y",IF($A416+Capex!$D$15-1&gt;=AB$2,Book!$N$330/Capex!$D$15,0)))*$N$401</f>
        <v>0</v>
      </c>
      <c r="AC416" s="4">
        <f>(IF(Capex!$F$6="Y",IF($A416+Capex!$D$6-1&gt;=AC$2,Book!$N$6/Capex!$D$6,0))+IF(Capex!$F$7="Y",IF($A416+Capex!$D$7-1&gt;=AC$2,Book!$N$42/Capex!$D$7,0))+IF(Capex!$F$8="Y",IF($A416+Capex!$D$8-1&gt;=AC$2,Book!$N$78/Capex!$D$8,0))+IF(Capex!$F$9="Y",IF($A416+Capex!$D$9-1&gt;=AC$2,Book!$N$114/Capex!$D$9,0))+IF(Capex!$F$10="Y",IF($A416+Capex!$D$10-1&gt;=AC$2,Book!$N$150/Capex!$D$10,0))+IF(Capex!$F$11="Y",IF($A416+Capex!$D$11-1&gt;=AC$2,Book!$N$186/Capex!$D$11,0))+IF(Capex!$F$12="Y",IF($A416+Capex!$D$12-1&gt;=AC$2,Book!$N$222/Capex!$D$12,0))+IF(Capex!$F$13="Y",IF($A416+Capex!$D$13-1&gt;=AC$2,Book!$N$258/Capex!$D$13,0))+IF(Capex!$F$14="Y",IF($A416+Capex!$D$14-1&gt;=AC$2,Book!$N$14/Capex!$D$255,0))+IF(Capex!$F$15="Y",IF($A416+Capex!$D$15-1&gt;=AC$2,Book!$N$330/Capex!$D$15,0)))*$N$401</f>
        <v>0</v>
      </c>
      <c r="AD416" s="4">
        <f>(IF(Capex!$F$6="Y",IF($A416+Capex!$D$6-1&gt;=AD$2,Book!$N$6/Capex!$D$6,0))+IF(Capex!$F$7="Y",IF($A416+Capex!$D$7-1&gt;=AD$2,Book!$N$42/Capex!$D$7,0))+IF(Capex!$F$8="Y",IF($A416+Capex!$D$8-1&gt;=AD$2,Book!$N$78/Capex!$D$8,0))+IF(Capex!$F$9="Y",IF($A416+Capex!$D$9-1&gt;=AD$2,Book!$N$114/Capex!$D$9,0))+IF(Capex!$F$10="Y",IF($A416+Capex!$D$10-1&gt;=AD$2,Book!$N$150/Capex!$D$10,0))+IF(Capex!$F$11="Y",IF($A416+Capex!$D$11-1&gt;=AD$2,Book!$N$186/Capex!$D$11,0))+IF(Capex!$F$12="Y",IF($A416+Capex!$D$12-1&gt;=AD$2,Book!$N$222/Capex!$D$12,0))+IF(Capex!$F$13="Y",IF($A416+Capex!$D$13-1&gt;=AD$2,Book!$N$258/Capex!$D$13,0))+IF(Capex!$F$14="Y",IF($A416+Capex!$D$14-1&gt;=AD$2,Book!$N$14/Capex!$D$255,0))+IF(Capex!$F$15="Y",IF($A416+Capex!$D$15-1&gt;=AD$2,Book!$N$330/Capex!$D$15,0)))*$N$401</f>
        <v>0</v>
      </c>
      <c r="AE416" s="4">
        <f>(IF(Capex!$F$6="Y",IF($A416+Capex!$D$6-1&gt;=AE$2,Book!$N$6/Capex!$D$6,0))+IF(Capex!$F$7="Y",IF($A416+Capex!$D$7-1&gt;=AE$2,Book!$N$42/Capex!$D$7,0))+IF(Capex!$F$8="Y",IF($A416+Capex!$D$8-1&gt;=AE$2,Book!$N$78/Capex!$D$8,0))+IF(Capex!$F$9="Y",IF($A416+Capex!$D$9-1&gt;=AE$2,Book!$N$114/Capex!$D$9,0))+IF(Capex!$F$10="Y",IF($A416+Capex!$D$10-1&gt;=AE$2,Book!$N$150/Capex!$D$10,0))+IF(Capex!$F$11="Y",IF($A416+Capex!$D$11-1&gt;=AE$2,Book!$N$186/Capex!$D$11,0))+IF(Capex!$F$12="Y",IF($A416+Capex!$D$12-1&gt;=AE$2,Book!$N$222/Capex!$D$12,0))+IF(Capex!$F$13="Y",IF($A416+Capex!$D$13-1&gt;=AE$2,Book!$N$258/Capex!$D$13,0))+IF(Capex!$F$14="Y",IF($A416+Capex!$D$14-1&gt;=AE$2,Book!$N$14/Capex!$D$255,0))+IF(Capex!$F$15="Y",IF($A416+Capex!$D$15-1&gt;=AE$2,Book!$N$330/Capex!$D$15,0)))*$N$401</f>
        <v>0</v>
      </c>
      <c r="AF416" s="4">
        <f>(IF(Capex!$F$6="Y",IF($A416+Capex!$D$6-1&gt;=AF$2,Book!$N$6/Capex!$D$6,0))+IF(Capex!$F$7="Y",IF($A416+Capex!$D$7-1&gt;=AF$2,Book!$N$42/Capex!$D$7,0))+IF(Capex!$F$8="Y",IF($A416+Capex!$D$8-1&gt;=AF$2,Book!$N$78/Capex!$D$8,0))+IF(Capex!$F$9="Y",IF($A416+Capex!$D$9-1&gt;=AF$2,Book!$N$114/Capex!$D$9,0))+IF(Capex!$F$10="Y",IF($A416+Capex!$D$10-1&gt;=AF$2,Book!$N$150/Capex!$D$10,0))+IF(Capex!$F$11="Y",IF($A416+Capex!$D$11-1&gt;=AF$2,Book!$N$186/Capex!$D$11,0))+IF(Capex!$F$12="Y",IF($A416+Capex!$D$12-1&gt;=AF$2,Book!$N$222/Capex!$D$12,0))+IF(Capex!$F$13="Y",IF($A416+Capex!$D$13-1&gt;=AF$2,Book!$N$258/Capex!$D$13,0))+IF(Capex!$F$14="Y",IF($A416+Capex!$D$14-1&gt;=AF$2,Book!$N$14/Capex!$D$255,0))+IF(Capex!$F$15="Y",IF($A416+Capex!$D$15-1&gt;=AF$2,Book!$N$330/Capex!$D$15,0)))*$N$401</f>
        <v>0</v>
      </c>
      <c r="AG416" s="4">
        <f t="shared" si="130"/>
        <v>0</v>
      </c>
      <c r="AH416" s="252">
        <f t="shared" si="132"/>
        <v>0</v>
      </c>
    </row>
    <row r="417" spans="1:34">
      <c r="A417" s="718">
        <f t="shared" si="129"/>
        <v>2034</v>
      </c>
      <c r="B417" s="4">
        <f t="shared" si="131"/>
        <v>0</v>
      </c>
      <c r="O417" s="4">
        <f>(IF(Capex!$F$6="Y",IF($A417+Capex!$D$6-1&gt;=O$2,Book!$O$6/Capex!$D$6,0))+IF(Capex!$F$7="Y",IF($A417+Capex!$D$7-1&gt;=O$2,Book!$O$42/Capex!$D$7,0))+IF(Capex!$F$8="Y",IF($A417+Capex!$D$8-1&gt;=O$2,Book!$O$78/Capex!$D$8,0))+IF(Capex!$F$9="Y",IF($A417+Capex!$D$9-1&gt;=O$2,Book!$O$114/Capex!$D$9,0))+IF(Capex!$F$10="Y",IF($A417+Capex!$D$10-1&gt;=O$2,Book!$O$150/Capex!$D$10,0))+IF(Capex!$F$11="Y",IF($A417+Capex!$D$11-1&gt;=O$2,Book!$O$186/Capex!$D$11,0))+IF(Capex!$F$12="Y",IF($A417+Capex!$D$12-1&gt;=O$2,Book!$O$222/Capex!$D$12,0))+IF(Capex!$F$13="Y",IF($A417+Capex!$D$13-1&gt;=O$2,Book!$O$258/Capex!$D$13,0))+IF(Capex!$F$14="Y",IF($A417+Capex!$D$14-1&gt;=O$2,Book!$O$14/Capex!$D$255,0))+IF(Capex!$F$15="Y",IF($A417+Capex!$D$15-1&gt;=O$2,Book!$O$330/Capex!$D$15,0)))*$O$401</f>
        <v>0</v>
      </c>
      <c r="P417" s="4">
        <f>(IF(Capex!$F$6="Y",IF($A417+Capex!$D$6-1&gt;=P$2,Book!$O$6/Capex!$D$6,0))+IF(Capex!$F$7="Y",IF($A417+Capex!$D$7-1&gt;=P$2,Book!$O$42/Capex!$D$7,0))+IF(Capex!$F$8="Y",IF($A417+Capex!$D$8-1&gt;=P$2,Book!$O$78/Capex!$D$8,0))+IF(Capex!$F$9="Y",IF($A417+Capex!$D$9-1&gt;=P$2,Book!$O$114/Capex!$D$9,0))+IF(Capex!$F$10="Y",IF($A417+Capex!$D$10-1&gt;=P$2,Book!$O$150/Capex!$D$10,0))+IF(Capex!$F$11="Y",IF($A417+Capex!$D$11-1&gt;=P$2,Book!$O$186/Capex!$D$11,0))+IF(Capex!$F$12="Y",IF($A417+Capex!$D$12-1&gt;=P$2,Book!$O$222/Capex!$D$12,0))+IF(Capex!$F$13="Y",IF($A417+Capex!$D$13-1&gt;=P$2,Book!$O$258/Capex!$D$13,0))+IF(Capex!$F$14="Y",IF($A417+Capex!$D$14-1&gt;=P$2,Book!$O$14/Capex!$D$255,0))+IF(Capex!$F$15="Y",IF($A417+Capex!$D$15-1&gt;=P$2,Book!$O$330/Capex!$D$15,0)))*$O$401</f>
        <v>0</v>
      </c>
      <c r="Q417" s="4">
        <f>(IF(Capex!$F$6="Y",IF($A417+Capex!$D$6-1&gt;=Q$2,Book!$O$6/Capex!$D$6,0))+IF(Capex!$F$7="Y",IF($A417+Capex!$D$7-1&gt;=Q$2,Book!$O$42/Capex!$D$7,0))+IF(Capex!$F$8="Y",IF($A417+Capex!$D$8-1&gt;=Q$2,Book!$O$78/Capex!$D$8,0))+IF(Capex!$F$9="Y",IF($A417+Capex!$D$9-1&gt;=Q$2,Book!$O$114/Capex!$D$9,0))+IF(Capex!$F$10="Y",IF($A417+Capex!$D$10-1&gt;=Q$2,Book!$O$150/Capex!$D$10,0))+IF(Capex!$F$11="Y",IF($A417+Capex!$D$11-1&gt;=Q$2,Book!$O$186/Capex!$D$11,0))+IF(Capex!$F$12="Y",IF($A417+Capex!$D$12-1&gt;=Q$2,Book!$O$222/Capex!$D$12,0))+IF(Capex!$F$13="Y",IF($A417+Capex!$D$13-1&gt;=Q$2,Book!$O$258/Capex!$D$13,0))+IF(Capex!$F$14="Y",IF($A417+Capex!$D$14-1&gt;=Q$2,Book!$O$14/Capex!$D$255,0))+IF(Capex!$F$15="Y",IF($A417+Capex!$D$15-1&gt;=Q$2,Book!$O$330/Capex!$D$15,0)))*$O$401</f>
        <v>0</v>
      </c>
      <c r="R417" s="4">
        <f>(IF(Capex!$F$6="Y",IF($A417+Capex!$D$6-1&gt;=R$2,Book!$O$6/Capex!$D$6,0))+IF(Capex!$F$7="Y",IF($A417+Capex!$D$7-1&gt;=R$2,Book!$O$42/Capex!$D$7,0))+IF(Capex!$F$8="Y",IF($A417+Capex!$D$8-1&gt;=R$2,Book!$O$78/Capex!$D$8,0))+IF(Capex!$F$9="Y",IF($A417+Capex!$D$9-1&gt;=R$2,Book!$O$114/Capex!$D$9,0))+IF(Capex!$F$10="Y",IF($A417+Capex!$D$10-1&gt;=R$2,Book!$O$150/Capex!$D$10,0))+IF(Capex!$F$11="Y",IF($A417+Capex!$D$11-1&gt;=R$2,Book!$O$186/Capex!$D$11,0))+IF(Capex!$F$12="Y",IF($A417+Capex!$D$12-1&gt;=R$2,Book!$O$222/Capex!$D$12,0))+IF(Capex!$F$13="Y",IF($A417+Capex!$D$13-1&gt;=R$2,Book!$O$258/Capex!$D$13,0))+IF(Capex!$F$14="Y",IF($A417+Capex!$D$14-1&gt;=R$2,Book!$O$14/Capex!$D$255,0))+IF(Capex!$F$15="Y",IF($A417+Capex!$D$15-1&gt;=R$2,Book!$O$330/Capex!$D$15,0)))*$O$401</f>
        <v>0</v>
      </c>
      <c r="S417" s="4">
        <f>(IF(Capex!$F$6="Y",IF($A417+Capex!$D$6-1&gt;=S$2,Book!$O$6/Capex!$D$6,0))+IF(Capex!$F$7="Y",IF($A417+Capex!$D$7-1&gt;=S$2,Book!$O$42/Capex!$D$7,0))+IF(Capex!$F$8="Y",IF($A417+Capex!$D$8-1&gt;=S$2,Book!$O$78/Capex!$D$8,0))+IF(Capex!$F$9="Y",IF($A417+Capex!$D$9-1&gt;=S$2,Book!$O$114/Capex!$D$9,0))+IF(Capex!$F$10="Y",IF($A417+Capex!$D$10-1&gt;=S$2,Book!$O$150/Capex!$D$10,0))+IF(Capex!$F$11="Y",IF($A417+Capex!$D$11-1&gt;=S$2,Book!$O$186/Capex!$D$11,0))+IF(Capex!$F$12="Y",IF($A417+Capex!$D$12-1&gt;=S$2,Book!$O$222/Capex!$D$12,0))+IF(Capex!$F$13="Y",IF($A417+Capex!$D$13-1&gt;=S$2,Book!$O$258/Capex!$D$13,0))+IF(Capex!$F$14="Y",IF($A417+Capex!$D$14-1&gt;=S$2,Book!$O$14/Capex!$D$255,0))+IF(Capex!$F$15="Y",IF($A417+Capex!$D$15-1&gt;=S$2,Book!$O$330/Capex!$D$15,0)))*$O$401</f>
        <v>0</v>
      </c>
      <c r="T417" s="4">
        <f>(IF(Capex!$F$6="Y",IF($A417+Capex!$D$6-1&gt;=T$2,Book!$O$6/Capex!$D$6,0))+IF(Capex!$F$7="Y",IF($A417+Capex!$D$7-1&gt;=T$2,Book!$O$42/Capex!$D$7,0))+IF(Capex!$F$8="Y",IF($A417+Capex!$D$8-1&gt;=T$2,Book!$O$78/Capex!$D$8,0))+IF(Capex!$F$9="Y",IF($A417+Capex!$D$9-1&gt;=T$2,Book!$O$114/Capex!$D$9,0))+IF(Capex!$F$10="Y",IF($A417+Capex!$D$10-1&gt;=T$2,Book!$O$150/Capex!$D$10,0))+IF(Capex!$F$11="Y",IF($A417+Capex!$D$11-1&gt;=T$2,Book!$O$186/Capex!$D$11,0))+IF(Capex!$F$12="Y",IF($A417+Capex!$D$12-1&gt;=T$2,Book!$O$222/Capex!$D$12,0))+IF(Capex!$F$13="Y",IF($A417+Capex!$D$13-1&gt;=T$2,Book!$O$258/Capex!$D$13,0))+IF(Capex!$F$14="Y",IF($A417+Capex!$D$14-1&gt;=T$2,Book!$O$14/Capex!$D$255,0))+IF(Capex!$F$15="Y",IF($A417+Capex!$D$15-1&gt;=T$2,Book!$O$330/Capex!$D$15,0)))*$O$401</f>
        <v>0</v>
      </c>
      <c r="U417" s="4">
        <f>(IF(Capex!$F$6="Y",IF($A417+Capex!$D$6-1&gt;=U$2,Book!$O$6/Capex!$D$6,0))+IF(Capex!$F$7="Y",IF($A417+Capex!$D$7-1&gt;=U$2,Book!$O$42/Capex!$D$7,0))+IF(Capex!$F$8="Y",IF($A417+Capex!$D$8-1&gt;=U$2,Book!$O$78/Capex!$D$8,0))+IF(Capex!$F$9="Y",IF($A417+Capex!$D$9-1&gt;=U$2,Book!$O$114/Capex!$D$9,0))+IF(Capex!$F$10="Y",IF($A417+Capex!$D$10-1&gt;=U$2,Book!$O$150/Capex!$D$10,0))+IF(Capex!$F$11="Y",IF($A417+Capex!$D$11-1&gt;=U$2,Book!$O$186/Capex!$D$11,0))+IF(Capex!$F$12="Y",IF($A417+Capex!$D$12-1&gt;=U$2,Book!$O$222/Capex!$D$12,0))+IF(Capex!$F$13="Y",IF($A417+Capex!$D$13-1&gt;=U$2,Book!$O$258/Capex!$D$13,0))+IF(Capex!$F$14="Y",IF($A417+Capex!$D$14-1&gt;=U$2,Book!$O$14/Capex!$D$255,0))+IF(Capex!$F$15="Y",IF($A417+Capex!$D$15-1&gt;=U$2,Book!$O$330/Capex!$D$15,0)))*$O$401</f>
        <v>0</v>
      </c>
      <c r="V417" s="4">
        <f>(IF(Capex!$F$6="Y",IF($A417+Capex!$D$6-1&gt;=V$2,Book!$O$6/Capex!$D$6,0))+IF(Capex!$F$7="Y",IF($A417+Capex!$D$7-1&gt;=V$2,Book!$O$42/Capex!$D$7,0))+IF(Capex!$F$8="Y",IF($A417+Capex!$D$8-1&gt;=V$2,Book!$O$78/Capex!$D$8,0))+IF(Capex!$F$9="Y",IF($A417+Capex!$D$9-1&gt;=V$2,Book!$O$114/Capex!$D$9,0))+IF(Capex!$F$10="Y",IF($A417+Capex!$D$10-1&gt;=V$2,Book!$O$150/Capex!$D$10,0))+IF(Capex!$F$11="Y",IF($A417+Capex!$D$11-1&gt;=V$2,Book!$O$186/Capex!$D$11,0))+IF(Capex!$F$12="Y",IF($A417+Capex!$D$12-1&gt;=V$2,Book!$O$222/Capex!$D$12,0))+IF(Capex!$F$13="Y",IF($A417+Capex!$D$13-1&gt;=V$2,Book!$O$258/Capex!$D$13,0))+IF(Capex!$F$14="Y",IF($A417+Capex!$D$14-1&gt;=V$2,Book!$O$14/Capex!$D$255,0))+IF(Capex!$F$15="Y",IF($A417+Capex!$D$15-1&gt;=V$2,Book!$O$330/Capex!$D$15,0)))*$O$401</f>
        <v>0</v>
      </c>
      <c r="W417" s="4">
        <f>(IF(Capex!$F$6="Y",IF($A417+Capex!$D$6-1&gt;=W$2,Book!$O$6/Capex!$D$6,0))+IF(Capex!$F$7="Y",IF($A417+Capex!$D$7-1&gt;=W$2,Book!$O$42/Capex!$D$7,0))+IF(Capex!$F$8="Y",IF($A417+Capex!$D$8-1&gt;=W$2,Book!$O$78/Capex!$D$8,0))+IF(Capex!$F$9="Y",IF($A417+Capex!$D$9-1&gt;=W$2,Book!$O$114/Capex!$D$9,0))+IF(Capex!$F$10="Y",IF($A417+Capex!$D$10-1&gt;=W$2,Book!$O$150/Capex!$D$10,0))+IF(Capex!$F$11="Y",IF($A417+Capex!$D$11-1&gt;=W$2,Book!$O$186/Capex!$D$11,0))+IF(Capex!$F$12="Y",IF($A417+Capex!$D$12-1&gt;=W$2,Book!$O$222/Capex!$D$12,0))+IF(Capex!$F$13="Y",IF($A417+Capex!$D$13-1&gt;=W$2,Book!$O$258/Capex!$D$13,0))+IF(Capex!$F$14="Y",IF($A417+Capex!$D$14-1&gt;=W$2,Book!$O$14/Capex!$D$255,0))+IF(Capex!$F$15="Y",IF($A417+Capex!$D$15-1&gt;=W$2,Book!$O$330/Capex!$D$15,0)))*$O$401</f>
        <v>0</v>
      </c>
      <c r="X417" s="4">
        <f>(IF(Capex!$F$6="Y",IF($A417+Capex!$D$6-1&gt;=X$2,Book!$O$6/Capex!$D$6,0))+IF(Capex!$F$7="Y",IF($A417+Capex!$D$7-1&gt;=X$2,Book!$O$42/Capex!$D$7,0))+IF(Capex!$F$8="Y",IF($A417+Capex!$D$8-1&gt;=X$2,Book!$O$78/Capex!$D$8,0))+IF(Capex!$F$9="Y",IF($A417+Capex!$D$9-1&gt;=X$2,Book!$O$114/Capex!$D$9,0))+IF(Capex!$F$10="Y",IF($A417+Capex!$D$10-1&gt;=X$2,Book!$O$150/Capex!$D$10,0))+IF(Capex!$F$11="Y",IF($A417+Capex!$D$11-1&gt;=X$2,Book!$O$186/Capex!$D$11,0))+IF(Capex!$F$12="Y",IF($A417+Capex!$D$12-1&gt;=X$2,Book!$O$222/Capex!$D$12,0))+IF(Capex!$F$13="Y",IF($A417+Capex!$D$13-1&gt;=X$2,Book!$O$258/Capex!$D$13,0))+IF(Capex!$F$14="Y",IF($A417+Capex!$D$14-1&gt;=X$2,Book!$O$14/Capex!$D$255,0))+IF(Capex!$F$15="Y",IF($A417+Capex!$D$15-1&gt;=X$2,Book!$O$330/Capex!$D$15,0)))*$O$401</f>
        <v>0</v>
      </c>
      <c r="Y417" s="4">
        <f>(IF(Capex!$F$6="Y",IF($A417+Capex!$D$6-1&gt;=Y$2,Book!$O$6/Capex!$D$6,0))+IF(Capex!$F$7="Y",IF($A417+Capex!$D$7-1&gt;=Y$2,Book!$O$42/Capex!$D$7,0))+IF(Capex!$F$8="Y",IF($A417+Capex!$D$8-1&gt;=Y$2,Book!$O$78/Capex!$D$8,0))+IF(Capex!$F$9="Y",IF($A417+Capex!$D$9-1&gt;=Y$2,Book!$O$114/Capex!$D$9,0))+IF(Capex!$F$10="Y",IF($A417+Capex!$D$10-1&gt;=Y$2,Book!$O$150/Capex!$D$10,0))+IF(Capex!$F$11="Y",IF($A417+Capex!$D$11-1&gt;=Y$2,Book!$O$186/Capex!$D$11,0))+IF(Capex!$F$12="Y",IF($A417+Capex!$D$12-1&gt;=Y$2,Book!$O$222/Capex!$D$12,0))+IF(Capex!$F$13="Y",IF($A417+Capex!$D$13-1&gt;=Y$2,Book!$O$258/Capex!$D$13,0))+IF(Capex!$F$14="Y",IF($A417+Capex!$D$14-1&gt;=Y$2,Book!$O$14/Capex!$D$255,0))+IF(Capex!$F$15="Y",IF($A417+Capex!$D$15-1&gt;=Y$2,Book!$O$330/Capex!$D$15,0)))*$O$401</f>
        <v>0</v>
      </c>
      <c r="Z417" s="4">
        <f>(IF(Capex!$F$6="Y",IF($A417+Capex!$D$6-1&gt;=Z$2,Book!$O$6/Capex!$D$6,0))+IF(Capex!$F$7="Y",IF($A417+Capex!$D$7-1&gt;=Z$2,Book!$O$42/Capex!$D$7,0))+IF(Capex!$F$8="Y",IF($A417+Capex!$D$8-1&gt;=Z$2,Book!$O$78/Capex!$D$8,0))+IF(Capex!$F$9="Y",IF($A417+Capex!$D$9-1&gt;=Z$2,Book!$O$114/Capex!$D$9,0))+IF(Capex!$F$10="Y",IF($A417+Capex!$D$10-1&gt;=Z$2,Book!$O$150/Capex!$D$10,0))+IF(Capex!$F$11="Y",IF($A417+Capex!$D$11-1&gt;=Z$2,Book!$O$186/Capex!$D$11,0))+IF(Capex!$F$12="Y",IF($A417+Capex!$D$12-1&gt;=Z$2,Book!$O$222/Capex!$D$12,0))+IF(Capex!$F$13="Y",IF($A417+Capex!$D$13-1&gt;=Z$2,Book!$O$258/Capex!$D$13,0))+IF(Capex!$F$14="Y",IF($A417+Capex!$D$14-1&gt;=Z$2,Book!$O$14/Capex!$D$255,0))+IF(Capex!$F$15="Y",IF($A417+Capex!$D$15-1&gt;=Z$2,Book!$O$330/Capex!$D$15,0)))*$O$401</f>
        <v>0</v>
      </c>
      <c r="AA417" s="4">
        <f>(IF(Capex!$F$6="Y",IF($A417+Capex!$D$6-1&gt;=AA$2,Book!$O$6/Capex!$D$6,0))+IF(Capex!$F$7="Y",IF($A417+Capex!$D$7-1&gt;=AA$2,Book!$O$42/Capex!$D$7,0))+IF(Capex!$F$8="Y",IF($A417+Capex!$D$8-1&gt;=AA$2,Book!$O$78/Capex!$D$8,0))+IF(Capex!$F$9="Y",IF($A417+Capex!$D$9-1&gt;=AA$2,Book!$O$114/Capex!$D$9,0))+IF(Capex!$F$10="Y",IF($A417+Capex!$D$10-1&gt;=AA$2,Book!$O$150/Capex!$D$10,0))+IF(Capex!$F$11="Y",IF($A417+Capex!$D$11-1&gt;=AA$2,Book!$O$186/Capex!$D$11,0))+IF(Capex!$F$12="Y",IF($A417+Capex!$D$12-1&gt;=AA$2,Book!$O$222/Capex!$D$12,0))+IF(Capex!$F$13="Y",IF($A417+Capex!$D$13-1&gt;=AA$2,Book!$O$258/Capex!$D$13,0))+IF(Capex!$F$14="Y",IF($A417+Capex!$D$14-1&gt;=AA$2,Book!$O$14/Capex!$D$255,0))+IF(Capex!$F$15="Y",IF($A417+Capex!$D$15-1&gt;=AA$2,Book!$O$330/Capex!$D$15,0)))*$O$401</f>
        <v>0</v>
      </c>
      <c r="AB417" s="4">
        <f>(IF(Capex!$F$6="Y",IF($A417+Capex!$D$6-1&gt;=AB$2,Book!$O$6/Capex!$D$6,0))+IF(Capex!$F$7="Y",IF($A417+Capex!$D$7-1&gt;=AB$2,Book!$O$42/Capex!$D$7,0))+IF(Capex!$F$8="Y",IF($A417+Capex!$D$8-1&gt;=AB$2,Book!$O$78/Capex!$D$8,0))+IF(Capex!$F$9="Y",IF($A417+Capex!$D$9-1&gt;=AB$2,Book!$O$114/Capex!$D$9,0))+IF(Capex!$F$10="Y",IF($A417+Capex!$D$10-1&gt;=AB$2,Book!$O$150/Capex!$D$10,0))+IF(Capex!$F$11="Y",IF($A417+Capex!$D$11-1&gt;=AB$2,Book!$O$186/Capex!$D$11,0))+IF(Capex!$F$12="Y",IF($A417+Capex!$D$12-1&gt;=AB$2,Book!$O$222/Capex!$D$12,0))+IF(Capex!$F$13="Y",IF($A417+Capex!$D$13-1&gt;=AB$2,Book!$O$258/Capex!$D$13,0))+IF(Capex!$F$14="Y",IF($A417+Capex!$D$14-1&gt;=AB$2,Book!$O$14/Capex!$D$255,0))+IF(Capex!$F$15="Y",IF($A417+Capex!$D$15-1&gt;=AB$2,Book!$O$330/Capex!$D$15,0)))*$O$401</f>
        <v>0</v>
      </c>
      <c r="AC417" s="4">
        <f>(IF(Capex!$F$6="Y",IF($A417+Capex!$D$6-1&gt;=AC$2,Book!$O$6/Capex!$D$6,0))+IF(Capex!$F$7="Y",IF($A417+Capex!$D$7-1&gt;=AC$2,Book!$O$42/Capex!$D$7,0))+IF(Capex!$F$8="Y",IF($A417+Capex!$D$8-1&gt;=AC$2,Book!$O$78/Capex!$D$8,0))+IF(Capex!$F$9="Y",IF($A417+Capex!$D$9-1&gt;=AC$2,Book!$O$114/Capex!$D$9,0))+IF(Capex!$F$10="Y",IF($A417+Capex!$D$10-1&gt;=AC$2,Book!$O$150/Capex!$D$10,0))+IF(Capex!$F$11="Y",IF($A417+Capex!$D$11-1&gt;=AC$2,Book!$O$186/Capex!$D$11,0))+IF(Capex!$F$12="Y",IF($A417+Capex!$D$12-1&gt;=AC$2,Book!$O$222/Capex!$D$12,0))+IF(Capex!$F$13="Y",IF($A417+Capex!$D$13-1&gt;=AC$2,Book!$O$258/Capex!$D$13,0))+IF(Capex!$F$14="Y",IF($A417+Capex!$D$14-1&gt;=AC$2,Book!$O$14/Capex!$D$255,0))+IF(Capex!$F$15="Y",IF($A417+Capex!$D$15-1&gt;=AC$2,Book!$O$330/Capex!$D$15,0)))*$O$401</f>
        <v>0</v>
      </c>
      <c r="AD417" s="4">
        <f>(IF(Capex!$F$6="Y",IF($A417+Capex!$D$6-1&gt;=AD$2,Book!$O$6/Capex!$D$6,0))+IF(Capex!$F$7="Y",IF($A417+Capex!$D$7-1&gt;=AD$2,Book!$O$42/Capex!$D$7,0))+IF(Capex!$F$8="Y",IF($A417+Capex!$D$8-1&gt;=AD$2,Book!$O$78/Capex!$D$8,0))+IF(Capex!$F$9="Y",IF($A417+Capex!$D$9-1&gt;=AD$2,Book!$O$114/Capex!$D$9,0))+IF(Capex!$F$10="Y",IF($A417+Capex!$D$10-1&gt;=AD$2,Book!$O$150/Capex!$D$10,0))+IF(Capex!$F$11="Y",IF($A417+Capex!$D$11-1&gt;=AD$2,Book!$O$186/Capex!$D$11,0))+IF(Capex!$F$12="Y",IF($A417+Capex!$D$12-1&gt;=AD$2,Book!$O$222/Capex!$D$12,0))+IF(Capex!$F$13="Y",IF($A417+Capex!$D$13-1&gt;=AD$2,Book!$O$258/Capex!$D$13,0))+IF(Capex!$F$14="Y",IF($A417+Capex!$D$14-1&gt;=AD$2,Book!$O$14/Capex!$D$255,0))+IF(Capex!$F$15="Y",IF($A417+Capex!$D$15-1&gt;=AD$2,Book!$O$330/Capex!$D$15,0)))*$O$401</f>
        <v>0</v>
      </c>
      <c r="AE417" s="4">
        <f>(IF(Capex!$F$6="Y",IF($A417+Capex!$D$6-1&gt;=AE$2,Book!$O$6/Capex!$D$6,0))+IF(Capex!$F$7="Y",IF($A417+Capex!$D$7-1&gt;=AE$2,Book!$O$42/Capex!$D$7,0))+IF(Capex!$F$8="Y",IF($A417+Capex!$D$8-1&gt;=AE$2,Book!$O$78/Capex!$D$8,0))+IF(Capex!$F$9="Y",IF($A417+Capex!$D$9-1&gt;=AE$2,Book!$O$114/Capex!$D$9,0))+IF(Capex!$F$10="Y",IF($A417+Capex!$D$10-1&gt;=AE$2,Book!$O$150/Capex!$D$10,0))+IF(Capex!$F$11="Y",IF($A417+Capex!$D$11-1&gt;=AE$2,Book!$O$186/Capex!$D$11,0))+IF(Capex!$F$12="Y",IF($A417+Capex!$D$12-1&gt;=AE$2,Book!$O$222/Capex!$D$12,0))+IF(Capex!$F$13="Y",IF($A417+Capex!$D$13-1&gt;=AE$2,Book!$O$258/Capex!$D$13,0))+IF(Capex!$F$14="Y",IF($A417+Capex!$D$14-1&gt;=AE$2,Book!$O$14/Capex!$D$255,0))+IF(Capex!$F$15="Y",IF($A417+Capex!$D$15-1&gt;=AE$2,Book!$O$330/Capex!$D$15,0)))*$O$401</f>
        <v>0</v>
      </c>
      <c r="AF417" s="4">
        <f>(IF(Capex!$F$6="Y",IF($A417+Capex!$D$6-1&gt;=AF$2,Book!$O$6/Capex!$D$6,0))+IF(Capex!$F$7="Y",IF($A417+Capex!$D$7-1&gt;=AF$2,Book!$O$42/Capex!$D$7,0))+IF(Capex!$F$8="Y",IF($A417+Capex!$D$8-1&gt;=AF$2,Book!$O$78/Capex!$D$8,0))+IF(Capex!$F$9="Y",IF($A417+Capex!$D$9-1&gt;=AF$2,Book!$O$114/Capex!$D$9,0))+IF(Capex!$F$10="Y",IF($A417+Capex!$D$10-1&gt;=AF$2,Book!$O$150/Capex!$D$10,0))+IF(Capex!$F$11="Y",IF($A417+Capex!$D$11-1&gt;=AF$2,Book!$O$186/Capex!$D$11,0))+IF(Capex!$F$12="Y",IF($A417+Capex!$D$12-1&gt;=AF$2,Book!$O$222/Capex!$D$12,0))+IF(Capex!$F$13="Y",IF($A417+Capex!$D$13-1&gt;=AF$2,Book!$O$258/Capex!$D$13,0))+IF(Capex!$F$14="Y",IF($A417+Capex!$D$14-1&gt;=AF$2,Book!$O$14/Capex!$D$255,0))+IF(Capex!$F$15="Y",IF($A417+Capex!$D$15-1&gt;=AF$2,Book!$O$330/Capex!$D$15,0)))*$O$401</f>
        <v>0</v>
      </c>
      <c r="AG417" s="4">
        <f t="shared" si="130"/>
        <v>0</v>
      </c>
      <c r="AH417" s="252">
        <f t="shared" si="132"/>
        <v>0</v>
      </c>
    </row>
    <row r="418" spans="1:34">
      <c r="A418" s="718">
        <f t="shared" si="129"/>
        <v>2035</v>
      </c>
      <c r="B418" s="4">
        <f t="shared" si="131"/>
        <v>0</v>
      </c>
      <c r="P418" s="4">
        <f>(IF(Capex!$F$6="Y",IF($A418+Capex!$D$6-1&gt;=P$2,Book!$P$6/Capex!$D$6,0))+IF(Capex!$F$7="Y",IF($A418+Capex!$D$7-1&gt;=P$2,Book!$P$42/Capex!$D$7,0))+IF(Capex!$F$8="Y",IF($A418+Capex!$D$8-1&gt;=P$2,Book!$P$78/Capex!$D$8,0))+IF(Capex!$F$9="Y",IF($A418+Capex!$D$9-1&gt;=P$2,Book!$P$114/Capex!$D$9,0))+IF(Capex!$F$10="Y",IF($A418+Capex!$D$10-1&gt;=P$2,Book!$P$150/Capex!$D$10,0))+IF(Capex!$F$11="Y",IF($A418+Capex!$D$11-1&gt;=P$2,Book!$P$186/Capex!$D$11,0))+IF(Capex!$F$12="Y",IF($A418+Capex!$D$12-1&gt;=P$2,Book!$P$222/Capex!$D$12,0))+IF(Capex!$F$13="Y",IF($A418+Capex!$D$13-1&gt;=P$2,Book!$P$258/Capex!$D$13,0))+IF(Capex!$F$14="Y",IF($A418+Capex!$D$14-1&gt;=P$2,Book!$P$14/Capex!$D$255,0))+IF(Capex!$F$15="Y",IF($A418+Capex!$D$15-1&gt;=P$2,Book!$P$330/Capex!$D$15,0)))*$P$401</f>
        <v>0</v>
      </c>
      <c r="Q418" s="4">
        <f>(IF(Capex!$F$6="Y",IF($A418+Capex!$D$6-1&gt;=Q$2,Book!$P$6/Capex!$D$6,0))+IF(Capex!$F$7="Y",IF($A418+Capex!$D$7-1&gt;=Q$2,Book!$P$42/Capex!$D$7,0))+IF(Capex!$F$8="Y",IF($A418+Capex!$D$8-1&gt;=Q$2,Book!$P$78/Capex!$D$8,0))+IF(Capex!$F$9="Y",IF($A418+Capex!$D$9-1&gt;=Q$2,Book!$P$114/Capex!$D$9,0))+IF(Capex!$F$10="Y",IF($A418+Capex!$D$10-1&gt;=Q$2,Book!$P$150/Capex!$D$10,0))+IF(Capex!$F$11="Y",IF($A418+Capex!$D$11-1&gt;=Q$2,Book!$P$186/Capex!$D$11,0))+IF(Capex!$F$12="Y",IF($A418+Capex!$D$12-1&gt;=Q$2,Book!$P$222/Capex!$D$12,0))+IF(Capex!$F$13="Y",IF($A418+Capex!$D$13-1&gt;=Q$2,Book!$P$258/Capex!$D$13,0))+IF(Capex!$F$14="Y",IF($A418+Capex!$D$14-1&gt;=Q$2,Book!$P$14/Capex!$D$255,0))+IF(Capex!$F$15="Y",IF($A418+Capex!$D$15-1&gt;=Q$2,Book!$P$330/Capex!$D$15,0)))*$P$401</f>
        <v>0</v>
      </c>
      <c r="R418" s="4">
        <f>(IF(Capex!$F$6="Y",IF($A418+Capex!$D$6-1&gt;=R$2,Book!$P$6/Capex!$D$6,0))+IF(Capex!$F$7="Y",IF($A418+Capex!$D$7-1&gt;=R$2,Book!$P$42/Capex!$D$7,0))+IF(Capex!$F$8="Y",IF($A418+Capex!$D$8-1&gt;=R$2,Book!$P$78/Capex!$D$8,0))+IF(Capex!$F$9="Y",IF($A418+Capex!$D$9-1&gt;=R$2,Book!$P$114/Capex!$D$9,0))+IF(Capex!$F$10="Y",IF($A418+Capex!$D$10-1&gt;=R$2,Book!$P$150/Capex!$D$10,0))+IF(Capex!$F$11="Y",IF($A418+Capex!$D$11-1&gt;=R$2,Book!$P$186/Capex!$D$11,0))+IF(Capex!$F$12="Y",IF($A418+Capex!$D$12-1&gt;=R$2,Book!$P$222/Capex!$D$12,0))+IF(Capex!$F$13="Y",IF($A418+Capex!$D$13-1&gt;=R$2,Book!$P$258/Capex!$D$13,0))+IF(Capex!$F$14="Y",IF($A418+Capex!$D$14-1&gt;=R$2,Book!$P$14/Capex!$D$255,0))+IF(Capex!$F$15="Y",IF($A418+Capex!$D$15-1&gt;=R$2,Book!$P$330/Capex!$D$15,0)))*$P$401</f>
        <v>0</v>
      </c>
      <c r="S418" s="4">
        <f>(IF(Capex!$F$6="Y",IF($A418+Capex!$D$6-1&gt;=S$2,Book!$P$6/Capex!$D$6,0))+IF(Capex!$F$7="Y",IF($A418+Capex!$D$7-1&gt;=S$2,Book!$P$42/Capex!$D$7,0))+IF(Capex!$F$8="Y",IF($A418+Capex!$D$8-1&gt;=S$2,Book!$P$78/Capex!$D$8,0))+IF(Capex!$F$9="Y",IF($A418+Capex!$D$9-1&gt;=S$2,Book!$P$114/Capex!$D$9,0))+IF(Capex!$F$10="Y",IF($A418+Capex!$D$10-1&gt;=S$2,Book!$P$150/Capex!$D$10,0))+IF(Capex!$F$11="Y",IF($A418+Capex!$D$11-1&gt;=S$2,Book!$P$186/Capex!$D$11,0))+IF(Capex!$F$12="Y",IF($A418+Capex!$D$12-1&gt;=S$2,Book!$P$222/Capex!$D$12,0))+IF(Capex!$F$13="Y",IF($A418+Capex!$D$13-1&gt;=S$2,Book!$P$258/Capex!$D$13,0))+IF(Capex!$F$14="Y",IF($A418+Capex!$D$14-1&gt;=S$2,Book!$P$14/Capex!$D$255,0))+IF(Capex!$F$15="Y",IF($A418+Capex!$D$15-1&gt;=S$2,Book!$P$330/Capex!$D$15,0)))*$P$401</f>
        <v>0</v>
      </c>
      <c r="T418" s="4">
        <f>(IF(Capex!$F$6="Y",IF($A418+Capex!$D$6-1&gt;=T$2,Book!$P$6/Capex!$D$6,0))+IF(Capex!$F$7="Y",IF($A418+Capex!$D$7-1&gt;=T$2,Book!$P$42/Capex!$D$7,0))+IF(Capex!$F$8="Y",IF($A418+Capex!$D$8-1&gt;=T$2,Book!$P$78/Capex!$D$8,0))+IF(Capex!$F$9="Y",IF($A418+Capex!$D$9-1&gt;=T$2,Book!$P$114/Capex!$D$9,0))+IF(Capex!$F$10="Y",IF($A418+Capex!$D$10-1&gt;=T$2,Book!$P$150/Capex!$D$10,0))+IF(Capex!$F$11="Y",IF($A418+Capex!$D$11-1&gt;=T$2,Book!$P$186/Capex!$D$11,0))+IF(Capex!$F$12="Y",IF($A418+Capex!$D$12-1&gt;=T$2,Book!$P$222/Capex!$D$12,0))+IF(Capex!$F$13="Y",IF($A418+Capex!$D$13-1&gt;=T$2,Book!$P$258/Capex!$D$13,0))+IF(Capex!$F$14="Y",IF($A418+Capex!$D$14-1&gt;=T$2,Book!$P$14/Capex!$D$255,0))+IF(Capex!$F$15="Y",IF($A418+Capex!$D$15-1&gt;=T$2,Book!$P$330/Capex!$D$15,0)))*$P$401</f>
        <v>0</v>
      </c>
      <c r="U418" s="4">
        <f>(IF(Capex!$F$6="Y",IF($A418+Capex!$D$6-1&gt;=U$2,Book!$P$6/Capex!$D$6,0))+IF(Capex!$F$7="Y",IF($A418+Capex!$D$7-1&gt;=U$2,Book!$P$42/Capex!$D$7,0))+IF(Capex!$F$8="Y",IF($A418+Capex!$D$8-1&gt;=U$2,Book!$P$78/Capex!$D$8,0))+IF(Capex!$F$9="Y",IF($A418+Capex!$D$9-1&gt;=U$2,Book!$P$114/Capex!$D$9,0))+IF(Capex!$F$10="Y",IF($A418+Capex!$D$10-1&gt;=U$2,Book!$P$150/Capex!$D$10,0))+IF(Capex!$F$11="Y",IF($A418+Capex!$D$11-1&gt;=U$2,Book!$P$186/Capex!$D$11,0))+IF(Capex!$F$12="Y",IF($A418+Capex!$D$12-1&gt;=U$2,Book!$P$222/Capex!$D$12,0))+IF(Capex!$F$13="Y",IF($A418+Capex!$D$13-1&gt;=U$2,Book!$P$258/Capex!$D$13,0))+IF(Capex!$F$14="Y",IF($A418+Capex!$D$14-1&gt;=U$2,Book!$P$14/Capex!$D$255,0))+IF(Capex!$F$15="Y",IF($A418+Capex!$D$15-1&gt;=U$2,Book!$P$330/Capex!$D$15,0)))*$P$401</f>
        <v>0</v>
      </c>
      <c r="V418" s="4">
        <f>(IF(Capex!$F$6="Y",IF($A418+Capex!$D$6-1&gt;=V$2,Book!$P$6/Capex!$D$6,0))+IF(Capex!$F$7="Y",IF($A418+Capex!$D$7-1&gt;=V$2,Book!$P$42/Capex!$D$7,0))+IF(Capex!$F$8="Y",IF($A418+Capex!$D$8-1&gt;=V$2,Book!$P$78/Capex!$D$8,0))+IF(Capex!$F$9="Y",IF($A418+Capex!$D$9-1&gt;=V$2,Book!$P$114/Capex!$D$9,0))+IF(Capex!$F$10="Y",IF($A418+Capex!$D$10-1&gt;=V$2,Book!$P$150/Capex!$D$10,0))+IF(Capex!$F$11="Y",IF($A418+Capex!$D$11-1&gt;=V$2,Book!$P$186/Capex!$D$11,0))+IF(Capex!$F$12="Y",IF($A418+Capex!$D$12-1&gt;=V$2,Book!$P$222/Capex!$D$12,0))+IF(Capex!$F$13="Y",IF($A418+Capex!$D$13-1&gt;=V$2,Book!$P$258/Capex!$D$13,0))+IF(Capex!$F$14="Y",IF($A418+Capex!$D$14-1&gt;=V$2,Book!$P$14/Capex!$D$255,0))+IF(Capex!$F$15="Y",IF($A418+Capex!$D$15-1&gt;=V$2,Book!$P$330/Capex!$D$15,0)))*$P$401</f>
        <v>0</v>
      </c>
      <c r="W418" s="4">
        <f>(IF(Capex!$F$6="Y",IF($A418+Capex!$D$6-1&gt;=W$2,Book!$P$6/Capex!$D$6,0))+IF(Capex!$F$7="Y",IF($A418+Capex!$D$7-1&gt;=W$2,Book!$P$42/Capex!$D$7,0))+IF(Capex!$F$8="Y",IF($A418+Capex!$D$8-1&gt;=W$2,Book!$P$78/Capex!$D$8,0))+IF(Capex!$F$9="Y",IF($A418+Capex!$D$9-1&gt;=W$2,Book!$P$114/Capex!$D$9,0))+IF(Capex!$F$10="Y",IF($A418+Capex!$D$10-1&gt;=W$2,Book!$P$150/Capex!$D$10,0))+IF(Capex!$F$11="Y",IF($A418+Capex!$D$11-1&gt;=W$2,Book!$P$186/Capex!$D$11,0))+IF(Capex!$F$12="Y",IF($A418+Capex!$D$12-1&gt;=W$2,Book!$P$222/Capex!$D$12,0))+IF(Capex!$F$13="Y",IF($A418+Capex!$D$13-1&gt;=W$2,Book!$P$258/Capex!$D$13,0))+IF(Capex!$F$14="Y",IF($A418+Capex!$D$14-1&gt;=W$2,Book!$P$14/Capex!$D$255,0))+IF(Capex!$F$15="Y",IF($A418+Capex!$D$15-1&gt;=W$2,Book!$P$330/Capex!$D$15,0)))*$P$401</f>
        <v>0</v>
      </c>
      <c r="X418" s="4">
        <f>(IF(Capex!$F$6="Y",IF($A418+Capex!$D$6-1&gt;=X$2,Book!$P$6/Capex!$D$6,0))+IF(Capex!$F$7="Y",IF($A418+Capex!$D$7-1&gt;=X$2,Book!$P$42/Capex!$D$7,0))+IF(Capex!$F$8="Y",IF($A418+Capex!$D$8-1&gt;=X$2,Book!$P$78/Capex!$D$8,0))+IF(Capex!$F$9="Y",IF($A418+Capex!$D$9-1&gt;=X$2,Book!$P$114/Capex!$D$9,0))+IF(Capex!$F$10="Y",IF($A418+Capex!$D$10-1&gt;=X$2,Book!$P$150/Capex!$D$10,0))+IF(Capex!$F$11="Y",IF($A418+Capex!$D$11-1&gt;=X$2,Book!$P$186/Capex!$D$11,0))+IF(Capex!$F$12="Y",IF($A418+Capex!$D$12-1&gt;=X$2,Book!$P$222/Capex!$D$12,0))+IF(Capex!$F$13="Y",IF($A418+Capex!$D$13-1&gt;=X$2,Book!$P$258/Capex!$D$13,0))+IF(Capex!$F$14="Y",IF($A418+Capex!$D$14-1&gt;=X$2,Book!$P$14/Capex!$D$255,0))+IF(Capex!$F$15="Y",IF($A418+Capex!$D$15-1&gt;=X$2,Book!$P$330/Capex!$D$15,0)))*$P$401</f>
        <v>0</v>
      </c>
      <c r="Y418" s="4">
        <f>(IF(Capex!$F$6="Y",IF($A418+Capex!$D$6-1&gt;=Y$2,Book!$P$6/Capex!$D$6,0))+IF(Capex!$F$7="Y",IF($A418+Capex!$D$7-1&gt;=Y$2,Book!$P$42/Capex!$D$7,0))+IF(Capex!$F$8="Y",IF($A418+Capex!$D$8-1&gt;=Y$2,Book!$P$78/Capex!$D$8,0))+IF(Capex!$F$9="Y",IF($A418+Capex!$D$9-1&gt;=Y$2,Book!$P$114/Capex!$D$9,0))+IF(Capex!$F$10="Y",IF($A418+Capex!$D$10-1&gt;=Y$2,Book!$P$150/Capex!$D$10,0))+IF(Capex!$F$11="Y",IF($A418+Capex!$D$11-1&gt;=Y$2,Book!$P$186/Capex!$D$11,0))+IF(Capex!$F$12="Y",IF($A418+Capex!$D$12-1&gt;=Y$2,Book!$P$222/Capex!$D$12,0))+IF(Capex!$F$13="Y",IF($A418+Capex!$D$13-1&gt;=Y$2,Book!$P$258/Capex!$D$13,0))+IF(Capex!$F$14="Y",IF($A418+Capex!$D$14-1&gt;=Y$2,Book!$P$14/Capex!$D$255,0))+IF(Capex!$F$15="Y",IF($A418+Capex!$D$15-1&gt;=Y$2,Book!$P$330/Capex!$D$15,0)))*$P$401</f>
        <v>0</v>
      </c>
      <c r="Z418" s="4">
        <f>(IF(Capex!$F$6="Y",IF($A418+Capex!$D$6-1&gt;=Z$2,Book!$P$6/Capex!$D$6,0))+IF(Capex!$F$7="Y",IF($A418+Capex!$D$7-1&gt;=Z$2,Book!$P$42/Capex!$D$7,0))+IF(Capex!$F$8="Y",IF($A418+Capex!$D$8-1&gt;=Z$2,Book!$P$78/Capex!$D$8,0))+IF(Capex!$F$9="Y",IF($A418+Capex!$D$9-1&gt;=Z$2,Book!$P$114/Capex!$D$9,0))+IF(Capex!$F$10="Y",IF($A418+Capex!$D$10-1&gt;=Z$2,Book!$P$150/Capex!$D$10,0))+IF(Capex!$F$11="Y",IF($A418+Capex!$D$11-1&gt;=Z$2,Book!$P$186/Capex!$D$11,0))+IF(Capex!$F$12="Y",IF($A418+Capex!$D$12-1&gt;=Z$2,Book!$P$222/Capex!$D$12,0))+IF(Capex!$F$13="Y",IF($A418+Capex!$D$13-1&gt;=Z$2,Book!$P$258/Capex!$D$13,0))+IF(Capex!$F$14="Y",IF($A418+Capex!$D$14-1&gt;=Z$2,Book!$P$14/Capex!$D$255,0))+IF(Capex!$F$15="Y",IF($A418+Capex!$D$15-1&gt;=Z$2,Book!$P$330/Capex!$D$15,0)))*$P$401</f>
        <v>0</v>
      </c>
      <c r="AA418" s="4">
        <f>(IF(Capex!$F$6="Y",IF($A418+Capex!$D$6-1&gt;=AA$2,Book!$P$6/Capex!$D$6,0))+IF(Capex!$F$7="Y",IF($A418+Capex!$D$7-1&gt;=AA$2,Book!$P$42/Capex!$D$7,0))+IF(Capex!$F$8="Y",IF($A418+Capex!$D$8-1&gt;=AA$2,Book!$P$78/Capex!$D$8,0))+IF(Capex!$F$9="Y",IF($A418+Capex!$D$9-1&gt;=AA$2,Book!$P$114/Capex!$D$9,0))+IF(Capex!$F$10="Y",IF($A418+Capex!$D$10-1&gt;=AA$2,Book!$P$150/Capex!$D$10,0))+IF(Capex!$F$11="Y",IF($A418+Capex!$D$11-1&gt;=AA$2,Book!$P$186/Capex!$D$11,0))+IF(Capex!$F$12="Y",IF($A418+Capex!$D$12-1&gt;=AA$2,Book!$P$222/Capex!$D$12,0))+IF(Capex!$F$13="Y",IF($A418+Capex!$D$13-1&gt;=AA$2,Book!$P$258/Capex!$D$13,0))+IF(Capex!$F$14="Y",IF($A418+Capex!$D$14-1&gt;=AA$2,Book!$P$14/Capex!$D$255,0))+IF(Capex!$F$15="Y",IF($A418+Capex!$D$15-1&gt;=AA$2,Book!$P$330/Capex!$D$15,0)))*$P$401</f>
        <v>0</v>
      </c>
      <c r="AB418" s="4">
        <f>(IF(Capex!$F$6="Y",IF($A418+Capex!$D$6-1&gt;=AB$2,Book!$P$6/Capex!$D$6,0))+IF(Capex!$F$7="Y",IF($A418+Capex!$D$7-1&gt;=AB$2,Book!$P$42/Capex!$D$7,0))+IF(Capex!$F$8="Y",IF($A418+Capex!$D$8-1&gt;=AB$2,Book!$P$78/Capex!$D$8,0))+IF(Capex!$F$9="Y",IF($A418+Capex!$D$9-1&gt;=AB$2,Book!$P$114/Capex!$D$9,0))+IF(Capex!$F$10="Y",IF($A418+Capex!$D$10-1&gt;=AB$2,Book!$P$150/Capex!$D$10,0))+IF(Capex!$F$11="Y",IF($A418+Capex!$D$11-1&gt;=AB$2,Book!$P$186/Capex!$D$11,0))+IF(Capex!$F$12="Y",IF($A418+Capex!$D$12-1&gt;=AB$2,Book!$P$222/Capex!$D$12,0))+IF(Capex!$F$13="Y",IF($A418+Capex!$D$13-1&gt;=AB$2,Book!$P$258/Capex!$D$13,0))+IF(Capex!$F$14="Y",IF($A418+Capex!$D$14-1&gt;=AB$2,Book!$P$14/Capex!$D$255,0))+IF(Capex!$F$15="Y",IF($A418+Capex!$D$15-1&gt;=AB$2,Book!$P$330/Capex!$D$15,0)))*$P$401</f>
        <v>0</v>
      </c>
      <c r="AC418" s="4">
        <f>(IF(Capex!$F$6="Y",IF($A418+Capex!$D$6-1&gt;=AC$2,Book!$P$6/Capex!$D$6,0))+IF(Capex!$F$7="Y",IF($A418+Capex!$D$7-1&gt;=AC$2,Book!$P$42/Capex!$D$7,0))+IF(Capex!$F$8="Y",IF($A418+Capex!$D$8-1&gt;=AC$2,Book!$P$78/Capex!$D$8,0))+IF(Capex!$F$9="Y",IF($A418+Capex!$D$9-1&gt;=AC$2,Book!$P$114/Capex!$D$9,0))+IF(Capex!$F$10="Y",IF($A418+Capex!$D$10-1&gt;=AC$2,Book!$P$150/Capex!$D$10,0))+IF(Capex!$F$11="Y",IF($A418+Capex!$D$11-1&gt;=AC$2,Book!$P$186/Capex!$D$11,0))+IF(Capex!$F$12="Y",IF($A418+Capex!$D$12-1&gt;=AC$2,Book!$P$222/Capex!$D$12,0))+IF(Capex!$F$13="Y",IF($A418+Capex!$D$13-1&gt;=AC$2,Book!$P$258/Capex!$D$13,0))+IF(Capex!$F$14="Y",IF($A418+Capex!$D$14-1&gt;=AC$2,Book!$P$14/Capex!$D$255,0))+IF(Capex!$F$15="Y",IF($A418+Capex!$D$15-1&gt;=AC$2,Book!$P$330/Capex!$D$15,0)))*$P$401</f>
        <v>0</v>
      </c>
      <c r="AD418" s="4">
        <f>(IF(Capex!$F$6="Y",IF($A418+Capex!$D$6-1&gt;=AD$2,Book!$P$6/Capex!$D$6,0))+IF(Capex!$F$7="Y",IF($A418+Capex!$D$7-1&gt;=AD$2,Book!$P$42/Capex!$D$7,0))+IF(Capex!$F$8="Y",IF($A418+Capex!$D$8-1&gt;=AD$2,Book!$P$78/Capex!$D$8,0))+IF(Capex!$F$9="Y",IF($A418+Capex!$D$9-1&gt;=AD$2,Book!$P$114/Capex!$D$9,0))+IF(Capex!$F$10="Y",IF($A418+Capex!$D$10-1&gt;=AD$2,Book!$P$150/Capex!$D$10,0))+IF(Capex!$F$11="Y",IF($A418+Capex!$D$11-1&gt;=AD$2,Book!$P$186/Capex!$D$11,0))+IF(Capex!$F$12="Y",IF($A418+Capex!$D$12-1&gt;=AD$2,Book!$P$222/Capex!$D$12,0))+IF(Capex!$F$13="Y",IF($A418+Capex!$D$13-1&gt;=AD$2,Book!$P$258/Capex!$D$13,0))+IF(Capex!$F$14="Y",IF($A418+Capex!$D$14-1&gt;=AD$2,Book!$P$14/Capex!$D$255,0))+IF(Capex!$F$15="Y",IF($A418+Capex!$D$15-1&gt;=AD$2,Book!$P$330/Capex!$D$15,0)))*$P$401</f>
        <v>0</v>
      </c>
      <c r="AE418" s="4">
        <f>(IF(Capex!$F$6="Y",IF($A418+Capex!$D$6-1&gt;=AE$2,Book!$P$6/Capex!$D$6,0))+IF(Capex!$F$7="Y",IF($A418+Capex!$D$7-1&gt;=AE$2,Book!$P$42/Capex!$D$7,0))+IF(Capex!$F$8="Y",IF($A418+Capex!$D$8-1&gt;=AE$2,Book!$P$78/Capex!$D$8,0))+IF(Capex!$F$9="Y",IF($A418+Capex!$D$9-1&gt;=AE$2,Book!$P$114/Capex!$D$9,0))+IF(Capex!$F$10="Y",IF($A418+Capex!$D$10-1&gt;=AE$2,Book!$P$150/Capex!$D$10,0))+IF(Capex!$F$11="Y",IF($A418+Capex!$D$11-1&gt;=AE$2,Book!$P$186/Capex!$D$11,0))+IF(Capex!$F$12="Y",IF($A418+Capex!$D$12-1&gt;=AE$2,Book!$P$222/Capex!$D$12,0))+IF(Capex!$F$13="Y",IF($A418+Capex!$D$13-1&gt;=AE$2,Book!$P$258/Capex!$D$13,0))+IF(Capex!$F$14="Y",IF($A418+Capex!$D$14-1&gt;=AE$2,Book!$P$14/Capex!$D$255,0))+IF(Capex!$F$15="Y",IF($A418+Capex!$D$15-1&gt;=AE$2,Book!$P$330/Capex!$D$15,0)))*$P$401</f>
        <v>0</v>
      </c>
      <c r="AF418" s="4">
        <f>(IF(Capex!$F$6="Y",IF($A418+Capex!$D$6-1&gt;=AF$2,Book!$P$6/Capex!$D$6,0))+IF(Capex!$F$7="Y",IF($A418+Capex!$D$7-1&gt;=AF$2,Book!$P$42/Capex!$D$7,0))+IF(Capex!$F$8="Y",IF($A418+Capex!$D$8-1&gt;=AF$2,Book!$P$78/Capex!$D$8,0))+IF(Capex!$F$9="Y",IF($A418+Capex!$D$9-1&gt;=AF$2,Book!$P$114/Capex!$D$9,0))+IF(Capex!$F$10="Y",IF($A418+Capex!$D$10-1&gt;=AF$2,Book!$P$150/Capex!$D$10,0))+IF(Capex!$F$11="Y",IF($A418+Capex!$D$11-1&gt;=AF$2,Book!$P$186/Capex!$D$11,0))+IF(Capex!$F$12="Y",IF($A418+Capex!$D$12-1&gt;=AF$2,Book!$P$222/Capex!$D$12,0))+IF(Capex!$F$13="Y",IF($A418+Capex!$D$13-1&gt;=AF$2,Book!$P$258/Capex!$D$13,0))+IF(Capex!$F$14="Y",IF($A418+Capex!$D$14-1&gt;=AF$2,Book!$P$14/Capex!$D$255,0))+IF(Capex!$F$15="Y",IF($A418+Capex!$D$15-1&gt;=AF$2,Book!$P$330/Capex!$D$15,0)))*$P$401</f>
        <v>0</v>
      </c>
      <c r="AG418" s="4">
        <f t="shared" si="130"/>
        <v>0</v>
      </c>
      <c r="AH418" s="252">
        <f t="shared" si="132"/>
        <v>0</v>
      </c>
    </row>
    <row r="419" spans="1:34">
      <c r="A419" s="718">
        <f t="shared" si="129"/>
        <v>2036</v>
      </c>
      <c r="B419" s="4">
        <f t="shared" si="131"/>
        <v>0</v>
      </c>
      <c r="Q419" s="4">
        <f>(IF(Capex!$F$6="Y",IF($A419+Capex!$D$6-1&gt;=Q$2,Book!$Q$6/Capex!$D$6,0))+IF(Capex!$F$7="Y",IF($A419+Capex!$D$7-1&gt;=Q$2,Book!$Q$42/Capex!$D$7,0))+IF(Capex!$F$8="Y",IF($A419+Capex!$D$8-1&gt;=Q$2,Book!$Q$78/Capex!$D$8,0))+IF(Capex!$F$9="Y",IF($A419+Capex!$D$9-1&gt;=Q$2,Book!$Q$114/Capex!$D$9,0))+IF(Capex!$F$10="Y",IF($A419+Capex!$D$10-1&gt;=Q$2,Book!$Q$150/Capex!$D$10,0))+IF(Capex!$F$11="Y",IF($A419+Capex!$D$11-1&gt;=Q$2,Book!$Q$186/Capex!$D$11,0))+IF(Capex!$F$12="Y",IF($A419+Capex!$D$12-1&gt;=Q$2,Book!$Q$222/Capex!$D$12,0))+IF(Capex!$F$13="Y",IF($A419+Capex!$D$13-1&gt;=Q$2,Book!$Q$258/Capex!$D$13,0))+IF(Capex!$F$14="Y",IF($A419+Capex!$D$14-1&gt;=Q$2,Book!$Q$14/Capex!$D$255,0))+IF(Capex!$F$15="Y",IF($A419+Capex!$D$15-1&gt;=Q$2,Book!$Q$330/Capex!$D$15,0)))*$Q$401</f>
        <v>0</v>
      </c>
      <c r="R419" s="4">
        <f>(IF(Capex!$F$6="Y",IF($A419+Capex!$D$6-1&gt;=R$2,Book!$Q$6/Capex!$D$6,0))+IF(Capex!$F$7="Y",IF($A419+Capex!$D$7-1&gt;=R$2,Book!$Q$42/Capex!$D$7,0))+IF(Capex!$F$8="Y",IF($A419+Capex!$D$8-1&gt;=R$2,Book!$Q$78/Capex!$D$8,0))+IF(Capex!$F$9="Y",IF($A419+Capex!$D$9-1&gt;=R$2,Book!$Q$114/Capex!$D$9,0))+IF(Capex!$F$10="Y",IF($A419+Capex!$D$10-1&gt;=R$2,Book!$Q$150/Capex!$D$10,0))+IF(Capex!$F$11="Y",IF($A419+Capex!$D$11-1&gt;=R$2,Book!$Q$186/Capex!$D$11,0))+IF(Capex!$F$12="Y",IF($A419+Capex!$D$12-1&gt;=R$2,Book!$Q$222/Capex!$D$12,0))+IF(Capex!$F$13="Y",IF($A419+Capex!$D$13-1&gt;=R$2,Book!$Q$258/Capex!$D$13,0))+IF(Capex!$F$14="Y",IF($A419+Capex!$D$14-1&gt;=R$2,Book!$Q$14/Capex!$D$255,0))+IF(Capex!$F$15="Y",IF($A419+Capex!$D$15-1&gt;=R$2,Book!$Q$330/Capex!$D$15,0)))*$Q$401</f>
        <v>0</v>
      </c>
      <c r="S419" s="4">
        <f>(IF(Capex!$F$6="Y",IF($A419+Capex!$D$6-1&gt;=S$2,Book!$Q$6/Capex!$D$6,0))+IF(Capex!$F$7="Y",IF($A419+Capex!$D$7-1&gt;=S$2,Book!$Q$42/Capex!$D$7,0))+IF(Capex!$F$8="Y",IF($A419+Capex!$D$8-1&gt;=S$2,Book!$Q$78/Capex!$D$8,0))+IF(Capex!$F$9="Y",IF($A419+Capex!$D$9-1&gt;=S$2,Book!$Q$114/Capex!$D$9,0))+IF(Capex!$F$10="Y",IF($A419+Capex!$D$10-1&gt;=S$2,Book!$Q$150/Capex!$D$10,0))+IF(Capex!$F$11="Y",IF($A419+Capex!$D$11-1&gt;=S$2,Book!$Q$186/Capex!$D$11,0))+IF(Capex!$F$12="Y",IF($A419+Capex!$D$12-1&gt;=S$2,Book!$Q$222/Capex!$D$12,0))+IF(Capex!$F$13="Y",IF($A419+Capex!$D$13-1&gt;=S$2,Book!$Q$258/Capex!$D$13,0))+IF(Capex!$F$14="Y",IF($A419+Capex!$D$14-1&gt;=S$2,Book!$Q$14/Capex!$D$255,0))+IF(Capex!$F$15="Y",IF($A419+Capex!$D$15-1&gt;=S$2,Book!$Q$330/Capex!$D$15,0)))*$Q$401</f>
        <v>0</v>
      </c>
      <c r="T419" s="4">
        <f>(IF(Capex!$F$6="Y",IF($A419+Capex!$D$6-1&gt;=T$2,Book!$Q$6/Capex!$D$6,0))+IF(Capex!$F$7="Y",IF($A419+Capex!$D$7-1&gt;=T$2,Book!$Q$42/Capex!$D$7,0))+IF(Capex!$F$8="Y",IF($A419+Capex!$D$8-1&gt;=T$2,Book!$Q$78/Capex!$D$8,0))+IF(Capex!$F$9="Y",IF($A419+Capex!$D$9-1&gt;=T$2,Book!$Q$114/Capex!$D$9,0))+IF(Capex!$F$10="Y",IF($A419+Capex!$D$10-1&gt;=T$2,Book!$Q$150/Capex!$D$10,0))+IF(Capex!$F$11="Y",IF($A419+Capex!$D$11-1&gt;=T$2,Book!$Q$186/Capex!$D$11,0))+IF(Capex!$F$12="Y",IF($A419+Capex!$D$12-1&gt;=T$2,Book!$Q$222/Capex!$D$12,0))+IF(Capex!$F$13="Y",IF($A419+Capex!$D$13-1&gt;=T$2,Book!$Q$258/Capex!$D$13,0))+IF(Capex!$F$14="Y",IF($A419+Capex!$D$14-1&gt;=T$2,Book!$Q$14/Capex!$D$255,0))+IF(Capex!$F$15="Y",IF($A419+Capex!$D$15-1&gt;=T$2,Book!$Q$330/Capex!$D$15,0)))*$Q$401</f>
        <v>0</v>
      </c>
      <c r="U419" s="4">
        <f>(IF(Capex!$F$6="Y",IF($A419+Capex!$D$6-1&gt;=U$2,Book!$Q$6/Capex!$D$6,0))+IF(Capex!$F$7="Y",IF($A419+Capex!$D$7-1&gt;=U$2,Book!$Q$42/Capex!$D$7,0))+IF(Capex!$F$8="Y",IF($A419+Capex!$D$8-1&gt;=U$2,Book!$Q$78/Capex!$D$8,0))+IF(Capex!$F$9="Y",IF($A419+Capex!$D$9-1&gt;=U$2,Book!$Q$114/Capex!$D$9,0))+IF(Capex!$F$10="Y",IF($A419+Capex!$D$10-1&gt;=U$2,Book!$Q$150/Capex!$D$10,0))+IF(Capex!$F$11="Y",IF($A419+Capex!$D$11-1&gt;=U$2,Book!$Q$186/Capex!$D$11,0))+IF(Capex!$F$12="Y",IF($A419+Capex!$D$12-1&gt;=U$2,Book!$Q$222/Capex!$D$12,0))+IF(Capex!$F$13="Y",IF($A419+Capex!$D$13-1&gt;=U$2,Book!$Q$258/Capex!$D$13,0))+IF(Capex!$F$14="Y",IF($A419+Capex!$D$14-1&gt;=U$2,Book!$Q$14/Capex!$D$255,0))+IF(Capex!$F$15="Y",IF($A419+Capex!$D$15-1&gt;=U$2,Book!$Q$330/Capex!$D$15,0)))*$Q$401</f>
        <v>0</v>
      </c>
      <c r="V419" s="4">
        <f>(IF(Capex!$F$6="Y",IF($A419+Capex!$D$6-1&gt;=V$2,Book!$Q$6/Capex!$D$6,0))+IF(Capex!$F$7="Y",IF($A419+Capex!$D$7-1&gt;=V$2,Book!$Q$42/Capex!$D$7,0))+IF(Capex!$F$8="Y",IF($A419+Capex!$D$8-1&gt;=V$2,Book!$Q$78/Capex!$D$8,0))+IF(Capex!$F$9="Y",IF($A419+Capex!$D$9-1&gt;=V$2,Book!$Q$114/Capex!$D$9,0))+IF(Capex!$F$10="Y",IF($A419+Capex!$D$10-1&gt;=V$2,Book!$Q$150/Capex!$D$10,0))+IF(Capex!$F$11="Y",IF($A419+Capex!$D$11-1&gt;=V$2,Book!$Q$186/Capex!$D$11,0))+IF(Capex!$F$12="Y",IF($A419+Capex!$D$12-1&gt;=V$2,Book!$Q$222/Capex!$D$12,0))+IF(Capex!$F$13="Y",IF($A419+Capex!$D$13-1&gt;=V$2,Book!$Q$258/Capex!$D$13,0))+IF(Capex!$F$14="Y",IF($A419+Capex!$D$14-1&gt;=V$2,Book!$Q$14/Capex!$D$255,0))+IF(Capex!$F$15="Y",IF($A419+Capex!$D$15-1&gt;=V$2,Book!$Q$330/Capex!$D$15,0)))*$Q$401</f>
        <v>0</v>
      </c>
      <c r="W419" s="4">
        <f>(IF(Capex!$F$6="Y",IF($A419+Capex!$D$6-1&gt;=W$2,Book!$Q$6/Capex!$D$6,0))+IF(Capex!$F$7="Y",IF($A419+Capex!$D$7-1&gt;=W$2,Book!$Q$42/Capex!$D$7,0))+IF(Capex!$F$8="Y",IF($A419+Capex!$D$8-1&gt;=W$2,Book!$Q$78/Capex!$D$8,0))+IF(Capex!$F$9="Y",IF($A419+Capex!$D$9-1&gt;=W$2,Book!$Q$114/Capex!$D$9,0))+IF(Capex!$F$10="Y",IF($A419+Capex!$D$10-1&gt;=W$2,Book!$Q$150/Capex!$D$10,0))+IF(Capex!$F$11="Y",IF($A419+Capex!$D$11-1&gt;=W$2,Book!$Q$186/Capex!$D$11,0))+IF(Capex!$F$12="Y",IF($A419+Capex!$D$12-1&gt;=W$2,Book!$Q$222/Capex!$D$12,0))+IF(Capex!$F$13="Y",IF($A419+Capex!$D$13-1&gt;=W$2,Book!$Q$258/Capex!$D$13,0))+IF(Capex!$F$14="Y",IF($A419+Capex!$D$14-1&gt;=W$2,Book!$Q$14/Capex!$D$255,0))+IF(Capex!$F$15="Y",IF($A419+Capex!$D$15-1&gt;=W$2,Book!$Q$330/Capex!$D$15,0)))*$Q$401</f>
        <v>0</v>
      </c>
      <c r="X419" s="4">
        <f>(IF(Capex!$F$6="Y",IF($A419+Capex!$D$6-1&gt;=X$2,Book!$Q$6/Capex!$D$6,0))+IF(Capex!$F$7="Y",IF($A419+Capex!$D$7-1&gt;=X$2,Book!$Q$42/Capex!$D$7,0))+IF(Capex!$F$8="Y",IF($A419+Capex!$D$8-1&gt;=X$2,Book!$Q$78/Capex!$D$8,0))+IF(Capex!$F$9="Y",IF($A419+Capex!$D$9-1&gt;=X$2,Book!$Q$114/Capex!$D$9,0))+IF(Capex!$F$10="Y",IF($A419+Capex!$D$10-1&gt;=X$2,Book!$Q$150/Capex!$D$10,0))+IF(Capex!$F$11="Y",IF($A419+Capex!$D$11-1&gt;=X$2,Book!$Q$186/Capex!$D$11,0))+IF(Capex!$F$12="Y",IF($A419+Capex!$D$12-1&gt;=X$2,Book!$Q$222/Capex!$D$12,0))+IF(Capex!$F$13="Y",IF($A419+Capex!$D$13-1&gt;=X$2,Book!$Q$258/Capex!$D$13,0))+IF(Capex!$F$14="Y",IF($A419+Capex!$D$14-1&gt;=X$2,Book!$Q$14/Capex!$D$255,0))+IF(Capex!$F$15="Y",IF($A419+Capex!$D$15-1&gt;=X$2,Book!$Q$330/Capex!$D$15,0)))*$Q$401</f>
        <v>0</v>
      </c>
      <c r="Y419" s="4">
        <f>(IF(Capex!$F$6="Y",IF($A419+Capex!$D$6-1&gt;=Y$2,Book!$Q$6/Capex!$D$6,0))+IF(Capex!$F$7="Y",IF($A419+Capex!$D$7-1&gt;=Y$2,Book!$Q$42/Capex!$D$7,0))+IF(Capex!$F$8="Y",IF($A419+Capex!$D$8-1&gt;=Y$2,Book!$Q$78/Capex!$D$8,0))+IF(Capex!$F$9="Y",IF($A419+Capex!$D$9-1&gt;=Y$2,Book!$Q$114/Capex!$D$9,0))+IF(Capex!$F$10="Y",IF($A419+Capex!$D$10-1&gt;=Y$2,Book!$Q$150/Capex!$D$10,0))+IF(Capex!$F$11="Y",IF($A419+Capex!$D$11-1&gt;=Y$2,Book!$Q$186/Capex!$D$11,0))+IF(Capex!$F$12="Y",IF($A419+Capex!$D$12-1&gt;=Y$2,Book!$Q$222/Capex!$D$12,0))+IF(Capex!$F$13="Y",IF($A419+Capex!$D$13-1&gt;=Y$2,Book!$Q$258/Capex!$D$13,0))+IF(Capex!$F$14="Y",IF($A419+Capex!$D$14-1&gt;=Y$2,Book!$Q$14/Capex!$D$255,0))+IF(Capex!$F$15="Y",IF($A419+Capex!$D$15-1&gt;=Y$2,Book!$Q$330/Capex!$D$15,0)))*$Q$401</f>
        <v>0</v>
      </c>
      <c r="Z419" s="4">
        <f>(IF(Capex!$F$6="Y",IF($A419+Capex!$D$6-1&gt;=Z$2,Book!$Q$6/Capex!$D$6,0))+IF(Capex!$F$7="Y",IF($A419+Capex!$D$7-1&gt;=Z$2,Book!$Q$42/Capex!$D$7,0))+IF(Capex!$F$8="Y",IF($A419+Capex!$D$8-1&gt;=Z$2,Book!$Q$78/Capex!$D$8,0))+IF(Capex!$F$9="Y",IF($A419+Capex!$D$9-1&gt;=Z$2,Book!$Q$114/Capex!$D$9,0))+IF(Capex!$F$10="Y",IF($A419+Capex!$D$10-1&gt;=Z$2,Book!$Q$150/Capex!$D$10,0))+IF(Capex!$F$11="Y",IF($A419+Capex!$D$11-1&gt;=Z$2,Book!$Q$186/Capex!$D$11,0))+IF(Capex!$F$12="Y",IF($A419+Capex!$D$12-1&gt;=Z$2,Book!$Q$222/Capex!$D$12,0))+IF(Capex!$F$13="Y",IF($A419+Capex!$D$13-1&gt;=Z$2,Book!$Q$258/Capex!$D$13,0))+IF(Capex!$F$14="Y",IF($A419+Capex!$D$14-1&gt;=Z$2,Book!$Q$14/Capex!$D$255,0))+IF(Capex!$F$15="Y",IF($A419+Capex!$D$15-1&gt;=Z$2,Book!$Q$330/Capex!$D$15,0)))*$Q$401</f>
        <v>0</v>
      </c>
      <c r="AA419" s="4">
        <f>(IF(Capex!$F$6="Y",IF($A419+Capex!$D$6-1&gt;=AA$2,Book!$Q$6/Capex!$D$6,0))+IF(Capex!$F$7="Y",IF($A419+Capex!$D$7-1&gt;=AA$2,Book!$Q$42/Capex!$D$7,0))+IF(Capex!$F$8="Y",IF($A419+Capex!$D$8-1&gt;=AA$2,Book!$Q$78/Capex!$D$8,0))+IF(Capex!$F$9="Y",IF($A419+Capex!$D$9-1&gt;=AA$2,Book!$Q$114/Capex!$D$9,0))+IF(Capex!$F$10="Y",IF($A419+Capex!$D$10-1&gt;=AA$2,Book!$Q$150/Capex!$D$10,0))+IF(Capex!$F$11="Y",IF($A419+Capex!$D$11-1&gt;=AA$2,Book!$Q$186/Capex!$D$11,0))+IF(Capex!$F$12="Y",IF($A419+Capex!$D$12-1&gt;=AA$2,Book!$Q$222/Capex!$D$12,0))+IF(Capex!$F$13="Y",IF($A419+Capex!$D$13-1&gt;=AA$2,Book!$Q$258/Capex!$D$13,0))+IF(Capex!$F$14="Y",IF($A419+Capex!$D$14-1&gt;=AA$2,Book!$Q$14/Capex!$D$255,0))+IF(Capex!$F$15="Y",IF($A419+Capex!$D$15-1&gt;=AA$2,Book!$Q$330/Capex!$D$15,0)))*$Q$401</f>
        <v>0</v>
      </c>
      <c r="AB419" s="4">
        <f>(IF(Capex!$F$6="Y",IF($A419+Capex!$D$6-1&gt;=AB$2,Book!$Q$6/Capex!$D$6,0))+IF(Capex!$F$7="Y",IF($A419+Capex!$D$7-1&gt;=AB$2,Book!$Q$42/Capex!$D$7,0))+IF(Capex!$F$8="Y",IF($A419+Capex!$D$8-1&gt;=AB$2,Book!$Q$78/Capex!$D$8,0))+IF(Capex!$F$9="Y",IF($A419+Capex!$D$9-1&gt;=AB$2,Book!$Q$114/Capex!$D$9,0))+IF(Capex!$F$10="Y",IF($A419+Capex!$D$10-1&gt;=AB$2,Book!$Q$150/Capex!$D$10,0))+IF(Capex!$F$11="Y",IF($A419+Capex!$D$11-1&gt;=AB$2,Book!$Q$186/Capex!$D$11,0))+IF(Capex!$F$12="Y",IF($A419+Capex!$D$12-1&gt;=AB$2,Book!$Q$222/Capex!$D$12,0))+IF(Capex!$F$13="Y",IF($A419+Capex!$D$13-1&gt;=AB$2,Book!$Q$258/Capex!$D$13,0))+IF(Capex!$F$14="Y",IF($A419+Capex!$D$14-1&gt;=AB$2,Book!$Q$14/Capex!$D$255,0))+IF(Capex!$F$15="Y",IF($A419+Capex!$D$15-1&gt;=AB$2,Book!$Q$330/Capex!$D$15,0)))*$Q$401</f>
        <v>0</v>
      </c>
      <c r="AC419" s="4">
        <f>(IF(Capex!$F$6="Y",IF($A419+Capex!$D$6-1&gt;=AC$2,Book!$Q$6/Capex!$D$6,0))+IF(Capex!$F$7="Y",IF($A419+Capex!$D$7-1&gt;=AC$2,Book!$Q$42/Capex!$D$7,0))+IF(Capex!$F$8="Y",IF($A419+Capex!$D$8-1&gt;=AC$2,Book!$Q$78/Capex!$D$8,0))+IF(Capex!$F$9="Y",IF($A419+Capex!$D$9-1&gt;=AC$2,Book!$Q$114/Capex!$D$9,0))+IF(Capex!$F$10="Y",IF($A419+Capex!$D$10-1&gt;=AC$2,Book!$Q$150/Capex!$D$10,0))+IF(Capex!$F$11="Y",IF($A419+Capex!$D$11-1&gt;=AC$2,Book!$Q$186/Capex!$D$11,0))+IF(Capex!$F$12="Y",IF($A419+Capex!$D$12-1&gt;=AC$2,Book!$Q$222/Capex!$D$12,0))+IF(Capex!$F$13="Y",IF($A419+Capex!$D$13-1&gt;=AC$2,Book!$Q$258/Capex!$D$13,0))+IF(Capex!$F$14="Y",IF($A419+Capex!$D$14-1&gt;=AC$2,Book!$Q$14/Capex!$D$255,0))+IF(Capex!$F$15="Y",IF($A419+Capex!$D$15-1&gt;=AC$2,Book!$Q$330/Capex!$D$15,0)))*$Q$401</f>
        <v>0</v>
      </c>
      <c r="AD419" s="4">
        <f>(IF(Capex!$F$6="Y",IF($A419+Capex!$D$6-1&gt;=AD$2,Book!$Q$6/Capex!$D$6,0))+IF(Capex!$F$7="Y",IF($A419+Capex!$D$7-1&gt;=AD$2,Book!$Q$42/Capex!$D$7,0))+IF(Capex!$F$8="Y",IF($A419+Capex!$D$8-1&gt;=AD$2,Book!$Q$78/Capex!$D$8,0))+IF(Capex!$F$9="Y",IF($A419+Capex!$D$9-1&gt;=AD$2,Book!$Q$114/Capex!$D$9,0))+IF(Capex!$F$10="Y",IF($A419+Capex!$D$10-1&gt;=AD$2,Book!$Q$150/Capex!$D$10,0))+IF(Capex!$F$11="Y",IF($A419+Capex!$D$11-1&gt;=AD$2,Book!$Q$186/Capex!$D$11,0))+IF(Capex!$F$12="Y",IF($A419+Capex!$D$12-1&gt;=AD$2,Book!$Q$222/Capex!$D$12,0))+IF(Capex!$F$13="Y",IF($A419+Capex!$D$13-1&gt;=AD$2,Book!$Q$258/Capex!$D$13,0))+IF(Capex!$F$14="Y",IF($A419+Capex!$D$14-1&gt;=AD$2,Book!$Q$14/Capex!$D$255,0))+IF(Capex!$F$15="Y",IF($A419+Capex!$D$15-1&gt;=AD$2,Book!$Q$330/Capex!$D$15,0)))*$Q$401</f>
        <v>0</v>
      </c>
      <c r="AE419" s="4">
        <f>(IF(Capex!$F$6="Y",IF($A419+Capex!$D$6-1&gt;=AE$2,Book!$Q$6/Capex!$D$6,0))+IF(Capex!$F$7="Y",IF($A419+Capex!$D$7-1&gt;=AE$2,Book!$Q$42/Capex!$D$7,0))+IF(Capex!$F$8="Y",IF($A419+Capex!$D$8-1&gt;=AE$2,Book!$Q$78/Capex!$D$8,0))+IF(Capex!$F$9="Y",IF($A419+Capex!$D$9-1&gt;=AE$2,Book!$Q$114/Capex!$D$9,0))+IF(Capex!$F$10="Y",IF($A419+Capex!$D$10-1&gt;=AE$2,Book!$Q$150/Capex!$D$10,0))+IF(Capex!$F$11="Y",IF($A419+Capex!$D$11-1&gt;=AE$2,Book!$Q$186/Capex!$D$11,0))+IF(Capex!$F$12="Y",IF($A419+Capex!$D$12-1&gt;=AE$2,Book!$Q$222/Capex!$D$12,0))+IF(Capex!$F$13="Y",IF($A419+Capex!$D$13-1&gt;=AE$2,Book!$Q$258/Capex!$D$13,0))+IF(Capex!$F$14="Y",IF($A419+Capex!$D$14-1&gt;=AE$2,Book!$Q$14/Capex!$D$255,0))+IF(Capex!$F$15="Y",IF($A419+Capex!$D$15-1&gt;=AE$2,Book!$Q$330/Capex!$D$15,0)))*$Q$401</f>
        <v>0</v>
      </c>
      <c r="AF419" s="4">
        <f>(IF(Capex!$F$6="Y",IF($A419+Capex!$D$6-1&gt;=AF$2,Book!$Q$6/Capex!$D$6,0))+IF(Capex!$F$7="Y",IF($A419+Capex!$D$7-1&gt;=AF$2,Book!$Q$42/Capex!$D$7,0))+IF(Capex!$F$8="Y",IF($A419+Capex!$D$8-1&gt;=AF$2,Book!$Q$78/Capex!$D$8,0))+IF(Capex!$F$9="Y",IF($A419+Capex!$D$9-1&gt;=AF$2,Book!$Q$114/Capex!$D$9,0))+IF(Capex!$F$10="Y",IF($A419+Capex!$D$10-1&gt;=AF$2,Book!$Q$150/Capex!$D$10,0))+IF(Capex!$F$11="Y",IF($A419+Capex!$D$11-1&gt;=AF$2,Book!$Q$186/Capex!$D$11,0))+IF(Capex!$F$12="Y",IF($A419+Capex!$D$12-1&gt;=AF$2,Book!$Q$222/Capex!$D$12,0))+IF(Capex!$F$13="Y",IF($A419+Capex!$D$13-1&gt;=AF$2,Book!$Q$258/Capex!$D$13,0))+IF(Capex!$F$14="Y",IF($A419+Capex!$D$14-1&gt;=AF$2,Book!$Q$14/Capex!$D$255,0))+IF(Capex!$F$15="Y",IF($A419+Capex!$D$15-1&gt;=AF$2,Book!$Q$330/Capex!$D$15,0)))*$Q$401</f>
        <v>0</v>
      </c>
      <c r="AG419" s="4">
        <f t="shared" si="130"/>
        <v>0</v>
      </c>
      <c r="AH419" s="252">
        <f t="shared" si="132"/>
        <v>0</v>
      </c>
    </row>
    <row r="420" spans="1:34">
      <c r="A420" s="718">
        <f t="shared" si="129"/>
        <v>2037</v>
      </c>
      <c r="B420" s="4">
        <f t="shared" si="131"/>
        <v>0</v>
      </c>
      <c r="R420" s="4">
        <f>(IF(Capex!$F$6="Y",IF($A420+Capex!$D$6-1&gt;=R$2,Book!$R$6/Capex!$D$6,0))+IF(Capex!$F$7="Y",IF($A420+Capex!$D$7-1&gt;=R$2,Book!$R$42/Capex!$D$7,0))+IF(Capex!$F$8="Y",IF($A420+Capex!$D$8-1&gt;=R$2,Book!$R$78/Capex!$D$8,0))+IF(Capex!$F$9="Y",IF($A420+Capex!$D$9-1&gt;=R$2,Book!$R$114/Capex!$D$9,0))+IF(Capex!$F$10="Y",IF($A420+Capex!$D$10-1&gt;=R$2,Book!$R$150/Capex!$D$10,0))+IF(Capex!$F$11="Y",IF($A420+Capex!$D$11-1&gt;=R$2,Book!$R$186/Capex!$D$11,0))+IF(Capex!$F$12="Y",IF($A420+Capex!$D$12-1&gt;=R$2,Book!$R$222/Capex!$D$12,0))+IF(Capex!$F$13="Y",IF($A420+Capex!$D$13-1&gt;=R$2,Book!$R$258/Capex!$D$13,0))+IF(Capex!$F$14="Y",IF($A420+Capex!$D$14-1&gt;=R$2,Book!$R$14/Capex!$D$255,0))+IF(Capex!$F$15="Y",IF($A420+Capex!$D$15-1&gt;=R$2,Book!$R$330/Capex!$D$15,0)))*$R$401</f>
        <v>0</v>
      </c>
      <c r="S420" s="4">
        <f>(IF(Capex!$F$6="Y",IF($A420+Capex!$D$6-1&gt;=S$2,Book!$R$6/Capex!$D$6,0))+IF(Capex!$F$7="Y",IF($A420+Capex!$D$7-1&gt;=S$2,Book!$R$42/Capex!$D$7,0))+IF(Capex!$F$8="Y",IF($A420+Capex!$D$8-1&gt;=S$2,Book!$R$78/Capex!$D$8,0))+IF(Capex!$F$9="Y",IF($A420+Capex!$D$9-1&gt;=S$2,Book!$R$114/Capex!$D$9,0))+IF(Capex!$F$10="Y",IF($A420+Capex!$D$10-1&gt;=S$2,Book!$R$150/Capex!$D$10,0))+IF(Capex!$F$11="Y",IF($A420+Capex!$D$11-1&gt;=S$2,Book!$R$186/Capex!$D$11,0))+IF(Capex!$F$12="Y",IF($A420+Capex!$D$12-1&gt;=S$2,Book!$R$222/Capex!$D$12,0))+IF(Capex!$F$13="Y",IF($A420+Capex!$D$13-1&gt;=S$2,Book!$R$258/Capex!$D$13,0))+IF(Capex!$F$14="Y",IF($A420+Capex!$D$14-1&gt;=S$2,Book!$R$14/Capex!$D$255,0))+IF(Capex!$F$15="Y",IF($A420+Capex!$D$15-1&gt;=S$2,Book!$R$330/Capex!$D$15,0)))*$R$401</f>
        <v>0</v>
      </c>
      <c r="T420" s="4">
        <f>(IF(Capex!$F$6="Y",IF($A420+Capex!$D$6-1&gt;=T$2,Book!$R$6/Capex!$D$6,0))+IF(Capex!$F$7="Y",IF($A420+Capex!$D$7-1&gt;=T$2,Book!$R$42/Capex!$D$7,0))+IF(Capex!$F$8="Y",IF($A420+Capex!$D$8-1&gt;=T$2,Book!$R$78/Capex!$D$8,0))+IF(Capex!$F$9="Y",IF($A420+Capex!$D$9-1&gt;=T$2,Book!$R$114/Capex!$D$9,0))+IF(Capex!$F$10="Y",IF($A420+Capex!$D$10-1&gt;=T$2,Book!$R$150/Capex!$D$10,0))+IF(Capex!$F$11="Y",IF($A420+Capex!$D$11-1&gt;=T$2,Book!$R$186/Capex!$D$11,0))+IF(Capex!$F$12="Y",IF($A420+Capex!$D$12-1&gt;=T$2,Book!$R$222/Capex!$D$12,0))+IF(Capex!$F$13="Y",IF($A420+Capex!$D$13-1&gt;=T$2,Book!$R$258/Capex!$D$13,0))+IF(Capex!$F$14="Y",IF($A420+Capex!$D$14-1&gt;=T$2,Book!$R$14/Capex!$D$255,0))+IF(Capex!$F$15="Y",IF($A420+Capex!$D$15-1&gt;=T$2,Book!$R$330/Capex!$D$15,0)))*$R$401</f>
        <v>0</v>
      </c>
      <c r="U420" s="4">
        <f>(IF(Capex!$F$6="Y",IF($A420+Capex!$D$6-1&gt;=U$2,Book!$R$6/Capex!$D$6,0))+IF(Capex!$F$7="Y",IF($A420+Capex!$D$7-1&gt;=U$2,Book!$R$42/Capex!$D$7,0))+IF(Capex!$F$8="Y",IF($A420+Capex!$D$8-1&gt;=U$2,Book!$R$78/Capex!$D$8,0))+IF(Capex!$F$9="Y",IF($A420+Capex!$D$9-1&gt;=U$2,Book!$R$114/Capex!$D$9,0))+IF(Capex!$F$10="Y",IF($A420+Capex!$D$10-1&gt;=U$2,Book!$R$150/Capex!$D$10,0))+IF(Capex!$F$11="Y",IF($A420+Capex!$D$11-1&gt;=U$2,Book!$R$186/Capex!$D$11,0))+IF(Capex!$F$12="Y",IF($A420+Capex!$D$12-1&gt;=U$2,Book!$R$222/Capex!$D$12,0))+IF(Capex!$F$13="Y",IF($A420+Capex!$D$13-1&gt;=U$2,Book!$R$258/Capex!$D$13,0))+IF(Capex!$F$14="Y",IF($A420+Capex!$D$14-1&gt;=U$2,Book!$R$14/Capex!$D$255,0))+IF(Capex!$F$15="Y",IF($A420+Capex!$D$15-1&gt;=U$2,Book!$R$330/Capex!$D$15,0)))*$R$401</f>
        <v>0</v>
      </c>
      <c r="V420" s="4">
        <f>(IF(Capex!$F$6="Y",IF($A420+Capex!$D$6-1&gt;=V$2,Book!$R$6/Capex!$D$6,0))+IF(Capex!$F$7="Y",IF($A420+Capex!$D$7-1&gt;=V$2,Book!$R$42/Capex!$D$7,0))+IF(Capex!$F$8="Y",IF($A420+Capex!$D$8-1&gt;=V$2,Book!$R$78/Capex!$D$8,0))+IF(Capex!$F$9="Y",IF($A420+Capex!$D$9-1&gt;=V$2,Book!$R$114/Capex!$D$9,0))+IF(Capex!$F$10="Y",IF($A420+Capex!$D$10-1&gt;=V$2,Book!$R$150/Capex!$D$10,0))+IF(Capex!$F$11="Y",IF($A420+Capex!$D$11-1&gt;=V$2,Book!$R$186/Capex!$D$11,0))+IF(Capex!$F$12="Y",IF($A420+Capex!$D$12-1&gt;=V$2,Book!$R$222/Capex!$D$12,0))+IF(Capex!$F$13="Y",IF($A420+Capex!$D$13-1&gt;=V$2,Book!$R$258/Capex!$D$13,0))+IF(Capex!$F$14="Y",IF($A420+Capex!$D$14-1&gt;=V$2,Book!$R$14/Capex!$D$255,0))+IF(Capex!$F$15="Y",IF($A420+Capex!$D$15-1&gt;=V$2,Book!$R$330/Capex!$D$15,0)))*$R$401</f>
        <v>0</v>
      </c>
      <c r="W420" s="4">
        <f>(IF(Capex!$F$6="Y",IF($A420+Capex!$D$6-1&gt;=W$2,Book!$R$6/Capex!$D$6,0))+IF(Capex!$F$7="Y",IF($A420+Capex!$D$7-1&gt;=W$2,Book!$R$42/Capex!$D$7,0))+IF(Capex!$F$8="Y",IF($A420+Capex!$D$8-1&gt;=W$2,Book!$R$78/Capex!$D$8,0))+IF(Capex!$F$9="Y",IF($A420+Capex!$D$9-1&gt;=W$2,Book!$R$114/Capex!$D$9,0))+IF(Capex!$F$10="Y",IF($A420+Capex!$D$10-1&gt;=W$2,Book!$R$150/Capex!$D$10,0))+IF(Capex!$F$11="Y",IF($A420+Capex!$D$11-1&gt;=W$2,Book!$R$186/Capex!$D$11,0))+IF(Capex!$F$12="Y",IF($A420+Capex!$D$12-1&gt;=W$2,Book!$R$222/Capex!$D$12,0))+IF(Capex!$F$13="Y",IF($A420+Capex!$D$13-1&gt;=W$2,Book!$R$258/Capex!$D$13,0))+IF(Capex!$F$14="Y",IF($A420+Capex!$D$14-1&gt;=W$2,Book!$R$14/Capex!$D$255,0))+IF(Capex!$F$15="Y",IF($A420+Capex!$D$15-1&gt;=W$2,Book!$R$330/Capex!$D$15,0)))*$R$401</f>
        <v>0</v>
      </c>
      <c r="X420" s="4">
        <f>(IF(Capex!$F$6="Y",IF($A420+Capex!$D$6-1&gt;=X$2,Book!$R$6/Capex!$D$6,0))+IF(Capex!$F$7="Y",IF($A420+Capex!$D$7-1&gt;=X$2,Book!$R$42/Capex!$D$7,0))+IF(Capex!$F$8="Y",IF($A420+Capex!$D$8-1&gt;=X$2,Book!$R$78/Capex!$D$8,0))+IF(Capex!$F$9="Y",IF($A420+Capex!$D$9-1&gt;=X$2,Book!$R$114/Capex!$D$9,0))+IF(Capex!$F$10="Y",IF($A420+Capex!$D$10-1&gt;=X$2,Book!$R$150/Capex!$D$10,0))+IF(Capex!$F$11="Y",IF($A420+Capex!$D$11-1&gt;=X$2,Book!$R$186/Capex!$D$11,0))+IF(Capex!$F$12="Y",IF($A420+Capex!$D$12-1&gt;=X$2,Book!$R$222/Capex!$D$12,0))+IF(Capex!$F$13="Y",IF($A420+Capex!$D$13-1&gt;=X$2,Book!$R$258/Capex!$D$13,0))+IF(Capex!$F$14="Y",IF($A420+Capex!$D$14-1&gt;=X$2,Book!$R$14/Capex!$D$255,0))+IF(Capex!$F$15="Y",IF($A420+Capex!$D$15-1&gt;=X$2,Book!$R$330/Capex!$D$15,0)))*$R$401</f>
        <v>0</v>
      </c>
      <c r="Y420" s="4">
        <f>(IF(Capex!$F$6="Y",IF($A420+Capex!$D$6-1&gt;=Y$2,Book!$R$6/Capex!$D$6,0))+IF(Capex!$F$7="Y",IF($A420+Capex!$D$7-1&gt;=Y$2,Book!$R$42/Capex!$D$7,0))+IF(Capex!$F$8="Y",IF($A420+Capex!$D$8-1&gt;=Y$2,Book!$R$78/Capex!$D$8,0))+IF(Capex!$F$9="Y",IF($A420+Capex!$D$9-1&gt;=Y$2,Book!$R$114/Capex!$D$9,0))+IF(Capex!$F$10="Y",IF($A420+Capex!$D$10-1&gt;=Y$2,Book!$R$150/Capex!$D$10,0))+IF(Capex!$F$11="Y",IF($A420+Capex!$D$11-1&gt;=Y$2,Book!$R$186/Capex!$D$11,0))+IF(Capex!$F$12="Y",IF($A420+Capex!$D$12-1&gt;=Y$2,Book!$R$222/Capex!$D$12,0))+IF(Capex!$F$13="Y",IF($A420+Capex!$D$13-1&gt;=Y$2,Book!$R$258/Capex!$D$13,0))+IF(Capex!$F$14="Y",IF($A420+Capex!$D$14-1&gt;=Y$2,Book!$R$14/Capex!$D$255,0))+IF(Capex!$F$15="Y",IF($A420+Capex!$D$15-1&gt;=Y$2,Book!$R$330/Capex!$D$15,0)))*$R$401</f>
        <v>0</v>
      </c>
      <c r="Z420" s="4">
        <f>(IF(Capex!$F$6="Y",IF($A420+Capex!$D$6-1&gt;=Z$2,Book!$R$6/Capex!$D$6,0))+IF(Capex!$F$7="Y",IF($A420+Capex!$D$7-1&gt;=Z$2,Book!$R$42/Capex!$D$7,0))+IF(Capex!$F$8="Y",IF($A420+Capex!$D$8-1&gt;=Z$2,Book!$R$78/Capex!$D$8,0))+IF(Capex!$F$9="Y",IF($A420+Capex!$D$9-1&gt;=Z$2,Book!$R$114/Capex!$D$9,0))+IF(Capex!$F$10="Y",IF($A420+Capex!$D$10-1&gt;=Z$2,Book!$R$150/Capex!$D$10,0))+IF(Capex!$F$11="Y",IF($A420+Capex!$D$11-1&gt;=Z$2,Book!$R$186/Capex!$D$11,0))+IF(Capex!$F$12="Y",IF($A420+Capex!$D$12-1&gt;=Z$2,Book!$R$222/Capex!$D$12,0))+IF(Capex!$F$13="Y",IF($A420+Capex!$D$13-1&gt;=Z$2,Book!$R$258/Capex!$D$13,0))+IF(Capex!$F$14="Y",IF($A420+Capex!$D$14-1&gt;=Z$2,Book!$R$14/Capex!$D$255,0))+IF(Capex!$F$15="Y",IF($A420+Capex!$D$15-1&gt;=Z$2,Book!$R$330/Capex!$D$15,0)))*$R$401</f>
        <v>0</v>
      </c>
      <c r="AA420" s="4">
        <f>(IF(Capex!$F$6="Y",IF($A420+Capex!$D$6-1&gt;=AA$2,Book!$R$6/Capex!$D$6,0))+IF(Capex!$F$7="Y",IF($A420+Capex!$D$7-1&gt;=AA$2,Book!$R$42/Capex!$D$7,0))+IF(Capex!$F$8="Y",IF($A420+Capex!$D$8-1&gt;=AA$2,Book!$R$78/Capex!$D$8,0))+IF(Capex!$F$9="Y",IF($A420+Capex!$D$9-1&gt;=AA$2,Book!$R$114/Capex!$D$9,0))+IF(Capex!$F$10="Y",IF($A420+Capex!$D$10-1&gt;=AA$2,Book!$R$150/Capex!$D$10,0))+IF(Capex!$F$11="Y",IF($A420+Capex!$D$11-1&gt;=AA$2,Book!$R$186/Capex!$D$11,0))+IF(Capex!$F$12="Y",IF($A420+Capex!$D$12-1&gt;=AA$2,Book!$R$222/Capex!$D$12,0))+IF(Capex!$F$13="Y",IF($A420+Capex!$D$13-1&gt;=AA$2,Book!$R$258/Capex!$D$13,0))+IF(Capex!$F$14="Y",IF($A420+Capex!$D$14-1&gt;=AA$2,Book!$R$14/Capex!$D$255,0))+IF(Capex!$F$15="Y",IF($A420+Capex!$D$15-1&gt;=AA$2,Book!$R$330/Capex!$D$15,0)))*$R$401</f>
        <v>0</v>
      </c>
      <c r="AB420" s="4">
        <f>(IF(Capex!$F$6="Y",IF($A420+Capex!$D$6-1&gt;=AB$2,Book!$R$6/Capex!$D$6,0))+IF(Capex!$F$7="Y",IF($A420+Capex!$D$7-1&gt;=AB$2,Book!$R$42/Capex!$D$7,0))+IF(Capex!$F$8="Y",IF($A420+Capex!$D$8-1&gt;=AB$2,Book!$R$78/Capex!$D$8,0))+IF(Capex!$F$9="Y",IF($A420+Capex!$D$9-1&gt;=AB$2,Book!$R$114/Capex!$D$9,0))+IF(Capex!$F$10="Y",IF($A420+Capex!$D$10-1&gt;=AB$2,Book!$R$150/Capex!$D$10,0))+IF(Capex!$F$11="Y",IF($A420+Capex!$D$11-1&gt;=AB$2,Book!$R$186/Capex!$D$11,0))+IF(Capex!$F$12="Y",IF($A420+Capex!$D$12-1&gt;=AB$2,Book!$R$222/Capex!$D$12,0))+IF(Capex!$F$13="Y",IF($A420+Capex!$D$13-1&gt;=AB$2,Book!$R$258/Capex!$D$13,0))+IF(Capex!$F$14="Y",IF($A420+Capex!$D$14-1&gt;=AB$2,Book!$R$14/Capex!$D$255,0))+IF(Capex!$F$15="Y",IF($A420+Capex!$D$15-1&gt;=AB$2,Book!$R$330/Capex!$D$15,0)))*$R$401</f>
        <v>0</v>
      </c>
      <c r="AC420" s="4">
        <f>(IF(Capex!$F$6="Y",IF($A420+Capex!$D$6-1&gt;=AC$2,Book!$R$6/Capex!$D$6,0))+IF(Capex!$F$7="Y",IF($A420+Capex!$D$7-1&gt;=AC$2,Book!$R$42/Capex!$D$7,0))+IF(Capex!$F$8="Y",IF($A420+Capex!$D$8-1&gt;=AC$2,Book!$R$78/Capex!$D$8,0))+IF(Capex!$F$9="Y",IF($A420+Capex!$D$9-1&gt;=AC$2,Book!$R$114/Capex!$D$9,0))+IF(Capex!$F$10="Y",IF($A420+Capex!$D$10-1&gt;=AC$2,Book!$R$150/Capex!$D$10,0))+IF(Capex!$F$11="Y",IF($A420+Capex!$D$11-1&gt;=AC$2,Book!$R$186/Capex!$D$11,0))+IF(Capex!$F$12="Y",IF($A420+Capex!$D$12-1&gt;=AC$2,Book!$R$222/Capex!$D$12,0))+IF(Capex!$F$13="Y",IF($A420+Capex!$D$13-1&gt;=AC$2,Book!$R$258/Capex!$D$13,0))+IF(Capex!$F$14="Y",IF($A420+Capex!$D$14-1&gt;=AC$2,Book!$R$14/Capex!$D$255,0))+IF(Capex!$F$15="Y",IF($A420+Capex!$D$15-1&gt;=AC$2,Book!$R$330/Capex!$D$15,0)))*$R$401</f>
        <v>0</v>
      </c>
      <c r="AD420" s="4">
        <f>(IF(Capex!$F$6="Y",IF($A420+Capex!$D$6-1&gt;=AD$2,Book!$R$6/Capex!$D$6,0))+IF(Capex!$F$7="Y",IF($A420+Capex!$D$7-1&gt;=AD$2,Book!$R$42/Capex!$D$7,0))+IF(Capex!$F$8="Y",IF($A420+Capex!$D$8-1&gt;=AD$2,Book!$R$78/Capex!$D$8,0))+IF(Capex!$F$9="Y",IF($A420+Capex!$D$9-1&gt;=AD$2,Book!$R$114/Capex!$D$9,0))+IF(Capex!$F$10="Y",IF($A420+Capex!$D$10-1&gt;=AD$2,Book!$R$150/Capex!$D$10,0))+IF(Capex!$F$11="Y",IF($A420+Capex!$D$11-1&gt;=AD$2,Book!$R$186/Capex!$D$11,0))+IF(Capex!$F$12="Y",IF($A420+Capex!$D$12-1&gt;=AD$2,Book!$R$222/Capex!$D$12,0))+IF(Capex!$F$13="Y",IF($A420+Capex!$D$13-1&gt;=AD$2,Book!$R$258/Capex!$D$13,0))+IF(Capex!$F$14="Y",IF($A420+Capex!$D$14-1&gt;=AD$2,Book!$R$14/Capex!$D$255,0))+IF(Capex!$F$15="Y",IF($A420+Capex!$D$15-1&gt;=AD$2,Book!$R$330/Capex!$D$15,0)))*$R$401</f>
        <v>0</v>
      </c>
      <c r="AE420" s="4">
        <f>(IF(Capex!$F$6="Y",IF($A420+Capex!$D$6-1&gt;=AE$2,Book!$R$6/Capex!$D$6,0))+IF(Capex!$F$7="Y",IF($A420+Capex!$D$7-1&gt;=AE$2,Book!$R$42/Capex!$D$7,0))+IF(Capex!$F$8="Y",IF($A420+Capex!$D$8-1&gt;=AE$2,Book!$R$78/Capex!$D$8,0))+IF(Capex!$F$9="Y",IF($A420+Capex!$D$9-1&gt;=AE$2,Book!$R$114/Capex!$D$9,0))+IF(Capex!$F$10="Y",IF($A420+Capex!$D$10-1&gt;=AE$2,Book!$R$150/Capex!$D$10,0))+IF(Capex!$F$11="Y",IF($A420+Capex!$D$11-1&gt;=AE$2,Book!$R$186/Capex!$D$11,0))+IF(Capex!$F$12="Y",IF($A420+Capex!$D$12-1&gt;=AE$2,Book!$R$222/Capex!$D$12,0))+IF(Capex!$F$13="Y",IF($A420+Capex!$D$13-1&gt;=AE$2,Book!$R$258/Capex!$D$13,0))+IF(Capex!$F$14="Y",IF($A420+Capex!$D$14-1&gt;=AE$2,Book!$R$14/Capex!$D$255,0))+IF(Capex!$F$15="Y",IF($A420+Capex!$D$15-1&gt;=AE$2,Book!$R$330/Capex!$D$15,0)))*$R$401</f>
        <v>0</v>
      </c>
      <c r="AF420" s="4">
        <f>(IF(Capex!$F$6="Y",IF($A420+Capex!$D$6-1&gt;=AF$2,Book!$R$6/Capex!$D$6,0))+IF(Capex!$F$7="Y",IF($A420+Capex!$D$7-1&gt;=AF$2,Book!$R$42/Capex!$D$7,0))+IF(Capex!$F$8="Y",IF($A420+Capex!$D$8-1&gt;=AF$2,Book!$R$78/Capex!$D$8,0))+IF(Capex!$F$9="Y",IF($A420+Capex!$D$9-1&gt;=AF$2,Book!$R$114/Capex!$D$9,0))+IF(Capex!$F$10="Y",IF($A420+Capex!$D$10-1&gt;=AF$2,Book!$R$150/Capex!$D$10,0))+IF(Capex!$F$11="Y",IF($A420+Capex!$D$11-1&gt;=AF$2,Book!$R$186/Capex!$D$11,0))+IF(Capex!$F$12="Y",IF($A420+Capex!$D$12-1&gt;=AF$2,Book!$R$222/Capex!$D$12,0))+IF(Capex!$F$13="Y",IF($A420+Capex!$D$13-1&gt;=AF$2,Book!$R$258/Capex!$D$13,0))+IF(Capex!$F$14="Y",IF($A420+Capex!$D$14-1&gt;=AF$2,Book!$R$14/Capex!$D$255,0))+IF(Capex!$F$15="Y",IF($A420+Capex!$D$15-1&gt;=AF$2,Book!$R$330/Capex!$D$15,0)))*$R$401</f>
        <v>0</v>
      </c>
      <c r="AG420" s="4">
        <f t="shared" si="130"/>
        <v>0</v>
      </c>
      <c r="AH420" s="252">
        <f t="shared" si="132"/>
        <v>0</v>
      </c>
    </row>
    <row r="421" spans="1:34">
      <c r="A421" s="718">
        <f t="shared" si="129"/>
        <v>2038</v>
      </c>
      <c r="B421" s="4">
        <f t="shared" si="131"/>
        <v>0</v>
      </c>
      <c r="S421" s="4">
        <f>(IF(Capex!$F$6="Y",IF($A421+Capex!$D$6-1&gt;=S$2,Book!$S$6/Capex!$D$6,0))+IF(Capex!$F$7="Y",IF($A421+Capex!$D$7-1&gt;=S$2,Book!$S$42/Capex!$D$7,0))+IF(Capex!$F$8="Y",IF($A421+Capex!$D$8-1&gt;=S$2,Book!$S$78/Capex!$D$8,0))+IF(Capex!$F$9="Y",IF($A421+Capex!$D$9-1&gt;=S$2,Book!$S$114/Capex!$D$9,0))+IF(Capex!$F$10="Y",IF($A421+Capex!$D$10-1&gt;=S$2,Book!$S$150/Capex!$D$10,0))+IF(Capex!$F$11="Y",IF($A421+Capex!$D$11-1&gt;=S$2,Book!$S$186/Capex!$D$11,0))+IF(Capex!$F$12="Y",IF($A421+Capex!$D$12-1&gt;=S$2,Book!$S$222/Capex!$D$12,0))+IF(Capex!$F$13="Y",IF($A421+Capex!$D$13-1&gt;=S$2,Book!$S$258/Capex!$D$13,0))+IF(Capex!$F$14="Y",IF($A421+Capex!$D$14-1&gt;=S$2,Book!$S$14/Capex!$D$255,0))+IF(Capex!$F$15="Y",IF($A421+Capex!$D$15-1&gt;=S$2,Book!$S$330/Capex!$D$15,0)))*$S$401</f>
        <v>0</v>
      </c>
      <c r="T421" s="4">
        <f>(IF(Capex!$F$6="Y",IF($A421+Capex!$D$6-1&gt;=T$2,Book!$S$6/Capex!$D$6,0))+IF(Capex!$F$7="Y",IF($A421+Capex!$D$7-1&gt;=T$2,Book!$S$42/Capex!$D$7,0))+IF(Capex!$F$8="Y",IF($A421+Capex!$D$8-1&gt;=T$2,Book!$S$78/Capex!$D$8,0))+IF(Capex!$F$9="Y",IF($A421+Capex!$D$9-1&gt;=T$2,Book!$S$114/Capex!$D$9,0))+IF(Capex!$F$10="Y",IF($A421+Capex!$D$10-1&gt;=T$2,Book!$S$150/Capex!$D$10,0))+IF(Capex!$F$11="Y",IF($A421+Capex!$D$11-1&gt;=T$2,Book!$S$186/Capex!$D$11,0))+IF(Capex!$F$12="Y",IF($A421+Capex!$D$12-1&gt;=T$2,Book!$S$222/Capex!$D$12,0))+IF(Capex!$F$13="Y",IF($A421+Capex!$D$13-1&gt;=T$2,Book!$S$258/Capex!$D$13,0))+IF(Capex!$F$14="Y",IF($A421+Capex!$D$14-1&gt;=T$2,Book!$S$14/Capex!$D$255,0))+IF(Capex!$F$15="Y",IF($A421+Capex!$D$15-1&gt;=T$2,Book!$S$330/Capex!$D$15,0)))*$S$401</f>
        <v>0</v>
      </c>
      <c r="U421" s="4">
        <f>(IF(Capex!$F$6="Y",IF($A421+Capex!$D$6-1&gt;=U$2,Book!$S$6/Capex!$D$6,0))+IF(Capex!$F$7="Y",IF($A421+Capex!$D$7-1&gt;=U$2,Book!$S$42/Capex!$D$7,0))+IF(Capex!$F$8="Y",IF($A421+Capex!$D$8-1&gt;=U$2,Book!$S$78/Capex!$D$8,0))+IF(Capex!$F$9="Y",IF($A421+Capex!$D$9-1&gt;=U$2,Book!$S$114/Capex!$D$9,0))+IF(Capex!$F$10="Y",IF($A421+Capex!$D$10-1&gt;=U$2,Book!$S$150/Capex!$D$10,0))+IF(Capex!$F$11="Y",IF($A421+Capex!$D$11-1&gt;=U$2,Book!$S$186/Capex!$D$11,0))+IF(Capex!$F$12="Y",IF($A421+Capex!$D$12-1&gt;=U$2,Book!$S$222/Capex!$D$12,0))+IF(Capex!$F$13="Y",IF($A421+Capex!$D$13-1&gt;=U$2,Book!$S$258/Capex!$D$13,0))+IF(Capex!$F$14="Y",IF($A421+Capex!$D$14-1&gt;=U$2,Book!$S$14/Capex!$D$255,0))+IF(Capex!$F$15="Y",IF($A421+Capex!$D$15-1&gt;=U$2,Book!$S$330/Capex!$D$15,0)))*$S$401</f>
        <v>0</v>
      </c>
      <c r="V421" s="4">
        <f>(IF(Capex!$F$6="Y",IF($A421+Capex!$D$6-1&gt;=V$2,Book!$S$6/Capex!$D$6,0))+IF(Capex!$F$7="Y",IF($A421+Capex!$D$7-1&gt;=V$2,Book!$S$42/Capex!$D$7,0))+IF(Capex!$F$8="Y",IF($A421+Capex!$D$8-1&gt;=V$2,Book!$S$78/Capex!$D$8,0))+IF(Capex!$F$9="Y",IF($A421+Capex!$D$9-1&gt;=V$2,Book!$S$114/Capex!$D$9,0))+IF(Capex!$F$10="Y",IF($A421+Capex!$D$10-1&gt;=V$2,Book!$S$150/Capex!$D$10,0))+IF(Capex!$F$11="Y",IF($A421+Capex!$D$11-1&gt;=V$2,Book!$S$186/Capex!$D$11,0))+IF(Capex!$F$12="Y",IF($A421+Capex!$D$12-1&gt;=V$2,Book!$S$222/Capex!$D$12,0))+IF(Capex!$F$13="Y",IF($A421+Capex!$D$13-1&gt;=V$2,Book!$S$258/Capex!$D$13,0))+IF(Capex!$F$14="Y",IF($A421+Capex!$D$14-1&gt;=V$2,Book!$S$14/Capex!$D$255,0))+IF(Capex!$F$15="Y",IF($A421+Capex!$D$15-1&gt;=V$2,Book!$S$330/Capex!$D$15,0)))*$S$401</f>
        <v>0</v>
      </c>
      <c r="W421" s="4">
        <f>(IF(Capex!$F$6="Y",IF($A421+Capex!$D$6-1&gt;=W$2,Book!$S$6/Capex!$D$6,0))+IF(Capex!$F$7="Y",IF($A421+Capex!$D$7-1&gt;=W$2,Book!$S$42/Capex!$D$7,0))+IF(Capex!$F$8="Y",IF($A421+Capex!$D$8-1&gt;=W$2,Book!$S$78/Capex!$D$8,0))+IF(Capex!$F$9="Y",IF($A421+Capex!$D$9-1&gt;=W$2,Book!$S$114/Capex!$D$9,0))+IF(Capex!$F$10="Y",IF($A421+Capex!$D$10-1&gt;=W$2,Book!$S$150/Capex!$D$10,0))+IF(Capex!$F$11="Y",IF($A421+Capex!$D$11-1&gt;=W$2,Book!$S$186/Capex!$D$11,0))+IF(Capex!$F$12="Y",IF($A421+Capex!$D$12-1&gt;=W$2,Book!$S$222/Capex!$D$12,0))+IF(Capex!$F$13="Y",IF($A421+Capex!$D$13-1&gt;=W$2,Book!$S$258/Capex!$D$13,0))+IF(Capex!$F$14="Y",IF($A421+Capex!$D$14-1&gt;=W$2,Book!$S$14/Capex!$D$255,0))+IF(Capex!$F$15="Y",IF($A421+Capex!$D$15-1&gt;=W$2,Book!$S$330/Capex!$D$15,0)))*$S$401</f>
        <v>0</v>
      </c>
      <c r="X421" s="4">
        <f>(IF(Capex!$F$6="Y",IF($A421+Capex!$D$6-1&gt;=X$2,Book!$S$6/Capex!$D$6,0))+IF(Capex!$F$7="Y",IF($A421+Capex!$D$7-1&gt;=X$2,Book!$S$42/Capex!$D$7,0))+IF(Capex!$F$8="Y",IF($A421+Capex!$D$8-1&gt;=X$2,Book!$S$78/Capex!$D$8,0))+IF(Capex!$F$9="Y",IF($A421+Capex!$D$9-1&gt;=X$2,Book!$S$114/Capex!$D$9,0))+IF(Capex!$F$10="Y",IF($A421+Capex!$D$10-1&gt;=X$2,Book!$S$150/Capex!$D$10,0))+IF(Capex!$F$11="Y",IF($A421+Capex!$D$11-1&gt;=X$2,Book!$S$186/Capex!$D$11,0))+IF(Capex!$F$12="Y",IF($A421+Capex!$D$12-1&gt;=X$2,Book!$S$222/Capex!$D$12,0))+IF(Capex!$F$13="Y",IF($A421+Capex!$D$13-1&gt;=X$2,Book!$S$258/Capex!$D$13,0))+IF(Capex!$F$14="Y",IF($A421+Capex!$D$14-1&gt;=X$2,Book!$S$14/Capex!$D$255,0))+IF(Capex!$F$15="Y",IF($A421+Capex!$D$15-1&gt;=X$2,Book!$S$330/Capex!$D$15,0)))*$S$401</f>
        <v>0</v>
      </c>
      <c r="Y421" s="4">
        <f>(IF(Capex!$F$6="Y",IF($A421+Capex!$D$6-1&gt;=Y$2,Book!$S$6/Capex!$D$6,0))+IF(Capex!$F$7="Y",IF($A421+Capex!$D$7-1&gt;=Y$2,Book!$S$42/Capex!$D$7,0))+IF(Capex!$F$8="Y",IF($A421+Capex!$D$8-1&gt;=Y$2,Book!$S$78/Capex!$D$8,0))+IF(Capex!$F$9="Y",IF($A421+Capex!$D$9-1&gt;=Y$2,Book!$S$114/Capex!$D$9,0))+IF(Capex!$F$10="Y",IF($A421+Capex!$D$10-1&gt;=Y$2,Book!$S$150/Capex!$D$10,0))+IF(Capex!$F$11="Y",IF($A421+Capex!$D$11-1&gt;=Y$2,Book!$S$186/Capex!$D$11,0))+IF(Capex!$F$12="Y",IF($A421+Capex!$D$12-1&gt;=Y$2,Book!$S$222/Capex!$D$12,0))+IF(Capex!$F$13="Y",IF($A421+Capex!$D$13-1&gt;=Y$2,Book!$S$258/Capex!$D$13,0))+IF(Capex!$F$14="Y",IF($A421+Capex!$D$14-1&gt;=Y$2,Book!$S$14/Capex!$D$255,0))+IF(Capex!$F$15="Y",IF($A421+Capex!$D$15-1&gt;=Y$2,Book!$S$330/Capex!$D$15,0)))*$S$401</f>
        <v>0</v>
      </c>
      <c r="Z421" s="4">
        <f>(IF(Capex!$F$6="Y",IF($A421+Capex!$D$6-1&gt;=Z$2,Book!$S$6/Capex!$D$6,0))+IF(Capex!$F$7="Y",IF($A421+Capex!$D$7-1&gt;=Z$2,Book!$S$42/Capex!$D$7,0))+IF(Capex!$F$8="Y",IF($A421+Capex!$D$8-1&gt;=Z$2,Book!$S$78/Capex!$D$8,0))+IF(Capex!$F$9="Y",IF($A421+Capex!$D$9-1&gt;=Z$2,Book!$S$114/Capex!$D$9,0))+IF(Capex!$F$10="Y",IF($A421+Capex!$D$10-1&gt;=Z$2,Book!$S$150/Capex!$D$10,0))+IF(Capex!$F$11="Y",IF($A421+Capex!$D$11-1&gt;=Z$2,Book!$S$186/Capex!$D$11,0))+IF(Capex!$F$12="Y",IF($A421+Capex!$D$12-1&gt;=Z$2,Book!$S$222/Capex!$D$12,0))+IF(Capex!$F$13="Y",IF($A421+Capex!$D$13-1&gt;=Z$2,Book!$S$258/Capex!$D$13,0))+IF(Capex!$F$14="Y",IF($A421+Capex!$D$14-1&gt;=Z$2,Book!$S$14/Capex!$D$255,0))+IF(Capex!$F$15="Y",IF($A421+Capex!$D$15-1&gt;=Z$2,Book!$S$330/Capex!$D$15,0)))*$S$401</f>
        <v>0</v>
      </c>
      <c r="AA421" s="4">
        <f>(IF(Capex!$F$6="Y",IF($A421+Capex!$D$6-1&gt;=AA$2,Book!$S$6/Capex!$D$6,0))+IF(Capex!$F$7="Y",IF($A421+Capex!$D$7-1&gt;=AA$2,Book!$S$42/Capex!$D$7,0))+IF(Capex!$F$8="Y",IF($A421+Capex!$D$8-1&gt;=AA$2,Book!$S$78/Capex!$D$8,0))+IF(Capex!$F$9="Y",IF($A421+Capex!$D$9-1&gt;=AA$2,Book!$S$114/Capex!$D$9,0))+IF(Capex!$F$10="Y",IF($A421+Capex!$D$10-1&gt;=AA$2,Book!$S$150/Capex!$D$10,0))+IF(Capex!$F$11="Y",IF($A421+Capex!$D$11-1&gt;=AA$2,Book!$S$186/Capex!$D$11,0))+IF(Capex!$F$12="Y",IF($A421+Capex!$D$12-1&gt;=AA$2,Book!$S$222/Capex!$D$12,0))+IF(Capex!$F$13="Y",IF($A421+Capex!$D$13-1&gt;=AA$2,Book!$S$258/Capex!$D$13,0))+IF(Capex!$F$14="Y",IF($A421+Capex!$D$14-1&gt;=AA$2,Book!$S$14/Capex!$D$255,0))+IF(Capex!$F$15="Y",IF($A421+Capex!$D$15-1&gt;=AA$2,Book!$S$330/Capex!$D$15,0)))*$S$401</f>
        <v>0</v>
      </c>
      <c r="AB421" s="4">
        <f>(IF(Capex!$F$6="Y",IF($A421+Capex!$D$6-1&gt;=AB$2,Book!$S$6/Capex!$D$6,0))+IF(Capex!$F$7="Y",IF($A421+Capex!$D$7-1&gt;=AB$2,Book!$S$42/Capex!$D$7,0))+IF(Capex!$F$8="Y",IF($A421+Capex!$D$8-1&gt;=AB$2,Book!$S$78/Capex!$D$8,0))+IF(Capex!$F$9="Y",IF($A421+Capex!$D$9-1&gt;=AB$2,Book!$S$114/Capex!$D$9,0))+IF(Capex!$F$10="Y",IF($A421+Capex!$D$10-1&gt;=AB$2,Book!$S$150/Capex!$D$10,0))+IF(Capex!$F$11="Y",IF($A421+Capex!$D$11-1&gt;=AB$2,Book!$S$186/Capex!$D$11,0))+IF(Capex!$F$12="Y",IF($A421+Capex!$D$12-1&gt;=AB$2,Book!$S$222/Capex!$D$12,0))+IF(Capex!$F$13="Y",IF($A421+Capex!$D$13-1&gt;=AB$2,Book!$S$258/Capex!$D$13,0))+IF(Capex!$F$14="Y",IF($A421+Capex!$D$14-1&gt;=AB$2,Book!$S$14/Capex!$D$255,0))+IF(Capex!$F$15="Y",IF($A421+Capex!$D$15-1&gt;=AB$2,Book!$S$330/Capex!$D$15,0)))*$S$401</f>
        <v>0</v>
      </c>
      <c r="AC421" s="4">
        <f>(IF(Capex!$F$6="Y",IF($A421+Capex!$D$6-1&gt;=AC$2,Book!$S$6/Capex!$D$6,0))+IF(Capex!$F$7="Y",IF($A421+Capex!$D$7-1&gt;=AC$2,Book!$S$42/Capex!$D$7,0))+IF(Capex!$F$8="Y",IF($A421+Capex!$D$8-1&gt;=AC$2,Book!$S$78/Capex!$D$8,0))+IF(Capex!$F$9="Y",IF($A421+Capex!$D$9-1&gt;=AC$2,Book!$S$114/Capex!$D$9,0))+IF(Capex!$F$10="Y",IF($A421+Capex!$D$10-1&gt;=AC$2,Book!$S$150/Capex!$D$10,0))+IF(Capex!$F$11="Y",IF($A421+Capex!$D$11-1&gt;=AC$2,Book!$S$186/Capex!$D$11,0))+IF(Capex!$F$12="Y",IF($A421+Capex!$D$12-1&gt;=AC$2,Book!$S$222/Capex!$D$12,0))+IF(Capex!$F$13="Y",IF($A421+Capex!$D$13-1&gt;=AC$2,Book!$S$258/Capex!$D$13,0))+IF(Capex!$F$14="Y",IF($A421+Capex!$D$14-1&gt;=AC$2,Book!$S$14/Capex!$D$255,0))+IF(Capex!$F$15="Y",IF($A421+Capex!$D$15-1&gt;=AC$2,Book!$S$330/Capex!$D$15,0)))*$S$401</f>
        <v>0</v>
      </c>
      <c r="AD421" s="4">
        <f>(IF(Capex!$F$6="Y",IF($A421+Capex!$D$6-1&gt;=AD$2,Book!$S$6/Capex!$D$6,0))+IF(Capex!$F$7="Y",IF($A421+Capex!$D$7-1&gt;=AD$2,Book!$S$42/Capex!$D$7,0))+IF(Capex!$F$8="Y",IF($A421+Capex!$D$8-1&gt;=AD$2,Book!$S$78/Capex!$D$8,0))+IF(Capex!$F$9="Y",IF($A421+Capex!$D$9-1&gt;=AD$2,Book!$S$114/Capex!$D$9,0))+IF(Capex!$F$10="Y",IF($A421+Capex!$D$10-1&gt;=AD$2,Book!$S$150/Capex!$D$10,0))+IF(Capex!$F$11="Y",IF($A421+Capex!$D$11-1&gt;=AD$2,Book!$S$186/Capex!$D$11,0))+IF(Capex!$F$12="Y",IF($A421+Capex!$D$12-1&gt;=AD$2,Book!$S$222/Capex!$D$12,0))+IF(Capex!$F$13="Y",IF($A421+Capex!$D$13-1&gt;=AD$2,Book!$S$258/Capex!$D$13,0))+IF(Capex!$F$14="Y",IF($A421+Capex!$D$14-1&gt;=AD$2,Book!$S$14/Capex!$D$255,0))+IF(Capex!$F$15="Y",IF($A421+Capex!$D$15-1&gt;=AD$2,Book!$S$330/Capex!$D$15,0)))*$S$401</f>
        <v>0</v>
      </c>
      <c r="AE421" s="4">
        <f>(IF(Capex!$F$6="Y",IF($A421+Capex!$D$6-1&gt;=AE$2,Book!$S$6/Capex!$D$6,0))+IF(Capex!$F$7="Y",IF($A421+Capex!$D$7-1&gt;=AE$2,Book!$S$42/Capex!$D$7,0))+IF(Capex!$F$8="Y",IF($A421+Capex!$D$8-1&gt;=AE$2,Book!$S$78/Capex!$D$8,0))+IF(Capex!$F$9="Y",IF($A421+Capex!$D$9-1&gt;=AE$2,Book!$S$114/Capex!$D$9,0))+IF(Capex!$F$10="Y",IF($A421+Capex!$D$10-1&gt;=AE$2,Book!$S$150/Capex!$D$10,0))+IF(Capex!$F$11="Y",IF($A421+Capex!$D$11-1&gt;=AE$2,Book!$S$186/Capex!$D$11,0))+IF(Capex!$F$12="Y",IF($A421+Capex!$D$12-1&gt;=AE$2,Book!$S$222/Capex!$D$12,0))+IF(Capex!$F$13="Y",IF($A421+Capex!$D$13-1&gt;=AE$2,Book!$S$258/Capex!$D$13,0))+IF(Capex!$F$14="Y",IF($A421+Capex!$D$14-1&gt;=AE$2,Book!$S$14/Capex!$D$255,0))+IF(Capex!$F$15="Y",IF($A421+Capex!$D$15-1&gt;=AE$2,Book!$S$330/Capex!$D$15,0)))*$S$401</f>
        <v>0</v>
      </c>
      <c r="AF421" s="4">
        <f>(IF(Capex!$F$6="Y",IF($A421+Capex!$D$6-1&gt;=AF$2,Book!$S$6/Capex!$D$6,0))+IF(Capex!$F$7="Y",IF($A421+Capex!$D$7-1&gt;=AF$2,Book!$S$42/Capex!$D$7,0))+IF(Capex!$F$8="Y",IF($A421+Capex!$D$8-1&gt;=AF$2,Book!$S$78/Capex!$D$8,0))+IF(Capex!$F$9="Y",IF($A421+Capex!$D$9-1&gt;=AF$2,Book!$S$114/Capex!$D$9,0))+IF(Capex!$F$10="Y",IF($A421+Capex!$D$10-1&gt;=AF$2,Book!$S$150/Capex!$D$10,0))+IF(Capex!$F$11="Y",IF($A421+Capex!$D$11-1&gt;=AF$2,Book!$S$186/Capex!$D$11,0))+IF(Capex!$F$12="Y",IF($A421+Capex!$D$12-1&gt;=AF$2,Book!$S$222/Capex!$D$12,0))+IF(Capex!$F$13="Y",IF($A421+Capex!$D$13-1&gt;=AF$2,Book!$S$258/Capex!$D$13,0))+IF(Capex!$F$14="Y",IF($A421+Capex!$D$14-1&gt;=AF$2,Book!$S$14/Capex!$D$255,0))+IF(Capex!$F$15="Y",IF($A421+Capex!$D$15-1&gt;=AF$2,Book!$S$330/Capex!$D$15,0)))*$S$401</f>
        <v>0</v>
      </c>
      <c r="AG421" s="4">
        <f t="shared" si="130"/>
        <v>0</v>
      </c>
      <c r="AH421" s="252">
        <f t="shared" si="132"/>
        <v>0</v>
      </c>
    </row>
    <row r="422" spans="1:34">
      <c r="A422" s="718">
        <f t="shared" si="129"/>
        <v>2039</v>
      </c>
      <c r="B422" s="4">
        <f t="shared" si="131"/>
        <v>0</v>
      </c>
      <c r="T422" s="4">
        <f>(IF(Capex!$F$6="Y",IF($A422+Capex!$D$6-1&gt;=T$2,Book!$T$6/Capex!$D$6,0))+IF(Capex!$F$7="Y",IF($A422+Capex!$D$7-1&gt;=T$2,Book!$T$42/Capex!$D$7,0))+IF(Capex!$F$8="Y",IF($A422+Capex!$D$8-1&gt;=T$2,Book!$T$78/Capex!$D$8,0))+IF(Capex!$F$9="Y",IF($A422+Capex!$D$9-1&gt;=T$2,Book!$T$114/Capex!$D$9,0))+IF(Capex!$F$10="Y",IF($A422+Capex!$D$10-1&gt;=T$2,Book!$T$150/Capex!$D$10,0))+IF(Capex!$F$11="Y",IF($A422+Capex!$D$11-1&gt;=T$2,Book!$T$186/Capex!$D$11,0))+IF(Capex!$F$12="Y",IF($A422+Capex!$D$12-1&gt;=T$2,Book!$T$222/Capex!$D$12,0))+IF(Capex!$F$13="Y",IF($A422+Capex!$D$13-1&gt;=T$2,Book!$T$258/Capex!$D$13,0))+IF(Capex!$F$14="Y",IF($A422+Capex!$D$14-1&gt;=T$2,Book!$T$14/Capex!$D$255,0))+IF(Capex!$F$15="Y",IF($A422+Capex!$D$15-1&gt;=T$2,Book!$T$330/Capex!$D$15,0)))*$T$401</f>
        <v>0</v>
      </c>
      <c r="U422" s="4">
        <f>(IF(Capex!$F$6="Y",IF($A422+Capex!$D$6-1&gt;=U$2,Book!$T$6/Capex!$D$6,0))+IF(Capex!$F$7="Y",IF($A422+Capex!$D$7-1&gt;=U$2,Book!$T$42/Capex!$D$7,0))+IF(Capex!$F$8="Y",IF($A422+Capex!$D$8-1&gt;=U$2,Book!$T$78/Capex!$D$8,0))+IF(Capex!$F$9="Y",IF($A422+Capex!$D$9-1&gt;=U$2,Book!$T$114/Capex!$D$9,0))+IF(Capex!$F$10="Y",IF($A422+Capex!$D$10-1&gt;=U$2,Book!$T$150/Capex!$D$10,0))+IF(Capex!$F$11="Y",IF($A422+Capex!$D$11-1&gt;=U$2,Book!$T$186/Capex!$D$11,0))+IF(Capex!$F$12="Y",IF($A422+Capex!$D$12-1&gt;=U$2,Book!$T$222/Capex!$D$12,0))+IF(Capex!$F$13="Y",IF($A422+Capex!$D$13-1&gt;=U$2,Book!$T$258/Capex!$D$13,0))+IF(Capex!$F$14="Y",IF($A422+Capex!$D$14-1&gt;=U$2,Book!$T$14/Capex!$D$255,0))+IF(Capex!$F$15="Y",IF($A422+Capex!$D$15-1&gt;=U$2,Book!$T$330/Capex!$D$15,0)))*$T$401</f>
        <v>0</v>
      </c>
      <c r="V422" s="4">
        <f>(IF(Capex!$F$6="Y",IF($A422+Capex!$D$6-1&gt;=V$2,Book!$T$6/Capex!$D$6,0))+IF(Capex!$F$7="Y",IF($A422+Capex!$D$7-1&gt;=V$2,Book!$T$42/Capex!$D$7,0))+IF(Capex!$F$8="Y",IF($A422+Capex!$D$8-1&gt;=V$2,Book!$T$78/Capex!$D$8,0))+IF(Capex!$F$9="Y",IF($A422+Capex!$D$9-1&gt;=V$2,Book!$T$114/Capex!$D$9,0))+IF(Capex!$F$10="Y",IF($A422+Capex!$D$10-1&gt;=V$2,Book!$T$150/Capex!$D$10,0))+IF(Capex!$F$11="Y",IF($A422+Capex!$D$11-1&gt;=V$2,Book!$T$186/Capex!$D$11,0))+IF(Capex!$F$12="Y",IF($A422+Capex!$D$12-1&gt;=V$2,Book!$T$222/Capex!$D$12,0))+IF(Capex!$F$13="Y",IF($A422+Capex!$D$13-1&gt;=V$2,Book!$T$258/Capex!$D$13,0))+IF(Capex!$F$14="Y",IF($A422+Capex!$D$14-1&gt;=V$2,Book!$T$14/Capex!$D$255,0))+IF(Capex!$F$15="Y",IF($A422+Capex!$D$15-1&gt;=V$2,Book!$T$330/Capex!$D$15,0)))*$T$401</f>
        <v>0</v>
      </c>
      <c r="W422" s="4">
        <f>(IF(Capex!$F$6="Y",IF($A422+Capex!$D$6-1&gt;=W$2,Book!$T$6/Capex!$D$6,0))+IF(Capex!$F$7="Y",IF($A422+Capex!$D$7-1&gt;=W$2,Book!$T$42/Capex!$D$7,0))+IF(Capex!$F$8="Y",IF($A422+Capex!$D$8-1&gt;=W$2,Book!$T$78/Capex!$D$8,0))+IF(Capex!$F$9="Y",IF($A422+Capex!$D$9-1&gt;=W$2,Book!$T$114/Capex!$D$9,0))+IF(Capex!$F$10="Y",IF($A422+Capex!$D$10-1&gt;=W$2,Book!$T$150/Capex!$D$10,0))+IF(Capex!$F$11="Y",IF($A422+Capex!$D$11-1&gt;=W$2,Book!$T$186/Capex!$D$11,0))+IF(Capex!$F$12="Y",IF($A422+Capex!$D$12-1&gt;=W$2,Book!$T$222/Capex!$D$12,0))+IF(Capex!$F$13="Y",IF($A422+Capex!$D$13-1&gt;=W$2,Book!$T$258/Capex!$D$13,0))+IF(Capex!$F$14="Y",IF($A422+Capex!$D$14-1&gt;=W$2,Book!$T$14/Capex!$D$255,0))+IF(Capex!$F$15="Y",IF($A422+Capex!$D$15-1&gt;=W$2,Book!$T$330/Capex!$D$15,0)))*$T$401</f>
        <v>0</v>
      </c>
      <c r="X422" s="4">
        <f>(IF(Capex!$F$6="Y",IF($A422+Capex!$D$6-1&gt;=X$2,Book!$T$6/Capex!$D$6,0))+IF(Capex!$F$7="Y",IF($A422+Capex!$D$7-1&gt;=X$2,Book!$T$42/Capex!$D$7,0))+IF(Capex!$F$8="Y",IF($A422+Capex!$D$8-1&gt;=X$2,Book!$T$78/Capex!$D$8,0))+IF(Capex!$F$9="Y",IF($A422+Capex!$D$9-1&gt;=X$2,Book!$T$114/Capex!$D$9,0))+IF(Capex!$F$10="Y",IF($A422+Capex!$D$10-1&gt;=X$2,Book!$T$150/Capex!$D$10,0))+IF(Capex!$F$11="Y",IF($A422+Capex!$D$11-1&gt;=X$2,Book!$T$186/Capex!$D$11,0))+IF(Capex!$F$12="Y",IF($A422+Capex!$D$12-1&gt;=X$2,Book!$T$222/Capex!$D$12,0))+IF(Capex!$F$13="Y",IF($A422+Capex!$D$13-1&gt;=X$2,Book!$T$258/Capex!$D$13,0))+IF(Capex!$F$14="Y",IF($A422+Capex!$D$14-1&gt;=X$2,Book!$T$14/Capex!$D$255,0))+IF(Capex!$F$15="Y",IF($A422+Capex!$D$15-1&gt;=X$2,Book!$T$330/Capex!$D$15,0)))*$T$401</f>
        <v>0</v>
      </c>
      <c r="Y422" s="4">
        <f>(IF(Capex!$F$6="Y",IF($A422+Capex!$D$6-1&gt;=Y$2,Book!$T$6/Capex!$D$6,0))+IF(Capex!$F$7="Y",IF($A422+Capex!$D$7-1&gt;=Y$2,Book!$T$42/Capex!$D$7,0))+IF(Capex!$F$8="Y",IF($A422+Capex!$D$8-1&gt;=Y$2,Book!$T$78/Capex!$D$8,0))+IF(Capex!$F$9="Y",IF($A422+Capex!$D$9-1&gt;=Y$2,Book!$T$114/Capex!$D$9,0))+IF(Capex!$F$10="Y",IF($A422+Capex!$D$10-1&gt;=Y$2,Book!$T$150/Capex!$D$10,0))+IF(Capex!$F$11="Y",IF($A422+Capex!$D$11-1&gt;=Y$2,Book!$T$186/Capex!$D$11,0))+IF(Capex!$F$12="Y",IF($A422+Capex!$D$12-1&gt;=Y$2,Book!$T$222/Capex!$D$12,0))+IF(Capex!$F$13="Y",IF($A422+Capex!$D$13-1&gt;=Y$2,Book!$T$258/Capex!$D$13,0))+IF(Capex!$F$14="Y",IF($A422+Capex!$D$14-1&gt;=Y$2,Book!$T$14/Capex!$D$255,0))+IF(Capex!$F$15="Y",IF($A422+Capex!$D$15-1&gt;=Y$2,Book!$T$330/Capex!$D$15,0)))*$T$401</f>
        <v>0</v>
      </c>
      <c r="Z422" s="4">
        <f>(IF(Capex!$F$6="Y",IF($A422+Capex!$D$6-1&gt;=Z$2,Book!$T$6/Capex!$D$6,0))+IF(Capex!$F$7="Y",IF($A422+Capex!$D$7-1&gt;=Z$2,Book!$T$42/Capex!$D$7,0))+IF(Capex!$F$8="Y",IF($A422+Capex!$D$8-1&gt;=Z$2,Book!$T$78/Capex!$D$8,0))+IF(Capex!$F$9="Y",IF($A422+Capex!$D$9-1&gt;=Z$2,Book!$T$114/Capex!$D$9,0))+IF(Capex!$F$10="Y",IF($A422+Capex!$D$10-1&gt;=Z$2,Book!$T$150/Capex!$D$10,0))+IF(Capex!$F$11="Y",IF($A422+Capex!$D$11-1&gt;=Z$2,Book!$T$186/Capex!$D$11,0))+IF(Capex!$F$12="Y",IF($A422+Capex!$D$12-1&gt;=Z$2,Book!$T$222/Capex!$D$12,0))+IF(Capex!$F$13="Y",IF($A422+Capex!$D$13-1&gt;=Z$2,Book!$T$258/Capex!$D$13,0))+IF(Capex!$F$14="Y",IF($A422+Capex!$D$14-1&gt;=Z$2,Book!$T$14/Capex!$D$255,0))+IF(Capex!$F$15="Y",IF($A422+Capex!$D$15-1&gt;=Z$2,Book!$T$330/Capex!$D$15,0)))*$T$401</f>
        <v>0</v>
      </c>
      <c r="AA422" s="4">
        <f>(IF(Capex!$F$6="Y",IF($A422+Capex!$D$6-1&gt;=AA$2,Book!$T$6/Capex!$D$6,0))+IF(Capex!$F$7="Y",IF($A422+Capex!$D$7-1&gt;=AA$2,Book!$T$42/Capex!$D$7,0))+IF(Capex!$F$8="Y",IF($A422+Capex!$D$8-1&gt;=AA$2,Book!$T$78/Capex!$D$8,0))+IF(Capex!$F$9="Y",IF($A422+Capex!$D$9-1&gt;=AA$2,Book!$T$114/Capex!$D$9,0))+IF(Capex!$F$10="Y",IF($A422+Capex!$D$10-1&gt;=AA$2,Book!$T$150/Capex!$D$10,0))+IF(Capex!$F$11="Y",IF($A422+Capex!$D$11-1&gt;=AA$2,Book!$T$186/Capex!$D$11,0))+IF(Capex!$F$12="Y",IF($A422+Capex!$D$12-1&gt;=AA$2,Book!$T$222/Capex!$D$12,0))+IF(Capex!$F$13="Y",IF($A422+Capex!$D$13-1&gt;=AA$2,Book!$T$258/Capex!$D$13,0))+IF(Capex!$F$14="Y",IF($A422+Capex!$D$14-1&gt;=AA$2,Book!$T$14/Capex!$D$255,0))+IF(Capex!$F$15="Y",IF($A422+Capex!$D$15-1&gt;=AA$2,Book!$T$330/Capex!$D$15,0)))*$T$401</f>
        <v>0</v>
      </c>
      <c r="AB422" s="4">
        <f>(IF(Capex!$F$6="Y",IF($A422+Capex!$D$6-1&gt;=AB$2,Book!$T$6/Capex!$D$6,0))+IF(Capex!$F$7="Y",IF($A422+Capex!$D$7-1&gt;=AB$2,Book!$T$42/Capex!$D$7,0))+IF(Capex!$F$8="Y",IF($A422+Capex!$D$8-1&gt;=AB$2,Book!$T$78/Capex!$D$8,0))+IF(Capex!$F$9="Y",IF($A422+Capex!$D$9-1&gt;=AB$2,Book!$T$114/Capex!$D$9,0))+IF(Capex!$F$10="Y",IF($A422+Capex!$D$10-1&gt;=AB$2,Book!$T$150/Capex!$D$10,0))+IF(Capex!$F$11="Y",IF($A422+Capex!$D$11-1&gt;=AB$2,Book!$T$186/Capex!$D$11,0))+IF(Capex!$F$12="Y",IF($A422+Capex!$D$12-1&gt;=AB$2,Book!$T$222/Capex!$D$12,0))+IF(Capex!$F$13="Y",IF($A422+Capex!$D$13-1&gt;=AB$2,Book!$T$258/Capex!$D$13,0))+IF(Capex!$F$14="Y",IF($A422+Capex!$D$14-1&gt;=AB$2,Book!$T$14/Capex!$D$255,0))+IF(Capex!$F$15="Y",IF($A422+Capex!$D$15-1&gt;=AB$2,Book!$T$330/Capex!$D$15,0)))*$T$401</f>
        <v>0</v>
      </c>
      <c r="AC422" s="4">
        <f>(IF(Capex!$F$6="Y",IF($A422+Capex!$D$6-1&gt;=AC$2,Book!$T$6/Capex!$D$6,0))+IF(Capex!$F$7="Y",IF($A422+Capex!$D$7-1&gt;=AC$2,Book!$T$42/Capex!$D$7,0))+IF(Capex!$F$8="Y",IF($A422+Capex!$D$8-1&gt;=AC$2,Book!$T$78/Capex!$D$8,0))+IF(Capex!$F$9="Y",IF($A422+Capex!$D$9-1&gt;=AC$2,Book!$T$114/Capex!$D$9,0))+IF(Capex!$F$10="Y",IF($A422+Capex!$D$10-1&gt;=AC$2,Book!$T$150/Capex!$D$10,0))+IF(Capex!$F$11="Y",IF($A422+Capex!$D$11-1&gt;=AC$2,Book!$T$186/Capex!$D$11,0))+IF(Capex!$F$12="Y",IF($A422+Capex!$D$12-1&gt;=AC$2,Book!$T$222/Capex!$D$12,0))+IF(Capex!$F$13="Y",IF($A422+Capex!$D$13-1&gt;=AC$2,Book!$T$258/Capex!$D$13,0))+IF(Capex!$F$14="Y",IF($A422+Capex!$D$14-1&gt;=AC$2,Book!$T$14/Capex!$D$255,0))+IF(Capex!$F$15="Y",IF($A422+Capex!$D$15-1&gt;=AC$2,Book!$T$330/Capex!$D$15,0)))*$T$401</f>
        <v>0</v>
      </c>
      <c r="AD422" s="4">
        <f>(IF(Capex!$F$6="Y",IF($A422+Capex!$D$6-1&gt;=AD$2,Book!$T$6/Capex!$D$6,0))+IF(Capex!$F$7="Y",IF($A422+Capex!$D$7-1&gt;=AD$2,Book!$T$42/Capex!$D$7,0))+IF(Capex!$F$8="Y",IF($A422+Capex!$D$8-1&gt;=AD$2,Book!$T$78/Capex!$D$8,0))+IF(Capex!$F$9="Y",IF($A422+Capex!$D$9-1&gt;=AD$2,Book!$T$114/Capex!$D$9,0))+IF(Capex!$F$10="Y",IF($A422+Capex!$D$10-1&gt;=AD$2,Book!$T$150/Capex!$D$10,0))+IF(Capex!$F$11="Y",IF($A422+Capex!$D$11-1&gt;=AD$2,Book!$T$186/Capex!$D$11,0))+IF(Capex!$F$12="Y",IF($A422+Capex!$D$12-1&gt;=AD$2,Book!$T$222/Capex!$D$12,0))+IF(Capex!$F$13="Y",IF($A422+Capex!$D$13-1&gt;=AD$2,Book!$T$258/Capex!$D$13,0))+IF(Capex!$F$14="Y",IF($A422+Capex!$D$14-1&gt;=AD$2,Book!$T$14/Capex!$D$255,0))+IF(Capex!$F$15="Y",IF($A422+Capex!$D$15-1&gt;=AD$2,Book!$T$330/Capex!$D$15,0)))*$T$401</f>
        <v>0</v>
      </c>
      <c r="AE422" s="4">
        <f>(IF(Capex!$F$6="Y",IF($A422+Capex!$D$6-1&gt;=AE$2,Book!$T$6/Capex!$D$6,0))+IF(Capex!$F$7="Y",IF($A422+Capex!$D$7-1&gt;=AE$2,Book!$T$42/Capex!$D$7,0))+IF(Capex!$F$8="Y",IF($A422+Capex!$D$8-1&gt;=AE$2,Book!$T$78/Capex!$D$8,0))+IF(Capex!$F$9="Y",IF($A422+Capex!$D$9-1&gt;=AE$2,Book!$T$114/Capex!$D$9,0))+IF(Capex!$F$10="Y",IF($A422+Capex!$D$10-1&gt;=AE$2,Book!$T$150/Capex!$D$10,0))+IF(Capex!$F$11="Y",IF($A422+Capex!$D$11-1&gt;=AE$2,Book!$T$186/Capex!$D$11,0))+IF(Capex!$F$12="Y",IF($A422+Capex!$D$12-1&gt;=AE$2,Book!$T$222/Capex!$D$12,0))+IF(Capex!$F$13="Y",IF($A422+Capex!$D$13-1&gt;=AE$2,Book!$T$258/Capex!$D$13,0))+IF(Capex!$F$14="Y",IF($A422+Capex!$D$14-1&gt;=AE$2,Book!$T$14/Capex!$D$255,0))+IF(Capex!$F$15="Y",IF($A422+Capex!$D$15-1&gt;=AE$2,Book!$T$330/Capex!$D$15,0)))*$T$401</f>
        <v>0</v>
      </c>
      <c r="AF422" s="4">
        <f>(IF(Capex!$F$6="Y",IF($A422+Capex!$D$6-1&gt;=AF$2,Book!$T$6/Capex!$D$6,0))+IF(Capex!$F$7="Y",IF($A422+Capex!$D$7-1&gt;=AF$2,Book!$T$42/Capex!$D$7,0))+IF(Capex!$F$8="Y",IF($A422+Capex!$D$8-1&gt;=AF$2,Book!$T$78/Capex!$D$8,0))+IF(Capex!$F$9="Y",IF($A422+Capex!$D$9-1&gt;=AF$2,Book!$T$114/Capex!$D$9,0))+IF(Capex!$F$10="Y",IF($A422+Capex!$D$10-1&gt;=AF$2,Book!$T$150/Capex!$D$10,0))+IF(Capex!$F$11="Y",IF($A422+Capex!$D$11-1&gt;=AF$2,Book!$T$186/Capex!$D$11,0))+IF(Capex!$F$12="Y",IF($A422+Capex!$D$12-1&gt;=AF$2,Book!$T$222/Capex!$D$12,0))+IF(Capex!$F$13="Y",IF($A422+Capex!$D$13-1&gt;=AF$2,Book!$T$258/Capex!$D$13,0))+IF(Capex!$F$14="Y",IF($A422+Capex!$D$14-1&gt;=AF$2,Book!$T$14/Capex!$D$255,0))+IF(Capex!$F$15="Y",IF($A422+Capex!$D$15-1&gt;=AF$2,Book!$T$330/Capex!$D$15,0)))*$T$401</f>
        <v>0</v>
      </c>
      <c r="AG422" s="4">
        <f t="shared" si="130"/>
        <v>0</v>
      </c>
      <c r="AH422" s="252">
        <f t="shared" si="132"/>
        <v>0</v>
      </c>
    </row>
    <row r="423" spans="1:34">
      <c r="A423" s="718">
        <f t="shared" si="129"/>
        <v>2040</v>
      </c>
      <c r="B423" s="4">
        <f t="shared" si="131"/>
        <v>0</v>
      </c>
      <c r="U423" s="4">
        <f>(IF(Capex!$F$6="Y",IF($A423+Capex!$D$6-1&gt;=U$2,Book!$U$6/Capex!$D$6,0))+IF(Capex!$F$7="Y",IF($A423+Capex!$D$7-1&gt;=U$2,Book!$U$42/Capex!$D$7,0))+IF(Capex!$F$8="Y",IF($A423+Capex!$D$8-1&gt;=U$2,Book!$U$78/Capex!$D$8,0))+IF(Capex!$F$9="Y",IF($A423+Capex!$D$9-1&gt;=U$2,Book!$U$114/Capex!$D$9,0))+IF(Capex!$F$10="Y",IF($A423+Capex!$D$10-1&gt;=U$2,Book!$U$150/Capex!$D$10,0))+IF(Capex!$F$11="Y",IF($A423+Capex!$D$11-1&gt;=U$2,Book!$U$186/Capex!$D$11,0))+IF(Capex!$F$12="Y",IF($A423+Capex!$D$12-1&gt;=U$2,Book!$U$222/Capex!$D$12,0))+IF(Capex!$F$13="Y",IF($A423+Capex!$D$13-1&gt;=U$2,Book!$U$258/Capex!$D$13,0))+IF(Capex!$F$14="Y",IF($A423+Capex!$D$14-1&gt;=U$2,Book!$U$14/Capex!$D$255,0))+IF(Capex!$F$15="Y",IF($A423+Capex!$D$15-1&gt;=U$2,Book!$U$330/Capex!$D$15,0)))*$U$401</f>
        <v>0</v>
      </c>
      <c r="V423" s="4">
        <f>(IF(Capex!$F$6="Y",IF($A423+Capex!$D$6-1&gt;=V$2,Book!$U$6/Capex!$D$6,0))+IF(Capex!$F$7="Y",IF($A423+Capex!$D$7-1&gt;=V$2,Book!$U$42/Capex!$D$7,0))+IF(Capex!$F$8="Y",IF($A423+Capex!$D$8-1&gt;=V$2,Book!$U$78/Capex!$D$8,0))+IF(Capex!$F$9="Y",IF($A423+Capex!$D$9-1&gt;=V$2,Book!$U$114/Capex!$D$9,0))+IF(Capex!$F$10="Y",IF($A423+Capex!$D$10-1&gt;=V$2,Book!$U$150/Capex!$D$10,0))+IF(Capex!$F$11="Y",IF($A423+Capex!$D$11-1&gt;=V$2,Book!$U$186/Capex!$D$11,0))+IF(Capex!$F$12="Y",IF($A423+Capex!$D$12-1&gt;=V$2,Book!$U$222/Capex!$D$12,0))+IF(Capex!$F$13="Y",IF($A423+Capex!$D$13-1&gt;=V$2,Book!$U$258/Capex!$D$13,0))+IF(Capex!$F$14="Y",IF($A423+Capex!$D$14-1&gt;=V$2,Book!$U$14/Capex!$D$255,0))+IF(Capex!$F$15="Y",IF($A423+Capex!$D$15-1&gt;=V$2,Book!$U$330/Capex!$D$15,0)))*$U$401</f>
        <v>0</v>
      </c>
      <c r="W423" s="4">
        <f>(IF(Capex!$F$6="Y",IF($A423+Capex!$D$6-1&gt;=W$2,Book!$U$6/Capex!$D$6,0))+IF(Capex!$F$7="Y",IF($A423+Capex!$D$7-1&gt;=W$2,Book!$U$42/Capex!$D$7,0))+IF(Capex!$F$8="Y",IF($A423+Capex!$D$8-1&gt;=W$2,Book!$U$78/Capex!$D$8,0))+IF(Capex!$F$9="Y",IF($A423+Capex!$D$9-1&gt;=W$2,Book!$U$114/Capex!$D$9,0))+IF(Capex!$F$10="Y",IF($A423+Capex!$D$10-1&gt;=W$2,Book!$U$150/Capex!$D$10,0))+IF(Capex!$F$11="Y",IF($A423+Capex!$D$11-1&gt;=W$2,Book!$U$186/Capex!$D$11,0))+IF(Capex!$F$12="Y",IF($A423+Capex!$D$12-1&gt;=W$2,Book!$U$222/Capex!$D$12,0))+IF(Capex!$F$13="Y",IF($A423+Capex!$D$13-1&gt;=W$2,Book!$U$258/Capex!$D$13,0))+IF(Capex!$F$14="Y",IF($A423+Capex!$D$14-1&gt;=W$2,Book!$U$14/Capex!$D$255,0))+IF(Capex!$F$15="Y",IF($A423+Capex!$D$15-1&gt;=W$2,Book!$U$330/Capex!$D$15,0)))*$U$401</f>
        <v>0</v>
      </c>
      <c r="X423" s="4">
        <f>(IF(Capex!$F$6="Y",IF($A423+Capex!$D$6-1&gt;=X$2,Book!$U$6/Capex!$D$6,0))+IF(Capex!$F$7="Y",IF($A423+Capex!$D$7-1&gt;=X$2,Book!$U$42/Capex!$D$7,0))+IF(Capex!$F$8="Y",IF($A423+Capex!$D$8-1&gt;=X$2,Book!$U$78/Capex!$D$8,0))+IF(Capex!$F$9="Y",IF($A423+Capex!$D$9-1&gt;=X$2,Book!$U$114/Capex!$D$9,0))+IF(Capex!$F$10="Y",IF($A423+Capex!$D$10-1&gt;=X$2,Book!$U$150/Capex!$D$10,0))+IF(Capex!$F$11="Y",IF($A423+Capex!$D$11-1&gt;=X$2,Book!$U$186/Capex!$D$11,0))+IF(Capex!$F$12="Y",IF($A423+Capex!$D$12-1&gt;=X$2,Book!$U$222/Capex!$D$12,0))+IF(Capex!$F$13="Y",IF($A423+Capex!$D$13-1&gt;=X$2,Book!$U$258/Capex!$D$13,0))+IF(Capex!$F$14="Y",IF($A423+Capex!$D$14-1&gt;=X$2,Book!$U$14/Capex!$D$255,0))+IF(Capex!$F$15="Y",IF($A423+Capex!$D$15-1&gt;=X$2,Book!$U$330/Capex!$D$15,0)))*$U$401</f>
        <v>0</v>
      </c>
      <c r="Y423" s="4">
        <f>(IF(Capex!$F$6="Y",IF($A423+Capex!$D$6-1&gt;=Y$2,Book!$U$6/Capex!$D$6,0))+IF(Capex!$F$7="Y",IF($A423+Capex!$D$7-1&gt;=Y$2,Book!$U$42/Capex!$D$7,0))+IF(Capex!$F$8="Y",IF($A423+Capex!$D$8-1&gt;=Y$2,Book!$U$78/Capex!$D$8,0))+IF(Capex!$F$9="Y",IF($A423+Capex!$D$9-1&gt;=Y$2,Book!$U$114/Capex!$D$9,0))+IF(Capex!$F$10="Y",IF($A423+Capex!$D$10-1&gt;=Y$2,Book!$U$150/Capex!$D$10,0))+IF(Capex!$F$11="Y",IF($A423+Capex!$D$11-1&gt;=Y$2,Book!$U$186/Capex!$D$11,0))+IF(Capex!$F$12="Y",IF($A423+Capex!$D$12-1&gt;=Y$2,Book!$U$222/Capex!$D$12,0))+IF(Capex!$F$13="Y",IF($A423+Capex!$D$13-1&gt;=Y$2,Book!$U$258/Capex!$D$13,0))+IF(Capex!$F$14="Y",IF($A423+Capex!$D$14-1&gt;=Y$2,Book!$U$14/Capex!$D$255,0))+IF(Capex!$F$15="Y",IF($A423+Capex!$D$15-1&gt;=Y$2,Book!$U$330/Capex!$D$15,0)))*$U$401</f>
        <v>0</v>
      </c>
      <c r="Z423" s="4">
        <f>(IF(Capex!$F$6="Y",IF($A423+Capex!$D$6-1&gt;=Z$2,Book!$U$6/Capex!$D$6,0))+IF(Capex!$F$7="Y",IF($A423+Capex!$D$7-1&gt;=Z$2,Book!$U$42/Capex!$D$7,0))+IF(Capex!$F$8="Y",IF($A423+Capex!$D$8-1&gt;=Z$2,Book!$U$78/Capex!$D$8,0))+IF(Capex!$F$9="Y",IF($A423+Capex!$D$9-1&gt;=Z$2,Book!$U$114/Capex!$D$9,0))+IF(Capex!$F$10="Y",IF($A423+Capex!$D$10-1&gt;=Z$2,Book!$U$150/Capex!$D$10,0))+IF(Capex!$F$11="Y",IF($A423+Capex!$D$11-1&gt;=Z$2,Book!$U$186/Capex!$D$11,0))+IF(Capex!$F$12="Y",IF($A423+Capex!$D$12-1&gt;=Z$2,Book!$U$222/Capex!$D$12,0))+IF(Capex!$F$13="Y",IF($A423+Capex!$D$13-1&gt;=Z$2,Book!$U$258/Capex!$D$13,0))+IF(Capex!$F$14="Y",IF($A423+Capex!$D$14-1&gt;=Z$2,Book!$U$14/Capex!$D$255,0))+IF(Capex!$F$15="Y",IF($A423+Capex!$D$15-1&gt;=Z$2,Book!$U$330/Capex!$D$15,0)))*$U$401</f>
        <v>0</v>
      </c>
      <c r="AA423" s="4">
        <f>(IF(Capex!$F$6="Y",IF($A423+Capex!$D$6-1&gt;=AA$2,Book!$U$6/Capex!$D$6,0))+IF(Capex!$F$7="Y",IF($A423+Capex!$D$7-1&gt;=AA$2,Book!$U$42/Capex!$D$7,0))+IF(Capex!$F$8="Y",IF($A423+Capex!$D$8-1&gt;=AA$2,Book!$U$78/Capex!$D$8,0))+IF(Capex!$F$9="Y",IF($A423+Capex!$D$9-1&gt;=AA$2,Book!$U$114/Capex!$D$9,0))+IF(Capex!$F$10="Y",IF($A423+Capex!$D$10-1&gt;=AA$2,Book!$U$150/Capex!$D$10,0))+IF(Capex!$F$11="Y",IF($A423+Capex!$D$11-1&gt;=AA$2,Book!$U$186/Capex!$D$11,0))+IF(Capex!$F$12="Y",IF($A423+Capex!$D$12-1&gt;=AA$2,Book!$U$222/Capex!$D$12,0))+IF(Capex!$F$13="Y",IF($A423+Capex!$D$13-1&gt;=AA$2,Book!$U$258/Capex!$D$13,0))+IF(Capex!$F$14="Y",IF($A423+Capex!$D$14-1&gt;=AA$2,Book!$U$14/Capex!$D$255,0))+IF(Capex!$F$15="Y",IF($A423+Capex!$D$15-1&gt;=AA$2,Book!$U$330/Capex!$D$15,0)))*$U$401</f>
        <v>0</v>
      </c>
      <c r="AB423" s="4">
        <f>(IF(Capex!$F$6="Y",IF($A423+Capex!$D$6-1&gt;=AB$2,Book!$U$6/Capex!$D$6,0))+IF(Capex!$F$7="Y",IF($A423+Capex!$D$7-1&gt;=AB$2,Book!$U$42/Capex!$D$7,0))+IF(Capex!$F$8="Y",IF($A423+Capex!$D$8-1&gt;=AB$2,Book!$U$78/Capex!$D$8,0))+IF(Capex!$F$9="Y",IF($A423+Capex!$D$9-1&gt;=AB$2,Book!$U$114/Capex!$D$9,0))+IF(Capex!$F$10="Y",IF($A423+Capex!$D$10-1&gt;=AB$2,Book!$U$150/Capex!$D$10,0))+IF(Capex!$F$11="Y",IF($A423+Capex!$D$11-1&gt;=AB$2,Book!$U$186/Capex!$D$11,0))+IF(Capex!$F$12="Y",IF($A423+Capex!$D$12-1&gt;=AB$2,Book!$U$222/Capex!$D$12,0))+IF(Capex!$F$13="Y",IF($A423+Capex!$D$13-1&gt;=AB$2,Book!$U$258/Capex!$D$13,0))+IF(Capex!$F$14="Y",IF($A423+Capex!$D$14-1&gt;=AB$2,Book!$U$14/Capex!$D$255,0))+IF(Capex!$F$15="Y",IF($A423+Capex!$D$15-1&gt;=AB$2,Book!$U$330/Capex!$D$15,0)))*$U$401</f>
        <v>0</v>
      </c>
      <c r="AC423" s="4">
        <f>(IF(Capex!$F$6="Y",IF($A423+Capex!$D$6-1&gt;=AC$2,Book!$U$6/Capex!$D$6,0))+IF(Capex!$F$7="Y",IF($A423+Capex!$D$7-1&gt;=AC$2,Book!$U$42/Capex!$D$7,0))+IF(Capex!$F$8="Y",IF($A423+Capex!$D$8-1&gt;=AC$2,Book!$U$78/Capex!$D$8,0))+IF(Capex!$F$9="Y",IF($A423+Capex!$D$9-1&gt;=AC$2,Book!$U$114/Capex!$D$9,0))+IF(Capex!$F$10="Y",IF($A423+Capex!$D$10-1&gt;=AC$2,Book!$U$150/Capex!$D$10,0))+IF(Capex!$F$11="Y",IF($A423+Capex!$D$11-1&gt;=AC$2,Book!$U$186/Capex!$D$11,0))+IF(Capex!$F$12="Y",IF($A423+Capex!$D$12-1&gt;=AC$2,Book!$U$222/Capex!$D$12,0))+IF(Capex!$F$13="Y",IF($A423+Capex!$D$13-1&gt;=AC$2,Book!$U$258/Capex!$D$13,0))+IF(Capex!$F$14="Y",IF($A423+Capex!$D$14-1&gt;=AC$2,Book!$U$14/Capex!$D$255,0))+IF(Capex!$F$15="Y",IF($A423+Capex!$D$15-1&gt;=AC$2,Book!$U$330/Capex!$D$15,0)))*$U$401</f>
        <v>0</v>
      </c>
      <c r="AD423" s="4">
        <f>(IF(Capex!$F$6="Y",IF($A423+Capex!$D$6-1&gt;=AD$2,Book!$U$6/Capex!$D$6,0))+IF(Capex!$F$7="Y",IF($A423+Capex!$D$7-1&gt;=AD$2,Book!$U$42/Capex!$D$7,0))+IF(Capex!$F$8="Y",IF($A423+Capex!$D$8-1&gt;=AD$2,Book!$U$78/Capex!$D$8,0))+IF(Capex!$F$9="Y",IF($A423+Capex!$D$9-1&gt;=AD$2,Book!$U$114/Capex!$D$9,0))+IF(Capex!$F$10="Y",IF($A423+Capex!$D$10-1&gt;=AD$2,Book!$U$150/Capex!$D$10,0))+IF(Capex!$F$11="Y",IF($A423+Capex!$D$11-1&gt;=AD$2,Book!$U$186/Capex!$D$11,0))+IF(Capex!$F$12="Y",IF($A423+Capex!$D$12-1&gt;=AD$2,Book!$U$222/Capex!$D$12,0))+IF(Capex!$F$13="Y",IF($A423+Capex!$D$13-1&gt;=AD$2,Book!$U$258/Capex!$D$13,0))+IF(Capex!$F$14="Y",IF($A423+Capex!$D$14-1&gt;=AD$2,Book!$U$14/Capex!$D$255,0))+IF(Capex!$F$15="Y",IF($A423+Capex!$D$15-1&gt;=AD$2,Book!$U$330/Capex!$D$15,0)))*$U$401</f>
        <v>0</v>
      </c>
      <c r="AE423" s="4">
        <f>(IF(Capex!$F$6="Y",IF($A423+Capex!$D$6-1&gt;=AE$2,Book!$U$6/Capex!$D$6,0))+IF(Capex!$F$7="Y",IF($A423+Capex!$D$7-1&gt;=AE$2,Book!$U$42/Capex!$D$7,0))+IF(Capex!$F$8="Y",IF($A423+Capex!$D$8-1&gt;=AE$2,Book!$U$78/Capex!$D$8,0))+IF(Capex!$F$9="Y",IF($A423+Capex!$D$9-1&gt;=AE$2,Book!$U$114/Capex!$D$9,0))+IF(Capex!$F$10="Y",IF($A423+Capex!$D$10-1&gt;=AE$2,Book!$U$150/Capex!$D$10,0))+IF(Capex!$F$11="Y",IF($A423+Capex!$D$11-1&gt;=AE$2,Book!$U$186/Capex!$D$11,0))+IF(Capex!$F$12="Y",IF($A423+Capex!$D$12-1&gt;=AE$2,Book!$U$222/Capex!$D$12,0))+IF(Capex!$F$13="Y",IF($A423+Capex!$D$13-1&gt;=AE$2,Book!$U$258/Capex!$D$13,0))+IF(Capex!$F$14="Y",IF($A423+Capex!$D$14-1&gt;=AE$2,Book!$U$14/Capex!$D$255,0))+IF(Capex!$F$15="Y",IF($A423+Capex!$D$15-1&gt;=AE$2,Book!$U$330/Capex!$D$15,0)))*$U$401</f>
        <v>0</v>
      </c>
      <c r="AF423" s="4">
        <f>(IF(Capex!$F$6="Y",IF($A423+Capex!$D$6-1&gt;=AF$2,Book!$U$6/Capex!$D$6,0))+IF(Capex!$F$7="Y",IF($A423+Capex!$D$7-1&gt;=AF$2,Book!$U$42/Capex!$D$7,0))+IF(Capex!$F$8="Y",IF($A423+Capex!$D$8-1&gt;=AF$2,Book!$U$78/Capex!$D$8,0))+IF(Capex!$F$9="Y",IF($A423+Capex!$D$9-1&gt;=AF$2,Book!$U$114/Capex!$D$9,0))+IF(Capex!$F$10="Y",IF($A423+Capex!$D$10-1&gt;=AF$2,Book!$U$150/Capex!$D$10,0))+IF(Capex!$F$11="Y",IF($A423+Capex!$D$11-1&gt;=AF$2,Book!$U$186/Capex!$D$11,0))+IF(Capex!$F$12="Y",IF($A423+Capex!$D$12-1&gt;=AF$2,Book!$U$222/Capex!$D$12,0))+IF(Capex!$F$13="Y",IF($A423+Capex!$D$13-1&gt;=AF$2,Book!$U$258/Capex!$D$13,0))+IF(Capex!$F$14="Y",IF($A423+Capex!$D$14-1&gt;=AF$2,Book!$U$14/Capex!$D$255,0))+IF(Capex!$F$15="Y",IF($A423+Capex!$D$15-1&gt;=AF$2,Book!$U$330/Capex!$D$15,0)))*$U$401</f>
        <v>0</v>
      </c>
      <c r="AG423" s="4">
        <f t="shared" si="130"/>
        <v>0</v>
      </c>
      <c r="AH423" s="252">
        <f t="shared" si="132"/>
        <v>0</v>
      </c>
    </row>
    <row r="424" spans="1:34">
      <c r="A424" s="718">
        <f t="shared" si="129"/>
        <v>2041</v>
      </c>
      <c r="B424" s="4">
        <f t="shared" si="131"/>
        <v>0</v>
      </c>
      <c r="V424" s="4">
        <f>(IF(Capex!$F$6="Y",IF($A424+Capex!$D$6-1&gt;=V$2,Book!$V$6/Capex!$D$6,0))+IF(Capex!$F$7="Y",IF($A424+Capex!$D$7-1&gt;=V$2,Book!$V$42/Capex!$D$7,0))+IF(Capex!$F$8="Y",IF($A424+Capex!$D$8-1&gt;=V$2,Book!$V$78/Capex!$D$8,0))+IF(Capex!$F$9="Y",IF($A424+Capex!$D$9-1&gt;=V$2,Book!$V$114/Capex!$D$9,0))+IF(Capex!$F$10="Y",IF($A424+Capex!$D$10-1&gt;=V$2,Book!$V$150/Capex!$D$10,0))+IF(Capex!$F$11="Y",IF($A424+Capex!$D$11-1&gt;=V$2,Book!$V$186/Capex!$D$11,0))+IF(Capex!$F$12="Y",IF($A424+Capex!$D$12-1&gt;=V$2,Book!$V$222/Capex!$D$12,0))+IF(Capex!$F$13="Y",IF($A424+Capex!$D$13-1&gt;=V$2,Book!$V$258/Capex!$D$13,0))+IF(Capex!$F$14="Y",IF($A424+Capex!$D$14-1&gt;=V$2,Book!$V$14/Capex!$D$255,0))+IF(Capex!$F$15="Y",IF($A424+Capex!$D$15-1&gt;=V$2,Book!$V$330/Capex!$D$15,0)))*$V$401</f>
        <v>0</v>
      </c>
      <c r="W424" s="4">
        <f>(IF(Capex!$F$6="Y",IF($A424+Capex!$D$6-1&gt;=W$2,Book!$V$6/Capex!$D$6,0))+IF(Capex!$F$7="Y",IF($A424+Capex!$D$7-1&gt;=W$2,Book!$V$42/Capex!$D$7,0))+IF(Capex!$F$8="Y",IF($A424+Capex!$D$8-1&gt;=W$2,Book!$V$78/Capex!$D$8,0))+IF(Capex!$F$9="Y",IF($A424+Capex!$D$9-1&gt;=W$2,Book!$V$114/Capex!$D$9,0))+IF(Capex!$F$10="Y",IF($A424+Capex!$D$10-1&gt;=W$2,Book!$V$150/Capex!$D$10,0))+IF(Capex!$F$11="Y",IF($A424+Capex!$D$11-1&gt;=W$2,Book!$V$186/Capex!$D$11,0))+IF(Capex!$F$12="Y",IF($A424+Capex!$D$12-1&gt;=W$2,Book!$V$222/Capex!$D$12,0))+IF(Capex!$F$13="Y",IF($A424+Capex!$D$13-1&gt;=W$2,Book!$V$258/Capex!$D$13,0))+IF(Capex!$F$14="Y",IF($A424+Capex!$D$14-1&gt;=W$2,Book!$V$14/Capex!$D$255,0))+IF(Capex!$F$15="Y",IF($A424+Capex!$D$15-1&gt;=W$2,Book!$V$330/Capex!$D$15,0)))*$V$401</f>
        <v>0</v>
      </c>
      <c r="X424" s="4">
        <f>(IF(Capex!$F$6="Y",IF($A424+Capex!$D$6-1&gt;=X$2,Book!$V$6/Capex!$D$6,0))+IF(Capex!$F$7="Y",IF($A424+Capex!$D$7-1&gt;=X$2,Book!$V$42/Capex!$D$7,0))+IF(Capex!$F$8="Y",IF($A424+Capex!$D$8-1&gt;=X$2,Book!$V$78/Capex!$D$8,0))+IF(Capex!$F$9="Y",IF($A424+Capex!$D$9-1&gt;=X$2,Book!$V$114/Capex!$D$9,0))+IF(Capex!$F$10="Y",IF($A424+Capex!$D$10-1&gt;=X$2,Book!$V$150/Capex!$D$10,0))+IF(Capex!$F$11="Y",IF($A424+Capex!$D$11-1&gt;=X$2,Book!$V$186/Capex!$D$11,0))+IF(Capex!$F$12="Y",IF($A424+Capex!$D$12-1&gt;=X$2,Book!$V$222/Capex!$D$12,0))+IF(Capex!$F$13="Y",IF($A424+Capex!$D$13-1&gt;=X$2,Book!$V$258/Capex!$D$13,0))+IF(Capex!$F$14="Y",IF($A424+Capex!$D$14-1&gt;=X$2,Book!$V$14/Capex!$D$255,0))+IF(Capex!$F$15="Y",IF($A424+Capex!$D$15-1&gt;=X$2,Book!$V$330/Capex!$D$15,0)))*$V$401</f>
        <v>0</v>
      </c>
      <c r="Y424" s="4">
        <f>(IF(Capex!$F$6="Y",IF($A424+Capex!$D$6-1&gt;=Y$2,Book!$V$6/Capex!$D$6,0))+IF(Capex!$F$7="Y",IF($A424+Capex!$D$7-1&gt;=Y$2,Book!$V$42/Capex!$D$7,0))+IF(Capex!$F$8="Y",IF($A424+Capex!$D$8-1&gt;=Y$2,Book!$V$78/Capex!$D$8,0))+IF(Capex!$F$9="Y",IF($A424+Capex!$D$9-1&gt;=Y$2,Book!$V$114/Capex!$D$9,0))+IF(Capex!$F$10="Y",IF($A424+Capex!$D$10-1&gt;=Y$2,Book!$V$150/Capex!$D$10,0))+IF(Capex!$F$11="Y",IF($A424+Capex!$D$11-1&gt;=Y$2,Book!$V$186/Capex!$D$11,0))+IF(Capex!$F$12="Y",IF($A424+Capex!$D$12-1&gt;=Y$2,Book!$V$222/Capex!$D$12,0))+IF(Capex!$F$13="Y",IF($A424+Capex!$D$13-1&gt;=Y$2,Book!$V$258/Capex!$D$13,0))+IF(Capex!$F$14="Y",IF($A424+Capex!$D$14-1&gt;=Y$2,Book!$V$14/Capex!$D$255,0))+IF(Capex!$F$15="Y",IF($A424+Capex!$D$15-1&gt;=Y$2,Book!$V$330/Capex!$D$15,0)))*$V$401</f>
        <v>0</v>
      </c>
      <c r="Z424" s="4">
        <f>(IF(Capex!$F$6="Y",IF($A424+Capex!$D$6-1&gt;=Z$2,Book!$V$6/Capex!$D$6,0))+IF(Capex!$F$7="Y",IF($A424+Capex!$D$7-1&gt;=Z$2,Book!$V$42/Capex!$D$7,0))+IF(Capex!$F$8="Y",IF($A424+Capex!$D$8-1&gt;=Z$2,Book!$V$78/Capex!$D$8,0))+IF(Capex!$F$9="Y",IF($A424+Capex!$D$9-1&gt;=Z$2,Book!$V$114/Capex!$D$9,0))+IF(Capex!$F$10="Y",IF($A424+Capex!$D$10-1&gt;=Z$2,Book!$V$150/Capex!$D$10,0))+IF(Capex!$F$11="Y",IF($A424+Capex!$D$11-1&gt;=Z$2,Book!$V$186/Capex!$D$11,0))+IF(Capex!$F$12="Y",IF($A424+Capex!$D$12-1&gt;=Z$2,Book!$V$222/Capex!$D$12,0))+IF(Capex!$F$13="Y",IF($A424+Capex!$D$13-1&gt;=Z$2,Book!$V$258/Capex!$D$13,0))+IF(Capex!$F$14="Y",IF($A424+Capex!$D$14-1&gt;=Z$2,Book!$V$14/Capex!$D$255,0))+IF(Capex!$F$15="Y",IF($A424+Capex!$D$15-1&gt;=Z$2,Book!$V$330/Capex!$D$15,0)))*$V$401</f>
        <v>0</v>
      </c>
      <c r="AA424" s="4">
        <f>(IF(Capex!$F$6="Y",IF($A424+Capex!$D$6-1&gt;=AA$2,Book!$V$6/Capex!$D$6,0))+IF(Capex!$F$7="Y",IF($A424+Capex!$D$7-1&gt;=AA$2,Book!$V$42/Capex!$D$7,0))+IF(Capex!$F$8="Y",IF($A424+Capex!$D$8-1&gt;=AA$2,Book!$V$78/Capex!$D$8,0))+IF(Capex!$F$9="Y",IF($A424+Capex!$D$9-1&gt;=AA$2,Book!$V$114/Capex!$D$9,0))+IF(Capex!$F$10="Y",IF($A424+Capex!$D$10-1&gt;=AA$2,Book!$V$150/Capex!$D$10,0))+IF(Capex!$F$11="Y",IF($A424+Capex!$D$11-1&gt;=AA$2,Book!$V$186/Capex!$D$11,0))+IF(Capex!$F$12="Y",IF($A424+Capex!$D$12-1&gt;=AA$2,Book!$V$222/Capex!$D$12,0))+IF(Capex!$F$13="Y",IF($A424+Capex!$D$13-1&gt;=AA$2,Book!$V$258/Capex!$D$13,0))+IF(Capex!$F$14="Y",IF($A424+Capex!$D$14-1&gt;=AA$2,Book!$V$14/Capex!$D$255,0))+IF(Capex!$F$15="Y",IF($A424+Capex!$D$15-1&gt;=AA$2,Book!$V$330/Capex!$D$15,0)))*$V$401</f>
        <v>0</v>
      </c>
      <c r="AB424" s="4">
        <f>(IF(Capex!$F$6="Y",IF($A424+Capex!$D$6-1&gt;=AB$2,Book!$V$6/Capex!$D$6,0))+IF(Capex!$F$7="Y",IF($A424+Capex!$D$7-1&gt;=AB$2,Book!$V$42/Capex!$D$7,0))+IF(Capex!$F$8="Y",IF($A424+Capex!$D$8-1&gt;=AB$2,Book!$V$78/Capex!$D$8,0))+IF(Capex!$F$9="Y",IF($A424+Capex!$D$9-1&gt;=AB$2,Book!$V$114/Capex!$D$9,0))+IF(Capex!$F$10="Y",IF($A424+Capex!$D$10-1&gt;=AB$2,Book!$V$150/Capex!$D$10,0))+IF(Capex!$F$11="Y",IF($A424+Capex!$D$11-1&gt;=AB$2,Book!$V$186/Capex!$D$11,0))+IF(Capex!$F$12="Y",IF($A424+Capex!$D$12-1&gt;=AB$2,Book!$V$222/Capex!$D$12,0))+IF(Capex!$F$13="Y",IF($A424+Capex!$D$13-1&gt;=AB$2,Book!$V$258/Capex!$D$13,0))+IF(Capex!$F$14="Y",IF($A424+Capex!$D$14-1&gt;=AB$2,Book!$V$14/Capex!$D$255,0))+IF(Capex!$F$15="Y",IF($A424+Capex!$D$15-1&gt;=AB$2,Book!$V$330/Capex!$D$15,0)))*$V$401</f>
        <v>0</v>
      </c>
      <c r="AC424" s="4">
        <f>(IF(Capex!$F$6="Y",IF($A424+Capex!$D$6-1&gt;=AC$2,Book!$V$6/Capex!$D$6,0))+IF(Capex!$F$7="Y",IF($A424+Capex!$D$7-1&gt;=AC$2,Book!$V$42/Capex!$D$7,0))+IF(Capex!$F$8="Y",IF($A424+Capex!$D$8-1&gt;=AC$2,Book!$V$78/Capex!$D$8,0))+IF(Capex!$F$9="Y",IF($A424+Capex!$D$9-1&gt;=AC$2,Book!$V$114/Capex!$D$9,0))+IF(Capex!$F$10="Y",IF($A424+Capex!$D$10-1&gt;=AC$2,Book!$V$150/Capex!$D$10,0))+IF(Capex!$F$11="Y",IF($A424+Capex!$D$11-1&gt;=AC$2,Book!$V$186/Capex!$D$11,0))+IF(Capex!$F$12="Y",IF($A424+Capex!$D$12-1&gt;=AC$2,Book!$V$222/Capex!$D$12,0))+IF(Capex!$F$13="Y",IF($A424+Capex!$D$13-1&gt;=AC$2,Book!$V$258/Capex!$D$13,0))+IF(Capex!$F$14="Y",IF($A424+Capex!$D$14-1&gt;=AC$2,Book!$V$14/Capex!$D$255,0))+IF(Capex!$F$15="Y",IF($A424+Capex!$D$15-1&gt;=AC$2,Book!$V$330/Capex!$D$15,0)))*$V$401</f>
        <v>0</v>
      </c>
      <c r="AD424" s="4">
        <f>(IF(Capex!$F$6="Y",IF($A424+Capex!$D$6-1&gt;=AD$2,Book!$V$6/Capex!$D$6,0))+IF(Capex!$F$7="Y",IF($A424+Capex!$D$7-1&gt;=AD$2,Book!$V$42/Capex!$D$7,0))+IF(Capex!$F$8="Y",IF($A424+Capex!$D$8-1&gt;=AD$2,Book!$V$78/Capex!$D$8,0))+IF(Capex!$F$9="Y",IF($A424+Capex!$D$9-1&gt;=AD$2,Book!$V$114/Capex!$D$9,0))+IF(Capex!$F$10="Y",IF($A424+Capex!$D$10-1&gt;=AD$2,Book!$V$150/Capex!$D$10,0))+IF(Capex!$F$11="Y",IF($A424+Capex!$D$11-1&gt;=AD$2,Book!$V$186/Capex!$D$11,0))+IF(Capex!$F$12="Y",IF($A424+Capex!$D$12-1&gt;=AD$2,Book!$V$222/Capex!$D$12,0))+IF(Capex!$F$13="Y",IF($A424+Capex!$D$13-1&gt;=AD$2,Book!$V$258/Capex!$D$13,0))+IF(Capex!$F$14="Y",IF($A424+Capex!$D$14-1&gt;=AD$2,Book!$V$14/Capex!$D$255,0))+IF(Capex!$F$15="Y",IF($A424+Capex!$D$15-1&gt;=AD$2,Book!$V$330/Capex!$D$15,0)))*$V$401</f>
        <v>0</v>
      </c>
      <c r="AE424" s="4">
        <f>(IF(Capex!$F$6="Y",IF($A424+Capex!$D$6-1&gt;=AE$2,Book!$V$6/Capex!$D$6,0))+IF(Capex!$F$7="Y",IF($A424+Capex!$D$7-1&gt;=AE$2,Book!$V$42/Capex!$D$7,0))+IF(Capex!$F$8="Y",IF($A424+Capex!$D$8-1&gt;=AE$2,Book!$V$78/Capex!$D$8,0))+IF(Capex!$F$9="Y",IF($A424+Capex!$D$9-1&gt;=AE$2,Book!$V$114/Capex!$D$9,0))+IF(Capex!$F$10="Y",IF($A424+Capex!$D$10-1&gt;=AE$2,Book!$V$150/Capex!$D$10,0))+IF(Capex!$F$11="Y",IF($A424+Capex!$D$11-1&gt;=AE$2,Book!$V$186/Capex!$D$11,0))+IF(Capex!$F$12="Y",IF($A424+Capex!$D$12-1&gt;=AE$2,Book!$V$222/Capex!$D$12,0))+IF(Capex!$F$13="Y",IF($A424+Capex!$D$13-1&gt;=AE$2,Book!$V$258/Capex!$D$13,0))+IF(Capex!$F$14="Y",IF($A424+Capex!$D$14-1&gt;=AE$2,Book!$V$14/Capex!$D$255,0))+IF(Capex!$F$15="Y",IF($A424+Capex!$D$15-1&gt;=AE$2,Book!$V$330/Capex!$D$15,0)))*$V$401</f>
        <v>0</v>
      </c>
      <c r="AF424" s="4">
        <f>(IF(Capex!$F$6="Y",IF($A424+Capex!$D$6-1&gt;=AF$2,Book!$V$6/Capex!$D$6,0))+IF(Capex!$F$7="Y",IF($A424+Capex!$D$7-1&gt;=AF$2,Book!$V$42/Capex!$D$7,0))+IF(Capex!$F$8="Y",IF($A424+Capex!$D$8-1&gt;=AF$2,Book!$V$78/Capex!$D$8,0))+IF(Capex!$F$9="Y",IF($A424+Capex!$D$9-1&gt;=AF$2,Book!$V$114/Capex!$D$9,0))+IF(Capex!$F$10="Y",IF($A424+Capex!$D$10-1&gt;=AF$2,Book!$V$150/Capex!$D$10,0))+IF(Capex!$F$11="Y",IF($A424+Capex!$D$11-1&gt;=AF$2,Book!$V$186/Capex!$D$11,0))+IF(Capex!$F$12="Y",IF($A424+Capex!$D$12-1&gt;=AF$2,Book!$V$222/Capex!$D$12,0))+IF(Capex!$F$13="Y",IF($A424+Capex!$D$13-1&gt;=AF$2,Book!$V$258/Capex!$D$13,0))+IF(Capex!$F$14="Y",IF($A424+Capex!$D$14-1&gt;=AF$2,Book!$V$14/Capex!$D$255,0))+IF(Capex!$F$15="Y",IF($A424+Capex!$D$15-1&gt;=AF$2,Book!$V$330/Capex!$D$15,0)))*$V$401</f>
        <v>0</v>
      </c>
      <c r="AG424" s="4">
        <f t="shared" si="130"/>
        <v>0</v>
      </c>
      <c r="AH424" s="252">
        <f t="shared" si="132"/>
        <v>0</v>
      </c>
    </row>
    <row r="425" spans="1:34">
      <c r="A425" s="718">
        <f t="shared" si="129"/>
        <v>2042</v>
      </c>
      <c r="B425" s="4">
        <f t="shared" si="131"/>
        <v>0</v>
      </c>
      <c r="W425" s="4">
        <f>(IF(Capex!$F$6="Y",IF($A425+Capex!$D$6-1&gt;=W$2,Book!$W$6/Capex!$D$6,0))+IF(Capex!$F$7="Y",IF($A425+Capex!$D$7-1&gt;=W$2,Book!$W$42/Capex!$D$7,0))+IF(Capex!$F$8="Y",IF($A425+Capex!$D$8-1&gt;=W$2,Book!$W$78/Capex!$D$8,0))+IF(Capex!$F$9="Y",IF($A425+Capex!$D$9-1&gt;=W$2,Book!$W$114/Capex!$D$9,0))+IF(Capex!$F$10="Y",IF($A425+Capex!$D$10-1&gt;=W$2,Book!$W$150/Capex!$D$10,0))+IF(Capex!$F$11="Y",IF($A425+Capex!$D$11-1&gt;=W$2,Book!$W$186/Capex!$D$11,0))+IF(Capex!$F$12="Y",IF($A425+Capex!$D$12-1&gt;=W$2,Book!$W$222/Capex!$D$12,0))+IF(Capex!$F$13="Y",IF($A425+Capex!$D$13-1&gt;=W$2,Book!$W$258/Capex!$D$13,0))+IF(Capex!$F$14="Y",IF($A425+Capex!$D$14-1&gt;=W$2,Book!$W$14/Capex!$D$255,0))+IF(Capex!$F$15="Y",IF($A425+Capex!$D$15-1&gt;=W$2,Book!$W$330/Capex!$D$15,0)))*$W$401</f>
        <v>0</v>
      </c>
      <c r="X425" s="4">
        <f>(IF(Capex!$F$6="Y",IF($A425+Capex!$D$6-1&gt;=X$2,Book!$W$6/Capex!$D$6,0))+IF(Capex!$F$7="Y",IF($A425+Capex!$D$7-1&gt;=X$2,Book!$W$42/Capex!$D$7,0))+IF(Capex!$F$8="Y",IF($A425+Capex!$D$8-1&gt;=X$2,Book!$W$78/Capex!$D$8,0))+IF(Capex!$F$9="Y",IF($A425+Capex!$D$9-1&gt;=X$2,Book!$W$114/Capex!$D$9,0))+IF(Capex!$F$10="Y",IF($A425+Capex!$D$10-1&gt;=X$2,Book!$W$150/Capex!$D$10,0))+IF(Capex!$F$11="Y",IF($A425+Capex!$D$11-1&gt;=X$2,Book!$W$186/Capex!$D$11,0))+IF(Capex!$F$12="Y",IF($A425+Capex!$D$12-1&gt;=X$2,Book!$W$222/Capex!$D$12,0))+IF(Capex!$F$13="Y",IF($A425+Capex!$D$13-1&gt;=X$2,Book!$W$258/Capex!$D$13,0))+IF(Capex!$F$14="Y",IF($A425+Capex!$D$14-1&gt;=X$2,Book!$W$14/Capex!$D$255,0))+IF(Capex!$F$15="Y",IF($A425+Capex!$D$15-1&gt;=X$2,Book!$W$330/Capex!$D$15,0)))*$W$401</f>
        <v>0</v>
      </c>
      <c r="Y425" s="4">
        <f>(IF(Capex!$F$6="Y",IF($A425+Capex!$D$6-1&gt;=Y$2,Book!$W$6/Capex!$D$6,0))+IF(Capex!$F$7="Y",IF($A425+Capex!$D$7-1&gt;=Y$2,Book!$W$42/Capex!$D$7,0))+IF(Capex!$F$8="Y",IF($A425+Capex!$D$8-1&gt;=Y$2,Book!$W$78/Capex!$D$8,0))+IF(Capex!$F$9="Y",IF($A425+Capex!$D$9-1&gt;=Y$2,Book!$W$114/Capex!$D$9,0))+IF(Capex!$F$10="Y",IF($A425+Capex!$D$10-1&gt;=Y$2,Book!$W$150/Capex!$D$10,0))+IF(Capex!$F$11="Y",IF($A425+Capex!$D$11-1&gt;=Y$2,Book!$W$186/Capex!$D$11,0))+IF(Capex!$F$12="Y",IF($A425+Capex!$D$12-1&gt;=Y$2,Book!$W$222/Capex!$D$12,0))+IF(Capex!$F$13="Y",IF($A425+Capex!$D$13-1&gt;=Y$2,Book!$W$258/Capex!$D$13,0))+IF(Capex!$F$14="Y",IF($A425+Capex!$D$14-1&gt;=Y$2,Book!$W$14/Capex!$D$255,0))+IF(Capex!$F$15="Y",IF($A425+Capex!$D$15-1&gt;=Y$2,Book!$W$330/Capex!$D$15,0)))*$W$401</f>
        <v>0</v>
      </c>
      <c r="Z425" s="4">
        <f>(IF(Capex!$F$6="Y",IF($A425+Capex!$D$6-1&gt;=Z$2,Book!$W$6/Capex!$D$6,0))+IF(Capex!$F$7="Y",IF($A425+Capex!$D$7-1&gt;=Z$2,Book!$W$42/Capex!$D$7,0))+IF(Capex!$F$8="Y",IF($A425+Capex!$D$8-1&gt;=Z$2,Book!$W$78/Capex!$D$8,0))+IF(Capex!$F$9="Y",IF($A425+Capex!$D$9-1&gt;=Z$2,Book!$W$114/Capex!$D$9,0))+IF(Capex!$F$10="Y",IF($A425+Capex!$D$10-1&gt;=Z$2,Book!$W$150/Capex!$D$10,0))+IF(Capex!$F$11="Y",IF($A425+Capex!$D$11-1&gt;=Z$2,Book!$W$186/Capex!$D$11,0))+IF(Capex!$F$12="Y",IF($A425+Capex!$D$12-1&gt;=Z$2,Book!$W$222/Capex!$D$12,0))+IF(Capex!$F$13="Y",IF($A425+Capex!$D$13-1&gt;=Z$2,Book!$W$258/Capex!$D$13,0))+IF(Capex!$F$14="Y",IF($A425+Capex!$D$14-1&gt;=Z$2,Book!$W$14/Capex!$D$255,0))+IF(Capex!$F$15="Y",IF($A425+Capex!$D$15-1&gt;=Z$2,Book!$W$330/Capex!$D$15,0)))*$W$401</f>
        <v>0</v>
      </c>
      <c r="AA425" s="4">
        <f>(IF(Capex!$F$6="Y",IF($A425+Capex!$D$6-1&gt;=AA$2,Book!$W$6/Capex!$D$6,0))+IF(Capex!$F$7="Y",IF($A425+Capex!$D$7-1&gt;=AA$2,Book!$W$42/Capex!$D$7,0))+IF(Capex!$F$8="Y",IF($A425+Capex!$D$8-1&gt;=AA$2,Book!$W$78/Capex!$D$8,0))+IF(Capex!$F$9="Y",IF($A425+Capex!$D$9-1&gt;=AA$2,Book!$W$114/Capex!$D$9,0))+IF(Capex!$F$10="Y",IF($A425+Capex!$D$10-1&gt;=AA$2,Book!$W$150/Capex!$D$10,0))+IF(Capex!$F$11="Y",IF($A425+Capex!$D$11-1&gt;=AA$2,Book!$W$186/Capex!$D$11,0))+IF(Capex!$F$12="Y",IF($A425+Capex!$D$12-1&gt;=AA$2,Book!$W$222/Capex!$D$12,0))+IF(Capex!$F$13="Y",IF($A425+Capex!$D$13-1&gt;=AA$2,Book!$W$258/Capex!$D$13,0))+IF(Capex!$F$14="Y",IF($A425+Capex!$D$14-1&gt;=AA$2,Book!$W$14/Capex!$D$255,0))+IF(Capex!$F$15="Y",IF($A425+Capex!$D$15-1&gt;=AA$2,Book!$W$330/Capex!$D$15,0)))*$W$401</f>
        <v>0</v>
      </c>
      <c r="AB425" s="4">
        <f>(IF(Capex!$F$6="Y",IF($A425+Capex!$D$6-1&gt;=AB$2,Book!$W$6/Capex!$D$6,0))+IF(Capex!$F$7="Y",IF($A425+Capex!$D$7-1&gt;=AB$2,Book!$W$42/Capex!$D$7,0))+IF(Capex!$F$8="Y",IF($A425+Capex!$D$8-1&gt;=AB$2,Book!$W$78/Capex!$D$8,0))+IF(Capex!$F$9="Y",IF($A425+Capex!$D$9-1&gt;=AB$2,Book!$W$114/Capex!$D$9,0))+IF(Capex!$F$10="Y",IF($A425+Capex!$D$10-1&gt;=AB$2,Book!$W$150/Capex!$D$10,0))+IF(Capex!$F$11="Y",IF($A425+Capex!$D$11-1&gt;=AB$2,Book!$W$186/Capex!$D$11,0))+IF(Capex!$F$12="Y",IF($A425+Capex!$D$12-1&gt;=AB$2,Book!$W$222/Capex!$D$12,0))+IF(Capex!$F$13="Y",IF($A425+Capex!$D$13-1&gt;=AB$2,Book!$W$258/Capex!$D$13,0))+IF(Capex!$F$14="Y",IF($A425+Capex!$D$14-1&gt;=AB$2,Book!$W$14/Capex!$D$255,0))+IF(Capex!$F$15="Y",IF($A425+Capex!$D$15-1&gt;=AB$2,Book!$W$330/Capex!$D$15,0)))*$W$401</f>
        <v>0</v>
      </c>
      <c r="AC425" s="4">
        <f>(IF(Capex!$F$6="Y",IF($A425+Capex!$D$6-1&gt;=AC$2,Book!$W$6/Capex!$D$6,0))+IF(Capex!$F$7="Y",IF($A425+Capex!$D$7-1&gt;=AC$2,Book!$W$42/Capex!$D$7,0))+IF(Capex!$F$8="Y",IF($A425+Capex!$D$8-1&gt;=AC$2,Book!$W$78/Capex!$D$8,0))+IF(Capex!$F$9="Y",IF($A425+Capex!$D$9-1&gt;=AC$2,Book!$W$114/Capex!$D$9,0))+IF(Capex!$F$10="Y",IF($A425+Capex!$D$10-1&gt;=AC$2,Book!$W$150/Capex!$D$10,0))+IF(Capex!$F$11="Y",IF($A425+Capex!$D$11-1&gt;=AC$2,Book!$W$186/Capex!$D$11,0))+IF(Capex!$F$12="Y",IF($A425+Capex!$D$12-1&gt;=AC$2,Book!$W$222/Capex!$D$12,0))+IF(Capex!$F$13="Y",IF($A425+Capex!$D$13-1&gt;=AC$2,Book!$W$258/Capex!$D$13,0))+IF(Capex!$F$14="Y",IF($A425+Capex!$D$14-1&gt;=AC$2,Book!$W$14/Capex!$D$255,0))+IF(Capex!$F$15="Y",IF($A425+Capex!$D$15-1&gt;=AC$2,Book!$W$330/Capex!$D$15,0)))*$W$401</f>
        <v>0</v>
      </c>
      <c r="AD425" s="4">
        <f>(IF(Capex!$F$6="Y",IF($A425+Capex!$D$6-1&gt;=AD$2,Book!$W$6/Capex!$D$6,0))+IF(Capex!$F$7="Y",IF($A425+Capex!$D$7-1&gt;=AD$2,Book!$W$42/Capex!$D$7,0))+IF(Capex!$F$8="Y",IF($A425+Capex!$D$8-1&gt;=AD$2,Book!$W$78/Capex!$D$8,0))+IF(Capex!$F$9="Y",IF($A425+Capex!$D$9-1&gt;=AD$2,Book!$W$114/Capex!$D$9,0))+IF(Capex!$F$10="Y",IF($A425+Capex!$D$10-1&gt;=AD$2,Book!$W$150/Capex!$D$10,0))+IF(Capex!$F$11="Y",IF($A425+Capex!$D$11-1&gt;=AD$2,Book!$W$186/Capex!$D$11,0))+IF(Capex!$F$12="Y",IF($A425+Capex!$D$12-1&gt;=AD$2,Book!$W$222/Capex!$D$12,0))+IF(Capex!$F$13="Y",IF($A425+Capex!$D$13-1&gt;=AD$2,Book!$W$258/Capex!$D$13,0))+IF(Capex!$F$14="Y",IF($A425+Capex!$D$14-1&gt;=AD$2,Book!$W$14/Capex!$D$255,0))+IF(Capex!$F$15="Y",IF($A425+Capex!$D$15-1&gt;=AD$2,Book!$W$330/Capex!$D$15,0)))*$W$401</f>
        <v>0</v>
      </c>
      <c r="AE425" s="4">
        <f>(IF(Capex!$F$6="Y",IF($A425+Capex!$D$6-1&gt;=AE$2,Book!$W$6/Capex!$D$6,0))+IF(Capex!$F$7="Y",IF($A425+Capex!$D$7-1&gt;=AE$2,Book!$W$42/Capex!$D$7,0))+IF(Capex!$F$8="Y",IF($A425+Capex!$D$8-1&gt;=AE$2,Book!$W$78/Capex!$D$8,0))+IF(Capex!$F$9="Y",IF($A425+Capex!$D$9-1&gt;=AE$2,Book!$W$114/Capex!$D$9,0))+IF(Capex!$F$10="Y",IF($A425+Capex!$D$10-1&gt;=AE$2,Book!$W$150/Capex!$D$10,0))+IF(Capex!$F$11="Y",IF($A425+Capex!$D$11-1&gt;=AE$2,Book!$W$186/Capex!$D$11,0))+IF(Capex!$F$12="Y",IF($A425+Capex!$D$12-1&gt;=AE$2,Book!$W$222/Capex!$D$12,0))+IF(Capex!$F$13="Y",IF($A425+Capex!$D$13-1&gt;=AE$2,Book!$W$258/Capex!$D$13,0))+IF(Capex!$F$14="Y",IF($A425+Capex!$D$14-1&gt;=AE$2,Book!$W$14/Capex!$D$255,0))+IF(Capex!$F$15="Y",IF($A425+Capex!$D$15-1&gt;=AE$2,Book!$W$330/Capex!$D$15,0)))*$W$401</f>
        <v>0</v>
      </c>
      <c r="AF425" s="4">
        <f>(IF(Capex!$F$6="Y",IF($A425+Capex!$D$6-1&gt;=AF$2,Book!$W$6/Capex!$D$6,0))+IF(Capex!$F$7="Y",IF($A425+Capex!$D$7-1&gt;=AF$2,Book!$W$42/Capex!$D$7,0))+IF(Capex!$F$8="Y",IF($A425+Capex!$D$8-1&gt;=AF$2,Book!$W$78/Capex!$D$8,0))+IF(Capex!$F$9="Y",IF($A425+Capex!$D$9-1&gt;=AF$2,Book!$W$114/Capex!$D$9,0))+IF(Capex!$F$10="Y",IF($A425+Capex!$D$10-1&gt;=AF$2,Book!$W$150/Capex!$D$10,0))+IF(Capex!$F$11="Y",IF($A425+Capex!$D$11-1&gt;=AF$2,Book!$W$186/Capex!$D$11,0))+IF(Capex!$F$12="Y",IF($A425+Capex!$D$12-1&gt;=AF$2,Book!$W$222/Capex!$D$12,0))+IF(Capex!$F$13="Y",IF($A425+Capex!$D$13-1&gt;=AF$2,Book!$W$258/Capex!$D$13,0))+IF(Capex!$F$14="Y",IF($A425+Capex!$D$14-1&gt;=AF$2,Book!$W$14/Capex!$D$255,0))+IF(Capex!$F$15="Y",IF($A425+Capex!$D$15-1&gt;=AF$2,Book!$W$330/Capex!$D$15,0)))*$W$401</f>
        <v>0</v>
      </c>
      <c r="AG425" s="4">
        <f t="shared" si="130"/>
        <v>0</v>
      </c>
      <c r="AH425" s="252">
        <f t="shared" si="132"/>
        <v>0</v>
      </c>
    </row>
    <row r="426" spans="1:34">
      <c r="A426" s="718">
        <f t="shared" si="129"/>
        <v>2043</v>
      </c>
      <c r="B426" s="4">
        <f t="shared" si="131"/>
        <v>0</v>
      </c>
      <c r="X426" s="4">
        <f>(IF(Capex!$F$6="Y",IF($A426+Capex!$D$6-1&gt;=X$2,Book!$X$6/Capex!$D$6,0))+IF(Capex!$F$7="Y",IF($A426+Capex!$D$7-1&gt;=X$2,Book!$X$42/Capex!$D$7,0))+IF(Capex!$F$8="Y",IF($A426+Capex!$D$8-1&gt;=X$2,Book!$X$78/Capex!$D$8,0))+IF(Capex!$F$9="Y",IF($A426+Capex!$D$9-1&gt;=X$2,Book!$X$114/Capex!$D$9,0))+IF(Capex!$F$10="Y",IF($A426+Capex!$D$10-1&gt;=X$2,Book!$X$150/Capex!$D$10,0))+IF(Capex!$F$11="Y",IF($A426+Capex!$D$11-1&gt;=X$2,Book!$X$186/Capex!$D$11,0))+IF(Capex!$F$12="Y",IF($A426+Capex!$D$12-1&gt;=X$2,Book!$X$222/Capex!$D$12,0))+IF(Capex!$F$13="Y",IF($A426+Capex!$D$13-1&gt;=X$2,Book!$X$258/Capex!$D$13,0))+IF(Capex!$F$14="Y",IF($A426+Capex!$D$14-1&gt;=X$2,Book!$X$14/Capex!$D$255,0))+IF(Capex!$F$15="Y",IF($A426+Capex!$D$15-1&gt;=X$2,Book!$X$330/Capex!$D$15,0)))*$X$401</f>
        <v>0</v>
      </c>
      <c r="Y426" s="4">
        <f>(IF(Capex!$F$6="Y",IF($A426+Capex!$D$6-1&gt;=Y$2,Book!$X$6/Capex!$D$6,0))+IF(Capex!$F$7="Y",IF($A426+Capex!$D$7-1&gt;=Y$2,Book!$X$42/Capex!$D$7,0))+IF(Capex!$F$8="Y",IF($A426+Capex!$D$8-1&gt;=Y$2,Book!$X$78/Capex!$D$8,0))+IF(Capex!$F$9="Y",IF($A426+Capex!$D$9-1&gt;=Y$2,Book!$X$114/Capex!$D$9,0))+IF(Capex!$F$10="Y",IF($A426+Capex!$D$10-1&gt;=Y$2,Book!$X$150/Capex!$D$10,0))+IF(Capex!$F$11="Y",IF($A426+Capex!$D$11-1&gt;=Y$2,Book!$X$186/Capex!$D$11,0))+IF(Capex!$F$12="Y",IF($A426+Capex!$D$12-1&gt;=Y$2,Book!$X$222/Capex!$D$12,0))+IF(Capex!$F$13="Y",IF($A426+Capex!$D$13-1&gt;=Y$2,Book!$X$258/Capex!$D$13,0))+IF(Capex!$F$14="Y",IF($A426+Capex!$D$14-1&gt;=Y$2,Book!$X$14/Capex!$D$255,0))+IF(Capex!$F$15="Y",IF($A426+Capex!$D$15-1&gt;=Y$2,Book!$X$330/Capex!$D$15,0)))*$X$401</f>
        <v>0</v>
      </c>
      <c r="Z426" s="4">
        <f>(IF(Capex!$F$6="Y",IF($A426+Capex!$D$6-1&gt;=Z$2,Book!$X$6/Capex!$D$6,0))+IF(Capex!$F$7="Y",IF($A426+Capex!$D$7-1&gt;=Z$2,Book!$X$42/Capex!$D$7,0))+IF(Capex!$F$8="Y",IF($A426+Capex!$D$8-1&gt;=Z$2,Book!$X$78/Capex!$D$8,0))+IF(Capex!$F$9="Y",IF($A426+Capex!$D$9-1&gt;=Z$2,Book!$X$114/Capex!$D$9,0))+IF(Capex!$F$10="Y",IF($A426+Capex!$D$10-1&gt;=Z$2,Book!$X$150/Capex!$D$10,0))+IF(Capex!$F$11="Y",IF($A426+Capex!$D$11-1&gt;=Z$2,Book!$X$186/Capex!$D$11,0))+IF(Capex!$F$12="Y",IF($A426+Capex!$D$12-1&gt;=Z$2,Book!$X$222/Capex!$D$12,0))+IF(Capex!$F$13="Y",IF($A426+Capex!$D$13-1&gt;=Z$2,Book!$X$258/Capex!$D$13,0))+IF(Capex!$F$14="Y",IF($A426+Capex!$D$14-1&gt;=Z$2,Book!$X$14/Capex!$D$255,0))+IF(Capex!$F$15="Y",IF($A426+Capex!$D$15-1&gt;=Z$2,Book!$X$330/Capex!$D$15,0)))*$X$401</f>
        <v>0</v>
      </c>
      <c r="AA426" s="4">
        <f>(IF(Capex!$F$6="Y",IF($A426+Capex!$D$6-1&gt;=AA$2,Book!$X$6/Capex!$D$6,0))+IF(Capex!$F$7="Y",IF($A426+Capex!$D$7-1&gt;=AA$2,Book!$X$42/Capex!$D$7,0))+IF(Capex!$F$8="Y",IF($A426+Capex!$D$8-1&gt;=AA$2,Book!$X$78/Capex!$D$8,0))+IF(Capex!$F$9="Y",IF($A426+Capex!$D$9-1&gt;=AA$2,Book!$X$114/Capex!$D$9,0))+IF(Capex!$F$10="Y",IF($A426+Capex!$D$10-1&gt;=AA$2,Book!$X$150/Capex!$D$10,0))+IF(Capex!$F$11="Y",IF($A426+Capex!$D$11-1&gt;=AA$2,Book!$X$186/Capex!$D$11,0))+IF(Capex!$F$12="Y",IF($A426+Capex!$D$12-1&gt;=AA$2,Book!$X$222/Capex!$D$12,0))+IF(Capex!$F$13="Y",IF($A426+Capex!$D$13-1&gt;=AA$2,Book!$X$258/Capex!$D$13,0))+IF(Capex!$F$14="Y",IF($A426+Capex!$D$14-1&gt;=AA$2,Book!$X$14/Capex!$D$255,0))+IF(Capex!$F$15="Y",IF($A426+Capex!$D$15-1&gt;=AA$2,Book!$X$330/Capex!$D$15,0)))*$X$401</f>
        <v>0</v>
      </c>
      <c r="AB426" s="4">
        <f>(IF(Capex!$F$6="Y",IF($A426+Capex!$D$6-1&gt;=AB$2,Book!$X$6/Capex!$D$6,0))+IF(Capex!$F$7="Y",IF($A426+Capex!$D$7-1&gt;=AB$2,Book!$X$42/Capex!$D$7,0))+IF(Capex!$F$8="Y",IF($A426+Capex!$D$8-1&gt;=AB$2,Book!$X$78/Capex!$D$8,0))+IF(Capex!$F$9="Y",IF($A426+Capex!$D$9-1&gt;=AB$2,Book!$X$114/Capex!$D$9,0))+IF(Capex!$F$10="Y",IF($A426+Capex!$D$10-1&gt;=AB$2,Book!$X$150/Capex!$D$10,0))+IF(Capex!$F$11="Y",IF($A426+Capex!$D$11-1&gt;=AB$2,Book!$X$186/Capex!$D$11,0))+IF(Capex!$F$12="Y",IF($A426+Capex!$D$12-1&gt;=AB$2,Book!$X$222/Capex!$D$12,0))+IF(Capex!$F$13="Y",IF($A426+Capex!$D$13-1&gt;=AB$2,Book!$X$258/Capex!$D$13,0))+IF(Capex!$F$14="Y",IF($A426+Capex!$D$14-1&gt;=AB$2,Book!$X$14/Capex!$D$255,0))+IF(Capex!$F$15="Y",IF($A426+Capex!$D$15-1&gt;=AB$2,Book!$X$330/Capex!$D$15,0)))*$X$401</f>
        <v>0</v>
      </c>
      <c r="AC426" s="4">
        <f>(IF(Capex!$F$6="Y",IF($A426+Capex!$D$6-1&gt;=AC$2,Book!$X$6/Capex!$D$6,0))+IF(Capex!$F$7="Y",IF($A426+Capex!$D$7-1&gt;=AC$2,Book!$X$42/Capex!$D$7,0))+IF(Capex!$F$8="Y",IF($A426+Capex!$D$8-1&gt;=AC$2,Book!$X$78/Capex!$D$8,0))+IF(Capex!$F$9="Y",IF($A426+Capex!$D$9-1&gt;=AC$2,Book!$X$114/Capex!$D$9,0))+IF(Capex!$F$10="Y",IF($A426+Capex!$D$10-1&gt;=AC$2,Book!$X$150/Capex!$D$10,0))+IF(Capex!$F$11="Y",IF($A426+Capex!$D$11-1&gt;=AC$2,Book!$X$186/Capex!$D$11,0))+IF(Capex!$F$12="Y",IF($A426+Capex!$D$12-1&gt;=AC$2,Book!$X$222/Capex!$D$12,0))+IF(Capex!$F$13="Y",IF($A426+Capex!$D$13-1&gt;=AC$2,Book!$X$258/Capex!$D$13,0))+IF(Capex!$F$14="Y",IF($A426+Capex!$D$14-1&gt;=AC$2,Book!$X$14/Capex!$D$255,0))+IF(Capex!$F$15="Y",IF($A426+Capex!$D$15-1&gt;=AC$2,Book!$X$330/Capex!$D$15,0)))*$X$401</f>
        <v>0</v>
      </c>
      <c r="AD426" s="4">
        <f>(IF(Capex!$F$6="Y",IF($A426+Capex!$D$6-1&gt;=AD$2,Book!$X$6/Capex!$D$6,0))+IF(Capex!$F$7="Y",IF($A426+Capex!$D$7-1&gt;=AD$2,Book!$X$42/Capex!$D$7,0))+IF(Capex!$F$8="Y",IF($A426+Capex!$D$8-1&gt;=AD$2,Book!$X$78/Capex!$D$8,0))+IF(Capex!$F$9="Y",IF($A426+Capex!$D$9-1&gt;=AD$2,Book!$X$114/Capex!$D$9,0))+IF(Capex!$F$10="Y",IF($A426+Capex!$D$10-1&gt;=AD$2,Book!$X$150/Capex!$D$10,0))+IF(Capex!$F$11="Y",IF($A426+Capex!$D$11-1&gt;=AD$2,Book!$X$186/Capex!$D$11,0))+IF(Capex!$F$12="Y",IF($A426+Capex!$D$12-1&gt;=AD$2,Book!$X$222/Capex!$D$12,0))+IF(Capex!$F$13="Y",IF($A426+Capex!$D$13-1&gt;=AD$2,Book!$X$258/Capex!$D$13,0))+IF(Capex!$F$14="Y",IF($A426+Capex!$D$14-1&gt;=AD$2,Book!$X$14/Capex!$D$255,0))+IF(Capex!$F$15="Y",IF($A426+Capex!$D$15-1&gt;=AD$2,Book!$X$330/Capex!$D$15,0)))*$X$401</f>
        <v>0</v>
      </c>
      <c r="AE426" s="4">
        <f>(IF(Capex!$F$6="Y",IF($A426+Capex!$D$6-1&gt;=AE$2,Book!$X$6/Capex!$D$6,0))+IF(Capex!$F$7="Y",IF($A426+Capex!$D$7-1&gt;=AE$2,Book!$X$42/Capex!$D$7,0))+IF(Capex!$F$8="Y",IF($A426+Capex!$D$8-1&gt;=AE$2,Book!$X$78/Capex!$D$8,0))+IF(Capex!$F$9="Y",IF($A426+Capex!$D$9-1&gt;=AE$2,Book!$X$114/Capex!$D$9,0))+IF(Capex!$F$10="Y",IF($A426+Capex!$D$10-1&gt;=AE$2,Book!$X$150/Capex!$D$10,0))+IF(Capex!$F$11="Y",IF($A426+Capex!$D$11-1&gt;=AE$2,Book!$X$186/Capex!$D$11,0))+IF(Capex!$F$12="Y",IF($A426+Capex!$D$12-1&gt;=AE$2,Book!$X$222/Capex!$D$12,0))+IF(Capex!$F$13="Y",IF($A426+Capex!$D$13-1&gt;=AE$2,Book!$X$258/Capex!$D$13,0))+IF(Capex!$F$14="Y",IF($A426+Capex!$D$14-1&gt;=AE$2,Book!$X$14/Capex!$D$255,0))+IF(Capex!$F$15="Y",IF($A426+Capex!$D$15-1&gt;=AE$2,Book!$X$330/Capex!$D$15,0)))*$X$401</f>
        <v>0</v>
      </c>
      <c r="AF426" s="4">
        <f>(IF(Capex!$F$6="Y",IF($A426+Capex!$D$6-1&gt;=AF$2,Book!$X$6/Capex!$D$6,0))+IF(Capex!$F$7="Y",IF($A426+Capex!$D$7-1&gt;=AF$2,Book!$X$42/Capex!$D$7,0))+IF(Capex!$F$8="Y",IF($A426+Capex!$D$8-1&gt;=AF$2,Book!$X$78/Capex!$D$8,0))+IF(Capex!$F$9="Y",IF($A426+Capex!$D$9-1&gt;=AF$2,Book!$X$114/Capex!$D$9,0))+IF(Capex!$F$10="Y",IF($A426+Capex!$D$10-1&gt;=AF$2,Book!$X$150/Capex!$D$10,0))+IF(Capex!$F$11="Y",IF($A426+Capex!$D$11-1&gt;=AF$2,Book!$X$186/Capex!$D$11,0))+IF(Capex!$F$12="Y",IF($A426+Capex!$D$12-1&gt;=AF$2,Book!$X$222/Capex!$D$12,0))+IF(Capex!$F$13="Y",IF($A426+Capex!$D$13-1&gt;=AF$2,Book!$X$258/Capex!$D$13,0))+IF(Capex!$F$14="Y",IF($A426+Capex!$D$14-1&gt;=AF$2,Book!$X$14/Capex!$D$255,0))+IF(Capex!$F$15="Y",IF($A426+Capex!$D$15-1&gt;=AF$2,Book!$X$330/Capex!$D$15,0)))*$X$401</f>
        <v>0</v>
      </c>
      <c r="AG426" s="4">
        <f t="shared" si="130"/>
        <v>0</v>
      </c>
      <c r="AH426" s="252">
        <f t="shared" si="132"/>
        <v>0</v>
      </c>
    </row>
    <row r="427" spans="1:34">
      <c r="A427" s="718">
        <f t="shared" si="129"/>
        <v>2044</v>
      </c>
      <c r="B427" s="4">
        <f t="shared" si="131"/>
        <v>0</v>
      </c>
      <c r="Y427" s="4">
        <f>(IF(Capex!$F$6="Y",IF($A427+Capex!$D$6-1&gt;=Y$2,Book!$Y$6/Capex!$D$6,0))+IF(Capex!$F$7="Y",IF($A427+Capex!$D$7-1&gt;=Y$2,Book!$Y$42/Capex!$D$7,0))+IF(Capex!$F$8="Y",IF($A427+Capex!$D$8-1&gt;=Y$2,Book!$Y$78/Capex!$D$8,0))+IF(Capex!$F$9="Y",IF($A427+Capex!$D$9-1&gt;=Y$2,Book!$Y$114/Capex!$D$9,0))+IF(Capex!$F$10="Y",IF($A427+Capex!$D$10-1&gt;=Y$2,Book!$Y$150/Capex!$D$10,0))+IF(Capex!$F$11="Y",IF($A427+Capex!$D$11-1&gt;=Y$2,Book!$Y$186/Capex!$D$11,0))+IF(Capex!$F$12="Y",IF($A427+Capex!$D$12-1&gt;=Y$2,Book!$Y$222/Capex!$D$12,0))+IF(Capex!$F$13="Y",IF($A427+Capex!$D$13-1&gt;=Y$2,Book!$Y$258/Capex!$D$13,0))+IF(Capex!$F$14="Y",IF($A427+Capex!$D$14-1&gt;=Y$2,Book!$Y$14/Capex!$D$255,0))+IF(Capex!$F$15="Y",IF($A427+Capex!$D$15-1&gt;=Y$2,Book!$Y$330/Capex!$D$15,0)))*$Y$401</f>
        <v>0</v>
      </c>
      <c r="Z427" s="4">
        <f>(IF(Capex!$F$6="Y",IF($A427+Capex!$D$6-1&gt;=Z$2,Book!$Y$6/Capex!$D$6,0))+IF(Capex!$F$7="Y",IF($A427+Capex!$D$7-1&gt;=Z$2,Book!$Y$42/Capex!$D$7,0))+IF(Capex!$F$8="Y",IF($A427+Capex!$D$8-1&gt;=Z$2,Book!$Y$78/Capex!$D$8,0))+IF(Capex!$F$9="Y",IF($A427+Capex!$D$9-1&gt;=Z$2,Book!$Y$114/Capex!$D$9,0))+IF(Capex!$F$10="Y",IF($A427+Capex!$D$10-1&gt;=Z$2,Book!$Y$150/Capex!$D$10,0))+IF(Capex!$F$11="Y",IF($A427+Capex!$D$11-1&gt;=Z$2,Book!$Y$186/Capex!$D$11,0))+IF(Capex!$F$12="Y",IF($A427+Capex!$D$12-1&gt;=Z$2,Book!$Y$222/Capex!$D$12,0))+IF(Capex!$F$13="Y",IF($A427+Capex!$D$13-1&gt;=Z$2,Book!$Y$258/Capex!$D$13,0))+IF(Capex!$F$14="Y",IF($A427+Capex!$D$14-1&gt;=Z$2,Book!$Y$14/Capex!$D$255,0))+IF(Capex!$F$15="Y",IF($A427+Capex!$D$15-1&gt;=Z$2,Book!$Y$330/Capex!$D$15,0)))*$Y$401</f>
        <v>0</v>
      </c>
      <c r="AA427" s="4">
        <f>(IF(Capex!$F$6="Y",IF($A427+Capex!$D$6-1&gt;=AA$2,Book!$Y$6/Capex!$D$6,0))+IF(Capex!$F$7="Y",IF($A427+Capex!$D$7-1&gt;=AA$2,Book!$Y$42/Capex!$D$7,0))+IF(Capex!$F$8="Y",IF($A427+Capex!$D$8-1&gt;=AA$2,Book!$Y$78/Capex!$D$8,0))+IF(Capex!$F$9="Y",IF($A427+Capex!$D$9-1&gt;=AA$2,Book!$Y$114/Capex!$D$9,0))+IF(Capex!$F$10="Y",IF($A427+Capex!$D$10-1&gt;=AA$2,Book!$Y$150/Capex!$D$10,0))+IF(Capex!$F$11="Y",IF($A427+Capex!$D$11-1&gt;=AA$2,Book!$Y$186/Capex!$D$11,0))+IF(Capex!$F$12="Y",IF($A427+Capex!$D$12-1&gt;=AA$2,Book!$Y$222/Capex!$D$12,0))+IF(Capex!$F$13="Y",IF($A427+Capex!$D$13-1&gt;=AA$2,Book!$Y$258/Capex!$D$13,0))+IF(Capex!$F$14="Y",IF($A427+Capex!$D$14-1&gt;=AA$2,Book!$Y$14/Capex!$D$255,0))+IF(Capex!$F$15="Y",IF($A427+Capex!$D$15-1&gt;=AA$2,Book!$Y$330/Capex!$D$15,0)))*$Y$401</f>
        <v>0</v>
      </c>
      <c r="AB427" s="4">
        <f>(IF(Capex!$F$6="Y",IF($A427+Capex!$D$6-1&gt;=AB$2,Book!$Y$6/Capex!$D$6,0))+IF(Capex!$F$7="Y",IF($A427+Capex!$D$7-1&gt;=AB$2,Book!$Y$42/Capex!$D$7,0))+IF(Capex!$F$8="Y",IF($A427+Capex!$D$8-1&gt;=AB$2,Book!$Y$78/Capex!$D$8,0))+IF(Capex!$F$9="Y",IF($A427+Capex!$D$9-1&gt;=AB$2,Book!$Y$114/Capex!$D$9,0))+IF(Capex!$F$10="Y",IF($A427+Capex!$D$10-1&gt;=AB$2,Book!$Y$150/Capex!$D$10,0))+IF(Capex!$F$11="Y",IF($A427+Capex!$D$11-1&gt;=AB$2,Book!$Y$186/Capex!$D$11,0))+IF(Capex!$F$12="Y",IF($A427+Capex!$D$12-1&gt;=AB$2,Book!$Y$222/Capex!$D$12,0))+IF(Capex!$F$13="Y",IF($A427+Capex!$D$13-1&gt;=AB$2,Book!$Y$258/Capex!$D$13,0))+IF(Capex!$F$14="Y",IF($A427+Capex!$D$14-1&gt;=AB$2,Book!$Y$14/Capex!$D$255,0))+IF(Capex!$F$15="Y",IF($A427+Capex!$D$15-1&gt;=AB$2,Book!$Y$330/Capex!$D$15,0)))*$Y$401</f>
        <v>0</v>
      </c>
      <c r="AC427" s="4">
        <f>(IF(Capex!$F$6="Y",IF($A427+Capex!$D$6-1&gt;=AC$2,Book!$Y$6/Capex!$D$6,0))+IF(Capex!$F$7="Y",IF($A427+Capex!$D$7-1&gt;=AC$2,Book!$Y$42/Capex!$D$7,0))+IF(Capex!$F$8="Y",IF($A427+Capex!$D$8-1&gt;=AC$2,Book!$Y$78/Capex!$D$8,0))+IF(Capex!$F$9="Y",IF($A427+Capex!$D$9-1&gt;=AC$2,Book!$Y$114/Capex!$D$9,0))+IF(Capex!$F$10="Y",IF($A427+Capex!$D$10-1&gt;=AC$2,Book!$Y$150/Capex!$D$10,0))+IF(Capex!$F$11="Y",IF($A427+Capex!$D$11-1&gt;=AC$2,Book!$Y$186/Capex!$D$11,0))+IF(Capex!$F$12="Y",IF($A427+Capex!$D$12-1&gt;=AC$2,Book!$Y$222/Capex!$D$12,0))+IF(Capex!$F$13="Y",IF($A427+Capex!$D$13-1&gt;=AC$2,Book!$Y$258/Capex!$D$13,0))+IF(Capex!$F$14="Y",IF($A427+Capex!$D$14-1&gt;=AC$2,Book!$Y$14/Capex!$D$255,0))+IF(Capex!$F$15="Y",IF($A427+Capex!$D$15-1&gt;=AC$2,Book!$Y$330/Capex!$D$15,0)))*$Y$401</f>
        <v>0</v>
      </c>
      <c r="AD427" s="4">
        <f>(IF(Capex!$F$6="Y",IF($A427+Capex!$D$6-1&gt;=AD$2,Book!$Y$6/Capex!$D$6,0))+IF(Capex!$F$7="Y",IF($A427+Capex!$D$7-1&gt;=AD$2,Book!$Y$42/Capex!$D$7,0))+IF(Capex!$F$8="Y",IF($A427+Capex!$D$8-1&gt;=AD$2,Book!$Y$78/Capex!$D$8,0))+IF(Capex!$F$9="Y",IF($A427+Capex!$D$9-1&gt;=AD$2,Book!$Y$114/Capex!$D$9,0))+IF(Capex!$F$10="Y",IF($A427+Capex!$D$10-1&gt;=AD$2,Book!$Y$150/Capex!$D$10,0))+IF(Capex!$F$11="Y",IF($A427+Capex!$D$11-1&gt;=AD$2,Book!$Y$186/Capex!$D$11,0))+IF(Capex!$F$12="Y",IF($A427+Capex!$D$12-1&gt;=AD$2,Book!$Y$222/Capex!$D$12,0))+IF(Capex!$F$13="Y",IF($A427+Capex!$D$13-1&gt;=AD$2,Book!$Y$258/Capex!$D$13,0))+IF(Capex!$F$14="Y",IF($A427+Capex!$D$14-1&gt;=AD$2,Book!$Y$14/Capex!$D$255,0))+IF(Capex!$F$15="Y",IF($A427+Capex!$D$15-1&gt;=AD$2,Book!$Y$330/Capex!$D$15,0)))*$Y$401</f>
        <v>0</v>
      </c>
      <c r="AE427" s="4">
        <f>(IF(Capex!$F$6="Y",IF($A427+Capex!$D$6-1&gt;=AE$2,Book!$Y$6/Capex!$D$6,0))+IF(Capex!$F$7="Y",IF($A427+Capex!$D$7-1&gt;=AE$2,Book!$Y$42/Capex!$D$7,0))+IF(Capex!$F$8="Y",IF($A427+Capex!$D$8-1&gt;=AE$2,Book!$Y$78/Capex!$D$8,0))+IF(Capex!$F$9="Y",IF($A427+Capex!$D$9-1&gt;=AE$2,Book!$Y$114/Capex!$D$9,0))+IF(Capex!$F$10="Y",IF($A427+Capex!$D$10-1&gt;=AE$2,Book!$Y$150/Capex!$D$10,0))+IF(Capex!$F$11="Y",IF($A427+Capex!$D$11-1&gt;=AE$2,Book!$Y$186/Capex!$D$11,0))+IF(Capex!$F$12="Y",IF($A427+Capex!$D$12-1&gt;=AE$2,Book!$Y$222/Capex!$D$12,0))+IF(Capex!$F$13="Y",IF($A427+Capex!$D$13-1&gt;=AE$2,Book!$Y$258/Capex!$D$13,0))+IF(Capex!$F$14="Y",IF($A427+Capex!$D$14-1&gt;=AE$2,Book!$Y$14/Capex!$D$255,0))+IF(Capex!$F$15="Y",IF($A427+Capex!$D$15-1&gt;=AE$2,Book!$Y$330/Capex!$D$15,0)))*$Y$401</f>
        <v>0</v>
      </c>
      <c r="AF427" s="4">
        <f>(IF(Capex!$F$6="Y",IF($A427+Capex!$D$6-1&gt;=AF$2,Book!$Y$6/Capex!$D$6,0))+IF(Capex!$F$7="Y",IF($A427+Capex!$D$7-1&gt;=AF$2,Book!$Y$42/Capex!$D$7,0))+IF(Capex!$F$8="Y",IF($A427+Capex!$D$8-1&gt;=AF$2,Book!$Y$78/Capex!$D$8,0))+IF(Capex!$F$9="Y",IF($A427+Capex!$D$9-1&gt;=AF$2,Book!$Y$114/Capex!$D$9,0))+IF(Capex!$F$10="Y",IF($A427+Capex!$D$10-1&gt;=AF$2,Book!$Y$150/Capex!$D$10,0))+IF(Capex!$F$11="Y",IF($A427+Capex!$D$11-1&gt;=AF$2,Book!$Y$186/Capex!$D$11,0))+IF(Capex!$F$12="Y",IF($A427+Capex!$D$12-1&gt;=AF$2,Book!$Y$222/Capex!$D$12,0))+IF(Capex!$F$13="Y",IF($A427+Capex!$D$13-1&gt;=AF$2,Book!$Y$258/Capex!$D$13,0))+IF(Capex!$F$14="Y",IF($A427+Capex!$D$14-1&gt;=AF$2,Book!$Y$14/Capex!$D$255,0))+IF(Capex!$F$15="Y",IF($A427+Capex!$D$15-1&gt;=AF$2,Book!$Y$330/Capex!$D$15,0)))*$Y$401</f>
        <v>0</v>
      </c>
      <c r="AG427" s="4">
        <f t="shared" si="130"/>
        <v>0</v>
      </c>
      <c r="AH427" s="252">
        <f t="shared" si="132"/>
        <v>0</v>
      </c>
    </row>
    <row r="428" spans="1:34">
      <c r="A428" s="718">
        <f t="shared" si="129"/>
        <v>2045</v>
      </c>
      <c r="B428" s="4">
        <f t="shared" si="131"/>
        <v>0</v>
      </c>
      <c r="Z428" s="4">
        <f>(IF(Capex!$F$6="Y",IF($A428+Capex!$D$6-1&gt;=Z$2,Book!$Z$6/Capex!$D$6,0))+IF(Capex!$F$7="Y",IF($A428+Capex!$D$7-1&gt;=Z$2,Book!$Z$42/Capex!$D$7,0))+IF(Capex!$F$8="Y",IF($A428+Capex!$D$8-1&gt;=Z$2,Book!$Z$78/Capex!$D$8,0))+IF(Capex!$F$9="Y",IF($A428+Capex!$D$9-1&gt;=Z$2,Book!$Z$114/Capex!$D$9,0))+IF(Capex!$F$10="Y",IF($A428+Capex!$D$10-1&gt;=Z$2,Book!$Z$150/Capex!$D$10,0))+IF(Capex!$F$11="Y",IF($A428+Capex!$D$11-1&gt;=Z$2,Book!$Z$186/Capex!$D$11,0))+IF(Capex!$F$12="Y",IF($A428+Capex!$D$12-1&gt;=Z$2,Book!$Z$222/Capex!$D$12,0))+IF(Capex!$F$13="Y",IF($A428+Capex!$D$13-1&gt;=Z$2,Book!$Z$258/Capex!$D$13,0))+IF(Capex!$F$14="Y",IF($A428+Capex!$D$14-1&gt;=Z$2,Book!$Z$14/Capex!$D$255,0))+IF(Capex!$F$15="Y",IF($A428+Capex!$D$15-1&gt;=Z$2,Book!$Z$330/Capex!$D$15,0)))*$Z$401</f>
        <v>0</v>
      </c>
      <c r="AA428" s="4">
        <f>(IF(Capex!$F$6="Y",IF($A428+Capex!$D$6-1&gt;=AA$2,Book!$Z$6/Capex!$D$6,0))+IF(Capex!$F$7="Y",IF($A428+Capex!$D$7-1&gt;=AA$2,Book!$Z$42/Capex!$D$7,0))+IF(Capex!$F$8="Y",IF($A428+Capex!$D$8-1&gt;=AA$2,Book!$Z$78/Capex!$D$8,0))+IF(Capex!$F$9="Y",IF($A428+Capex!$D$9-1&gt;=AA$2,Book!$Z$114/Capex!$D$9,0))+IF(Capex!$F$10="Y",IF($A428+Capex!$D$10-1&gt;=AA$2,Book!$Z$150/Capex!$D$10,0))+IF(Capex!$F$11="Y",IF($A428+Capex!$D$11-1&gt;=AA$2,Book!$Z$186/Capex!$D$11,0))+IF(Capex!$F$12="Y",IF($A428+Capex!$D$12-1&gt;=AA$2,Book!$Z$222/Capex!$D$12,0))+IF(Capex!$F$13="Y",IF($A428+Capex!$D$13-1&gt;=AA$2,Book!$Z$258/Capex!$D$13,0))+IF(Capex!$F$14="Y",IF($A428+Capex!$D$14-1&gt;=AA$2,Book!$Z$14/Capex!$D$255,0))+IF(Capex!$F$15="Y",IF($A428+Capex!$D$15-1&gt;=AA$2,Book!$Z$330/Capex!$D$15,0)))*$Z$401</f>
        <v>0</v>
      </c>
      <c r="AB428" s="4">
        <f>(IF(Capex!$F$6="Y",IF($A428+Capex!$D$6-1&gt;=AB$2,Book!$Z$6/Capex!$D$6,0))+IF(Capex!$F$7="Y",IF($A428+Capex!$D$7-1&gt;=AB$2,Book!$Z$42/Capex!$D$7,0))+IF(Capex!$F$8="Y",IF($A428+Capex!$D$8-1&gt;=AB$2,Book!$Z$78/Capex!$D$8,0))+IF(Capex!$F$9="Y",IF($A428+Capex!$D$9-1&gt;=AB$2,Book!$Z$114/Capex!$D$9,0))+IF(Capex!$F$10="Y",IF($A428+Capex!$D$10-1&gt;=AB$2,Book!$Z$150/Capex!$D$10,0))+IF(Capex!$F$11="Y",IF($A428+Capex!$D$11-1&gt;=AB$2,Book!$Z$186/Capex!$D$11,0))+IF(Capex!$F$12="Y",IF($A428+Capex!$D$12-1&gt;=AB$2,Book!$Z$222/Capex!$D$12,0))+IF(Capex!$F$13="Y",IF($A428+Capex!$D$13-1&gt;=AB$2,Book!$Z$258/Capex!$D$13,0))+IF(Capex!$F$14="Y",IF($A428+Capex!$D$14-1&gt;=AB$2,Book!$Z$14/Capex!$D$255,0))+IF(Capex!$F$15="Y",IF($A428+Capex!$D$15-1&gt;=AB$2,Book!$Z$330/Capex!$D$15,0)))*$Z$401</f>
        <v>0</v>
      </c>
      <c r="AC428" s="4">
        <f>(IF(Capex!$F$6="Y",IF($A428+Capex!$D$6-1&gt;=AC$2,Book!$Z$6/Capex!$D$6,0))+IF(Capex!$F$7="Y",IF($A428+Capex!$D$7-1&gt;=AC$2,Book!$Z$42/Capex!$D$7,0))+IF(Capex!$F$8="Y",IF($A428+Capex!$D$8-1&gt;=AC$2,Book!$Z$78/Capex!$D$8,0))+IF(Capex!$F$9="Y",IF($A428+Capex!$D$9-1&gt;=AC$2,Book!$Z$114/Capex!$D$9,0))+IF(Capex!$F$10="Y",IF($A428+Capex!$D$10-1&gt;=AC$2,Book!$Z$150/Capex!$D$10,0))+IF(Capex!$F$11="Y",IF($A428+Capex!$D$11-1&gt;=AC$2,Book!$Z$186/Capex!$D$11,0))+IF(Capex!$F$12="Y",IF($A428+Capex!$D$12-1&gt;=AC$2,Book!$Z$222/Capex!$D$12,0))+IF(Capex!$F$13="Y",IF($A428+Capex!$D$13-1&gt;=AC$2,Book!$Z$258/Capex!$D$13,0))+IF(Capex!$F$14="Y",IF($A428+Capex!$D$14-1&gt;=AC$2,Book!$Z$14/Capex!$D$255,0))+IF(Capex!$F$15="Y",IF($A428+Capex!$D$15-1&gt;=AC$2,Book!$Z$330/Capex!$D$15,0)))*$Z$401</f>
        <v>0</v>
      </c>
      <c r="AD428" s="4">
        <f>(IF(Capex!$F$6="Y",IF($A428+Capex!$D$6-1&gt;=AD$2,Book!$Z$6/Capex!$D$6,0))+IF(Capex!$F$7="Y",IF($A428+Capex!$D$7-1&gt;=AD$2,Book!$Z$42/Capex!$D$7,0))+IF(Capex!$F$8="Y",IF($A428+Capex!$D$8-1&gt;=AD$2,Book!$Z$78/Capex!$D$8,0))+IF(Capex!$F$9="Y",IF($A428+Capex!$D$9-1&gt;=AD$2,Book!$Z$114/Capex!$D$9,0))+IF(Capex!$F$10="Y",IF($A428+Capex!$D$10-1&gt;=AD$2,Book!$Z$150/Capex!$D$10,0))+IF(Capex!$F$11="Y",IF($A428+Capex!$D$11-1&gt;=AD$2,Book!$Z$186/Capex!$D$11,0))+IF(Capex!$F$12="Y",IF($A428+Capex!$D$12-1&gt;=AD$2,Book!$Z$222/Capex!$D$12,0))+IF(Capex!$F$13="Y",IF($A428+Capex!$D$13-1&gt;=AD$2,Book!$Z$258/Capex!$D$13,0))+IF(Capex!$F$14="Y",IF($A428+Capex!$D$14-1&gt;=AD$2,Book!$Z$14/Capex!$D$255,0))+IF(Capex!$F$15="Y",IF($A428+Capex!$D$15-1&gt;=AD$2,Book!$Z$330/Capex!$D$15,0)))*$Z$401</f>
        <v>0</v>
      </c>
      <c r="AE428" s="4">
        <f>(IF(Capex!$F$6="Y",IF($A428+Capex!$D$6-1&gt;=AE$2,Book!$Z$6/Capex!$D$6,0))+IF(Capex!$F$7="Y",IF($A428+Capex!$D$7-1&gt;=AE$2,Book!$Z$42/Capex!$D$7,0))+IF(Capex!$F$8="Y",IF($A428+Capex!$D$8-1&gt;=AE$2,Book!$Z$78/Capex!$D$8,0))+IF(Capex!$F$9="Y",IF($A428+Capex!$D$9-1&gt;=AE$2,Book!$Z$114/Capex!$D$9,0))+IF(Capex!$F$10="Y",IF($A428+Capex!$D$10-1&gt;=AE$2,Book!$Z$150/Capex!$D$10,0))+IF(Capex!$F$11="Y",IF($A428+Capex!$D$11-1&gt;=AE$2,Book!$Z$186/Capex!$D$11,0))+IF(Capex!$F$12="Y",IF($A428+Capex!$D$12-1&gt;=AE$2,Book!$Z$222/Capex!$D$12,0))+IF(Capex!$F$13="Y",IF($A428+Capex!$D$13-1&gt;=AE$2,Book!$Z$258/Capex!$D$13,0))+IF(Capex!$F$14="Y",IF($A428+Capex!$D$14-1&gt;=AE$2,Book!$Z$14/Capex!$D$255,0))+IF(Capex!$F$15="Y",IF($A428+Capex!$D$15-1&gt;=AE$2,Book!$Z$330/Capex!$D$15,0)))*$Z$401</f>
        <v>0</v>
      </c>
      <c r="AF428" s="4">
        <f>(IF(Capex!$F$6="Y",IF($A428+Capex!$D$6-1&gt;=AF$2,Book!$Z$6/Capex!$D$6,0))+IF(Capex!$F$7="Y",IF($A428+Capex!$D$7-1&gt;=AF$2,Book!$Z$42/Capex!$D$7,0))+IF(Capex!$F$8="Y",IF($A428+Capex!$D$8-1&gt;=AF$2,Book!$Z$78/Capex!$D$8,0))+IF(Capex!$F$9="Y",IF($A428+Capex!$D$9-1&gt;=AF$2,Book!$Z$114/Capex!$D$9,0))+IF(Capex!$F$10="Y",IF($A428+Capex!$D$10-1&gt;=AF$2,Book!$Z$150/Capex!$D$10,0))+IF(Capex!$F$11="Y",IF($A428+Capex!$D$11-1&gt;=AF$2,Book!$Z$186/Capex!$D$11,0))+IF(Capex!$F$12="Y",IF($A428+Capex!$D$12-1&gt;=AF$2,Book!$Z$222/Capex!$D$12,0))+IF(Capex!$F$13="Y",IF($A428+Capex!$D$13-1&gt;=AF$2,Book!$Z$258/Capex!$D$13,0))+IF(Capex!$F$14="Y",IF($A428+Capex!$D$14-1&gt;=AF$2,Book!$Z$14/Capex!$D$255,0))+IF(Capex!$F$15="Y",IF($A428+Capex!$D$15-1&gt;=AF$2,Book!$Z$330/Capex!$D$15,0)))*$Z$401</f>
        <v>0</v>
      </c>
      <c r="AG428" s="4">
        <f t="shared" si="130"/>
        <v>0</v>
      </c>
      <c r="AH428" s="252">
        <f t="shared" si="132"/>
        <v>0</v>
      </c>
    </row>
    <row r="429" spans="1:34">
      <c r="A429" s="718">
        <f t="shared" si="129"/>
        <v>2046</v>
      </c>
      <c r="B429" s="4">
        <f t="shared" si="131"/>
        <v>0</v>
      </c>
      <c r="AA429" s="4">
        <f>(IF(Capex!$F$6="Y",IF($A429+Capex!$D$6-1&gt;=AA$2,Book!$AA$6/Capex!$D$6,0))+IF(Capex!$F$7="Y",IF($A429+Capex!$D$7-1&gt;=AA$2,Book!$AA$42/Capex!$D$7,0))+IF(Capex!$F$8="Y",IF($A429+Capex!$D$8-1&gt;=AA$2,Book!$AA$78/Capex!$D$8,0))+IF(Capex!$F$9="Y",IF($A429+Capex!$D$9-1&gt;=AA$2,Book!$AA$114/Capex!$D$9,0))+IF(Capex!$F$10="Y",IF($A429+Capex!$D$10-1&gt;=AA$2,Book!$AA$150/Capex!$D$10,0))+IF(Capex!$F$11="Y",IF($A429+Capex!$D$11-1&gt;=AA$2,Book!$AA$186/Capex!$D$11,0))+IF(Capex!$F$12="Y",IF($A429+Capex!$D$12-1&gt;=AA$2,Book!$AA$222/Capex!$D$12,0))+IF(Capex!$F$13="Y",IF($A429+Capex!$D$13-1&gt;=AA$2,Book!$AA$258/Capex!$D$13,0))+IF(Capex!$F$14="Y",IF($A429+Capex!$D$14-1&gt;=AA$2,Book!$AA$14/Capex!$D$255,0))+IF(Capex!$F$15="Y",IF($A429+Capex!$D$15-1&gt;=AA$2,Book!$AA$330/Capex!$D$15,0)))*$AA$401</f>
        <v>0</v>
      </c>
      <c r="AB429" s="4">
        <f>(IF(Capex!$F$6="Y",IF($A429+Capex!$D$6-1&gt;=AB$2,Book!$AA$6/Capex!$D$6,0))+IF(Capex!$F$7="Y",IF($A429+Capex!$D$7-1&gt;=AB$2,Book!$AA$42/Capex!$D$7,0))+IF(Capex!$F$8="Y",IF($A429+Capex!$D$8-1&gt;=AB$2,Book!$AA$78/Capex!$D$8,0))+IF(Capex!$F$9="Y",IF($A429+Capex!$D$9-1&gt;=AB$2,Book!$AA$114/Capex!$D$9,0))+IF(Capex!$F$10="Y",IF($A429+Capex!$D$10-1&gt;=AB$2,Book!$AA$150/Capex!$D$10,0))+IF(Capex!$F$11="Y",IF($A429+Capex!$D$11-1&gt;=AB$2,Book!$AA$186/Capex!$D$11,0))+IF(Capex!$F$12="Y",IF($A429+Capex!$D$12-1&gt;=AB$2,Book!$AA$222/Capex!$D$12,0))+IF(Capex!$F$13="Y",IF($A429+Capex!$D$13-1&gt;=AB$2,Book!$AA$258/Capex!$D$13,0))+IF(Capex!$F$14="Y",IF($A429+Capex!$D$14-1&gt;=AB$2,Book!$AA$14/Capex!$D$255,0))+IF(Capex!$F$15="Y",IF($A429+Capex!$D$15-1&gt;=AB$2,Book!$AA$330/Capex!$D$15,0)))*$AA$401</f>
        <v>0</v>
      </c>
      <c r="AC429" s="4">
        <f>(IF(Capex!$F$6="Y",IF($A429+Capex!$D$6-1&gt;=AC$2,Book!$AA$6/Capex!$D$6,0))+IF(Capex!$F$7="Y",IF($A429+Capex!$D$7-1&gt;=AC$2,Book!$AA$42/Capex!$D$7,0))+IF(Capex!$F$8="Y",IF($A429+Capex!$D$8-1&gt;=AC$2,Book!$AA$78/Capex!$D$8,0))+IF(Capex!$F$9="Y",IF($A429+Capex!$D$9-1&gt;=AC$2,Book!$AA$114/Capex!$D$9,0))+IF(Capex!$F$10="Y",IF($A429+Capex!$D$10-1&gt;=AC$2,Book!$AA$150/Capex!$D$10,0))+IF(Capex!$F$11="Y",IF($A429+Capex!$D$11-1&gt;=AC$2,Book!$AA$186/Capex!$D$11,0))+IF(Capex!$F$12="Y",IF($A429+Capex!$D$12-1&gt;=AC$2,Book!$AA$222/Capex!$D$12,0))+IF(Capex!$F$13="Y",IF($A429+Capex!$D$13-1&gt;=AC$2,Book!$AA$258/Capex!$D$13,0))+IF(Capex!$F$14="Y",IF($A429+Capex!$D$14-1&gt;=AC$2,Book!$AA$14/Capex!$D$255,0))+IF(Capex!$F$15="Y",IF($A429+Capex!$D$15-1&gt;=AC$2,Book!$AA$330/Capex!$D$15,0)))*$AA$401</f>
        <v>0</v>
      </c>
      <c r="AD429" s="4">
        <f>(IF(Capex!$F$6="Y",IF($A429+Capex!$D$6-1&gt;=AD$2,Book!$AA$6/Capex!$D$6,0))+IF(Capex!$F$7="Y",IF($A429+Capex!$D$7-1&gt;=AD$2,Book!$AA$42/Capex!$D$7,0))+IF(Capex!$F$8="Y",IF($A429+Capex!$D$8-1&gt;=AD$2,Book!$AA$78/Capex!$D$8,0))+IF(Capex!$F$9="Y",IF($A429+Capex!$D$9-1&gt;=AD$2,Book!$AA$114/Capex!$D$9,0))+IF(Capex!$F$10="Y",IF($A429+Capex!$D$10-1&gt;=AD$2,Book!$AA$150/Capex!$D$10,0))+IF(Capex!$F$11="Y",IF($A429+Capex!$D$11-1&gt;=AD$2,Book!$AA$186/Capex!$D$11,0))+IF(Capex!$F$12="Y",IF($A429+Capex!$D$12-1&gt;=AD$2,Book!$AA$222/Capex!$D$12,0))+IF(Capex!$F$13="Y",IF($A429+Capex!$D$13-1&gt;=AD$2,Book!$AA$258/Capex!$D$13,0))+IF(Capex!$F$14="Y",IF($A429+Capex!$D$14-1&gt;=AD$2,Book!$AA$14/Capex!$D$255,0))+IF(Capex!$F$15="Y",IF($A429+Capex!$D$15-1&gt;=AD$2,Book!$AA$330/Capex!$D$15,0)))*$AA$401</f>
        <v>0</v>
      </c>
      <c r="AE429" s="4">
        <f>(IF(Capex!$F$6="Y",IF($A429+Capex!$D$6-1&gt;=AE$2,Book!$AA$6/Capex!$D$6,0))+IF(Capex!$F$7="Y",IF($A429+Capex!$D$7-1&gt;=AE$2,Book!$AA$42/Capex!$D$7,0))+IF(Capex!$F$8="Y",IF($A429+Capex!$D$8-1&gt;=AE$2,Book!$AA$78/Capex!$D$8,0))+IF(Capex!$F$9="Y",IF($A429+Capex!$D$9-1&gt;=AE$2,Book!$AA$114/Capex!$D$9,0))+IF(Capex!$F$10="Y",IF($A429+Capex!$D$10-1&gt;=AE$2,Book!$AA$150/Capex!$D$10,0))+IF(Capex!$F$11="Y",IF($A429+Capex!$D$11-1&gt;=AE$2,Book!$AA$186/Capex!$D$11,0))+IF(Capex!$F$12="Y",IF($A429+Capex!$D$12-1&gt;=AE$2,Book!$AA$222/Capex!$D$12,0))+IF(Capex!$F$13="Y",IF($A429+Capex!$D$13-1&gt;=AE$2,Book!$AA$258/Capex!$D$13,0))+IF(Capex!$F$14="Y",IF($A429+Capex!$D$14-1&gt;=AE$2,Book!$AA$14/Capex!$D$255,0))+IF(Capex!$F$15="Y",IF($A429+Capex!$D$15-1&gt;=AE$2,Book!$AA$330/Capex!$D$15,0)))*$AA$401</f>
        <v>0</v>
      </c>
      <c r="AF429" s="4">
        <f>(IF(Capex!$F$6="Y",IF($A429+Capex!$D$6-1&gt;=AF$2,Book!$AA$6/Capex!$D$6,0))+IF(Capex!$F$7="Y",IF($A429+Capex!$D$7-1&gt;=AF$2,Book!$AA$42/Capex!$D$7,0))+IF(Capex!$F$8="Y",IF($A429+Capex!$D$8-1&gt;=AF$2,Book!$AA$78/Capex!$D$8,0))+IF(Capex!$F$9="Y",IF($A429+Capex!$D$9-1&gt;=AF$2,Book!$AA$114/Capex!$D$9,0))+IF(Capex!$F$10="Y",IF($A429+Capex!$D$10-1&gt;=AF$2,Book!$AA$150/Capex!$D$10,0))+IF(Capex!$F$11="Y",IF($A429+Capex!$D$11-1&gt;=AF$2,Book!$AA$186/Capex!$D$11,0))+IF(Capex!$F$12="Y",IF($A429+Capex!$D$12-1&gt;=AF$2,Book!$AA$222/Capex!$D$12,0))+IF(Capex!$F$13="Y",IF($A429+Capex!$D$13-1&gt;=AF$2,Book!$AA$258/Capex!$D$13,0))+IF(Capex!$F$14="Y",IF($A429+Capex!$D$14-1&gt;=AF$2,Book!$AA$14/Capex!$D$255,0))+IF(Capex!$F$15="Y",IF($A429+Capex!$D$15-1&gt;=AF$2,Book!$AA$330/Capex!$D$15,0)))*$AA$401</f>
        <v>0</v>
      </c>
      <c r="AG429" s="4">
        <f t="shared" si="130"/>
        <v>0</v>
      </c>
      <c r="AH429" s="252">
        <f t="shared" si="132"/>
        <v>0</v>
      </c>
    </row>
    <row r="430" spans="1:34">
      <c r="A430" s="718">
        <f t="shared" si="129"/>
        <v>2047</v>
      </c>
      <c r="B430" s="4">
        <f t="shared" si="131"/>
        <v>0</v>
      </c>
      <c r="AB430" s="4">
        <f>(IF(Capex!$F$6="Y",IF($A430+Capex!$D$6-1&gt;=AB$2,Book!$AA$6/Capex!$D$6,0))+IF(Capex!$F$7="Y",IF($A430+Capex!$D$7-1&gt;=AB$2,Book!$AA$42/Capex!$D$7,0))+IF(Capex!$F$8="Y",IF($A430+Capex!$D$8-1&gt;=AB$2,Book!$AA$78/Capex!$D$8,0))+IF(Capex!$F$9="Y",IF($A430+Capex!$D$9-1&gt;=AB$2,Book!$AA$114/Capex!$D$9,0))+IF(Capex!$F$10="Y",IF($A430+Capex!$D$10-1&gt;=AB$2,Book!$AA$150/Capex!$D$10,0))+IF(Capex!$F$11="Y",IF($A430+Capex!$D$11-1&gt;=AB$2,Book!$AA$186/Capex!$D$11,0))+IF(Capex!$F$12="Y",IF($A430+Capex!$D$12-1&gt;=AB$2,Book!$AA$222/Capex!$D$12,0))+IF(Capex!$F$13="Y",IF($A430+Capex!$D$13-1&gt;=AB$2,Book!$AA$258/Capex!$D$13,0))+IF(Capex!$F$14="Y",IF($A430+Capex!$D$14-1&gt;=AB$2,Book!$AA$14/Capex!$D$255,0))+IF(Capex!$F$15="Y",IF($A430+Capex!$D$15-1&gt;=AB$2,Book!$AA$330/Capex!$D$15,0)))*$AB$401</f>
        <v>0</v>
      </c>
      <c r="AC430" s="4">
        <f>(IF(Capex!$F$6="Y",IF($A430+Capex!$D$6-1&gt;=AC$2,Book!$AA$6/Capex!$D$6,0))+IF(Capex!$F$7="Y",IF($A430+Capex!$D$7-1&gt;=AC$2,Book!$AA$42/Capex!$D$7,0))+IF(Capex!$F$8="Y",IF($A430+Capex!$D$8-1&gt;=AC$2,Book!$AA$78/Capex!$D$8,0))+IF(Capex!$F$9="Y",IF($A430+Capex!$D$9-1&gt;=AC$2,Book!$AA$114/Capex!$D$9,0))+IF(Capex!$F$10="Y",IF($A430+Capex!$D$10-1&gt;=AC$2,Book!$AA$150/Capex!$D$10,0))+IF(Capex!$F$11="Y",IF($A430+Capex!$D$11-1&gt;=AC$2,Book!$AA$186/Capex!$D$11,0))+IF(Capex!$F$12="Y",IF($A430+Capex!$D$12-1&gt;=AC$2,Book!$AA$222/Capex!$D$12,0))+IF(Capex!$F$13="Y",IF($A430+Capex!$D$13-1&gt;=AC$2,Book!$AA$258/Capex!$D$13,0))+IF(Capex!$F$14="Y",IF($A430+Capex!$D$14-1&gt;=AC$2,Book!$AA$14/Capex!$D$255,0))+IF(Capex!$F$15="Y",IF($A430+Capex!$D$15-1&gt;=AC$2,Book!$AA$330/Capex!$D$15,0)))*$AB$401</f>
        <v>0</v>
      </c>
      <c r="AD430" s="4">
        <f>(IF(Capex!$F$6="Y",IF($A430+Capex!$D$6-1&gt;=AD$2,Book!$AA$6/Capex!$D$6,0))+IF(Capex!$F$7="Y",IF($A430+Capex!$D$7-1&gt;=AD$2,Book!$AA$42/Capex!$D$7,0))+IF(Capex!$F$8="Y",IF($A430+Capex!$D$8-1&gt;=AD$2,Book!$AA$78/Capex!$D$8,0))+IF(Capex!$F$9="Y",IF($A430+Capex!$D$9-1&gt;=AD$2,Book!$AA$114/Capex!$D$9,0))+IF(Capex!$F$10="Y",IF($A430+Capex!$D$10-1&gt;=AD$2,Book!$AA$150/Capex!$D$10,0))+IF(Capex!$F$11="Y",IF($A430+Capex!$D$11-1&gt;=AD$2,Book!$AA$186/Capex!$D$11,0))+IF(Capex!$F$12="Y",IF($A430+Capex!$D$12-1&gt;=AD$2,Book!$AA$222/Capex!$D$12,0))+IF(Capex!$F$13="Y",IF($A430+Capex!$D$13-1&gt;=AD$2,Book!$AA$258/Capex!$D$13,0))+IF(Capex!$F$14="Y",IF($A430+Capex!$D$14-1&gt;=AD$2,Book!$AA$14/Capex!$D$255,0))+IF(Capex!$F$15="Y",IF($A430+Capex!$D$15-1&gt;=AD$2,Book!$AA$330/Capex!$D$15,0)))*$AB$401</f>
        <v>0</v>
      </c>
      <c r="AE430" s="4">
        <f>(IF(Capex!$F$6="Y",IF($A430+Capex!$D$6-1&gt;=AE$2,Book!$AA$6/Capex!$D$6,0))+IF(Capex!$F$7="Y",IF($A430+Capex!$D$7-1&gt;=AE$2,Book!$AA$42/Capex!$D$7,0))+IF(Capex!$F$8="Y",IF($A430+Capex!$D$8-1&gt;=AE$2,Book!$AA$78/Capex!$D$8,0))+IF(Capex!$F$9="Y",IF($A430+Capex!$D$9-1&gt;=AE$2,Book!$AA$114/Capex!$D$9,0))+IF(Capex!$F$10="Y",IF($A430+Capex!$D$10-1&gt;=AE$2,Book!$AA$150/Capex!$D$10,0))+IF(Capex!$F$11="Y",IF($A430+Capex!$D$11-1&gt;=AE$2,Book!$AA$186/Capex!$D$11,0))+IF(Capex!$F$12="Y",IF($A430+Capex!$D$12-1&gt;=AE$2,Book!$AA$222/Capex!$D$12,0))+IF(Capex!$F$13="Y",IF($A430+Capex!$D$13-1&gt;=AE$2,Book!$AA$258/Capex!$D$13,0))+IF(Capex!$F$14="Y",IF($A430+Capex!$D$14-1&gt;=AE$2,Book!$AA$14/Capex!$D$255,0))+IF(Capex!$F$15="Y",IF($A430+Capex!$D$15-1&gt;=AE$2,Book!$AA$330/Capex!$D$15,0)))*$AB$401</f>
        <v>0</v>
      </c>
      <c r="AF430" s="4">
        <f>(IF(Capex!$F$6="Y",IF($A430+Capex!$D$6-1&gt;=AF$2,Book!$AA$6/Capex!$D$6,0))+IF(Capex!$F$7="Y",IF($A430+Capex!$D$7-1&gt;=AF$2,Book!$AA$42/Capex!$D$7,0))+IF(Capex!$F$8="Y",IF($A430+Capex!$D$8-1&gt;=AF$2,Book!$AA$78/Capex!$D$8,0))+IF(Capex!$F$9="Y",IF($A430+Capex!$D$9-1&gt;=AF$2,Book!$AA$114/Capex!$D$9,0))+IF(Capex!$F$10="Y",IF($A430+Capex!$D$10-1&gt;=AF$2,Book!$AA$150/Capex!$D$10,0))+IF(Capex!$F$11="Y",IF($A430+Capex!$D$11-1&gt;=AF$2,Book!$AA$186/Capex!$D$11,0))+IF(Capex!$F$12="Y",IF($A430+Capex!$D$12-1&gt;=AF$2,Book!$AA$222/Capex!$D$12,0))+IF(Capex!$F$13="Y",IF($A430+Capex!$D$13-1&gt;=AF$2,Book!$AA$258/Capex!$D$13,0))+IF(Capex!$F$14="Y",IF($A430+Capex!$D$14-1&gt;=AF$2,Book!$AA$14/Capex!$D$255,0))+IF(Capex!$F$15="Y",IF($A430+Capex!$D$15-1&gt;=AF$2,Book!$AA$330/Capex!$D$15,0)))*$AB$401</f>
        <v>0</v>
      </c>
      <c r="AG430" s="4">
        <f t="shared" ref="AG430:AG434" si="133">SUM(C430:AF430)</f>
        <v>0</v>
      </c>
      <c r="AH430" s="252">
        <f t="shared" ref="AH430:AH434" si="134">+B430-AG430</f>
        <v>0</v>
      </c>
    </row>
    <row r="431" spans="1:34">
      <c r="A431" s="718">
        <f t="shared" si="129"/>
        <v>2048</v>
      </c>
      <c r="B431" s="4">
        <f t="shared" si="131"/>
        <v>0</v>
      </c>
      <c r="AC431" s="4">
        <f>(IF(Capex!$F$6="Y",IF($A431+Capex!$D$6-1&gt;=AC$2,Book!$AA$6/Capex!$D$6,0))+IF(Capex!$F$7="Y",IF($A431+Capex!$D$7-1&gt;=AC$2,Book!$AA$42/Capex!$D$7,0))+IF(Capex!$F$8="Y",IF($A431+Capex!$D$8-1&gt;=AC$2,Book!$AA$78/Capex!$D$8,0))+IF(Capex!$F$9="Y",IF($A431+Capex!$D$9-1&gt;=AC$2,Book!$AA$114/Capex!$D$9,0))+IF(Capex!$F$10="Y",IF($A431+Capex!$D$10-1&gt;=AC$2,Book!$AA$150/Capex!$D$10,0))+IF(Capex!$F$11="Y",IF($A431+Capex!$D$11-1&gt;=AC$2,Book!$AA$186/Capex!$D$11,0))+IF(Capex!$F$12="Y",IF($A431+Capex!$D$12-1&gt;=AC$2,Book!$AA$222/Capex!$D$12,0))+IF(Capex!$F$13="Y",IF($A431+Capex!$D$13-1&gt;=AC$2,Book!$AA$258/Capex!$D$13,0))+IF(Capex!$F$14="Y",IF($A431+Capex!$D$14-1&gt;=AC$2,Book!$AA$14/Capex!$D$255,0))+IF(Capex!$F$15="Y",IF($A431+Capex!$D$15-1&gt;=AC$2,Book!$AA$330/Capex!$D$15,0)))*$AC$401</f>
        <v>0</v>
      </c>
      <c r="AD431" s="4">
        <f>(IF(Capex!$F$6="Y",IF($A431+Capex!$D$6-1&gt;=AD$2,Book!$AA$6/Capex!$D$6,0))+IF(Capex!$F$7="Y",IF($A431+Capex!$D$7-1&gt;=AD$2,Book!$AA$42/Capex!$D$7,0))+IF(Capex!$F$8="Y",IF($A431+Capex!$D$8-1&gt;=AD$2,Book!$AA$78/Capex!$D$8,0))+IF(Capex!$F$9="Y",IF($A431+Capex!$D$9-1&gt;=AD$2,Book!$AA$114/Capex!$D$9,0))+IF(Capex!$F$10="Y",IF($A431+Capex!$D$10-1&gt;=AD$2,Book!$AA$150/Capex!$D$10,0))+IF(Capex!$F$11="Y",IF($A431+Capex!$D$11-1&gt;=AD$2,Book!$AA$186/Capex!$D$11,0))+IF(Capex!$F$12="Y",IF($A431+Capex!$D$12-1&gt;=AD$2,Book!$AA$222/Capex!$D$12,0))+IF(Capex!$F$13="Y",IF($A431+Capex!$D$13-1&gt;=AD$2,Book!$AA$258/Capex!$D$13,0))+IF(Capex!$F$14="Y",IF($A431+Capex!$D$14-1&gt;=AD$2,Book!$AA$14/Capex!$D$255,0))+IF(Capex!$F$15="Y",IF($A431+Capex!$D$15-1&gt;=AD$2,Book!$AA$330/Capex!$D$15,0)))*$AC$401</f>
        <v>0</v>
      </c>
      <c r="AE431" s="4">
        <f>(IF(Capex!$F$6="Y",IF($A431+Capex!$D$6-1&gt;=AE$2,Book!$AA$6/Capex!$D$6,0))+IF(Capex!$F$7="Y",IF($A431+Capex!$D$7-1&gt;=AE$2,Book!$AA$42/Capex!$D$7,0))+IF(Capex!$F$8="Y",IF($A431+Capex!$D$8-1&gt;=AE$2,Book!$AA$78/Capex!$D$8,0))+IF(Capex!$F$9="Y",IF($A431+Capex!$D$9-1&gt;=AE$2,Book!$AA$114/Capex!$D$9,0))+IF(Capex!$F$10="Y",IF($A431+Capex!$D$10-1&gt;=AE$2,Book!$AA$150/Capex!$D$10,0))+IF(Capex!$F$11="Y",IF($A431+Capex!$D$11-1&gt;=AE$2,Book!$AA$186/Capex!$D$11,0))+IF(Capex!$F$12="Y",IF($A431+Capex!$D$12-1&gt;=AE$2,Book!$AA$222/Capex!$D$12,0))+IF(Capex!$F$13="Y",IF($A431+Capex!$D$13-1&gt;=AE$2,Book!$AA$258/Capex!$D$13,0))+IF(Capex!$F$14="Y",IF($A431+Capex!$D$14-1&gt;=AE$2,Book!$AA$14/Capex!$D$255,0))+IF(Capex!$F$15="Y",IF($A431+Capex!$D$15-1&gt;=AE$2,Book!$AA$330/Capex!$D$15,0)))*$AC$401</f>
        <v>0</v>
      </c>
      <c r="AF431" s="4">
        <f>(IF(Capex!$F$6="Y",IF($A431+Capex!$D$6-1&gt;=AF$2,Book!$AA$6/Capex!$D$6,0))+IF(Capex!$F$7="Y",IF($A431+Capex!$D$7-1&gt;=AF$2,Book!$AA$42/Capex!$D$7,0))+IF(Capex!$F$8="Y",IF($A431+Capex!$D$8-1&gt;=AF$2,Book!$AA$78/Capex!$D$8,0))+IF(Capex!$F$9="Y",IF($A431+Capex!$D$9-1&gt;=AF$2,Book!$AA$114/Capex!$D$9,0))+IF(Capex!$F$10="Y",IF($A431+Capex!$D$10-1&gt;=AF$2,Book!$AA$150/Capex!$D$10,0))+IF(Capex!$F$11="Y",IF($A431+Capex!$D$11-1&gt;=AF$2,Book!$AA$186/Capex!$D$11,0))+IF(Capex!$F$12="Y",IF($A431+Capex!$D$12-1&gt;=AF$2,Book!$AA$222/Capex!$D$12,0))+IF(Capex!$F$13="Y",IF($A431+Capex!$D$13-1&gt;=AF$2,Book!$AA$258/Capex!$D$13,0))+IF(Capex!$F$14="Y",IF($A431+Capex!$D$14-1&gt;=AF$2,Book!$AA$14/Capex!$D$255,0))+IF(Capex!$F$15="Y",IF($A431+Capex!$D$15-1&gt;=AF$2,Book!$AA$330/Capex!$D$15,0)))*$AC$401</f>
        <v>0</v>
      </c>
      <c r="AG431" s="4">
        <f t="shared" si="133"/>
        <v>0</v>
      </c>
      <c r="AH431" s="252">
        <f t="shared" si="134"/>
        <v>0</v>
      </c>
    </row>
    <row r="432" spans="1:34">
      <c r="A432" s="718">
        <f t="shared" si="129"/>
        <v>2049</v>
      </c>
      <c r="B432" s="4">
        <f t="shared" si="131"/>
        <v>0</v>
      </c>
      <c r="AD432" s="4">
        <f>(IF(Capex!$F$6="Y",IF($A432+Capex!$D$6-1&gt;=AD$2,Book!$AA$6/Capex!$D$6,0))+IF(Capex!$F$7="Y",IF($A432+Capex!$D$7-1&gt;=AD$2,Book!$AA$42/Capex!$D$7,0))+IF(Capex!$F$8="Y",IF($A432+Capex!$D$8-1&gt;=AD$2,Book!$AA$78/Capex!$D$8,0))+IF(Capex!$F$9="Y",IF($A432+Capex!$D$9-1&gt;=AD$2,Book!$AA$114/Capex!$D$9,0))+IF(Capex!$F$10="Y",IF($A432+Capex!$D$10-1&gt;=AD$2,Book!$AA$150/Capex!$D$10,0))+IF(Capex!$F$11="Y",IF($A432+Capex!$D$11-1&gt;=AD$2,Book!$AA$186/Capex!$D$11,0))+IF(Capex!$F$12="Y",IF($A432+Capex!$D$12-1&gt;=AD$2,Book!$AA$222/Capex!$D$12,0))+IF(Capex!$F$13="Y",IF($A432+Capex!$D$13-1&gt;=AD$2,Book!$AA$258/Capex!$D$13,0))+IF(Capex!$F$14="Y",IF($A432+Capex!$D$14-1&gt;=AD$2,Book!$AA$14/Capex!$D$255,0))+IF(Capex!$F$15="Y",IF($A432+Capex!$D$15-1&gt;=AD$2,Book!$AA$330/Capex!$D$15,0)))*$AD$401</f>
        <v>0</v>
      </c>
      <c r="AE432" s="4">
        <f>(IF(Capex!$F$6="Y",IF($A432+Capex!$D$6-1&gt;=AE$2,Book!$AA$6/Capex!$D$6,0))+IF(Capex!$F$7="Y",IF($A432+Capex!$D$7-1&gt;=AE$2,Book!$AA$42/Capex!$D$7,0))+IF(Capex!$F$8="Y",IF($A432+Capex!$D$8-1&gt;=AE$2,Book!$AA$78/Capex!$D$8,0))+IF(Capex!$F$9="Y",IF($A432+Capex!$D$9-1&gt;=AE$2,Book!$AA$114/Capex!$D$9,0))+IF(Capex!$F$10="Y",IF($A432+Capex!$D$10-1&gt;=AE$2,Book!$AA$150/Capex!$D$10,0))+IF(Capex!$F$11="Y",IF($A432+Capex!$D$11-1&gt;=AE$2,Book!$AA$186/Capex!$D$11,0))+IF(Capex!$F$12="Y",IF($A432+Capex!$D$12-1&gt;=AE$2,Book!$AA$222/Capex!$D$12,0))+IF(Capex!$F$13="Y",IF($A432+Capex!$D$13-1&gt;=AE$2,Book!$AA$258/Capex!$D$13,0))+IF(Capex!$F$14="Y",IF($A432+Capex!$D$14-1&gt;=AE$2,Book!$AA$14/Capex!$D$255,0))+IF(Capex!$F$15="Y",IF($A432+Capex!$D$15-1&gt;=AE$2,Book!$AA$330/Capex!$D$15,0)))*$AD$401</f>
        <v>0</v>
      </c>
      <c r="AF432" s="4">
        <f>(IF(Capex!$F$6="Y",IF($A432+Capex!$D$6-1&gt;=AF$2,Book!$AA$6/Capex!$D$6,0))+IF(Capex!$F$7="Y",IF($A432+Capex!$D$7-1&gt;=AF$2,Book!$AA$42/Capex!$D$7,0))+IF(Capex!$F$8="Y",IF($A432+Capex!$D$8-1&gt;=AF$2,Book!$AA$78/Capex!$D$8,0))+IF(Capex!$F$9="Y",IF($A432+Capex!$D$9-1&gt;=AF$2,Book!$AA$114/Capex!$D$9,0))+IF(Capex!$F$10="Y",IF($A432+Capex!$D$10-1&gt;=AF$2,Book!$AA$150/Capex!$D$10,0))+IF(Capex!$F$11="Y",IF($A432+Capex!$D$11-1&gt;=AF$2,Book!$AA$186/Capex!$D$11,0))+IF(Capex!$F$12="Y",IF($A432+Capex!$D$12-1&gt;=AF$2,Book!$AA$222/Capex!$D$12,0))+IF(Capex!$F$13="Y",IF($A432+Capex!$D$13-1&gt;=AF$2,Book!$AA$258/Capex!$D$13,0))+IF(Capex!$F$14="Y",IF($A432+Capex!$D$14-1&gt;=AF$2,Book!$AA$14/Capex!$D$255,0))+IF(Capex!$F$15="Y",IF($A432+Capex!$D$15-1&gt;=AF$2,Book!$AA$330/Capex!$D$15,0)))*$AD$401</f>
        <v>0</v>
      </c>
      <c r="AG432" s="4">
        <f t="shared" si="133"/>
        <v>0</v>
      </c>
      <c r="AH432" s="252">
        <f t="shared" si="134"/>
        <v>0</v>
      </c>
    </row>
    <row r="433" spans="1:34">
      <c r="A433" s="718">
        <f t="shared" si="129"/>
        <v>2050</v>
      </c>
      <c r="B433" s="4">
        <f t="shared" si="131"/>
        <v>0</v>
      </c>
      <c r="AE433" s="4">
        <f>(IF(Capex!$F$6="Y",IF($A433+Capex!$D$6-1&gt;=AE$2,Book!$AA$6/Capex!$D$6,0))+IF(Capex!$F$7="Y",IF($A433+Capex!$D$7-1&gt;=AE$2,Book!$AA$42/Capex!$D$7,0))+IF(Capex!$F$8="Y",IF($A433+Capex!$D$8-1&gt;=AE$2,Book!$AA$78/Capex!$D$8,0))+IF(Capex!$F$9="Y",IF($A433+Capex!$D$9-1&gt;=AE$2,Book!$AA$114/Capex!$D$9,0))+IF(Capex!$F$10="Y",IF($A433+Capex!$D$10-1&gt;=AE$2,Book!$AA$150/Capex!$D$10,0))+IF(Capex!$F$11="Y",IF($A433+Capex!$D$11-1&gt;=AE$2,Book!$AA$186/Capex!$D$11,0))+IF(Capex!$F$12="Y",IF($A433+Capex!$D$12-1&gt;=AE$2,Book!$AA$222/Capex!$D$12,0))+IF(Capex!$F$13="Y",IF($A433+Capex!$D$13-1&gt;=AE$2,Book!$AA$258/Capex!$D$13,0))+IF(Capex!$F$14="Y",IF($A433+Capex!$D$14-1&gt;=AE$2,Book!$AA$14/Capex!$D$255,0))+IF(Capex!$F$15="Y",IF($A433+Capex!$D$15-1&gt;=AE$2,Book!$AA$330/Capex!$D$15,0)))*$AE$401</f>
        <v>0</v>
      </c>
      <c r="AF433" s="4">
        <f>(IF(Capex!$F$6="Y",IF($A433+Capex!$D$6-1&gt;=AF$2,Book!$AA$6/Capex!$D$6,0))+IF(Capex!$F$7="Y",IF($A433+Capex!$D$7-1&gt;=AF$2,Book!$AA$42/Capex!$D$7,0))+IF(Capex!$F$8="Y",IF($A433+Capex!$D$8-1&gt;=AF$2,Book!$AA$78/Capex!$D$8,0))+IF(Capex!$F$9="Y",IF($A433+Capex!$D$9-1&gt;=AF$2,Book!$AA$114/Capex!$D$9,0))+IF(Capex!$F$10="Y",IF($A433+Capex!$D$10-1&gt;=AF$2,Book!$AA$150/Capex!$D$10,0))+IF(Capex!$F$11="Y",IF($A433+Capex!$D$11-1&gt;=AF$2,Book!$AA$186/Capex!$D$11,0))+IF(Capex!$F$12="Y",IF($A433+Capex!$D$12-1&gt;=AF$2,Book!$AA$222/Capex!$D$12,0))+IF(Capex!$F$13="Y",IF($A433+Capex!$D$13-1&gt;=AF$2,Book!$AA$258/Capex!$D$13,0))+IF(Capex!$F$14="Y",IF($A433+Capex!$D$14-1&gt;=AF$2,Book!$AA$14/Capex!$D$255,0))+IF(Capex!$F$15="Y",IF($A433+Capex!$D$15-1&gt;=AF$2,Book!$AA$330/Capex!$D$15,0)))*$AE$401</f>
        <v>0</v>
      </c>
      <c r="AG433" s="4">
        <f t="shared" si="133"/>
        <v>0</v>
      </c>
      <c r="AH433" s="252">
        <f t="shared" si="134"/>
        <v>0</v>
      </c>
    </row>
    <row r="434" spans="1:34">
      <c r="A434" s="718">
        <f t="shared" si="129"/>
        <v>2051</v>
      </c>
      <c r="B434" s="4">
        <f t="shared" si="131"/>
        <v>0</v>
      </c>
      <c r="AF434" s="4">
        <f>(IF(Capex!$F$6="Y",IF($A434+Capex!$D$6-1&gt;=AF$2,Book!$AA$6/Capex!$D$6,0))+IF(Capex!$F$7="Y",IF($A434+Capex!$D$7-1&gt;=AF$2,Book!$AA$42/Capex!$D$7,0))+IF(Capex!$F$8="Y",IF($A434+Capex!$D$8-1&gt;=AF$2,Book!$AA$78/Capex!$D$8,0))+IF(Capex!$F$9="Y",IF($A434+Capex!$D$9-1&gt;=AF$2,Book!$AA$114/Capex!$D$9,0))+IF(Capex!$F$10="Y",IF($A434+Capex!$D$10-1&gt;=AF$2,Book!$AA$150/Capex!$D$10,0))+IF(Capex!$F$11="Y",IF($A434+Capex!$D$11-1&gt;=AF$2,Book!$AA$186/Capex!$D$11,0))+IF(Capex!$F$12="Y",IF($A434+Capex!$D$12-1&gt;=AF$2,Book!$AA$222/Capex!$D$12,0))+IF(Capex!$F$13="Y",IF($A434+Capex!$D$13-1&gt;=AF$2,Book!$AA$258/Capex!$D$13,0))+IF(Capex!$F$14="Y",IF($A434+Capex!$D$14-1&gt;=AF$2,Book!$AA$14/Capex!$D$255,0))+IF(Capex!$F$15="Y",IF($A434+Capex!$D$15-1&gt;=AF$2,Book!$AA$330/Capex!$D$15,0)))*$AF$401</f>
        <v>0</v>
      </c>
      <c r="AG434" s="4">
        <f t="shared" si="133"/>
        <v>0</v>
      </c>
      <c r="AH434" s="252">
        <f t="shared" si="134"/>
        <v>0</v>
      </c>
    </row>
    <row r="435" spans="1:34" ht="15" thickBot="1">
      <c r="A435" s="361" t="s">
        <v>420</v>
      </c>
      <c r="B435" s="43">
        <f>SUM(B405:B434)</f>
        <v>0</v>
      </c>
      <c r="C435" s="43">
        <f>SUM(C405:C434)</f>
        <v>0</v>
      </c>
      <c r="D435" s="43">
        <f t="shared" ref="D435:AH435" si="135">SUM(D405:D434)</f>
        <v>0</v>
      </c>
      <c r="E435" s="43">
        <f t="shared" si="135"/>
        <v>0</v>
      </c>
      <c r="F435" s="43">
        <f t="shared" si="135"/>
        <v>0</v>
      </c>
      <c r="G435" s="43">
        <f t="shared" si="135"/>
        <v>0</v>
      </c>
      <c r="H435" s="43">
        <f t="shared" si="135"/>
        <v>0</v>
      </c>
      <c r="I435" s="43">
        <f t="shared" si="135"/>
        <v>0</v>
      </c>
      <c r="J435" s="43">
        <f t="shared" si="135"/>
        <v>0</v>
      </c>
      <c r="K435" s="43">
        <f t="shared" si="135"/>
        <v>0</v>
      </c>
      <c r="L435" s="43">
        <f t="shared" si="135"/>
        <v>0</v>
      </c>
      <c r="M435" s="43">
        <f t="shared" si="135"/>
        <v>0</v>
      </c>
      <c r="N435" s="43">
        <f t="shared" si="135"/>
        <v>0</v>
      </c>
      <c r="O435" s="43">
        <f t="shared" si="135"/>
        <v>0</v>
      </c>
      <c r="P435" s="43">
        <f t="shared" si="135"/>
        <v>0</v>
      </c>
      <c r="Q435" s="43">
        <f t="shared" si="135"/>
        <v>0</v>
      </c>
      <c r="R435" s="43">
        <f t="shared" si="135"/>
        <v>0</v>
      </c>
      <c r="S435" s="43">
        <f t="shared" si="135"/>
        <v>0</v>
      </c>
      <c r="T435" s="43">
        <f t="shared" si="135"/>
        <v>0</v>
      </c>
      <c r="U435" s="43">
        <f t="shared" si="135"/>
        <v>0</v>
      </c>
      <c r="V435" s="43">
        <f t="shared" si="135"/>
        <v>0</v>
      </c>
      <c r="W435" s="43">
        <f t="shared" si="135"/>
        <v>0</v>
      </c>
      <c r="X435" s="43">
        <f t="shared" si="135"/>
        <v>0</v>
      </c>
      <c r="Y435" s="43">
        <f t="shared" si="135"/>
        <v>0</v>
      </c>
      <c r="Z435" s="43">
        <f t="shared" si="135"/>
        <v>0</v>
      </c>
      <c r="AA435" s="43">
        <f t="shared" si="135"/>
        <v>0</v>
      </c>
      <c r="AB435" s="43">
        <f t="shared" si="135"/>
        <v>0</v>
      </c>
      <c r="AC435" s="43">
        <f t="shared" si="135"/>
        <v>0</v>
      </c>
      <c r="AD435" s="43">
        <f t="shared" si="135"/>
        <v>0</v>
      </c>
      <c r="AE435" s="43">
        <f t="shared" si="135"/>
        <v>0</v>
      </c>
      <c r="AF435" s="43">
        <f t="shared" si="135"/>
        <v>0</v>
      </c>
      <c r="AG435" s="43">
        <f t="shared" si="135"/>
        <v>0</v>
      </c>
      <c r="AH435" s="43">
        <f t="shared" si="135"/>
        <v>0</v>
      </c>
    </row>
    <row r="436" spans="1:34">
      <c r="A436" s="361"/>
    </row>
    <row r="437" spans="1:34">
      <c r="A437" s="15"/>
    </row>
    <row r="438" spans="1:34">
      <c r="A438" s="15"/>
    </row>
    <row r="439" spans="1:34" ht="16.2">
      <c r="A439" s="255" t="s">
        <v>421</v>
      </c>
    </row>
    <row r="440" spans="1:34">
      <c r="A440" s="15" t="s">
        <v>422</v>
      </c>
      <c r="D440" s="4">
        <f>+C443</f>
        <v>0</v>
      </c>
      <c r="E440" s="4">
        <f t="shared" ref="E440:AF440" si="136">+D443</f>
        <v>0</v>
      </c>
      <c r="F440" s="4">
        <f t="shared" si="136"/>
        <v>0</v>
      </c>
      <c r="G440" s="4">
        <f t="shared" si="136"/>
        <v>0</v>
      </c>
      <c r="H440" s="4">
        <f t="shared" si="136"/>
        <v>0</v>
      </c>
      <c r="I440" s="4">
        <f t="shared" si="136"/>
        <v>0</v>
      </c>
      <c r="J440" s="4">
        <f t="shared" si="136"/>
        <v>0</v>
      </c>
      <c r="K440" s="4">
        <f t="shared" si="136"/>
        <v>0</v>
      </c>
      <c r="L440" s="4">
        <f t="shared" si="136"/>
        <v>0</v>
      </c>
      <c r="M440" s="4">
        <f t="shared" si="136"/>
        <v>0</v>
      </c>
      <c r="N440" s="4">
        <f t="shared" si="136"/>
        <v>0</v>
      </c>
      <c r="O440" s="4">
        <f t="shared" si="136"/>
        <v>0</v>
      </c>
      <c r="P440" s="4">
        <f t="shared" si="136"/>
        <v>0</v>
      </c>
      <c r="Q440" s="4">
        <f t="shared" si="136"/>
        <v>0</v>
      </c>
      <c r="R440" s="4">
        <f t="shared" si="136"/>
        <v>0</v>
      </c>
      <c r="S440" s="4">
        <f t="shared" si="136"/>
        <v>0</v>
      </c>
      <c r="T440" s="4">
        <f t="shared" si="136"/>
        <v>0</v>
      </c>
      <c r="U440" s="4">
        <f t="shared" si="136"/>
        <v>0</v>
      </c>
      <c r="V440" s="4">
        <f t="shared" si="136"/>
        <v>0</v>
      </c>
      <c r="W440" s="4">
        <f t="shared" si="136"/>
        <v>0</v>
      </c>
      <c r="X440" s="4">
        <f t="shared" si="136"/>
        <v>0</v>
      </c>
      <c r="Y440" s="4">
        <f t="shared" si="136"/>
        <v>0</v>
      </c>
      <c r="Z440" s="4">
        <f t="shared" si="136"/>
        <v>0</v>
      </c>
      <c r="AA440" s="4">
        <f t="shared" si="136"/>
        <v>0</v>
      </c>
      <c r="AB440" s="4">
        <f t="shared" si="136"/>
        <v>0</v>
      </c>
      <c r="AC440" s="4">
        <f t="shared" si="136"/>
        <v>0</v>
      </c>
      <c r="AD440" s="4">
        <f t="shared" si="136"/>
        <v>0</v>
      </c>
      <c r="AE440" s="4">
        <f t="shared" si="136"/>
        <v>0</v>
      </c>
      <c r="AF440" s="4">
        <f t="shared" si="136"/>
        <v>0</v>
      </c>
    </row>
    <row r="441" spans="1:34">
      <c r="A441" s="15" t="s">
        <v>278</v>
      </c>
      <c r="C441" s="4">
        <f>+C402</f>
        <v>0</v>
      </c>
      <c r="D441" s="4">
        <f t="shared" ref="D441:AA441" si="137">+D402</f>
        <v>0</v>
      </c>
      <c r="E441" s="4">
        <f t="shared" si="137"/>
        <v>0</v>
      </c>
      <c r="F441" s="4">
        <f t="shared" si="137"/>
        <v>0</v>
      </c>
      <c r="G441" s="4">
        <f t="shared" si="137"/>
        <v>0</v>
      </c>
      <c r="H441" s="4">
        <f t="shared" si="137"/>
        <v>0</v>
      </c>
      <c r="I441" s="4">
        <f t="shared" si="137"/>
        <v>0</v>
      </c>
      <c r="J441" s="4">
        <f t="shared" si="137"/>
        <v>0</v>
      </c>
      <c r="K441" s="4">
        <f t="shared" si="137"/>
        <v>0</v>
      </c>
      <c r="L441" s="4">
        <f t="shared" si="137"/>
        <v>0</v>
      </c>
      <c r="M441" s="4">
        <f t="shared" si="137"/>
        <v>0</v>
      </c>
      <c r="N441" s="4">
        <f t="shared" si="137"/>
        <v>0</v>
      </c>
      <c r="O441" s="4">
        <f t="shared" si="137"/>
        <v>0</v>
      </c>
      <c r="P441" s="4">
        <f t="shared" si="137"/>
        <v>0</v>
      </c>
      <c r="Q441" s="4">
        <f t="shared" si="137"/>
        <v>0</v>
      </c>
      <c r="R441" s="4">
        <f t="shared" si="137"/>
        <v>0</v>
      </c>
      <c r="S441" s="4">
        <f t="shared" si="137"/>
        <v>0</v>
      </c>
      <c r="T441" s="4">
        <f t="shared" si="137"/>
        <v>0</v>
      </c>
      <c r="U441" s="4">
        <f t="shared" si="137"/>
        <v>0</v>
      </c>
      <c r="V441" s="4">
        <f t="shared" si="137"/>
        <v>0</v>
      </c>
      <c r="W441" s="4">
        <f t="shared" si="137"/>
        <v>0</v>
      </c>
      <c r="X441" s="4">
        <f t="shared" si="137"/>
        <v>0</v>
      </c>
      <c r="Y441" s="4">
        <f t="shared" si="137"/>
        <v>0</v>
      </c>
      <c r="Z441" s="4">
        <f t="shared" si="137"/>
        <v>0</v>
      </c>
      <c r="AA441" s="4">
        <f t="shared" si="137"/>
        <v>0</v>
      </c>
      <c r="AB441" s="4">
        <f t="shared" ref="AB441:AF441" si="138">+AB402</f>
        <v>0</v>
      </c>
      <c r="AC441" s="4">
        <f t="shared" si="138"/>
        <v>0</v>
      </c>
      <c r="AD441" s="4">
        <f t="shared" si="138"/>
        <v>0</v>
      </c>
      <c r="AE441" s="4">
        <f t="shared" si="138"/>
        <v>0</v>
      </c>
      <c r="AF441" s="4">
        <f t="shared" si="138"/>
        <v>0</v>
      </c>
    </row>
    <row r="442" spans="1:34">
      <c r="A442" s="15" t="s">
        <v>279</v>
      </c>
      <c r="C442" s="4">
        <f>-C435</f>
        <v>0</v>
      </c>
      <c r="D442" s="4">
        <f t="shared" ref="D442:AA442" si="139">-D435</f>
        <v>0</v>
      </c>
      <c r="E442" s="4">
        <f t="shared" si="139"/>
        <v>0</v>
      </c>
      <c r="F442" s="4">
        <f t="shared" si="139"/>
        <v>0</v>
      </c>
      <c r="G442" s="4">
        <f t="shared" si="139"/>
        <v>0</v>
      </c>
      <c r="H442" s="4">
        <f t="shared" si="139"/>
        <v>0</v>
      </c>
      <c r="I442" s="4">
        <f t="shared" si="139"/>
        <v>0</v>
      </c>
      <c r="J442" s="4">
        <f t="shared" si="139"/>
        <v>0</v>
      </c>
      <c r="K442" s="4">
        <f t="shared" si="139"/>
        <v>0</v>
      </c>
      <c r="L442" s="4">
        <f t="shared" si="139"/>
        <v>0</v>
      </c>
      <c r="M442" s="4">
        <f t="shared" si="139"/>
        <v>0</v>
      </c>
      <c r="N442" s="4">
        <f t="shared" si="139"/>
        <v>0</v>
      </c>
      <c r="O442" s="4">
        <f t="shared" si="139"/>
        <v>0</v>
      </c>
      <c r="P442" s="4">
        <f t="shared" si="139"/>
        <v>0</v>
      </c>
      <c r="Q442" s="4">
        <f t="shared" si="139"/>
        <v>0</v>
      </c>
      <c r="R442" s="4">
        <f t="shared" si="139"/>
        <v>0</v>
      </c>
      <c r="S442" s="4">
        <f t="shared" si="139"/>
        <v>0</v>
      </c>
      <c r="T442" s="4">
        <f t="shared" si="139"/>
        <v>0</v>
      </c>
      <c r="U442" s="4">
        <f t="shared" si="139"/>
        <v>0</v>
      </c>
      <c r="V442" s="4">
        <f t="shared" si="139"/>
        <v>0</v>
      </c>
      <c r="W442" s="4">
        <f t="shared" si="139"/>
        <v>0</v>
      </c>
      <c r="X442" s="4">
        <f t="shared" si="139"/>
        <v>0</v>
      </c>
      <c r="Y442" s="4">
        <f t="shared" si="139"/>
        <v>0</v>
      </c>
      <c r="Z442" s="4">
        <f t="shared" si="139"/>
        <v>0</v>
      </c>
      <c r="AA442" s="4">
        <f t="shared" si="139"/>
        <v>0</v>
      </c>
      <c r="AB442" s="4">
        <f t="shared" ref="AB442:AF442" si="140">-AB435</f>
        <v>0</v>
      </c>
      <c r="AC442" s="4">
        <f t="shared" si="140"/>
        <v>0</v>
      </c>
      <c r="AD442" s="4">
        <f t="shared" si="140"/>
        <v>0</v>
      </c>
      <c r="AE442" s="4">
        <f t="shared" si="140"/>
        <v>0</v>
      </c>
      <c r="AF442" s="4">
        <f t="shared" si="140"/>
        <v>0</v>
      </c>
    </row>
    <row r="443" spans="1:34" ht="15" thickBot="1">
      <c r="A443" s="15" t="s">
        <v>423</v>
      </c>
      <c r="C443" s="254">
        <f>+C440+C441+C442</f>
        <v>0</v>
      </c>
      <c r="D443" s="254">
        <f>+D440+D441+D442</f>
        <v>0</v>
      </c>
      <c r="E443" s="254">
        <f t="shared" ref="E443:AA443" si="141">+E440+E441+E442</f>
        <v>0</v>
      </c>
      <c r="F443" s="254">
        <f t="shared" si="141"/>
        <v>0</v>
      </c>
      <c r="G443" s="254">
        <f t="shared" si="141"/>
        <v>0</v>
      </c>
      <c r="H443" s="254">
        <f t="shared" si="141"/>
        <v>0</v>
      </c>
      <c r="I443" s="254">
        <f t="shared" si="141"/>
        <v>0</v>
      </c>
      <c r="J443" s="254">
        <f t="shared" si="141"/>
        <v>0</v>
      </c>
      <c r="K443" s="254">
        <f t="shared" si="141"/>
        <v>0</v>
      </c>
      <c r="L443" s="254">
        <f t="shared" si="141"/>
        <v>0</v>
      </c>
      <c r="M443" s="254">
        <f t="shared" si="141"/>
        <v>0</v>
      </c>
      <c r="N443" s="254">
        <f t="shared" si="141"/>
        <v>0</v>
      </c>
      <c r="O443" s="254">
        <f t="shared" si="141"/>
        <v>0</v>
      </c>
      <c r="P443" s="254">
        <f t="shared" si="141"/>
        <v>0</v>
      </c>
      <c r="Q443" s="254">
        <f t="shared" si="141"/>
        <v>0</v>
      </c>
      <c r="R443" s="254">
        <f t="shared" si="141"/>
        <v>0</v>
      </c>
      <c r="S443" s="254">
        <f t="shared" si="141"/>
        <v>0</v>
      </c>
      <c r="T443" s="254">
        <f t="shared" si="141"/>
        <v>0</v>
      </c>
      <c r="U443" s="254">
        <f t="shared" si="141"/>
        <v>0</v>
      </c>
      <c r="V443" s="254">
        <f t="shared" si="141"/>
        <v>0</v>
      </c>
      <c r="W443" s="254">
        <f t="shared" si="141"/>
        <v>0</v>
      </c>
      <c r="X443" s="254">
        <f t="shared" si="141"/>
        <v>0</v>
      </c>
      <c r="Y443" s="254">
        <f t="shared" si="141"/>
        <v>0</v>
      </c>
      <c r="Z443" s="254">
        <f t="shared" si="141"/>
        <v>0</v>
      </c>
      <c r="AA443" s="254">
        <f t="shared" si="141"/>
        <v>0</v>
      </c>
      <c r="AB443" s="254">
        <f t="shared" ref="AB443:AF443" si="142">+AB440+AB441+AB442</f>
        <v>0</v>
      </c>
      <c r="AC443" s="254">
        <f t="shared" si="142"/>
        <v>0</v>
      </c>
      <c r="AD443" s="254">
        <f t="shared" si="142"/>
        <v>0</v>
      </c>
      <c r="AE443" s="254">
        <f t="shared" si="142"/>
        <v>0</v>
      </c>
      <c r="AF443" s="254">
        <f t="shared" si="142"/>
        <v>0</v>
      </c>
    </row>
    <row r="444" spans="1:34" ht="15" thickTop="1">
      <c r="A444" s="15" t="s">
        <v>424</v>
      </c>
      <c r="C444" s="4">
        <f>IFERROR(SUM($C$402:C402)*0.5*C435/SUM($C$402:C402),0)</f>
        <v>0</v>
      </c>
      <c r="D444" s="4">
        <f>IFERROR(SUM($C$402:D402)*0.5*D435/SUM($C$402:D402),0)</f>
        <v>0</v>
      </c>
      <c r="E444" s="4">
        <f>IFERROR(SUM($C$402:E402)*0.5*E435/SUM($C$402:E402),0)</f>
        <v>0</v>
      </c>
      <c r="F444" s="4">
        <f>IFERROR(SUM($C$402:F402)*0.5*F435/SUM($C$402:F402),0)</f>
        <v>0</v>
      </c>
      <c r="G444" s="4">
        <f>IFERROR(SUM($C$402:G402)*0.5*G435/SUM($C$402:G402),0)</f>
        <v>0</v>
      </c>
      <c r="H444" s="4">
        <f>IFERROR(SUM($C$402:H402)*0.5*H435/SUM($C$402:H402),0)</f>
        <v>0</v>
      </c>
      <c r="I444" s="4">
        <f>IFERROR(SUM($C$402:I402)*0.5*I435/SUM($C$402:I402),0)</f>
        <v>0</v>
      </c>
      <c r="J444" s="4">
        <f>IFERROR(SUM($C$402:J402)*0.5*J435/SUM($C$402:J402),0)</f>
        <v>0</v>
      </c>
      <c r="K444" s="4">
        <f>IFERROR(SUM($C$402:K402)*0.5*K435/SUM($C$402:K402),0)</f>
        <v>0</v>
      </c>
      <c r="L444" s="4">
        <f>IFERROR(SUM($C$402:L402)*0.5*L435/SUM($C$402:L402),0)</f>
        <v>0</v>
      </c>
      <c r="M444" s="4">
        <f>IFERROR(SUM($C$402:M402)*0.5*M435/SUM($C$402:M402),0)</f>
        <v>0</v>
      </c>
      <c r="N444" s="4">
        <f>IFERROR(SUM($C$402:N402)*0.5*N435/SUM($C$402:N402),0)</f>
        <v>0</v>
      </c>
      <c r="O444" s="4">
        <f>IFERROR(SUM($C$402:O402)*0.5*O435/SUM($C$402:O402),0)</f>
        <v>0</v>
      </c>
      <c r="P444" s="4">
        <f>IFERROR(SUM($C$402:P402)*0.5*P435/SUM($C$402:P402),0)</f>
        <v>0</v>
      </c>
      <c r="Q444" s="4">
        <f>IFERROR(SUM($C$402:Q402)*0.5*Q435/SUM($C$402:Q402),0)</f>
        <v>0</v>
      </c>
      <c r="R444" s="4">
        <f>IFERROR(SUM($C$402:R402)*0.5*R435/SUM($C$402:R402),0)</f>
        <v>0</v>
      </c>
      <c r="S444" s="4">
        <f>IFERROR(SUM($C$402:S402)*0.5*S435/SUM($C$402:S402),0)</f>
        <v>0</v>
      </c>
      <c r="T444" s="4">
        <f>IFERROR(SUM($C$402:T402)*0.5*T435/SUM($C$402:T402),0)</f>
        <v>0</v>
      </c>
      <c r="U444" s="4">
        <f>IFERROR(SUM($C$402:U402)*0.5*U435/SUM($C$402:U402),0)</f>
        <v>0</v>
      </c>
      <c r="V444" s="4">
        <f>IFERROR(SUM($C$402:V402)*0.5*V435/SUM($C$402:V402),0)</f>
        <v>0</v>
      </c>
      <c r="W444" s="4">
        <f>IFERROR(SUM($C$402:W402)*0.5*W435/SUM($C$402:W402),0)</f>
        <v>0</v>
      </c>
      <c r="X444" s="4">
        <f>IFERROR(SUM($C$402:X402)*0.5*X435/SUM($C$402:X402),0)</f>
        <v>0</v>
      </c>
      <c r="Y444" s="4">
        <f>IFERROR(SUM($C$402:Y402)*0.5*Y435/SUM($C$402:Y402),0)</f>
        <v>0</v>
      </c>
      <c r="Z444" s="4">
        <f>IFERROR(SUM($C$402:Z402)*0.5*Z435/SUM($C$402:Z402),0)</f>
        <v>0</v>
      </c>
      <c r="AA444" s="4">
        <f>IFERROR(SUM($C$402:AA402)*0.5*AA435/SUM($C$402:AA402),0)</f>
        <v>0</v>
      </c>
      <c r="AB444" s="4">
        <f>IFERROR(SUM($C$402:AB402)*0.5*AB435/SUM($C$402:AB402),0)</f>
        <v>0</v>
      </c>
      <c r="AC444" s="4">
        <f>IFERROR(SUM($C$402:AC402)*0.5*AC435/SUM($C$402:AC402),0)</f>
        <v>0</v>
      </c>
      <c r="AD444" s="4">
        <f>IFERROR(SUM($C$402:AD402)*0.5*AD435/SUM($C$402:AD402),0)</f>
        <v>0</v>
      </c>
      <c r="AE444" s="4">
        <f>IFERROR(SUM($C$402:AE402)*0.5*AE435/SUM($C$402:AE402),0)</f>
        <v>0</v>
      </c>
      <c r="AF444" s="4">
        <f>IFERROR(SUM($C$402:AF402)*0.5*AF435/SUM($C$402:AF402),0)</f>
        <v>0</v>
      </c>
    </row>
    <row r="446" spans="1:34">
      <c r="A446" s="2" t="s">
        <v>425</v>
      </c>
      <c r="C446" s="94">
        <f>IF(C2&gt;'Input Data'!$M$40,'Input Data'!$M$42,SUMIF('Input Data'!$C$40:$M$40,C$2,'Input Data'!$C$42:$M$42))</f>
        <v>0.05</v>
      </c>
      <c r="D446" s="94">
        <f>IF(D2&gt;'Input Data'!$M$40,'Input Data'!$M$42,SUMIF('Input Data'!$C$40:$M$40,D$2,'Input Data'!$C$42:$M$42))</f>
        <v>0.05</v>
      </c>
      <c r="E446" s="94">
        <f>IF(E2&gt;'Input Data'!$M$40,'Input Data'!$M$42,SUMIF('Input Data'!$C$40:$M$40,E$2,'Input Data'!$C$42:$M$42))</f>
        <v>0.05</v>
      </c>
      <c r="F446" s="94">
        <f>IF(F2&gt;'Input Data'!$M$40,'Input Data'!$M$42,SUMIF('Input Data'!$C$40:$M$40,F$2,'Input Data'!$C$42:$M$42))</f>
        <v>0.05</v>
      </c>
      <c r="G446" s="94">
        <f>IF(G2&gt;'Input Data'!$M$40,'Input Data'!$M$42,SUMIF('Input Data'!$C$40:$M$40,G$2,'Input Data'!$C$42:$M$42))</f>
        <v>0.05</v>
      </c>
      <c r="H446" s="94">
        <f>IF(H2&gt;'Input Data'!$M$40,'Input Data'!$M$42,SUMIF('Input Data'!$C$40:$M$40,H$2,'Input Data'!$C$42:$M$42))</f>
        <v>0.05</v>
      </c>
      <c r="I446" s="94">
        <f>IF(I2&gt;'Input Data'!$M$40,'Input Data'!$M$42,SUMIF('Input Data'!$C$40:$M$40,I$2,'Input Data'!$C$42:$M$42))</f>
        <v>0.05</v>
      </c>
      <c r="J446" s="94">
        <f>IF(J2&gt;'Input Data'!$M$40,'Input Data'!$M$42,SUMIF('Input Data'!$C$40:$M$40,J$2,'Input Data'!$C$42:$M$42))</f>
        <v>0.05</v>
      </c>
      <c r="K446" s="94">
        <f>IF(K2&gt;'Input Data'!$M$40,'Input Data'!$M$42,SUMIF('Input Data'!$C$40:$M$40,K$2,'Input Data'!$C$42:$M$42))</f>
        <v>0.05</v>
      </c>
      <c r="L446" s="94">
        <f>IF(L2&gt;'Input Data'!$M$40,'Input Data'!$M$42,SUMIF('Input Data'!$C$40:$M$40,L$2,'Input Data'!$C$42:$M$42))</f>
        <v>0.05</v>
      </c>
      <c r="M446" s="94">
        <f>IF(M2&gt;'Input Data'!$M$40,'Input Data'!$M$42,SUMIF('Input Data'!$C$40:$M$40,M$2,'Input Data'!$C$42:$M$42))</f>
        <v>0.05</v>
      </c>
      <c r="N446" s="94">
        <f>IF(N2&gt;'Input Data'!$M$40,'Input Data'!$M$42,SUMIF('Input Data'!$C$40:$M$40,N$2,'Input Data'!$C$42:$M$42))</f>
        <v>0.05</v>
      </c>
      <c r="O446" s="94">
        <f>IF(O2&gt;'Input Data'!$M$40,'Input Data'!$M$42,SUMIF('Input Data'!$C$40:$M$40,O$2,'Input Data'!$C$42:$M$42))</f>
        <v>0.05</v>
      </c>
      <c r="P446" s="94">
        <f>IF(P2&gt;'Input Data'!$M$40,'Input Data'!$M$42,SUMIF('Input Data'!$C$40:$M$40,P$2,'Input Data'!$C$42:$M$42))</f>
        <v>0.05</v>
      </c>
      <c r="Q446" s="94">
        <f>IF(Q2&gt;'Input Data'!$M$40,'Input Data'!$M$42,SUMIF('Input Data'!$C$40:$M$40,Q$2,'Input Data'!$C$42:$M$42))</f>
        <v>0.05</v>
      </c>
      <c r="R446" s="94">
        <f>IF(R2&gt;'Input Data'!$M$40,'Input Data'!$M$42,SUMIF('Input Data'!$C$40:$M$40,R$2,'Input Data'!$C$42:$M$42))</f>
        <v>0.05</v>
      </c>
      <c r="S446" s="94">
        <f>IF(S2&gt;'Input Data'!$M$40,'Input Data'!$M$42,SUMIF('Input Data'!$C$40:$M$40,S$2,'Input Data'!$C$42:$M$42))</f>
        <v>0.05</v>
      </c>
      <c r="T446" s="94">
        <f>IF(T2&gt;'Input Data'!$M$40,'Input Data'!$M$42,SUMIF('Input Data'!$C$40:$M$40,T$2,'Input Data'!$C$42:$M$42))</f>
        <v>0.05</v>
      </c>
      <c r="U446" s="94">
        <f>IF(U2&gt;'Input Data'!$M$40,'Input Data'!$M$42,SUMIF('Input Data'!$C$40:$M$40,U$2,'Input Data'!$C$42:$M$42))</f>
        <v>0.05</v>
      </c>
      <c r="V446" s="94">
        <f>IF(V2&gt;'Input Data'!$M$40,'Input Data'!$M$42,SUMIF('Input Data'!$C$40:$M$40,V$2,'Input Data'!$C$42:$M$42))</f>
        <v>0.05</v>
      </c>
      <c r="W446" s="94">
        <f>IF(W2&gt;'Input Data'!$M$40,'Input Data'!$M$42,SUMIF('Input Data'!$C$40:$M$40,W$2,'Input Data'!$C$42:$M$42))</f>
        <v>0.05</v>
      </c>
      <c r="X446" s="94">
        <f>IF(X2&gt;'Input Data'!$M$40,'Input Data'!$M$42,SUMIF('Input Data'!$C$40:$M$40,X$2,'Input Data'!$C$42:$M$42))</f>
        <v>0.05</v>
      </c>
      <c r="Y446" s="94">
        <f>IF(Y2&gt;'Input Data'!$M$40,'Input Data'!$M$42,SUMIF('Input Data'!$C$40:$M$40,Y$2,'Input Data'!$C$42:$M$42))</f>
        <v>0.05</v>
      </c>
      <c r="Z446" s="94">
        <f>IF(Z2&gt;'Input Data'!$M$40,'Input Data'!$M$42,SUMIF('Input Data'!$C$40:$M$40,Z$2,'Input Data'!$C$42:$M$42))</f>
        <v>0.05</v>
      </c>
      <c r="AA446" s="94">
        <f>IF(AA2&gt;'Input Data'!$M$40,'Input Data'!$M$42,SUMIF('Input Data'!$C$40:$M$40,AA$2,'Input Data'!$C$42:$M$42))</f>
        <v>0.05</v>
      </c>
      <c r="AB446" s="94">
        <f>IF(AB2&gt;'Input Data'!$M$40,'Input Data'!$M$42,SUMIF('Input Data'!$C$40:$M$40,AB$2,'Input Data'!$C$42:$M$42))</f>
        <v>0.05</v>
      </c>
      <c r="AC446" s="94">
        <f>IF(AC2&gt;'Input Data'!$M$40,'Input Data'!$M$42,SUMIF('Input Data'!$C$40:$M$40,AC$2,'Input Data'!$C$42:$M$42))</f>
        <v>0.05</v>
      </c>
      <c r="AD446" s="94">
        <f>IF(AD2&gt;'Input Data'!$M$40,'Input Data'!$M$42,SUMIF('Input Data'!$C$40:$M$40,AD$2,'Input Data'!$C$42:$M$42))</f>
        <v>0.05</v>
      </c>
      <c r="AE446" s="94">
        <f>IF(AE2&gt;'Input Data'!$M$40,'Input Data'!$M$42,SUMIF('Input Data'!$C$40:$M$40,AE$2,'Input Data'!$C$42:$M$42))</f>
        <v>0.05</v>
      </c>
      <c r="AF446" s="94">
        <f>IF(AF2&gt;'Input Data'!$M$40,'Input Data'!$M$42,SUMIF('Input Data'!$C$40:$M$40,AF$2,'Input Data'!$C$42:$M$42))</f>
        <v>0.05</v>
      </c>
    </row>
    <row r="455" spans="1:9">
      <c r="A455" s="9" t="s">
        <v>426</v>
      </c>
      <c r="B455" s="91"/>
      <c r="C455" s="91"/>
      <c r="D455" s="91"/>
      <c r="E455" s="91"/>
      <c r="F455" s="91"/>
      <c r="G455" s="91"/>
      <c r="H455" s="91"/>
      <c r="I455" s="91"/>
    </row>
    <row r="457" spans="1:9">
      <c r="A457" s="10" t="s">
        <v>427</v>
      </c>
      <c r="B457" s="92"/>
      <c r="C457" s="92"/>
      <c r="D457" s="92"/>
      <c r="E457" s="92"/>
      <c r="F457" s="92"/>
      <c r="G457" s="92"/>
      <c r="H457" s="92"/>
      <c r="I457" s="92"/>
    </row>
    <row r="458" spans="1:9">
      <c r="A458" s="11"/>
      <c r="B458" s="93"/>
      <c r="C458" s="93"/>
      <c r="D458" s="93"/>
      <c r="E458" s="93"/>
      <c r="F458" s="93"/>
      <c r="G458" s="93"/>
      <c r="H458" s="93"/>
      <c r="I458" s="93"/>
    </row>
    <row r="459" spans="1:9">
      <c r="A459" s="12" t="s">
        <v>428</v>
      </c>
      <c r="B459" s="180">
        <v>1</v>
      </c>
      <c r="C459" s="180">
        <v>3</v>
      </c>
      <c r="D459" s="180">
        <v>5</v>
      </c>
      <c r="E459" s="180">
        <v>7</v>
      </c>
      <c r="F459" s="180">
        <v>10</v>
      </c>
      <c r="G459" s="180">
        <v>15</v>
      </c>
      <c r="H459" s="180">
        <v>20</v>
      </c>
      <c r="I459" s="180">
        <v>39</v>
      </c>
    </row>
    <row r="460" spans="1:9">
      <c r="A460" s="13">
        <v>1</v>
      </c>
      <c r="B460" s="178">
        <v>1</v>
      </c>
      <c r="C460" s="178">
        <v>0.33329999999999999</v>
      </c>
      <c r="D460" s="178">
        <v>0.2</v>
      </c>
      <c r="E460" s="178">
        <v>0.1429</v>
      </c>
      <c r="F460" s="178">
        <v>0.1</v>
      </c>
      <c r="G460" s="178">
        <v>0.05</v>
      </c>
      <c r="H460" s="178">
        <v>3.7499999999999999E-2</v>
      </c>
      <c r="I460" s="178">
        <f>1/I459</f>
        <v>2.564102564102564E-2</v>
      </c>
    </row>
    <row r="461" spans="1:9">
      <c r="A461" s="13">
        <f>+A460+1</f>
        <v>2</v>
      </c>
      <c r="B461" s="178"/>
      <c r="C461" s="178">
        <v>0.44450000000000001</v>
      </c>
      <c r="D461" s="178">
        <v>0.32</v>
      </c>
      <c r="E461" s="178">
        <v>0.24490000000000001</v>
      </c>
      <c r="F461" s="178">
        <v>0.18</v>
      </c>
      <c r="G461" s="178">
        <v>9.5000000000000001E-2</v>
      </c>
      <c r="H461" s="178">
        <v>7.2190000000000004E-2</v>
      </c>
      <c r="I461" s="178">
        <f>+I460</f>
        <v>2.564102564102564E-2</v>
      </c>
    </row>
    <row r="462" spans="1:9">
      <c r="A462" s="13">
        <f t="shared" ref="A462:A508" si="143">+A461+1</f>
        <v>3</v>
      </c>
      <c r="B462" s="178"/>
      <c r="C462" s="178">
        <v>0.14810000000000001</v>
      </c>
      <c r="D462" s="178">
        <v>0.192</v>
      </c>
      <c r="E462" s="178">
        <v>0.1749</v>
      </c>
      <c r="F462" s="178">
        <v>0.14399999999999999</v>
      </c>
      <c r="G462" s="178">
        <v>8.5500000000000007E-2</v>
      </c>
      <c r="H462" s="178">
        <v>6.6769999999999996E-2</v>
      </c>
      <c r="I462" s="178">
        <f t="shared" ref="I462:I498" si="144">+I461</f>
        <v>2.564102564102564E-2</v>
      </c>
    </row>
    <row r="463" spans="1:9">
      <c r="A463" s="13">
        <f t="shared" si="143"/>
        <v>4</v>
      </c>
      <c r="B463" s="178"/>
      <c r="C463" s="178">
        <v>7.4099999999999999E-2</v>
      </c>
      <c r="D463" s="178">
        <v>0.1152</v>
      </c>
      <c r="E463" s="178">
        <v>0.1249</v>
      </c>
      <c r="F463" s="178">
        <v>0.1152</v>
      </c>
      <c r="G463" s="178">
        <v>7.6999999999999999E-2</v>
      </c>
      <c r="H463" s="178">
        <v>6.1769999999999999E-2</v>
      </c>
      <c r="I463" s="178">
        <f t="shared" si="144"/>
        <v>2.564102564102564E-2</v>
      </c>
    </row>
    <row r="464" spans="1:9">
      <c r="A464" s="13">
        <f t="shared" si="143"/>
        <v>5</v>
      </c>
      <c r="B464" s="178"/>
      <c r="C464" s="178"/>
      <c r="D464" s="178">
        <v>0.1152</v>
      </c>
      <c r="E464" s="178">
        <v>8.9300000000000004E-2</v>
      </c>
      <c r="F464" s="178">
        <v>9.2200000000000004E-2</v>
      </c>
      <c r="G464" s="178">
        <v>6.93E-2</v>
      </c>
      <c r="H464" s="178">
        <v>5.713E-2</v>
      </c>
      <c r="I464" s="178">
        <f t="shared" si="144"/>
        <v>2.564102564102564E-2</v>
      </c>
    </row>
    <row r="465" spans="1:9">
      <c r="A465" s="13">
        <f t="shared" si="143"/>
        <v>6</v>
      </c>
      <c r="B465" s="178"/>
      <c r="C465" s="178"/>
      <c r="D465" s="178">
        <v>5.7599999999999998E-2</v>
      </c>
      <c r="E465" s="178">
        <v>8.9200000000000002E-2</v>
      </c>
      <c r="F465" s="178">
        <v>7.3700000000000002E-2</v>
      </c>
      <c r="G465" s="178">
        <v>6.2300000000000001E-2</v>
      </c>
      <c r="H465" s="178">
        <v>5.2850000000000001E-2</v>
      </c>
      <c r="I465" s="178">
        <f t="shared" si="144"/>
        <v>2.564102564102564E-2</v>
      </c>
    </row>
    <row r="466" spans="1:9">
      <c r="A466" s="13">
        <f t="shared" si="143"/>
        <v>7</v>
      </c>
      <c r="B466" s="178"/>
      <c r="C466" s="178"/>
      <c r="D466" s="178"/>
      <c r="E466" s="178">
        <v>8.9300000000000004E-2</v>
      </c>
      <c r="F466" s="178">
        <v>6.5500000000000003E-2</v>
      </c>
      <c r="G466" s="178">
        <v>5.8999999999999997E-2</v>
      </c>
      <c r="H466" s="178">
        <v>4.888E-2</v>
      </c>
      <c r="I466" s="178">
        <f t="shared" si="144"/>
        <v>2.564102564102564E-2</v>
      </c>
    </row>
    <row r="467" spans="1:9">
      <c r="A467" s="13">
        <f t="shared" si="143"/>
        <v>8</v>
      </c>
      <c r="B467" s="178"/>
      <c r="C467" s="178"/>
      <c r="D467" s="178"/>
      <c r="E467" s="178">
        <v>4.4600000000000001E-2</v>
      </c>
      <c r="F467" s="178">
        <v>6.5500000000000003E-2</v>
      </c>
      <c r="G467" s="178">
        <v>5.8999999999999997E-2</v>
      </c>
      <c r="H467" s="178">
        <v>4.5220000000000003E-2</v>
      </c>
      <c r="I467" s="178">
        <f t="shared" si="144"/>
        <v>2.564102564102564E-2</v>
      </c>
    </row>
    <row r="468" spans="1:9">
      <c r="A468" s="13">
        <f t="shared" si="143"/>
        <v>9</v>
      </c>
      <c r="B468" s="178"/>
      <c r="C468" s="178"/>
      <c r="D468" s="178"/>
      <c r="E468" s="178"/>
      <c r="F468" s="178">
        <v>6.5600000000000006E-2</v>
      </c>
      <c r="G468" s="178">
        <v>5.91E-2</v>
      </c>
      <c r="H468" s="178">
        <v>4.462E-2</v>
      </c>
      <c r="I468" s="178">
        <f t="shared" si="144"/>
        <v>2.564102564102564E-2</v>
      </c>
    </row>
    <row r="469" spans="1:9">
      <c r="A469" s="13">
        <f t="shared" si="143"/>
        <v>10</v>
      </c>
      <c r="B469" s="178"/>
      <c r="C469" s="178"/>
      <c r="D469" s="178"/>
      <c r="E469" s="178"/>
      <c r="F469" s="178">
        <v>6.5500000000000003E-2</v>
      </c>
      <c r="G469" s="178">
        <v>5.8999999999999997E-2</v>
      </c>
      <c r="H469" s="178">
        <v>4.4609999999999997E-2</v>
      </c>
      <c r="I469" s="178">
        <f t="shared" si="144"/>
        <v>2.564102564102564E-2</v>
      </c>
    </row>
    <row r="470" spans="1:9">
      <c r="A470" s="13">
        <f t="shared" si="143"/>
        <v>11</v>
      </c>
      <c r="B470" s="178"/>
      <c r="C470" s="178"/>
      <c r="D470" s="178"/>
      <c r="E470" s="178"/>
      <c r="F470" s="178">
        <v>3.2800000000000003E-2</v>
      </c>
      <c r="G470" s="178">
        <v>5.91E-2</v>
      </c>
      <c r="H470" s="178">
        <v>4.462E-2</v>
      </c>
      <c r="I470" s="178">
        <f t="shared" si="144"/>
        <v>2.564102564102564E-2</v>
      </c>
    </row>
    <row r="471" spans="1:9">
      <c r="A471" s="13">
        <f t="shared" si="143"/>
        <v>12</v>
      </c>
      <c r="B471" s="178"/>
      <c r="C471" s="178"/>
      <c r="D471" s="178"/>
      <c r="E471" s="178"/>
      <c r="F471" s="178"/>
      <c r="G471" s="178">
        <v>5.8999999999999997E-2</v>
      </c>
      <c r="H471" s="178">
        <v>4.4609999999999997E-2</v>
      </c>
      <c r="I471" s="178">
        <f t="shared" si="144"/>
        <v>2.564102564102564E-2</v>
      </c>
    </row>
    <row r="472" spans="1:9">
      <c r="A472" s="13">
        <f t="shared" si="143"/>
        <v>13</v>
      </c>
      <c r="B472" s="178"/>
      <c r="C472" s="178"/>
      <c r="D472" s="178"/>
      <c r="E472" s="178"/>
      <c r="F472" s="178"/>
      <c r="G472" s="178">
        <v>5.91E-2</v>
      </c>
      <c r="H472" s="178">
        <v>4.462E-2</v>
      </c>
      <c r="I472" s="178">
        <f t="shared" si="144"/>
        <v>2.564102564102564E-2</v>
      </c>
    </row>
    <row r="473" spans="1:9">
      <c r="A473" s="13">
        <f t="shared" si="143"/>
        <v>14</v>
      </c>
      <c r="B473" s="178"/>
      <c r="C473" s="178"/>
      <c r="D473" s="178"/>
      <c r="E473" s="178"/>
      <c r="F473" s="178"/>
      <c r="G473" s="178">
        <v>5.8999999999999997E-2</v>
      </c>
      <c r="H473" s="178">
        <v>4.4609999999999997E-2</v>
      </c>
      <c r="I473" s="178">
        <f t="shared" si="144"/>
        <v>2.564102564102564E-2</v>
      </c>
    </row>
    <row r="474" spans="1:9">
      <c r="A474" s="13">
        <f t="shared" si="143"/>
        <v>15</v>
      </c>
      <c r="B474" s="178"/>
      <c r="C474" s="178"/>
      <c r="D474" s="178"/>
      <c r="E474" s="178"/>
      <c r="F474" s="178"/>
      <c r="G474" s="178">
        <v>5.91E-2</v>
      </c>
      <c r="H474" s="178">
        <v>4.462E-2</v>
      </c>
      <c r="I474" s="178">
        <f t="shared" si="144"/>
        <v>2.564102564102564E-2</v>
      </c>
    </row>
    <row r="475" spans="1:9">
      <c r="A475" s="13">
        <f t="shared" si="143"/>
        <v>16</v>
      </c>
      <c r="B475" s="178"/>
      <c r="C475" s="178"/>
      <c r="D475" s="178"/>
      <c r="E475" s="178"/>
      <c r="F475" s="178"/>
      <c r="G475" s="178">
        <v>2.9499999999999998E-2</v>
      </c>
      <c r="H475" s="178">
        <v>4.4609999999999997E-2</v>
      </c>
      <c r="I475" s="178">
        <f t="shared" si="144"/>
        <v>2.564102564102564E-2</v>
      </c>
    </row>
    <row r="476" spans="1:9">
      <c r="A476" s="13">
        <f>+A475+1</f>
        <v>17</v>
      </c>
      <c r="B476" s="178"/>
      <c r="C476" s="178"/>
      <c r="D476" s="178"/>
      <c r="E476" s="178"/>
      <c r="F476" s="178"/>
      <c r="G476" s="178"/>
      <c r="H476" s="178">
        <v>4.462E-2</v>
      </c>
      <c r="I476" s="178">
        <f t="shared" si="144"/>
        <v>2.564102564102564E-2</v>
      </c>
    </row>
    <row r="477" spans="1:9">
      <c r="A477" s="13">
        <f t="shared" si="143"/>
        <v>18</v>
      </c>
      <c r="B477" s="178"/>
      <c r="C477" s="178"/>
      <c r="D477" s="178"/>
      <c r="E477" s="178"/>
      <c r="F477" s="178"/>
      <c r="G477" s="178"/>
      <c r="H477" s="178">
        <v>4.4609999999999997E-2</v>
      </c>
      <c r="I477" s="178">
        <f t="shared" si="144"/>
        <v>2.564102564102564E-2</v>
      </c>
    </row>
    <row r="478" spans="1:9">
      <c r="A478" s="13">
        <f t="shared" si="143"/>
        <v>19</v>
      </c>
      <c r="B478" s="178"/>
      <c r="C478" s="178"/>
      <c r="D478" s="178"/>
      <c r="E478" s="178"/>
      <c r="F478" s="178"/>
      <c r="G478" s="178"/>
      <c r="H478" s="178">
        <v>4.462E-2</v>
      </c>
      <c r="I478" s="178">
        <f t="shared" si="144"/>
        <v>2.564102564102564E-2</v>
      </c>
    </row>
    <row r="479" spans="1:9">
      <c r="A479" s="13">
        <f t="shared" si="143"/>
        <v>20</v>
      </c>
      <c r="B479" s="178"/>
      <c r="C479" s="178"/>
      <c r="D479" s="178"/>
      <c r="E479" s="178"/>
      <c r="F479" s="178"/>
      <c r="G479" s="178"/>
      <c r="H479" s="178">
        <v>4.4609999999999997E-2</v>
      </c>
      <c r="I479" s="178">
        <f t="shared" si="144"/>
        <v>2.564102564102564E-2</v>
      </c>
    </row>
    <row r="480" spans="1:9">
      <c r="A480" s="13">
        <f t="shared" si="143"/>
        <v>21</v>
      </c>
      <c r="B480" s="178"/>
      <c r="C480" s="178"/>
      <c r="D480" s="178"/>
      <c r="E480" s="178"/>
      <c r="F480" s="178"/>
      <c r="G480" s="178"/>
      <c r="H480" s="178">
        <v>2.231E-2</v>
      </c>
      <c r="I480" s="178">
        <f t="shared" si="144"/>
        <v>2.564102564102564E-2</v>
      </c>
    </row>
    <row r="481" spans="1:9">
      <c r="A481" s="13">
        <f t="shared" si="143"/>
        <v>22</v>
      </c>
      <c r="B481" s="178"/>
      <c r="C481" s="178"/>
      <c r="D481" s="178"/>
      <c r="E481" s="178"/>
      <c r="F481" s="178"/>
      <c r="G481" s="178"/>
      <c r="H481" s="178"/>
      <c r="I481" s="178">
        <f t="shared" si="144"/>
        <v>2.564102564102564E-2</v>
      </c>
    </row>
    <row r="482" spans="1:9">
      <c r="A482" s="13">
        <f t="shared" si="143"/>
        <v>23</v>
      </c>
      <c r="B482" s="178"/>
      <c r="C482" s="178"/>
      <c r="D482" s="178"/>
      <c r="E482" s="178"/>
      <c r="F482" s="178"/>
      <c r="G482" s="178"/>
      <c r="H482" s="178"/>
      <c r="I482" s="178">
        <f t="shared" si="144"/>
        <v>2.564102564102564E-2</v>
      </c>
    </row>
    <row r="483" spans="1:9">
      <c r="A483" s="13">
        <f t="shared" si="143"/>
        <v>24</v>
      </c>
      <c r="B483" s="178"/>
      <c r="C483" s="178"/>
      <c r="D483" s="178"/>
      <c r="E483" s="178"/>
      <c r="F483" s="178"/>
      <c r="G483" s="178"/>
      <c r="H483" s="178"/>
      <c r="I483" s="178">
        <f t="shared" si="144"/>
        <v>2.564102564102564E-2</v>
      </c>
    </row>
    <row r="484" spans="1:9">
      <c r="A484" s="13">
        <f t="shared" si="143"/>
        <v>25</v>
      </c>
      <c r="B484" s="178"/>
      <c r="C484" s="178"/>
      <c r="D484" s="178"/>
      <c r="E484" s="178"/>
      <c r="F484" s="178"/>
      <c r="G484" s="178"/>
      <c r="H484" s="178"/>
      <c r="I484" s="178">
        <f t="shared" si="144"/>
        <v>2.564102564102564E-2</v>
      </c>
    </row>
    <row r="485" spans="1:9">
      <c r="A485" s="13">
        <f t="shared" si="143"/>
        <v>26</v>
      </c>
      <c r="B485" s="178"/>
      <c r="C485" s="178"/>
      <c r="D485" s="178"/>
      <c r="E485" s="178"/>
      <c r="F485" s="178"/>
      <c r="G485" s="178"/>
      <c r="H485" s="178"/>
      <c r="I485" s="178">
        <f t="shared" si="144"/>
        <v>2.564102564102564E-2</v>
      </c>
    </row>
    <row r="486" spans="1:9">
      <c r="A486" s="13">
        <f t="shared" si="143"/>
        <v>27</v>
      </c>
      <c r="B486" s="178"/>
      <c r="C486" s="178"/>
      <c r="D486" s="178"/>
      <c r="E486" s="178"/>
      <c r="F486" s="178"/>
      <c r="G486" s="178"/>
      <c r="H486" s="178"/>
      <c r="I486" s="178">
        <f t="shared" si="144"/>
        <v>2.564102564102564E-2</v>
      </c>
    </row>
    <row r="487" spans="1:9">
      <c r="A487" s="13">
        <f t="shared" si="143"/>
        <v>28</v>
      </c>
      <c r="B487" s="178"/>
      <c r="C487" s="178"/>
      <c r="D487" s="178"/>
      <c r="E487" s="178"/>
      <c r="F487" s="178"/>
      <c r="G487" s="178"/>
      <c r="H487" s="178"/>
      <c r="I487" s="178">
        <f t="shared" si="144"/>
        <v>2.564102564102564E-2</v>
      </c>
    </row>
    <row r="488" spans="1:9">
      <c r="A488" s="13">
        <f t="shared" si="143"/>
        <v>29</v>
      </c>
      <c r="B488" s="178"/>
      <c r="C488" s="178"/>
      <c r="D488" s="178"/>
      <c r="E488" s="178"/>
      <c r="F488" s="178"/>
      <c r="G488" s="178"/>
      <c r="H488" s="178"/>
      <c r="I488" s="178">
        <f t="shared" si="144"/>
        <v>2.564102564102564E-2</v>
      </c>
    </row>
    <row r="489" spans="1:9">
      <c r="A489" s="13">
        <f t="shared" si="143"/>
        <v>30</v>
      </c>
      <c r="B489" s="178"/>
      <c r="C489" s="178"/>
      <c r="D489" s="178"/>
      <c r="E489" s="178"/>
      <c r="F489" s="178"/>
      <c r="G489" s="178"/>
      <c r="H489" s="178"/>
      <c r="I489" s="178">
        <f t="shared" si="144"/>
        <v>2.564102564102564E-2</v>
      </c>
    </row>
    <row r="490" spans="1:9">
      <c r="A490" s="13">
        <f t="shared" si="143"/>
        <v>31</v>
      </c>
      <c r="B490" s="178"/>
      <c r="C490" s="178"/>
      <c r="D490" s="178"/>
      <c r="E490" s="178"/>
      <c r="F490" s="178"/>
      <c r="G490" s="178"/>
      <c r="H490" s="178"/>
      <c r="I490" s="178">
        <f t="shared" si="144"/>
        <v>2.564102564102564E-2</v>
      </c>
    </row>
    <row r="491" spans="1:9">
      <c r="A491" s="13">
        <f t="shared" si="143"/>
        <v>32</v>
      </c>
      <c r="B491" s="178"/>
      <c r="C491" s="178"/>
      <c r="D491" s="178"/>
      <c r="E491" s="178"/>
      <c r="F491" s="178"/>
      <c r="G491" s="178"/>
      <c r="H491" s="178"/>
      <c r="I491" s="178">
        <f t="shared" si="144"/>
        <v>2.564102564102564E-2</v>
      </c>
    </row>
    <row r="492" spans="1:9">
      <c r="A492" s="13">
        <f t="shared" si="143"/>
        <v>33</v>
      </c>
      <c r="B492" s="178"/>
      <c r="C492" s="178"/>
      <c r="D492" s="178"/>
      <c r="E492" s="178"/>
      <c r="F492" s="178"/>
      <c r="G492" s="178"/>
      <c r="H492" s="178"/>
      <c r="I492" s="178">
        <f t="shared" si="144"/>
        <v>2.564102564102564E-2</v>
      </c>
    </row>
    <row r="493" spans="1:9">
      <c r="A493" s="13">
        <f t="shared" si="143"/>
        <v>34</v>
      </c>
      <c r="B493" s="178"/>
      <c r="C493" s="178"/>
      <c r="D493" s="178"/>
      <c r="E493" s="178"/>
      <c r="F493" s="178"/>
      <c r="G493" s="178"/>
      <c r="H493" s="178"/>
      <c r="I493" s="178">
        <f t="shared" si="144"/>
        <v>2.564102564102564E-2</v>
      </c>
    </row>
    <row r="494" spans="1:9">
      <c r="A494" s="13">
        <f t="shared" si="143"/>
        <v>35</v>
      </c>
      <c r="B494" s="178"/>
      <c r="C494" s="178"/>
      <c r="D494" s="178"/>
      <c r="E494" s="178"/>
      <c r="F494" s="178"/>
      <c r="G494" s="178"/>
      <c r="H494" s="178"/>
      <c r="I494" s="178">
        <f t="shared" si="144"/>
        <v>2.564102564102564E-2</v>
      </c>
    </row>
    <row r="495" spans="1:9">
      <c r="A495" s="13">
        <f t="shared" si="143"/>
        <v>36</v>
      </c>
      <c r="B495" s="178"/>
      <c r="C495" s="178"/>
      <c r="D495" s="178"/>
      <c r="E495" s="178"/>
      <c r="F495" s="178"/>
      <c r="G495" s="178"/>
      <c r="H495" s="178"/>
      <c r="I495" s="178">
        <f t="shared" si="144"/>
        <v>2.564102564102564E-2</v>
      </c>
    </row>
    <row r="496" spans="1:9">
      <c r="A496" s="13">
        <f t="shared" si="143"/>
        <v>37</v>
      </c>
      <c r="B496" s="178"/>
      <c r="C496" s="178"/>
      <c r="D496" s="178"/>
      <c r="E496" s="178"/>
      <c r="F496" s="178"/>
      <c r="G496" s="178"/>
      <c r="H496" s="178"/>
      <c r="I496" s="178">
        <f t="shared" si="144"/>
        <v>2.564102564102564E-2</v>
      </c>
    </row>
    <row r="497" spans="1:9">
      <c r="A497" s="13">
        <f t="shared" si="143"/>
        <v>38</v>
      </c>
      <c r="B497" s="178"/>
      <c r="C497" s="178"/>
      <c r="D497" s="178"/>
      <c r="E497" s="178"/>
      <c r="F497" s="178"/>
      <c r="G497" s="178"/>
      <c r="H497" s="178"/>
      <c r="I497" s="178">
        <f t="shared" si="144"/>
        <v>2.564102564102564E-2</v>
      </c>
    </row>
    <row r="498" spans="1:9">
      <c r="A498" s="13">
        <f t="shared" si="143"/>
        <v>39</v>
      </c>
      <c r="B498" s="178"/>
      <c r="C498" s="178"/>
      <c r="D498" s="178"/>
      <c r="E498" s="178"/>
      <c r="F498" s="178"/>
      <c r="G498" s="178"/>
      <c r="H498" s="178"/>
      <c r="I498" s="178">
        <f t="shared" si="144"/>
        <v>2.564102564102564E-2</v>
      </c>
    </row>
    <row r="499" spans="1:9">
      <c r="A499" s="13">
        <f t="shared" si="143"/>
        <v>40</v>
      </c>
      <c r="B499" s="178"/>
      <c r="C499" s="178"/>
      <c r="D499" s="178"/>
      <c r="E499" s="178"/>
      <c r="F499" s="178"/>
      <c r="G499" s="178"/>
      <c r="H499" s="178"/>
      <c r="I499" s="178"/>
    </row>
    <row r="500" spans="1:9">
      <c r="A500" s="13">
        <f t="shared" si="143"/>
        <v>41</v>
      </c>
      <c r="B500" s="178"/>
      <c r="C500" s="178"/>
      <c r="D500" s="178"/>
      <c r="E500" s="178"/>
      <c r="F500" s="178"/>
      <c r="G500" s="178"/>
      <c r="H500" s="178"/>
      <c r="I500" s="178"/>
    </row>
    <row r="501" spans="1:9">
      <c r="A501" s="13">
        <f t="shared" si="143"/>
        <v>42</v>
      </c>
      <c r="B501" s="178"/>
      <c r="C501" s="178"/>
      <c r="D501" s="178"/>
      <c r="E501" s="178"/>
      <c r="F501" s="178"/>
      <c r="G501" s="178"/>
      <c r="H501" s="178"/>
      <c r="I501" s="178"/>
    </row>
    <row r="502" spans="1:9">
      <c r="A502" s="13">
        <f t="shared" si="143"/>
        <v>43</v>
      </c>
      <c r="B502" s="178"/>
      <c r="C502" s="178"/>
      <c r="D502" s="178"/>
      <c r="E502" s="178"/>
      <c r="F502" s="178"/>
      <c r="G502" s="178"/>
      <c r="H502" s="178"/>
      <c r="I502" s="178"/>
    </row>
    <row r="503" spans="1:9">
      <c r="A503" s="13">
        <f t="shared" si="143"/>
        <v>44</v>
      </c>
      <c r="B503" s="178"/>
      <c r="C503" s="178"/>
      <c r="D503" s="178"/>
      <c r="E503" s="178"/>
      <c r="F503" s="178"/>
      <c r="G503" s="178"/>
      <c r="H503" s="178"/>
      <c r="I503" s="178"/>
    </row>
    <row r="504" spans="1:9">
      <c r="A504" s="13">
        <f t="shared" si="143"/>
        <v>45</v>
      </c>
      <c r="B504" s="178"/>
      <c r="C504" s="178"/>
      <c r="D504" s="178"/>
      <c r="E504" s="178"/>
      <c r="F504" s="178"/>
      <c r="G504" s="178"/>
      <c r="H504" s="178"/>
      <c r="I504" s="178"/>
    </row>
    <row r="505" spans="1:9">
      <c r="A505" s="13">
        <f t="shared" si="143"/>
        <v>46</v>
      </c>
      <c r="B505" s="178"/>
      <c r="C505" s="178"/>
      <c r="D505" s="178"/>
      <c r="E505" s="178"/>
      <c r="F505" s="178"/>
      <c r="G505" s="178"/>
      <c r="H505" s="178"/>
      <c r="I505" s="178"/>
    </row>
    <row r="506" spans="1:9">
      <c r="A506" s="13">
        <f t="shared" si="143"/>
        <v>47</v>
      </c>
      <c r="B506" s="178"/>
      <c r="C506" s="178"/>
      <c r="D506" s="178"/>
      <c r="E506" s="178"/>
      <c r="F506" s="178"/>
      <c r="G506" s="178"/>
      <c r="H506" s="178"/>
      <c r="I506" s="178"/>
    </row>
    <row r="507" spans="1:9">
      <c r="A507" s="13">
        <f t="shared" si="143"/>
        <v>48</v>
      </c>
      <c r="B507" s="178"/>
      <c r="C507" s="178"/>
      <c r="D507" s="178"/>
      <c r="E507" s="178"/>
      <c r="F507" s="178"/>
      <c r="G507" s="178"/>
      <c r="H507" s="178"/>
      <c r="I507" s="178"/>
    </row>
    <row r="508" spans="1:9">
      <c r="A508" s="13">
        <f t="shared" si="143"/>
        <v>49</v>
      </c>
      <c r="B508" s="178"/>
      <c r="C508" s="178"/>
      <c r="D508" s="178"/>
      <c r="E508" s="178"/>
      <c r="F508" s="178"/>
      <c r="G508" s="178"/>
      <c r="H508" s="178"/>
      <c r="I508" s="178"/>
    </row>
    <row r="509" spans="1:9" ht="15" thickBot="1">
      <c r="A509" s="11"/>
      <c r="B509" s="179">
        <f t="shared" ref="B509:C509" si="145">SUM(B460:B508)</f>
        <v>1</v>
      </c>
      <c r="C509" s="179">
        <f t="shared" si="145"/>
        <v>1</v>
      </c>
      <c r="D509" s="179">
        <f t="shared" ref="D509:I509" si="146">SUM(D460:D508)</f>
        <v>0.99999999999999989</v>
      </c>
      <c r="E509" s="179">
        <f t="shared" si="146"/>
        <v>1.0000000000000002</v>
      </c>
      <c r="F509" s="179">
        <f t="shared" si="146"/>
        <v>1</v>
      </c>
      <c r="G509" s="179">
        <f t="shared" si="146"/>
        <v>1.0000000000000002</v>
      </c>
      <c r="H509" s="179">
        <f t="shared" si="146"/>
        <v>1.0000000000000002</v>
      </c>
      <c r="I509" s="179">
        <f t="shared" si="146"/>
        <v>1.0000000000000004</v>
      </c>
    </row>
  </sheetData>
  <sheetProtection selectLockedCells="1" selectUnlockedCells="1"/>
  <conditionalFormatting sqref="C11:AH40">
    <cfRule type="expression" dxfId="16" priority="11">
      <formula>C11=""</formula>
    </cfRule>
  </conditionalFormatting>
  <conditionalFormatting sqref="C49:AH78">
    <cfRule type="expression" dxfId="15" priority="10">
      <formula>C49=""</formula>
    </cfRule>
  </conditionalFormatting>
  <conditionalFormatting sqref="C87:AH116">
    <cfRule type="expression" dxfId="14" priority="9">
      <formula>C87=""</formula>
    </cfRule>
  </conditionalFormatting>
  <conditionalFormatting sqref="C125:AH154">
    <cfRule type="expression" dxfId="13" priority="8">
      <formula>C125=""</formula>
    </cfRule>
  </conditionalFormatting>
  <conditionalFormatting sqref="C163:AH192">
    <cfRule type="expression" dxfId="12" priority="7">
      <formula>C163=""</formula>
    </cfRule>
  </conditionalFormatting>
  <conditionalFormatting sqref="C201:AH230">
    <cfRule type="expression" dxfId="11" priority="6">
      <formula>C201=""</formula>
    </cfRule>
  </conditionalFormatting>
  <conditionalFormatting sqref="C239:AH268">
    <cfRule type="expression" dxfId="10" priority="5">
      <formula>C239=""</formula>
    </cfRule>
  </conditionalFormatting>
  <conditionalFormatting sqref="C277:AH306">
    <cfRule type="expression" dxfId="9" priority="4">
      <formula>C277=""</formula>
    </cfRule>
  </conditionalFormatting>
  <conditionalFormatting sqref="C315:AH344">
    <cfRule type="expression" dxfId="8" priority="3">
      <formula>C315=""</formula>
    </cfRule>
  </conditionalFormatting>
  <conditionalFormatting sqref="C353:AH382">
    <cfRule type="expression" dxfId="7" priority="2">
      <formula>C353=""</formula>
    </cfRule>
  </conditionalFormatting>
  <conditionalFormatting sqref="C405:AH434">
    <cfRule type="expression" dxfId="6" priority="1">
      <formula>C405=""</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
  <sheetViews>
    <sheetView topLeftCell="A24" workbookViewId="0">
      <selection activeCell="B6" sqref="B6"/>
    </sheetView>
  </sheetViews>
  <sheetFormatPr defaultRowHeight="15"/>
  <sheetData/>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AH63"/>
  <sheetViews>
    <sheetView showGridLines="0" zoomScaleNormal="100" workbookViewId="0">
      <selection activeCell="B25" sqref="B25"/>
    </sheetView>
  </sheetViews>
  <sheetFormatPr defaultColWidth="8.90625" defaultRowHeight="15.6"/>
  <cols>
    <col min="1" max="1" width="26.54296875" style="192" customWidth="1"/>
    <col min="2" max="34" width="12.81640625" style="192" customWidth="1"/>
    <col min="35" max="16384" width="8.90625" style="192"/>
  </cols>
  <sheetData>
    <row r="1" spans="1:34" ht="18">
      <c r="A1" s="321" t="str">
        <f>+'Input Data'!C9</f>
        <v>Project Tampa - Midtown (Updated Costs Sept 2022)</v>
      </c>
      <c r="B1" s="321"/>
      <c r="C1" s="566" t="str">
        <f>IF(Financials!D175=0,"All checks OK","Press D&amp;E Macro")</f>
        <v>All checks OK</v>
      </c>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row>
    <row r="2" spans="1:34" ht="18">
      <c r="A2" s="321" t="s">
        <v>429</v>
      </c>
      <c r="Q2" s="355">
        <v>5.0000000000000001E-3</v>
      </c>
      <c r="R2" s="192" t="s">
        <v>430</v>
      </c>
      <c r="AA2" s="355">
        <v>0</v>
      </c>
      <c r="AB2" s="192" t="s">
        <v>431</v>
      </c>
    </row>
    <row r="3" spans="1:34">
      <c r="A3" s="357" t="s">
        <v>432</v>
      </c>
      <c r="B3" s="358">
        <f>+'Input Data'!G19</f>
        <v>30</v>
      </c>
      <c r="D3" s="309">
        <v>1</v>
      </c>
      <c r="E3" s="309">
        <f>+D3+1</f>
        <v>2</v>
      </c>
      <c r="F3" s="309">
        <f t="shared" ref="F3:AG4" si="0">+E3+1</f>
        <v>3</v>
      </c>
      <c r="G3" s="309">
        <f t="shared" si="0"/>
        <v>4</v>
      </c>
      <c r="H3" s="309">
        <f t="shared" si="0"/>
        <v>5</v>
      </c>
      <c r="I3" s="309">
        <f t="shared" si="0"/>
        <v>6</v>
      </c>
      <c r="J3" s="309">
        <f t="shared" si="0"/>
        <v>7</v>
      </c>
      <c r="K3" s="309">
        <f t="shared" si="0"/>
        <v>8</v>
      </c>
      <c r="L3" s="309">
        <f t="shared" si="0"/>
        <v>9</v>
      </c>
      <c r="M3" s="309">
        <f t="shared" si="0"/>
        <v>10</v>
      </c>
      <c r="N3" s="309">
        <f t="shared" si="0"/>
        <v>11</v>
      </c>
      <c r="O3" s="309">
        <f t="shared" si="0"/>
        <v>12</v>
      </c>
      <c r="P3" s="309">
        <f t="shared" si="0"/>
        <v>13</v>
      </c>
      <c r="Q3" s="309">
        <f t="shared" si="0"/>
        <v>14</v>
      </c>
      <c r="R3" s="309">
        <f t="shared" si="0"/>
        <v>15</v>
      </c>
      <c r="S3" s="309">
        <f t="shared" si="0"/>
        <v>16</v>
      </c>
      <c r="T3" s="309">
        <f t="shared" si="0"/>
        <v>17</v>
      </c>
      <c r="U3" s="309">
        <f t="shared" si="0"/>
        <v>18</v>
      </c>
      <c r="V3" s="309">
        <f t="shared" si="0"/>
        <v>19</v>
      </c>
      <c r="W3" s="309">
        <f t="shared" si="0"/>
        <v>20</v>
      </c>
      <c r="X3" s="309">
        <f t="shared" si="0"/>
        <v>21</v>
      </c>
      <c r="Y3" s="309">
        <f t="shared" si="0"/>
        <v>22</v>
      </c>
      <c r="Z3" s="309">
        <f t="shared" si="0"/>
        <v>23</v>
      </c>
      <c r="AA3" s="309">
        <f t="shared" si="0"/>
        <v>24</v>
      </c>
      <c r="AB3" s="309">
        <f t="shared" si="0"/>
        <v>25</v>
      </c>
      <c r="AC3" s="309">
        <f t="shared" si="0"/>
        <v>26</v>
      </c>
      <c r="AD3" s="309">
        <f t="shared" si="0"/>
        <v>27</v>
      </c>
      <c r="AE3" s="309">
        <f t="shared" si="0"/>
        <v>28</v>
      </c>
      <c r="AF3" s="309">
        <f t="shared" si="0"/>
        <v>29</v>
      </c>
      <c r="AG3" s="309">
        <f t="shared" si="0"/>
        <v>30</v>
      </c>
      <c r="AH3" s="309"/>
    </row>
    <row r="4" spans="1:34" ht="31.2">
      <c r="A4" s="312" t="s">
        <v>354</v>
      </c>
      <c r="B4" s="314" t="s">
        <v>433</v>
      </c>
      <c r="C4" s="314" t="s">
        <v>434</v>
      </c>
      <c r="D4" s="310">
        <f>+'Input Data'!C15</f>
        <v>2022</v>
      </c>
      <c r="E4" s="310">
        <f>+D4+1</f>
        <v>2023</v>
      </c>
      <c r="F4" s="310">
        <f t="shared" si="0"/>
        <v>2024</v>
      </c>
      <c r="G4" s="310">
        <f t="shared" si="0"/>
        <v>2025</v>
      </c>
      <c r="H4" s="310">
        <f t="shared" si="0"/>
        <v>2026</v>
      </c>
      <c r="I4" s="310">
        <f t="shared" si="0"/>
        <v>2027</v>
      </c>
      <c r="J4" s="310">
        <f t="shared" si="0"/>
        <v>2028</v>
      </c>
      <c r="K4" s="310">
        <f t="shared" si="0"/>
        <v>2029</v>
      </c>
      <c r="L4" s="310">
        <f t="shared" si="0"/>
        <v>2030</v>
      </c>
      <c r="M4" s="310">
        <f t="shared" si="0"/>
        <v>2031</v>
      </c>
      <c r="N4" s="310">
        <f t="shared" si="0"/>
        <v>2032</v>
      </c>
      <c r="O4" s="310">
        <f t="shared" si="0"/>
        <v>2033</v>
      </c>
      <c r="P4" s="310">
        <f t="shared" si="0"/>
        <v>2034</v>
      </c>
      <c r="Q4" s="310">
        <f t="shared" si="0"/>
        <v>2035</v>
      </c>
      <c r="R4" s="310">
        <f t="shared" si="0"/>
        <v>2036</v>
      </c>
      <c r="S4" s="310">
        <f t="shared" si="0"/>
        <v>2037</v>
      </c>
      <c r="T4" s="310">
        <f t="shared" si="0"/>
        <v>2038</v>
      </c>
      <c r="U4" s="310">
        <f t="shared" si="0"/>
        <v>2039</v>
      </c>
      <c r="V4" s="310">
        <f t="shared" si="0"/>
        <v>2040</v>
      </c>
      <c r="W4" s="310">
        <f t="shared" si="0"/>
        <v>2041</v>
      </c>
      <c r="X4" s="310">
        <f t="shared" si="0"/>
        <v>2042</v>
      </c>
      <c r="Y4" s="310">
        <f t="shared" si="0"/>
        <v>2043</v>
      </c>
      <c r="Z4" s="310">
        <f t="shared" si="0"/>
        <v>2044</v>
      </c>
      <c r="AA4" s="310">
        <f t="shared" si="0"/>
        <v>2045</v>
      </c>
      <c r="AB4" s="310">
        <f t="shared" si="0"/>
        <v>2046</v>
      </c>
      <c r="AC4" s="310">
        <f t="shared" si="0"/>
        <v>2047</v>
      </c>
      <c r="AD4" s="310">
        <f t="shared" si="0"/>
        <v>2048</v>
      </c>
      <c r="AE4" s="310">
        <f t="shared" si="0"/>
        <v>2049</v>
      </c>
      <c r="AF4" s="310">
        <f t="shared" si="0"/>
        <v>2050</v>
      </c>
      <c r="AG4" s="310">
        <f t="shared" si="0"/>
        <v>2051</v>
      </c>
      <c r="AH4" s="310" t="s">
        <v>191</v>
      </c>
    </row>
    <row r="5" spans="1:34">
      <c r="A5" s="192" t="str">
        <f>+A15</f>
        <v>Building O&amp;M</v>
      </c>
      <c r="B5" s="356">
        <f>+B15</f>
        <v>1.4999999999999999E-2</v>
      </c>
      <c r="C5" s="311">
        <f>+C15</f>
        <v>2026</v>
      </c>
      <c r="D5" s="315">
        <f>+D15</f>
        <v>0</v>
      </c>
      <c r="E5" s="313">
        <f t="shared" ref="E5:P5" si="1">ROUND(IF(E$3&gt;$B$3,0,IF($C5&gt;0,IF(E$4&gt;=$C5,D5*(1+$B5),E15),E15)),0)</f>
        <v>0</v>
      </c>
      <c r="F5" s="313">
        <f t="shared" si="1"/>
        <v>0</v>
      </c>
      <c r="G5" s="313">
        <f t="shared" si="1"/>
        <v>2643857</v>
      </c>
      <c r="H5" s="313">
        <f t="shared" si="1"/>
        <v>2683515</v>
      </c>
      <c r="I5" s="313">
        <f t="shared" si="1"/>
        <v>2723768</v>
      </c>
      <c r="J5" s="313">
        <f t="shared" si="1"/>
        <v>2764625</v>
      </c>
      <c r="K5" s="313">
        <f t="shared" si="1"/>
        <v>2806094</v>
      </c>
      <c r="L5" s="313">
        <f t="shared" si="1"/>
        <v>2848185</v>
      </c>
      <c r="M5" s="313">
        <f t="shared" si="1"/>
        <v>2890908</v>
      </c>
      <c r="N5" s="313">
        <f t="shared" si="1"/>
        <v>2934272</v>
      </c>
      <c r="O5" s="313">
        <f t="shared" si="1"/>
        <v>2978286</v>
      </c>
      <c r="P5" s="313">
        <f t="shared" si="1"/>
        <v>3022960</v>
      </c>
      <c r="Q5" s="679">
        <f>ROUND(IF(Q$3&gt;$B$3,0,IF($C5&gt;0,IF(Q$4&gt;=$C5,P5*(1+$B5+$Q$2),Q15),Q15)),0)</f>
        <v>3083419</v>
      </c>
      <c r="R5" s="679">
        <f t="shared" ref="R5:Z5" si="2">ROUND(IF(R$3&gt;$B$3,0,IF($C5&gt;0,IF(R$4&gt;=$C5,Q5*(1+$B5+$Q$2),R15),R15)),0)</f>
        <v>3145087</v>
      </c>
      <c r="S5" s="679">
        <f t="shared" si="2"/>
        <v>3207989</v>
      </c>
      <c r="T5" s="679">
        <f t="shared" si="2"/>
        <v>3272149</v>
      </c>
      <c r="U5" s="679">
        <f t="shared" si="2"/>
        <v>3337592</v>
      </c>
      <c r="V5" s="679">
        <f t="shared" si="2"/>
        <v>3404344</v>
      </c>
      <c r="W5" s="679">
        <f t="shared" si="2"/>
        <v>3472431</v>
      </c>
      <c r="X5" s="679">
        <f t="shared" si="2"/>
        <v>3541880</v>
      </c>
      <c r="Y5" s="679">
        <f t="shared" si="2"/>
        <v>3612718</v>
      </c>
      <c r="Z5" s="679">
        <f t="shared" si="2"/>
        <v>3684972</v>
      </c>
      <c r="AA5" s="679">
        <f>ROUND(IF(AA$3&gt;$B$3,0,IF($C5&gt;0,IF(AA$4&gt;=$C5,Z5*(1+$B5+$Q$2+$AA$2),AA15),AA15)),0)</f>
        <v>3758671</v>
      </c>
      <c r="AB5" s="679">
        <f t="shared" ref="AB5:AG5" si="3">ROUND(IF(AB$3&gt;$B$3,0,IF($C5&gt;0,IF(AB$4&gt;=$C5,AA5*(1+$B5+$Q$2+$AA$2),AB15),AB15)),0)</f>
        <v>3833844</v>
      </c>
      <c r="AC5" s="679">
        <f t="shared" si="3"/>
        <v>3910521</v>
      </c>
      <c r="AD5" s="679">
        <f t="shared" si="3"/>
        <v>3988731</v>
      </c>
      <c r="AE5" s="679">
        <f t="shared" si="3"/>
        <v>4068506</v>
      </c>
      <c r="AF5" s="679">
        <f t="shared" si="3"/>
        <v>4149876</v>
      </c>
      <c r="AG5" s="679">
        <f t="shared" si="3"/>
        <v>4232874</v>
      </c>
      <c r="AH5" s="315">
        <f>SUM(D5:AG5)</f>
        <v>90002074</v>
      </c>
    </row>
    <row r="6" spans="1:34">
      <c r="A6" s="192" t="str">
        <f t="shared" ref="A6:B11" si="4">+A16</f>
        <v>Parking Garage O&amp;M</v>
      </c>
      <c r="B6" s="356">
        <f>+B16</f>
        <v>1.4999999999999999E-2</v>
      </c>
      <c r="C6" s="311">
        <f>+C16</f>
        <v>2026</v>
      </c>
      <c r="D6" s="315">
        <f t="shared" ref="D6:D11" si="5">+D16</f>
        <v>0</v>
      </c>
      <c r="E6" s="313">
        <f t="shared" ref="E6:P6" si="6">ROUND(IF(E$3&gt;$B$3,0,IF($C6&gt;0,IF(E$4&gt;=$C6,D6*(1+$B6),E16),E16)),0)</f>
        <v>0</v>
      </c>
      <c r="F6" s="313">
        <f t="shared" si="6"/>
        <v>0</v>
      </c>
      <c r="G6" s="313">
        <f t="shared" si="6"/>
        <v>209964</v>
      </c>
      <c r="H6" s="313">
        <f t="shared" si="6"/>
        <v>213113</v>
      </c>
      <c r="I6" s="313">
        <f t="shared" si="6"/>
        <v>216310</v>
      </c>
      <c r="J6" s="313">
        <f t="shared" si="6"/>
        <v>219555</v>
      </c>
      <c r="K6" s="313">
        <f t="shared" si="6"/>
        <v>222848</v>
      </c>
      <c r="L6" s="313">
        <f t="shared" si="6"/>
        <v>226191</v>
      </c>
      <c r="M6" s="313">
        <f t="shared" si="6"/>
        <v>229584</v>
      </c>
      <c r="N6" s="313">
        <f t="shared" si="6"/>
        <v>233028</v>
      </c>
      <c r="O6" s="313">
        <f t="shared" si="6"/>
        <v>236523</v>
      </c>
      <c r="P6" s="313">
        <f t="shared" si="6"/>
        <v>240071</v>
      </c>
      <c r="Q6" s="679">
        <f>ROUND(IF(Q$3&gt;$B$3,0,IF($C6&gt;0,IF(Q$4&gt;=$C6,P6*(1+$B6+$Q$2),Q16),Q16)),0)</f>
        <v>244872</v>
      </c>
      <c r="R6" s="679">
        <f t="shared" ref="R6:Z6" si="7">ROUND(IF(R$3&gt;$B$3,0,IF($C6&gt;0,IF(R$4&gt;=$C6,Q6*(1+$B6+$Q$2),R16),R16)),0)</f>
        <v>249769</v>
      </c>
      <c r="S6" s="679">
        <f t="shared" si="7"/>
        <v>254764</v>
      </c>
      <c r="T6" s="679">
        <f t="shared" si="7"/>
        <v>259859</v>
      </c>
      <c r="U6" s="679">
        <f t="shared" si="7"/>
        <v>265056</v>
      </c>
      <c r="V6" s="679">
        <f t="shared" si="7"/>
        <v>270357</v>
      </c>
      <c r="W6" s="679">
        <f t="shared" si="7"/>
        <v>275764</v>
      </c>
      <c r="X6" s="679">
        <f t="shared" si="7"/>
        <v>281279</v>
      </c>
      <c r="Y6" s="679">
        <f t="shared" si="7"/>
        <v>286905</v>
      </c>
      <c r="Z6" s="679">
        <f t="shared" si="7"/>
        <v>292643</v>
      </c>
      <c r="AA6" s="679">
        <f>ROUND(IF(AA$3&gt;$B$3,0,IF($C6&gt;0,IF(AA$4&gt;=$C6,Z6*(1+$B6+$Q$2+$AA$2),AA16),AA16)),0)</f>
        <v>298496</v>
      </c>
      <c r="AB6" s="679">
        <f t="shared" ref="AB6:AG6" si="8">ROUND(IF(AB$3&gt;$B$3,0,IF($C6&gt;0,IF(AB$4&gt;=$C6,AA6*(1+$B6+$Q$2+$AA$2),AB16),AB16)),0)</f>
        <v>304466</v>
      </c>
      <c r="AC6" s="679">
        <f t="shared" si="8"/>
        <v>310555</v>
      </c>
      <c r="AD6" s="679">
        <f t="shared" si="8"/>
        <v>316766</v>
      </c>
      <c r="AE6" s="679">
        <f t="shared" si="8"/>
        <v>323101</v>
      </c>
      <c r="AF6" s="679">
        <f t="shared" si="8"/>
        <v>329563</v>
      </c>
      <c r="AG6" s="679">
        <f t="shared" si="8"/>
        <v>336154</v>
      </c>
      <c r="AH6" s="315">
        <f t="shared" ref="AH6:AH11" si="9">SUM(D6:AG6)</f>
        <v>7147556</v>
      </c>
    </row>
    <row r="7" spans="1:34">
      <c r="A7" s="192" t="str">
        <f t="shared" si="4"/>
        <v>Plaza O&amp;M (backout) - see toggle below</v>
      </c>
      <c r="B7" s="356">
        <f t="shared" si="4"/>
        <v>0</v>
      </c>
      <c r="C7" s="311">
        <f t="shared" ref="C7" si="10">+C17</f>
        <v>0</v>
      </c>
      <c r="D7" s="315">
        <f t="shared" si="5"/>
        <v>0</v>
      </c>
      <c r="E7" s="313">
        <f t="shared" ref="E7:AG7" si="11">ROUND(IF(E$3&gt;$B$3,0,IF($C7&gt;0,IF(E$4&gt;=$C7,D7*(1+$B7),E17),E17)),0)</f>
        <v>0</v>
      </c>
      <c r="F7" s="313">
        <f t="shared" si="11"/>
        <v>0</v>
      </c>
      <c r="G7" s="313">
        <f t="shared" si="11"/>
        <v>0</v>
      </c>
      <c r="H7" s="313">
        <f t="shared" si="11"/>
        <v>0</v>
      </c>
      <c r="I7" s="313">
        <f t="shared" si="11"/>
        <v>0</v>
      </c>
      <c r="J7" s="313">
        <f t="shared" si="11"/>
        <v>0</v>
      </c>
      <c r="K7" s="313">
        <f t="shared" si="11"/>
        <v>0</v>
      </c>
      <c r="L7" s="313">
        <f t="shared" si="11"/>
        <v>0</v>
      </c>
      <c r="M7" s="313">
        <f t="shared" si="11"/>
        <v>0</v>
      </c>
      <c r="N7" s="313">
        <f t="shared" si="11"/>
        <v>0</v>
      </c>
      <c r="O7" s="313">
        <f t="shared" si="11"/>
        <v>0</v>
      </c>
      <c r="P7" s="313">
        <f t="shared" si="11"/>
        <v>0</v>
      </c>
      <c r="Q7" s="313">
        <f t="shared" si="11"/>
        <v>0</v>
      </c>
      <c r="R7" s="313">
        <f t="shared" si="11"/>
        <v>0</v>
      </c>
      <c r="S7" s="313">
        <f t="shared" si="11"/>
        <v>0</v>
      </c>
      <c r="T7" s="313">
        <f t="shared" si="11"/>
        <v>0</v>
      </c>
      <c r="U7" s="313">
        <f t="shared" si="11"/>
        <v>0</v>
      </c>
      <c r="V7" s="313">
        <f t="shared" si="11"/>
        <v>0</v>
      </c>
      <c r="W7" s="313">
        <f t="shared" si="11"/>
        <v>0</v>
      </c>
      <c r="X7" s="313">
        <f t="shared" si="11"/>
        <v>0</v>
      </c>
      <c r="Y7" s="313">
        <f t="shared" si="11"/>
        <v>0</v>
      </c>
      <c r="Z7" s="313">
        <f t="shared" si="11"/>
        <v>0</v>
      </c>
      <c r="AA7" s="313">
        <f t="shared" si="11"/>
        <v>0</v>
      </c>
      <c r="AB7" s="313">
        <f t="shared" si="11"/>
        <v>0</v>
      </c>
      <c r="AC7" s="313">
        <f t="shared" si="11"/>
        <v>0</v>
      </c>
      <c r="AD7" s="313">
        <f t="shared" si="11"/>
        <v>0</v>
      </c>
      <c r="AE7" s="313">
        <f t="shared" si="11"/>
        <v>0</v>
      </c>
      <c r="AF7" s="313">
        <f t="shared" si="11"/>
        <v>0</v>
      </c>
      <c r="AG7" s="313">
        <f t="shared" si="11"/>
        <v>0</v>
      </c>
      <c r="AH7" s="315">
        <f t="shared" si="9"/>
        <v>0</v>
      </c>
    </row>
    <row r="8" spans="1:34">
      <c r="A8" s="192" t="str">
        <f t="shared" si="4"/>
        <v>Moving Costs</v>
      </c>
      <c r="B8" s="356">
        <f t="shared" si="4"/>
        <v>0</v>
      </c>
      <c r="C8" s="311">
        <f t="shared" ref="C8" si="12">+C18</f>
        <v>0</v>
      </c>
      <c r="D8" s="315">
        <f t="shared" si="5"/>
        <v>0</v>
      </c>
      <c r="E8" s="313">
        <f t="shared" ref="E8:AG8" si="13">ROUND(IF(E$3&gt;$B$3,0,IF($C8&gt;0,IF(E$4&gt;=$C8,D8*(1+$B8),E18),E18)),0)</f>
        <v>0</v>
      </c>
      <c r="F8" s="313">
        <f t="shared" si="13"/>
        <v>0</v>
      </c>
      <c r="G8" s="313">
        <f t="shared" si="13"/>
        <v>600000</v>
      </c>
      <c r="H8" s="313">
        <f t="shared" si="13"/>
        <v>0</v>
      </c>
      <c r="I8" s="313">
        <f t="shared" si="13"/>
        <v>0</v>
      </c>
      <c r="J8" s="313">
        <f t="shared" si="13"/>
        <v>0</v>
      </c>
      <c r="K8" s="313">
        <f t="shared" si="13"/>
        <v>0</v>
      </c>
      <c r="L8" s="313">
        <f t="shared" si="13"/>
        <v>0</v>
      </c>
      <c r="M8" s="313">
        <f t="shared" si="13"/>
        <v>0</v>
      </c>
      <c r="N8" s="313">
        <f t="shared" si="13"/>
        <v>0</v>
      </c>
      <c r="O8" s="313">
        <f t="shared" si="13"/>
        <v>0</v>
      </c>
      <c r="P8" s="313">
        <f t="shared" si="13"/>
        <v>0</v>
      </c>
      <c r="Q8" s="313">
        <f t="shared" si="13"/>
        <v>0</v>
      </c>
      <c r="R8" s="313">
        <f t="shared" si="13"/>
        <v>0</v>
      </c>
      <c r="S8" s="313">
        <f t="shared" si="13"/>
        <v>0</v>
      </c>
      <c r="T8" s="313">
        <f t="shared" si="13"/>
        <v>0</v>
      </c>
      <c r="U8" s="313">
        <f t="shared" si="13"/>
        <v>0</v>
      </c>
      <c r="V8" s="313">
        <f t="shared" si="13"/>
        <v>0</v>
      </c>
      <c r="W8" s="313">
        <f t="shared" si="13"/>
        <v>0</v>
      </c>
      <c r="X8" s="313">
        <f t="shared" si="13"/>
        <v>0</v>
      </c>
      <c r="Y8" s="313">
        <f t="shared" si="13"/>
        <v>0</v>
      </c>
      <c r="Z8" s="313">
        <f t="shared" si="13"/>
        <v>0</v>
      </c>
      <c r="AA8" s="313">
        <f t="shared" si="13"/>
        <v>0</v>
      </c>
      <c r="AB8" s="313">
        <f t="shared" si="13"/>
        <v>0</v>
      </c>
      <c r="AC8" s="313">
        <f t="shared" si="13"/>
        <v>0</v>
      </c>
      <c r="AD8" s="313">
        <f t="shared" si="13"/>
        <v>0</v>
      </c>
      <c r="AE8" s="313">
        <f t="shared" si="13"/>
        <v>0</v>
      </c>
      <c r="AF8" s="313">
        <f t="shared" si="13"/>
        <v>0</v>
      </c>
      <c r="AG8" s="313">
        <f t="shared" si="13"/>
        <v>0</v>
      </c>
      <c r="AH8" s="315">
        <f t="shared" si="9"/>
        <v>600000</v>
      </c>
    </row>
    <row r="9" spans="1:34">
      <c r="A9" s="192">
        <f t="shared" si="4"/>
        <v>0</v>
      </c>
      <c r="B9" s="356">
        <f t="shared" si="4"/>
        <v>0</v>
      </c>
      <c r="C9" s="311">
        <f t="shared" ref="C9" si="14">+C19</f>
        <v>0</v>
      </c>
      <c r="D9" s="315">
        <f t="shared" si="5"/>
        <v>0</v>
      </c>
      <c r="E9" s="313">
        <f t="shared" ref="E9:AG9" si="15">ROUND(IF(E$3&gt;$B$3,0,IF($C9&gt;0,IF(E$4&gt;=$C9,D9*(1+$B9),E19),E19)),0)</f>
        <v>0</v>
      </c>
      <c r="F9" s="313">
        <f t="shared" si="15"/>
        <v>0</v>
      </c>
      <c r="G9" s="313">
        <f t="shared" si="15"/>
        <v>0</v>
      </c>
      <c r="H9" s="313">
        <f t="shared" si="15"/>
        <v>0</v>
      </c>
      <c r="I9" s="313">
        <f t="shared" si="15"/>
        <v>0</v>
      </c>
      <c r="J9" s="313">
        <f t="shared" si="15"/>
        <v>0</v>
      </c>
      <c r="K9" s="313">
        <f t="shared" si="15"/>
        <v>0</v>
      </c>
      <c r="L9" s="313">
        <f t="shared" si="15"/>
        <v>0</v>
      </c>
      <c r="M9" s="313">
        <f t="shared" si="15"/>
        <v>0</v>
      </c>
      <c r="N9" s="313">
        <f t="shared" si="15"/>
        <v>0</v>
      </c>
      <c r="O9" s="313">
        <f t="shared" si="15"/>
        <v>0</v>
      </c>
      <c r="P9" s="313">
        <f t="shared" si="15"/>
        <v>0</v>
      </c>
      <c r="Q9" s="313">
        <f t="shared" si="15"/>
        <v>0</v>
      </c>
      <c r="R9" s="313">
        <f t="shared" si="15"/>
        <v>0</v>
      </c>
      <c r="S9" s="313">
        <f t="shared" si="15"/>
        <v>0</v>
      </c>
      <c r="T9" s="313">
        <f t="shared" si="15"/>
        <v>0</v>
      </c>
      <c r="U9" s="313">
        <f t="shared" si="15"/>
        <v>0</v>
      </c>
      <c r="V9" s="313">
        <f t="shared" si="15"/>
        <v>0</v>
      </c>
      <c r="W9" s="313">
        <f t="shared" si="15"/>
        <v>0</v>
      </c>
      <c r="X9" s="313">
        <f t="shared" si="15"/>
        <v>0</v>
      </c>
      <c r="Y9" s="313">
        <f t="shared" si="15"/>
        <v>0</v>
      </c>
      <c r="Z9" s="313">
        <f t="shared" si="15"/>
        <v>0</v>
      </c>
      <c r="AA9" s="313">
        <f t="shared" si="15"/>
        <v>0</v>
      </c>
      <c r="AB9" s="313">
        <f t="shared" si="15"/>
        <v>0</v>
      </c>
      <c r="AC9" s="313">
        <f t="shared" si="15"/>
        <v>0</v>
      </c>
      <c r="AD9" s="313">
        <f t="shared" si="15"/>
        <v>0</v>
      </c>
      <c r="AE9" s="313">
        <f t="shared" si="15"/>
        <v>0</v>
      </c>
      <c r="AF9" s="313">
        <f t="shared" si="15"/>
        <v>0</v>
      </c>
      <c r="AG9" s="313">
        <f t="shared" si="15"/>
        <v>0</v>
      </c>
      <c r="AH9" s="315">
        <f t="shared" si="9"/>
        <v>0</v>
      </c>
    </row>
    <row r="10" spans="1:34">
      <c r="A10" s="192">
        <f t="shared" si="4"/>
        <v>0</v>
      </c>
      <c r="B10" s="356">
        <f t="shared" si="4"/>
        <v>0</v>
      </c>
      <c r="C10" s="311">
        <f t="shared" ref="C10" si="16">+C20</f>
        <v>0</v>
      </c>
      <c r="D10" s="315">
        <f t="shared" si="5"/>
        <v>0</v>
      </c>
      <c r="E10" s="313">
        <f t="shared" ref="E10:AG10" si="17">ROUND(IF(E$3&gt;$B$3,0,IF($C10&gt;0,IF(E$4&gt;=$C10,D10*(1+$B10),E20),E20)),0)</f>
        <v>0</v>
      </c>
      <c r="F10" s="313">
        <f t="shared" si="17"/>
        <v>0</v>
      </c>
      <c r="G10" s="313">
        <f t="shared" si="17"/>
        <v>0</v>
      </c>
      <c r="H10" s="313">
        <f t="shared" si="17"/>
        <v>0</v>
      </c>
      <c r="I10" s="313">
        <f t="shared" si="17"/>
        <v>0</v>
      </c>
      <c r="J10" s="313">
        <f t="shared" si="17"/>
        <v>0</v>
      </c>
      <c r="K10" s="313">
        <f t="shared" si="17"/>
        <v>0</v>
      </c>
      <c r="L10" s="313">
        <f t="shared" si="17"/>
        <v>0</v>
      </c>
      <c r="M10" s="313">
        <f t="shared" si="17"/>
        <v>0</v>
      </c>
      <c r="N10" s="313">
        <f t="shared" si="17"/>
        <v>0</v>
      </c>
      <c r="O10" s="313">
        <f t="shared" si="17"/>
        <v>0</v>
      </c>
      <c r="P10" s="313">
        <f t="shared" si="17"/>
        <v>0</v>
      </c>
      <c r="Q10" s="313">
        <f t="shared" si="17"/>
        <v>0</v>
      </c>
      <c r="R10" s="313">
        <f t="shared" si="17"/>
        <v>0</v>
      </c>
      <c r="S10" s="313">
        <f t="shared" si="17"/>
        <v>0</v>
      </c>
      <c r="T10" s="313">
        <f t="shared" si="17"/>
        <v>0</v>
      </c>
      <c r="U10" s="313">
        <f t="shared" si="17"/>
        <v>0</v>
      </c>
      <c r="V10" s="313">
        <f t="shared" si="17"/>
        <v>0</v>
      </c>
      <c r="W10" s="313">
        <f t="shared" si="17"/>
        <v>0</v>
      </c>
      <c r="X10" s="313">
        <f t="shared" si="17"/>
        <v>0</v>
      </c>
      <c r="Y10" s="313">
        <f t="shared" si="17"/>
        <v>0</v>
      </c>
      <c r="Z10" s="313">
        <f t="shared" si="17"/>
        <v>0</v>
      </c>
      <c r="AA10" s="313">
        <f t="shared" si="17"/>
        <v>0</v>
      </c>
      <c r="AB10" s="313">
        <f t="shared" si="17"/>
        <v>0</v>
      </c>
      <c r="AC10" s="313">
        <f t="shared" si="17"/>
        <v>0</v>
      </c>
      <c r="AD10" s="313">
        <f t="shared" si="17"/>
        <v>0</v>
      </c>
      <c r="AE10" s="313">
        <f t="shared" si="17"/>
        <v>0</v>
      </c>
      <c r="AF10" s="313">
        <f t="shared" si="17"/>
        <v>0</v>
      </c>
      <c r="AG10" s="313">
        <f t="shared" si="17"/>
        <v>0</v>
      </c>
      <c r="AH10" s="315">
        <f t="shared" si="9"/>
        <v>0</v>
      </c>
    </row>
    <row r="11" spans="1:34">
      <c r="A11" s="192">
        <f t="shared" si="4"/>
        <v>0</v>
      </c>
      <c r="B11" s="356">
        <f t="shared" si="4"/>
        <v>0</v>
      </c>
      <c r="C11" s="311">
        <f t="shared" ref="C11" si="18">+C21</f>
        <v>0</v>
      </c>
      <c r="D11" s="315">
        <f t="shared" si="5"/>
        <v>0</v>
      </c>
      <c r="E11" s="313">
        <f t="shared" ref="E11:AG11" si="19">ROUND(IF(E$3&gt;$B$3,0,IF($C11&gt;0,IF(E$4&gt;=$C11,D11*(1+$B11),E21),E21)),0)</f>
        <v>0</v>
      </c>
      <c r="F11" s="313">
        <f t="shared" si="19"/>
        <v>0</v>
      </c>
      <c r="G11" s="313">
        <f t="shared" si="19"/>
        <v>0</v>
      </c>
      <c r="H11" s="313">
        <f t="shared" si="19"/>
        <v>0</v>
      </c>
      <c r="I11" s="313">
        <f t="shared" si="19"/>
        <v>0</v>
      </c>
      <c r="J11" s="313">
        <f t="shared" si="19"/>
        <v>0</v>
      </c>
      <c r="K11" s="313">
        <f t="shared" si="19"/>
        <v>0</v>
      </c>
      <c r="L11" s="313">
        <f t="shared" si="19"/>
        <v>0</v>
      </c>
      <c r="M11" s="313">
        <f t="shared" si="19"/>
        <v>0</v>
      </c>
      <c r="N11" s="313">
        <f t="shared" si="19"/>
        <v>0</v>
      </c>
      <c r="O11" s="313">
        <f t="shared" si="19"/>
        <v>0</v>
      </c>
      <c r="P11" s="313">
        <f t="shared" si="19"/>
        <v>0</v>
      </c>
      <c r="Q11" s="313">
        <f t="shared" si="19"/>
        <v>0</v>
      </c>
      <c r="R11" s="313">
        <f t="shared" si="19"/>
        <v>0</v>
      </c>
      <c r="S11" s="313">
        <f t="shared" si="19"/>
        <v>0</v>
      </c>
      <c r="T11" s="313">
        <f t="shared" si="19"/>
        <v>0</v>
      </c>
      <c r="U11" s="313">
        <f t="shared" si="19"/>
        <v>0</v>
      </c>
      <c r="V11" s="313">
        <f t="shared" si="19"/>
        <v>0</v>
      </c>
      <c r="W11" s="313">
        <f t="shared" si="19"/>
        <v>0</v>
      </c>
      <c r="X11" s="313">
        <f t="shared" si="19"/>
        <v>0</v>
      </c>
      <c r="Y11" s="313">
        <f t="shared" si="19"/>
        <v>0</v>
      </c>
      <c r="Z11" s="313">
        <f t="shared" si="19"/>
        <v>0</v>
      </c>
      <c r="AA11" s="313">
        <f t="shared" si="19"/>
        <v>0</v>
      </c>
      <c r="AB11" s="313">
        <f t="shared" si="19"/>
        <v>0</v>
      </c>
      <c r="AC11" s="313">
        <f t="shared" si="19"/>
        <v>0</v>
      </c>
      <c r="AD11" s="313">
        <f t="shared" si="19"/>
        <v>0</v>
      </c>
      <c r="AE11" s="313">
        <f t="shared" si="19"/>
        <v>0</v>
      </c>
      <c r="AF11" s="313">
        <f t="shared" si="19"/>
        <v>0</v>
      </c>
      <c r="AG11" s="313">
        <f t="shared" si="19"/>
        <v>0</v>
      </c>
      <c r="AH11" s="315">
        <f t="shared" si="9"/>
        <v>0</v>
      </c>
    </row>
    <row r="12" spans="1:34" ht="16.2" thickBot="1">
      <c r="A12" s="318" t="s">
        <v>191</v>
      </c>
      <c r="B12" s="318"/>
      <c r="C12" s="318"/>
      <c r="D12" s="317">
        <f>SUM(D5:D11)</f>
        <v>0</v>
      </c>
      <c r="E12" s="317">
        <f>SUM(E5:E11)</f>
        <v>0</v>
      </c>
      <c r="F12" s="317">
        <f t="shared" ref="F12:AH12" si="20">SUM(F5:F11)</f>
        <v>0</v>
      </c>
      <c r="G12" s="317">
        <f t="shared" si="20"/>
        <v>3453821</v>
      </c>
      <c r="H12" s="317">
        <f t="shared" si="20"/>
        <v>2896628</v>
      </c>
      <c r="I12" s="317">
        <f t="shared" si="20"/>
        <v>2940078</v>
      </c>
      <c r="J12" s="317">
        <f t="shared" si="20"/>
        <v>2984180</v>
      </c>
      <c r="K12" s="317">
        <f t="shared" si="20"/>
        <v>3028942</v>
      </c>
      <c r="L12" s="317">
        <f t="shared" si="20"/>
        <v>3074376</v>
      </c>
      <c r="M12" s="317">
        <f t="shared" si="20"/>
        <v>3120492</v>
      </c>
      <c r="N12" s="317">
        <f t="shared" si="20"/>
        <v>3167300</v>
      </c>
      <c r="O12" s="317">
        <f t="shared" si="20"/>
        <v>3214809</v>
      </c>
      <c r="P12" s="317">
        <f t="shared" si="20"/>
        <v>3263031</v>
      </c>
      <c r="Q12" s="317">
        <f t="shared" si="20"/>
        <v>3328291</v>
      </c>
      <c r="R12" s="317">
        <f t="shared" si="20"/>
        <v>3394856</v>
      </c>
      <c r="S12" s="317">
        <f t="shared" si="20"/>
        <v>3462753</v>
      </c>
      <c r="T12" s="317">
        <f t="shared" si="20"/>
        <v>3532008</v>
      </c>
      <c r="U12" s="317">
        <f t="shared" si="20"/>
        <v>3602648</v>
      </c>
      <c r="V12" s="317">
        <f t="shared" si="20"/>
        <v>3674701</v>
      </c>
      <c r="W12" s="317">
        <f t="shared" si="20"/>
        <v>3748195</v>
      </c>
      <c r="X12" s="317">
        <f t="shared" si="20"/>
        <v>3823159</v>
      </c>
      <c r="Y12" s="317">
        <f t="shared" si="20"/>
        <v>3899623</v>
      </c>
      <c r="Z12" s="317">
        <f t="shared" si="20"/>
        <v>3977615</v>
      </c>
      <c r="AA12" s="317">
        <f t="shared" si="20"/>
        <v>4057167</v>
      </c>
      <c r="AB12" s="317">
        <f t="shared" si="20"/>
        <v>4138310</v>
      </c>
      <c r="AC12" s="317">
        <f t="shared" ref="AC12:AG12" si="21">SUM(AC5:AC11)</f>
        <v>4221076</v>
      </c>
      <c r="AD12" s="317">
        <f t="shared" si="21"/>
        <v>4305497</v>
      </c>
      <c r="AE12" s="317">
        <f t="shared" si="21"/>
        <v>4391607</v>
      </c>
      <c r="AF12" s="317">
        <f t="shared" si="21"/>
        <v>4479439</v>
      </c>
      <c r="AG12" s="317">
        <f t="shared" si="21"/>
        <v>4569028</v>
      </c>
      <c r="AH12" s="317">
        <f t="shared" si="20"/>
        <v>97749630</v>
      </c>
    </row>
    <row r="13" spans="1:34">
      <c r="A13" s="177"/>
      <c r="B13" s="322"/>
      <c r="C13" s="322"/>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row>
    <row r="14" spans="1:34">
      <c r="A14" s="177" t="s">
        <v>435</v>
      </c>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row>
    <row r="15" spans="1:34">
      <c r="A15" s="346" t="s">
        <v>436</v>
      </c>
      <c r="B15" s="355">
        <v>1.4999999999999999E-2</v>
      </c>
      <c r="C15" s="347">
        <v>2026</v>
      </c>
      <c r="D15" s="351"/>
      <c r="E15" s="351"/>
      <c r="F15" s="351"/>
      <c r="G15" s="584">
        <f>B31</f>
        <v>2643856.6046068743</v>
      </c>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09"/>
    </row>
    <row r="16" spans="1:34">
      <c r="A16" s="346" t="s">
        <v>437</v>
      </c>
      <c r="B16" s="355">
        <v>1.4999999999999999E-2</v>
      </c>
      <c r="C16" s="347">
        <v>2026</v>
      </c>
      <c r="D16" s="351"/>
      <c r="E16" s="351"/>
      <c r="F16" s="351"/>
      <c r="G16" s="584">
        <f>+F31</f>
        <v>209963.96</v>
      </c>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09"/>
    </row>
    <row r="17" spans="1:34">
      <c r="A17" s="346" t="s">
        <v>438</v>
      </c>
      <c r="B17" s="355"/>
      <c r="C17" s="347"/>
      <c r="D17" s="351"/>
      <c r="E17" s="351"/>
      <c r="F17" s="351"/>
      <c r="G17" s="584">
        <f>$B$24*-G24</f>
        <v>0</v>
      </c>
      <c r="H17" s="584">
        <f t="shared" ref="H17:AG17" si="22">$B$24*-H24</f>
        <v>0</v>
      </c>
      <c r="I17" s="584">
        <f t="shared" si="22"/>
        <v>0</v>
      </c>
      <c r="J17" s="584">
        <f t="shared" si="22"/>
        <v>0</v>
      </c>
      <c r="K17" s="584">
        <f t="shared" si="22"/>
        <v>0</v>
      </c>
      <c r="L17" s="584">
        <f t="shared" si="22"/>
        <v>0</v>
      </c>
      <c r="M17" s="584">
        <f t="shared" si="22"/>
        <v>0</v>
      </c>
      <c r="N17" s="584">
        <f t="shared" si="22"/>
        <v>0</v>
      </c>
      <c r="O17" s="584">
        <f t="shared" si="22"/>
        <v>0</v>
      </c>
      <c r="P17" s="584">
        <f t="shared" si="22"/>
        <v>0</v>
      </c>
      <c r="Q17" s="584">
        <f t="shared" si="22"/>
        <v>0</v>
      </c>
      <c r="R17" s="584">
        <f t="shared" si="22"/>
        <v>0</v>
      </c>
      <c r="S17" s="584">
        <f t="shared" si="22"/>
        <v>0</v>
      </c>
      <c r="T17" s="584">
        <f t="shared" si="22"/>
        <v>0</v>
      </c>
      <c r="U17" s="584">
        <f t="shared" si="22"/>
        <v>0</v>
      </c>
      <c r="V17" s="584">
        <f t="shared" si="22"/>
        <v>0</v>
      </c>
      <c r="W17" s="584">
        <f t="shared" si="22"/>
        <v>0</v>
      </c>
      <c r="X17" s="584">
        <f t="shared" si="22"/>
        <v>0</v>
      </c>
      <c r="Y17" s="584">
        <f t="shared" si="22"/>
        <v>0</v>
      </c>
      <c r="Z17" s="584">
        <f t="shared" si="22"/>
        <v>0</v>
      </c>
      <c r="AA17" s="584">
        <f t="shared" si="22"/>
        <v>0</v>
      </c>
      <c r="AB17" s="584">
        <f t="shared" si="22"/>
        <v>0</v>
      </c>
      <c r="AC17" s="584">
        <f t="shared" si="22"/>
        <v>0</v>
      </c>
      <c r="AD17" s="584">
        <f t="shared" si="22"/>
        <v>0</v>
      </c>
      <c r="AE17" s="584">
        <f t="shared" si="22"/>
        <v>0</v>
      </c>
      <c r="AF17" s="584">
        <f t="shared" si="22"/>
        <v>0</v>
      </c>
      <c r="AG17" s="584">
        <f t="shared" si="22"/>
        <v>0</v>
      </c>
      <c r="AH17" s="309"/>
    </row>
    <row r="18" spans="1:34">
      <c r="A18" s="346" t="s">
        <v>352</v>
      </c>
      <c r="B18" s="355"/>
      <c r="C18" s="347"/>
      <c r="D18" s="351"/>
      <c r="E18" s="351"/>
      <c r="F18" s="351"/>
      <c r="G18" s="351">
        <v>600000</v>
      </c>
      <c r="H18" s="351"/>
      <c r="I18" s="351"/>
      <c r="J18" s="351"/>
      <c r="K18" s="351"/>
      <c r="L18" s="351"/>
      <c r="M18" s="351"/>
      <c r="N18" s="351"/>
      <c r="O18" s="351"/>
      <c r="P18" s="346"/>
      <c r="Q18" s="346"/>
      <c r="R18" s="346"/>
      <c r="S18" s="346"/>
      <c r="T18" s="346"/>
      <c r="U18" s="346"/>
      <c r="V18" s="346"/>
      <c r="W18" s="346"/>
      <c r="X18" s="346"/>
      <c r="Y18" s="346"/>
      <c r="Z18" s="346"/>
      <c r="AA18" s="346"/>
      <c r="AB18" s="346"/>
      <c r="AC18" s="346"/>
      <c r="AD18" s="346"/>
      <c r="AE18" s="346"/>
      <c r="AF18" s="346"/>
      <c r="AG18" s="346"/>
      <c r="AH18" s="309"/>
    </row>
    <row r="19" spans="1:34">
      <c r="A19" s="346"/>
      <c r="B19" s="355"/>
      <c r="C19" s="347"/>
      <c r="D19" s="346"/>
      <c r="E19" s="351"/>
      <c r="F19" s="351"/>
      <c r="G19" s="351"/>
      <c r="H19" s="351"/>
      <c r="I19" s="351"/>
      <c r="J19" s="351"/>
      <c r="K19" s="351"/>
      <c r="L19" s="351"/>
      <c r="M19" s="351"/>
      <c r="N19" s="346"/>
      <c r="O19" s="346"/>
      <c r="P19" s="346"/>
      <c r="Q19" s="346"/>
      <c r="R19" s="346"/>
      <c r="S19" s="346"/>
      <c r="T19" s="346"/>
      <c r="U19" s="346"/>
      <c r="V19" s="346"/>
      <c r="W19" s="346"/>
      <c r="X19" s="346"/>
      <c r="Y19" s="346"/>
      <c r="Z19" s="346"/>
      <c r="AA19" s="346"/>
      <c r="AB19" s="346"/>
      <c r="AC19" s="346"/>
      <c r="AD19" s="346"/>
      <c r="AE19" s="346"/>
      <c r="AF19" s="346"/>
      <c r="AG19" s="346"/>
      <c r="AH19" s="309"/>
    </row>
    <row r="20" spans="1:34">
      <c r="A20" s="346"/>
      <c r="B20" s="355"/>
      <c r="C20" s="347"/>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09"/>
    </row>
    <row r="21" spans="1:34">
      <c r="A21" s="349"/>
      <c r="B21" s="355"/>
      <c r="C21" s="350"/>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09"/>
    </row>
    <row r="22" spans="1:34" ht="16.2" thickBot="1">
      <c r="A22" s="318" t="s">
        <v>191</v>
      </c>
      <c r="B22" s="318"/>
      <c r="C22" s="318"/>
      <c r="D22" s="317">
        <f>SUM(D15:D21)</f>
        <v>0</v>
      </c>
      <c r="E22" s="317">
        <f>SUM(E15:E21)</f>
        <v>0</v>
      </c>
      <c r="F22" s="317">
        <f t="shared" ref="F22:AB22" si="23">SUM(F15:F21)</f>
        <v>0</v>
      </c>
      <c r="G22" s="317">
        <f t="shared" si="23"/>
        <v>3453820.5646068742</v>
      </c>
      <c r="H22" s="317">
        <f t="shared" si="23"/>
        <v>0</v>
      </c>
      <c r="I22" s="317">
        <f t="shared" si="23"/>
        <v>0</v>
      </c>
      <c r="J22" s="317">
        <f t="shared" si="23"/>
        <v>0</v>
      </c>
      <c r="K22" s="317">
        <f t="shared" si="23"/>
        <v>0</v>
      </c>
      <c r="L22" s="317">
        <f t="shared" si="23"/>
        <v>0</v>
      </c>
      <c r="M22" s="317">
        <f t="shared" si="23"/>
        <v>0</v>
      </c>
      <c r="N22" s="317">
        <f t="shared" si="23"/>
        <v>0</v>
      </c>
      <c r="O22" s="317">
        <f t="shared" si="23"/>
        <v>0</v>
      </c>
      <c r="P22" s="317">
        <f t="shared" si="23"/>
        <v>0</v>
      </c>
      <c r="Q22" s="317">
        <f t="shared" si="23"/>
        <v>0</v>
      </c>
      <c r="R22" s="317">
        <f t="shared" si="23"/>
        <v>0</v>
      </c>
      <c r="S22" s="317">
        <f t="shared" si="23"/>
        <v>0</v>
      </c>
      <c r="T22" s="317">
        <f t="shared" si="23"/>
        <v>0</v>
      </c>
      <c r="U22" s="317">
        <f t="shared" si="23"/>
        <v>0</v>
      </c>
      <c r="V22" s="317">
        <f t="shared" si="23"/>
        <v>0</v>
      </c>
      <c r="W22" s="317">
        <f t="shared" si="23"/>
        <v>0</v>
      </c>
      <c r="X22" s="317">
        <f t="shared" si="23"/>
        <v>0</v>
      </c>
      <c r="Y22" s="317">
        <f t="shared" si="23"/>
        <v>0</v>
      </c>
      <c r="Z22" s="317">
        <f t="shared" si="23"/>
        <v>0</v>
      </c>
      <c r="AA22" s="317">
        <f t="shared" si="23"/>
        <v>0</v>
      </c>
      <c r="AB22" s="317">
        <f t="shared" si="23"/>
        <v>0</v>
      </c>
      <c r="AC22" s="317">
        <f t="shared" ref="AC22:AG22" si="24">SUM(AC15:AC21)</f>
        <v>0</v>
      </c>
      <c r="AD22" s="317">
        <f t="shared" si="24"/>
        <v>0</v>
      </c>
      <c r="AE22" s="317">
        <f t="shared" si="24"/>
        <v>0</v>
      </c>
      <c r="AF22" s="317">
        <f t="shared" si="24"/>
        <v>0</v>
      </c>
      <c r="AG22" s="317">
        <f t="shared" si="24"/>
        <v>0</v>
      </c>
      <c r="AH22" s="309"/>
    </row>
    <row r="23" spans="1:34">
      <c r="F23" s="325" t="s">
        <v>439</v>
      </c>
      <c r="G23" s="579">
        <f>AVERAGE(G12:AG12)</f>
        <v>3620356.6666666665</v>
      </c>
      <c r="I23" s="325"/>
      <c r="J23" s="325"/>
      <c r="K23" s="325"/>
      <c r="AH23" s="315"/>
    </row>
    <row r="24" spans="1:34">
      <c r="A24" s="177" t="s">
        <v>440</v>
      </c>
      <c r="B24" s="588">
        <v>0</v>
      </c>
      <c r="C24" s="192" t="s">
        <v>441</v>
      </c>
      <c r="G24" s="351">
        <v>2515647</v>
      </c>
      <c r="H24" s="351">
        <v>2591116</v>
      </c>
      <c r="I24" s="351">
        <v>2668849</v>
      </c>
      <c r="J24" s="351">
        <v>2748914</v>
      </c>
      <c r="K24" s="351">
        <v>2831381</v>
      </c>
      <c r="L24" s="351">
        <v>2916322</v>
      </c>
      <c r="M24" s="351">
        <v>3003812</v>
      </c>
      <c r="N24" s="351">
        <v>3093926</v>
      </c>
      <c r="O24" s="351">
        <v>3186744</v>
      </c>
      <c r="P24" s="351">
        <v>3282346</v>
      </c>
      <c r="Q24" s="351">
        <v>3380816</v>
      </c>
      <c r="R24" s="351">
        <v>3482240</v>
      </c>
      <c r="S24" s="351">
        <v>3586707</v>
      </c>
      <c r="T24" s="351">
        <v>3694308</v>
      </c>
      <c r="U24" s="351">
        <v>3805137</v>
      </c>
      <c r="V24" s="351">
        <v>3919291</v>
      </c>
      <c r="W24" s="351">
        <v>4036870</v>
      </c>
      <c r="X24" s="351">
        <v>4157976</v>
      </c>
      <c r="Y24" s="351">
        <v>4282715</v>
      </c>
      <c r="Z24" s="351">
        <v>4411196</v>
      </c>
      <c r="AA24" s="351">
        <v>4543532</v>
      </c>
      <c r="AB24" s="351">
        <v>4679838</v>
      </c>
      <c r="AC24" s="351">
        <v>4820233</v>
      </c>
      <c r="AD24" s="351">
        <v>4964840</v>
      </c>
      <c r="AE24" s="351">
        <v>5113785</v>
      </c>
      <c r="AF24" s="351">
        <v>5267199</v>
      </c>
      <c r="AG24" s="351">
        <v>5425215</v>
      </c>
    </row>
    <row r="25" spans="1:34">
      <c r="A25" s="627" t="s">
        <v>442</v>
      </c>
      <c r="F25" s="325"/>
      <c r="G25" s="579"/>
      <c r="H25" s="678"/>
      <c r="I25" s="325"/>
      <c r="J25" s="325"/>
      <c r="K25" s="325"/>
      <c r="AH25" s="315"/>
    </row>
    <row r="26" spans="1:34">
      <c r="A26" s="627"/>
      <c r="F26" s="325"/>
      <c r="G26" s="579"/>
      <c r="I26" s="325"/>
      <c r="J26" s="325"/>
      <c r="K26" s="325"/>
      <c r="AH26" s="315"/>
    </row>
    <row r="27" spans="1:34">
      <c r="A27" s="177" t="s">
        <v>443</v>
      </c>
      <c r="E27" s="325"/>
      <c r="F27" s="325"/>
      <c r="I27" s="325"/>
      <c r="J27" s="325"/>
      <c r="K27" s="325"/>
    </row>
    <row r="28" spans="1:34">
      <c r="A28" s="592" t="s">
        <v>387</v>
      </c>
      <c r="D28" s="587" t="s">
        <v>334</v>
      </c>
      <c r="E28" s="325"/>
      <c r="F28" s="325"/>
      <c r="G28" s="325"/>
      <c r="N28" s="325"/>
    </row>
    <row r="29" spans="1:34">
      <c r="A29" s="593" t="s">
        <v>444</v>
      </c>
      <c r="B29" s="351">
        <v>265000</v>
      </c>
      <c r="D29" s="192" t="s">
        <v>445</v>
      </c>
      <c r="F29" s="379">
        <f>+Capex!AK11</f>
        <v>20996396</v>
      </c>
      <c r="G29" s="325"/>
      <c r="N29" s="325"/>
    </row>
    <row r="30" spans="1:34">
      <c r="A30" s="593" t="s">
        <v>446</v>
      </c>
      <c r="B30" s="589">
        <f>+F34</f>
        <v>9.9768173758749974</v>
      </c>
      <c r="D30" s="192" t="s">
        <v>447</v>
      </c>
      <c r="F30" s="586">
        <v>0.01</v>
      </c>
      <c r="G30" s="192" t="s">
        <v>448</v>
      </c>
    </row>
    <row r="31" spans="1:34" ht="16.2" thickBot="1">
      <c r="A31" s="593" t="s">
        <v>449</v>
      </c>
      <c r="B31" s="585">
        <f>B30*B29</f>
        <v>2643856.6046068743</v>
      </c>
      <c r="D31" s="192" t="s">
        <v>450</v>
      </c>
      <c r="F31" s="585">
        <f>+F29*F30</f>
        <v>209963.96</v>
      </c>
      <c r="H31" s="491"/>
      <c r="I31" s="491"/>
      <c r="J31" s="491"/>
      <c r="K31" s="491"/>
      <c r="L31" s="491"/>
      <c r="M31" s="491"/>
    </row>
    <row r="33" spans="1:6">
      <c r="A33" s="325"/>
      <c r="B33" s="591">
        <v>2021</v>
      </c>
      <c r="C33" s="591">
        <f>+B33+1</f>
        <v>2022</v>
      </c>
      <c r="D33" s="591">
        <f t="shared" ref="D33:F33" si="25">+C33+1</f>
        <v>2023</v>
      </c>
      <c r="E33" s="591">
        <f t="shared" si="25"/>
        <v>2024</v>
      </c>
      <c r="F33" s="591">
        <f t="shared" si="25"/>
        <v>2025</v>
      </c>
    </row>
    <row r="34" spans="1:6">
      <c r="A34" s="594" t="s">
        <v>451</v>
      </c>
      <c r="B34" s="590">
        <v>9.4</v>
      </c>
      <c r="C34" s="583">
        <f>+B34*(1+$B$15)</f>
        <v>9.5409999999999986</v>
      </c>
      <c r="D34" s="583">
        <f>+C34*(1+$B$15)</f>
        <v>9.6841149999999985</v>
      </c>
      <c r="E34" s="583">
        <f>+D34*(1+$B$15)</f>
        <v>9.8293767249999977</v>
      </c>
      <c r="F34" s="583">
        <f>+E34*(1+$B$15)</f>
        <v>9.9768173758749974</v>
      </c>
    </row>
    <row r="35" spans="1:6">
      <c r="A35" s="595" t="s">
        <v>452</v>
      </c>
    </row>
    <row r="37" spans="1:6">
      <c r="A37" s="677" t="s">
        <v>453</v>
      </c>
      <c r="B37" s="607"/>
      <c r="C37" s="607"/>
    </row>
    <row r="63" spans="1:1">
      <c r="A63" s="595" t="s">
        <v>454</v>
      </c>
    </row>
  </sheetData>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1" id="{9266CB66-891F-4B00-9FDF-8E49CD45BFB1}">
            <xm:f>Financials!$D$175&gt;0</xm:f>
            <x14:dxf>
              <fill>
                <patternFill>
                  <bgColor rgb="FFFF0000"/>
                </patternFill>
              </fill>
            </x14:dxf>
          </x14:cfRule>
          <x14:cfRule type="expression" priority="2" id="{00000000-000E-0000-0A00-000001000000}">
            <xm:f>Financials!$D$175=0</xm:f>
            <x14:dxf>
              <font>
                <color theme="1"/>
              </font>
              <fill>
                <patternFill patternType="solid">
                  <bgColor rgb="FF92D050"/>
                </patternFill>
              </fill>
            </x14:dxf>
          </x14:cfRule>
          <xm:sqref>C1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20"/>
  <sheetViews>
    <sheetView showGridLines="0" workbookViewId="0">
      <selection activeCell="B6" sqref="B6"/>
    </sheetView>
  </sheetViews>
  <sheetFormatPr defaultColWidth="8.90625" defaultRowHeight="14.4"/>
  <cols>
    <col min="1" max="1" width="19.453125" style="2" bestFit="1" customWidth="1"/>
    <col min="2" max="32" width="11.90625" style="2" customWidth="1"/>
    <col min="33" max="16384" width="8.90625" style="2"/>
  </cols>
  <sheetData>
    <row r="1" spans="1:32" ht="15.6">
      <c r="A1" s="177" t="s">
        <v>455</v>
      </c>
    </row>
    <row r="2" spans="1:32" ht="15" thickBot="1">
      <c r="C2" s="35">
        <f>+Financials!C3</f>
        <v>1</v>
      </c>
      <c r="D2" s="36">
        <f>C2+1</f>
        <v>2</v>
      </c>
      <c r="E2" s="36">
        <f t="shared" ref="E2:AA2" si="0">D2+1</f>
        <v>3</v>
      </c>
      <c r="F2" s="36">
        <f t="shared" si="0"/>
        <v>4</v>
      </c>
      <c r="G2" s="36">
        <f t="shared" si="0"/>
        <v>5</v>
      </c>
      <c r="H2" s="36">
        <f t="shared" si="0"/>
        <v>6</v>
      </c>
      <c r="I2" s="36">
        <f t="shared" si="0"/>
        <v>7</v>
      </c>
      <c r="J2" s="36">
        <f t="shared" si="0"/>
        <v>8</v>
      </c>
      <c r="K2" s="36">
        <f t="shared" si="0"/>
        <v>9</v>
      </c>
      <c r="L2" s="36">
        <f t="shared" si="0"/>
        <v>10</v>
      </c>
      <c r="M2" s="36">
        <f t="shared" si="0"/>
        <v>11</v>
      </c>
      <c r="N2" s="36">
        <f t="shared" si="0"/>
        <v>12</v>
      </c>
      <c r="O2" s="36">
        <f t="shared" si="0"/>
        <v>13</v>
      </c>
      <c r="P2" s="36">
        <f t="shared" si="0"/>
        <v>14</v>
      </c>
      <c r="Q2" s="36">
        <f t="shared" si="0"/>
        <v>15</v>
      </c>
      <c r="R2" s="36">
        <f t="shared" si="0"/>
        <v>16</v>
      </c>
      <c r="S2" s="36">
        <f t="shared" si="0"/>
        <v>17</v>
      </c>
      <c r="T2" s="36">
        <f t="shared" si="0"/>
        <v>18</v>
      </c>
      <c r="U2" s="36">
        <f t="shared" si="0"/>
        <v>19</v>
      </c>
      <c r="V2" s="36">
        <f t="shared" si="0"/>
        <v>20</v>
      </c>
      <c r="W2" s="36">
        <f t="shared" si="0"/>
        <v>21</v>
      </c>
      <c r="X2" s="36">
        <f t="shared" si="0"/>
        <v>22</v>
      </c>
      <c r="Y2" s="36">
        <f t="shared" si="0"/>
        <v>23</v>
      </c>
      <c r="Z2" s="36">
        <f t="shared" si="0"/>
        <v>24</v>
      </c>
      <c r="AA2" s="36">
        <f t="shared" si="0"/>
        <v>25</v>
      </c>
      <c r="AB2" s="36">
        <f t="shared" ref="AB2" si="1">AA2+1</f>
        <v>26</v>
      </c>
      <c r="AC2" s="36">
        <f t="shared" ref="AC2" si="2">AB2+1</f>
        <v>27</v>
      </c>
      <c r="AD2" s="36">
        <f t="shared" ref="AD2" si="3">AC2+1</f>
        <v>28</v>
      </c>
      <c r="AE2" s="36">
        <f t="shared" ref="AE2" si="4">AD2+1</f>
        <v>29</v>
      </c>
      <c r="AF2" s="36">
        <f t="shared" ref="AF2" si="5">AE2+1</f>
        <v>30</v>
      </c>
    </row>
    <row r="3" spans="1:32">
      <c r="C3" s="51">
        <f>+Financials!C4</f>
        <v>2022</v>
      </c>
      <c r="D3" s="52">
        <f>+C3+1</f>
        <v>2023</v>
      </c>
      <c r="E3" s="52">
        <f t="shared" ref="E3:AA3" si="6">+D3+1</f>
        <v>2024</v>
      </c>
      <c r="F3" s="52">
        <f t="shared" si="6"/>
        <v>2025</v>
      </c>
      <c r="G3" s="52">
        <f t="shared" si="6"/>
        <v>2026</v>
      </c>
      <c r="H3" s="52">
        <f t="shared" si="6"/>
        <v>2027</v>
      </c>
      <c r="I3" s="52">
        <f t="shared" si="6"/>
        <v>2028</v>
      </c>
      <c r="J3" s="52">
        <f t="shared" si="6"/>
        <v>2029</v>
      </c>
      <c r="K3" s="52">
        <f t="shared" si="6"/>
        <v>2030</v>
      </c>
      <c r="L3" s="52">
        <f t="shared" si="6"/>
        <v>2031</v>
      </c>
      <c r="M3" s="52">
        <f t="shared" si="6"/>
        <v>2032</v>
      </c>
      <c r="N3" s="52">
        <f t="shared" si="6"/>
        <v>2033</v>
      </c>
      <c r="O3" s="52">
        <f t="shared" si="6"/>
        <v>2034</v>
      </c>
      <c r="P3" s="52">
        <f t="shared" si="6"/>
        <v>2035</v>
      </c>
      <c r="Q3" s="52">
        <f t="shared" si="6"/>
        <v>2036</v>
      </c>
      <c r="R3" s="52">
        <f t="shared" si="6"/>
        <v>2037</v>
      </c>
      <c r="S3" s="52">
        <f t="shared" si="6"/>
        <v>2038</v>
      </c>
      <c r="T3" s="52">
        <f t="shared" si="6"/>
        <v>2039</v>
      </c>
      <c r="U3" s="52">
        <f t="shared" si="6"/>
        <v>2040</v>
      </c>
      <c r="V3" s="52">
        <f t="shared" si="6"/>
        <v>2041</v>
      </c>
      <c r="W3" s="52">
        <f t="shared" si="6"/>
        <v>2042</v>
      </c>
      <c r="X3" s="52">
        <f t="shared" si="6"/>
        <v>2043</v>
      </c>
      <c r="Y3" s="52">
        <f t="shared" si="6"/>
        <v>2044</v>
      </c>
      <c r="Z3" s="52">
        <f t="shared" si="6"/>
        <v>2045</v>
      </c>
      <c r="AA3" s="52">
        <f t="shared" si="6"/>
        <v>2046</v>
      </c>
      <c r="AB3" s="52">
        <f t="shared" ref="AB3" si="7">+AA3+1</f>
        <v>2047</v>
      </c>
      <c r="AC3" s="52">
        <f t="shared" ref="AC3" si="8">+AB3+1</f>
        <v>2048</v>
      </c>
      <c r="AD3" s="52">
        <f t="shared" ref="AD3" si="9">+AC3+1</f>
        <v>2049</v>
      </c>
      <c r="AE3" s="52">
        <f t="shared" ref="AE3" si="10">+AD3+1</f>
        <v>2050</v>
      </c>
      <c r="AF3" s="52">
        <f t="shared" ref="AF3" si="11">+AE3+1</f>
        <v>2051</v>
      </c>
    </row>
    <row r="4" spans="1:32">
      <c r="A4" s="53" t="s">
        <v>77</v>
      </c>
      <c r="B4" s="39"/>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row>
    <row r="5" spans="1:32">
      <c r="A5" s="2" t="s">
        <v>456</v>
      </c>
      <c r="B5" s="54"/>
      <c r="C5" s="40">
        <f>IF(C$3='Input Data'!$C$15,0,IF(C$3&lt;='Input Data'!$C$15+'Input Data'!$C$19,+Financials!B113-Financials!B117,0))</f>
        <v>0</v>
      </c>
      <c r="D5" s="40">
        <f>IF(D$3='Input Data'!$C$15,0,IF(D$3&lt;='Input Data'!$C$15+'Input Data'!$C$19,+Financials!C113-Financials!C117,0))</f>
        <v>0</v>
      </c>
      <c r="E5" s="40">
        <f>IF(E$3='Input Data'!$C$15,0,IF(E$3&lt;='Input Data'!$C$15+'Input Data'!$C$19,+Financials!D113-Financials!D117,0))</f>
        <v>0</v>
      </c>
      <c r="F5" s="40">
        <f>IF(F$3='Input Data'!$C$15,0,IF(F$3&lt;='Input Data'!$C$15+'Input Data'!$C$19,+Financials!E113-Financials!E117,0))</f>
        <v>144431088.93054351</v>
      </c>
      <c r="G5" s="40">
        <f>IF(G$3='Input Data'!$C$15,0,IF(G$3&lt;='Input Data'!$C$15+'Input Data'!$C$19,+Financials!F113-Financials!F117,0))</f>
        <v>265682795.1482996</v>
      </c>
      <c r="H5" s="40">
        <f>IF(H$3='Input Data'!$C$15,0,IF(H$3&lt;='Input Data'!$C$15+'Input Data'!$C$19,+Financials!G113-Financials!G117,0))</f>
        <v>257175313.22499532</v>
      </c>
      <c r="I5" s="40">
        <f>IF(I$3='Input Data'!$C$15,0,IF(I$3&lt;='Input Data'!$C$15+'Input Data'!$C$19,+Financials!H113-Financials!H117,0))</f>
        <v>248667831.301691</v>
      </c>
      <c r="J5" s="40">
        <f>IF(J$3='Input Data'!$C$15,0,IF(J$3&lt;='Input Data'!$C$15+'Input Data'!$C$19,+Financials!I113-Financials!I117,0))</f>
        <v>240160349.37838668</v>
      </c>
      <c r="K5" s="40">
        <f>IF(K$3='Input Data'!$C$15,0,IF(K$3&lt;='Input Data'!$C$15+'Input Data'!$C$19,+Financials!J113-Financials!J117,0))</f>
        <v>231652867.45508236</v>
      </c>
      <c r="L5" s="40">
        <f>IF(L$3='Input Data'!$C$15,0,IF(L$3&lt;='Input Data'!$C$15+'Input Data'!$C$19,+Financials!K113-Financials!K117,0))</f>
        <v>223145385.53177807</v>
      </c>
      <c r="M5" s="40">
        <f>IF(M$3='Input Data'!$C$15,0,IF(M$3&lt;='Input Data'!$C$15+'Input Data'!$C$19,+Financials!L113-Financials!L117,0))</f>
        <v>214664182.7751404</v>
      </c>
      <c r="N5" s="40">
        <f>IF(N$3='Input Data'!$C$15,0,IF(N$3&lt;='Input Data'!$C$15+'Input Data'!$C$19,+Financials!M113-Financials!M117,0))</f>
        <v>208569592.8858839</v>
      </c>
      <c r="O5" s="40">
        <f>IF(O$3='Input Data'!$C$15,0,IF(O$3&lt;='Input Data'!$C$15+'Input Data'!$C$19,+Financials!N113-Financials!N117,0))</f>
        <v>204861875.04774028</v>
      </c>
      <c r="P5" s="40">
        <f>IF(P$3='Input Data'!$C$15,0,IF(P$3&lt;='Input Data'!$C$15+'Input Data'!$C$19,+Financials!O113-Financials!O117,0))</f>
        <v>201154528.32169977</v>
      </c>
      <c r="Q5" s="40">
        <f>IF(Q$3='Input Data'!$C$15,0,IF(Q$3&lt;='Input Data'!$C$15+'Input Data'!$C$19,+Financials!P113-Financials!P117,0))</f>
        <v>197447563.82973194</v>
      </c>
      <c r="R5" s="40">
        <f>IF(R$3='Input Data'!$C$15,0,IF(R$3&lt;='Input Data'!$C$15+'Input Data'!$C$19,+Financials!Q113-Financials!Q117,0))</f>
        <v>193740993.04256263</v>
      </c>
      <c r="S5" s="40">
        <f>IF(S$3='Input Data'!$C$15,0,IF(S$3&lt;='Input Data'!$C$15+'Input Data'!$C$19,+Financials!R113-Financials!R117,0))</f>
        <v>190069453.24444482</v>
      </c>
      <c r="T5" s="40">
        <f>IF(T$3='Input Data'!$C$15,0,IF(T$3&lt;='Input Data'!$C$15+'Input Data'!$C$19,+Financials!S113-Financials!S117,0))</f>
        <v>186398787.95668608</v>
      </c>
      <c r="U5" s="40">
        <f>IF(U$3='Input Data'!$C$15,0,IF(U$3&lt;='Input Data'!$C$15+'Input Data'!$C$19,+Financials!T113-Financials!T117,0))</f>
        <v>182729023.40754101</v>
      </c>
      <c r="V5" s="40">
        <f>IF(V$3='Input Data'!$C$15,0,IF(V$3&lt;='Input Data'!$C$15+'Input Data'!$C$19,+Financials!U113-Financials!U117,0))</f>
        <v>179060186.61930045</v>
      </c>
      <c r="W5" s="40">
        <f>IF(W$3='Input Data'!$C$15,0,IF(W$3&lt;='Input Data'!$C$15+'Input Data'!$C$19,+Financials!V113-Financials!V117,0))</f>
        <v>175392305.42587808</v>
      </c>
      <c r="X5" s="40">
        <f>IF(X$3='Input Data'!$C$15,0,IF(X$3&lt;='Input Data'!$C$15+'Input Data'!$C$19,+Financials!W113-Financials!W117,0))</f>
        <v>171725408.49914962</v>
      </c>
      <c r="Y5" s="40">
        <f>IF(Y$3='Input Data'!$C$15,0,IF(Y$3&lt;='Input Data'!$C$15+'Input Data'!$C$19,+Financials!X113-Financials!X117,0))</f>
        <v>168059525.36477274</v>
      </c>
      <c r="Z5" s="40">
        <f>IF(Z$3='Input Data'!$C$15,0,IF(Z$3&lt;='Input Data'!$C$15+'Input Data'!$C$19,+Financials!Y113-Financials!Y117,0))</f>
        <v>164394686.43631551</v>
      </c>
      <c r="AA5" s="40">
        <f>IF(AA$3='Input Data'!$C$15,0,IF(AA$3&lt;='Input Data'!$C$15+'Input Data'!$C$19,+Financials!Z113-Financials!Z117,0))</f>
        <v>160730923.03870529</v>
      </c>
      <c r="AB5" s="40">
        <f>IF(AB$3='Input Data'!$C$15,0,IF(AB$3&lt;='Input Data'!$C$15+'Input Data'!$C$19,+Financials!AA113-Financials!AA117,0))</f>
        <v>157068267.43071324</v>
      </c>
      <c r="AC5" s="40">
        <f>IF(AC$3='Input Data'!$C$15,0,IF(AC$3&lt;='Input Data'!$C$15+'Input Data'!$C$19,+Financials!AB113-Financials!AB117,0))</f>
        <v>153406752.85514387</v>
      </c>
      <c r="AD5" s="40">
        <f>IF(AD$3='Input Data'!$C$15,0,IF(AD$3&lt;='Input Data'!$C$15+'Input Data'!$C$19,+Financials!AC113-Financials!AC117,0))</f>
        <v>149746413.54935485</v>
      </c>
      <c r="AE5" s="40">
        <f>IF(AE$3='Input Data'!$C$15,0,IF(AE$3&lt;='Input Data'!$C$15+'Input Data'!$C$19,+Financials!AD113-Financials!AD117,0))</f>
        <v>146087284.76452947</v>
      </c>
      <c r="AF5" s="40">
        <f>IF(AF$3='Input Data'!$C$15,0,IF(AF$3&lt;='Input Data'!$C$15+'Input Data'!$C$19,+Financials!AE113-Financials!AE117,0))</f>
        <v>142429402.81265408</v>
      </c>
    </row>
    <row r="6" spans="1:32">
      <c r="A6" s="2" t="s">
        <v>457</v>
      </c>
      <c r="C6" s="55">
        <f>IF('Input Data'!$C$33=0.2,IF(C3&lt;2038,'Input Data'!$C$33,+'Input Data'!$D$108*'Input Data'!$D$87+'Input Data'!$E$108*'Input Data'!$E$87+'Input Data'!$F$108*'Input Data'!$F$87),'Input Data'!$C$33)</f>
        <v>0.6</v>
      </c>
      <c r="D6" s="55">
        <f>IF('Input Data'!$C$33=0.2,IF(D3&lt;2038,'Input Data'!$C$33,+'Input Data'!$D$108*'Input Data'!$D$87+'Input Data'!$E$108*'Input Data'!$E$87+'Input Data'!$F$108*'Input Data'!$F$87),'Input Data'!$C$33)</f>
        <v>0.6</v>
      </c>
      <c r="E6" s="55">
        <f>IF('Input Data'!$C$33=0.2,IF(E3&lt;2038,'Input Data'!$C$33,+'Input Data'!$D$108*'Input Data'!$D$87+'Input Data'!$E$108*'Input Data'!$E$87+'Input Data'!$F$108*'Input Data'!$F$87),'Input Data'!$C$33)</f>
        <v>0.6</v>
      </c>
      <c r="F6" s="55">
        <f>IF('Input Data'!$C$33=0.2,IF(F3&lt;2038,'Input Data'!$C$33,+'Input Data'!$D$108*'Input Data'!$D$87+'Input Data'!$E$108*'Input Data'!$E$87+'Input Data'!$F$108*'Input Data'!$F$87),'Input Data'!$C$33)</f>
        <v>0.6</v>
      </c>
      <c r="G6" s="55">
        <f>IF('Input Data'!$C$33=0.2,IF(G3&lt;2038,'Input Data'!$C$33,+'Input Data'!$D$108*'Input Data'!$D$87+'Input Data'!$E$108*'Input Data'!$E$87+'Input Data'!$F$108*'Input Data'!$F$87),'Input Data'!$C$33)</f>
        <v>0.6</v>
      </c>
      <c r="H6" s="55">
        <f>IF('Input Data'!$C$33=0.2,IF(H3&lt;2038,'Input Data'!$C$33,+'Input Data'!$D$108*'Input Data'!$D$87+'Input Data'!$E$108*'Input Data'!$E$87+'Input Data'!$F$108*'Input Data'!$F$87),'Input Data'!$C$33)</f>
        <v>0.6</v>
      </c>
      <c r="I6" s="55">
        <f>IF('Input Data'!$C$33=0.2,IF(I3&lt;2038,'Input Data'!$C$33,+'Input Data'!$D$108*'Input Data'!$D$87+'Input Data'!$E$108*'Input Data'!$E$87+'Input Data'!$F$108*'Input Data'!$F$87),'Input Data'!$C$33)</f>
        <v>0.6</v>
      </c>
      <c r="J6" s="55">
        <f>IF('Input Data'!$C$33=0.2,IF(J3&lt;2038,'Input Data'!$C$33,+'Input Data'!$D$108*'Input Data'!$D$87+'Input Data'!$E$108*'Input Data'!$E$87+'Input Data'!$F$108*'Input Data'!$F$87),'Input Data'!$C$33)</f>
        <v>0.6</v>
      </c>
      <c r="K6" s="55">
        <f>IF('Input Data'!$C$33=0.2,IF(K3&lt;2038,'Input Data'!$C$33,+'Input Data'!$D$108*'Input Data'!$D$87+'Input Data'!$E$108*'Input Data'!$E$87+'Input Data'!$F$108*'Input Data'!$F$87),'Input Data'!$C$33)</f>
        <v>0.6</v>
      </c>
      <c r="L6" s="55">
        <f>IF('Input Data'!$C$33=0.2,IF(L3&lt;2038,'Input Data'!$C$33,+'Input Data'!$D$108*'Input Data'!$D$87+'Input Data'!$E$108*'Input Data'!$E$87+'Input Data'!$F$108*'Input Data'!$F$87),'Input Data'!$C$33)</f>
        <v>0.6</v>
      </c>
      <c r="M6" s="55">
        <f>IF('Input Data'!$C$33=0.2,IF(M3&lt;2038,'Input Data'!$C$33,+'Input Data'!$D$108*'Input Data'!$D$87+'Input Data'!$E$108*'Input Data'!$E$87+'Input Data'!$F$108*'Input Data'!$F$87),'Input Data'!$C$33)</f>
        <v>0.6</v>
      </c>
      <c r="N6" s="55">
        <f>IF('Input Data'!$C$33=0.2,IF(N3&lt;2038,'Input Data'!$C$33,+'Input Data'!$D$108*'Input Data'!$D$87+'Input Data'!$E$108*'Input Data'!$E$87+'Input Data'!$F$108*'Input Data'!$F$87),'Input Data'!$C$33)</f>
        <v>0.6</v>
      </c>
      <c r="O6" s="55">
        <f>IF('Input Data'!$C$33=0.2,IF(O3&lt;2038,'Input Data'!$C$33,+'Input Data'!$D$108*'Input Data'!$D$87+'Input Data'!$E$108*'Input Data'!$E$87+'Input Data'!$F$108*'Input Data'!$F$87),'Input Data'!$C$33)</f>
        <v>0.6</v>
      </c>
      <c r="P6" s="55">
        <f>IF('Input Data'!$C$33=0.2,IF(P3&lt;2038,'Input Data'!$C$33,+'Input Data'!$D$108*'Input Data'!$D$87+'Input Data'!$E$108*'Input Data'!$E$87+'Input Data'!$F$108*'Input Data'!$F$87),'Input Data'!$C$33)</f>
        <v>0.6</v>
      </c>
      <c r="Q6" s="55">
        <f>IF('Input Data'!$C$33=0.2,IF(Q3&lt;2038,'Input Data'!$C$33,+'Input Data'!$D$108*'Input Data'!$D$87+'Input Data'!$E$108*'Input Data'!$E$87+'Input Data'!$F$108*'Input Data'!$F$87),'Input Data'!$C$33)</f>
        <v>0.6</v>
      </c>
      <c r="R6" s="55">
        <f>IF('Input Data'!$C$33=0.2,IF(R3&lt;2038,'Input Data'!$C$33,+'Input Data'!$D$108*'Input Data'!$D$87+'Input Data'!$E$108*'Input Data'!$E$87+'Input Data'!$F$108*'Input Data'!$F$87),'Input Data'!$C$33)</f>
        <v>0.6</v>
      </c>
      <c r="S6" s="55">
        <f>IF('Input Data'!$C$33=0.2,IF(S3&lt;2038,'Input Data'!$C$33,+'Input Data'!$D$108*'Input Data'!$D$87+'Input Data'!$E$108*'Input Data'!$E$87+'Input Data'!$F$108*'Input Data'!$F$87),'Input Data'!$C$33)</f>
        <v>0.6</v>
      </c>
      <c r="T6" s="55">
        <f>IF('Input Data'!$C$33=0.2,IF(T3&lt;2038,'Input Data'!$C$33,+'Input Data'!$D$108*'Input Data'!$D$87+'Input Data'!$E$108*'Input Data'!$E$87+'Input Data'!$F$108*'Input Data'!$F$87),'Input Data'!$C$33)</f>
        <v>0.6</v>
      </c>
      <c r="U6" s="55">
        <f>IF('Input Data'!$C$33=0.2,IF(U3&lt;2038,'Input Data'!$C$33,+'Input Data'!$D$108*'Input Data'!$D$87+'Input Data'!$E$108*'Input Data'!$E$87+'Input Data'!$F$108*'Input Data'!$F$87),'Input Data'!$C$33)</f>
        <v>0.6</v>
      </c>
      <c r="V6" s="55">
        <f>IF('Input Data'!$C$33=0.2,IF(V3&lt;2038,'Input Data'!$C$33,+'Input Data'!$D$108*'Input Data'!$D$87+'Input Data'!$E$108*'Input Data'!$E$87+'Input Data'!$F$108*'Input Data'!$F$87),'Input Data'!$C$33)</f>
        <v>0.6</v>
      </c>
      <c r="W6" s="55">
        <f>IF('Input Data'!$C$33=0.2,IF(W3&lt;2038,'Input Data'!$C$33,+'Input Data'!$D$108*'Input Data'!$D$87+'Input Data'!$E$108*'Input Data'!$E$87+'Input Data'!$F$108*'Input Data'!$F$87),'Input Data'!$C$33)</f>
        <v>0.6</v>
      </c>
      <c r="X6" s="55">
        <f>IF('Input Data'!$C$33=0.2,IF(X3&lt;2038,'Input Data'!$C$33,+'Input Data'!$D$108*'Input Data'!$D$87+'Input Data'!$E$108*'Input Data'!$E$87+'Input Data'!$F$108*'Input Data'!$F$87),'Input Data'!$C$33)</f>
        <v>0.6</v>
      </c>
      <c r="Y6" s="55">
        <f>IF('Input Data'!$C$33=0.2,IF(Y3&lt;2038,'Input Data'!$C$33,+'Input Data'!$D$108*'Input Data'!$D$87+'Input Data'!$E$108*'Input Data'!$E$87+'Input Data'!$F$108*'Input Data'!$F$87),'Input Data'!$C$33)</f>
        <v>0.6</v>
      </c>
      <c r="Z6" s="55">
        <f>IF('Input Data'!$C$33=0.2,IF(Z3&lt;2038,'Input Data'!$C$33,+'Input Data'!$D$108*'Input Data'!$D$87+'Input Data'!$E$108*'Input Data'!$E$87+'Input Data'!$F$108*'Input Data'!$F$87),'Input Data'!$C$33)</f>
        <v>0.6</v>
      </c>
      <c r="AA6" s="55">
        <f>IF('Input Data'!$C$33=0.2,IF(AA3&lt;2038,'Input Data'!$C$33,+'Input Data'!$D$108*'Input Data'!$D$87+'Input Data'!$E$108*'Input Data'!$E$87+'Input Data'!$F$108*'Input Data'!$F$87),'Input Data'!$C$33)</f>
        <v>0.6</v>
      </c>
      <c r="AB6" s="55">
        <f>IF('Input Data'!$C$33=0.2,IF(AB3&lt;2038,'Input Data'!$C$33,+'Input Data'!$D$108*'Input Data'!$D$87+'Input Data'!$E$108*'Input Data'!$E$87+'Input Data'!$F$108*'Input Data'!$F$87),'Input Data'!$C$33)</f>
        <v>0.6</v>
      </c>
      <c r="AC6" s="55">
        <f>IF('Input Data'!$C$33=0.2,IF(AC3&lt;2038,'Input Data'!$C$33,+'Input Data'!$D$108*'Input Data'!$D$87+'Input Data'!$E$108*'Input Data'!$E$87+'Input Data'!$F$108*'Input Data'!$F$87),'Input Data'!$C$33)</f>
        <v>0.6</v>
      </c>
      <c r="AD6" s="55">
        <f>IF('Input Data'!$C$33=0.2,IF(AD3&lt;2038,'Input Data'!$C$33,+'Input Data'!$D$108*'Input Data'!$D$87+'Input Data'!$E$108*'Input Data'!$E$87+'Input Data'!$F$108*'Input Data'!$F$87),'Input Data'!$C$33)</f>
        <v>0.6</v>
      </c>
      <c r="AE6" s="55">
        <f>IF('Input Data'!$C$33=0.2,IF(AE3&lt;2038,'Input Data'!$C$33,+'Input Data'!$D$108*'Input Data'!$D$87+'Input Data'!$E$108*'Input Data'!$E$87+'Input Data'!$F$108*'Input Data'!$F$87),'Input Data'!$C$33)</f>
        <v>0.6</v>
      </c>
      <c r="AF6" s="55">
        <f>IF('Input Data'!$C$33=0.2,IF(AF3&lt;2038,'Input Data'!$C$33,+'Input Data'!$D$108*'Input Data'!$D$87+'Input Data'!$E$108*'Input Data'!$E$87+'Input Data'!$F$108*'Input Data'!$F$87),'Input Data'!$C$33)</f>
        <v>0.6</v>
      </c>
    </row>
    <row r="7" spans="1:32">
      <c r="A7" s="2" t="s">
        <v>458</v>
      </c>
      <c r="C7" s="4">
        <f>+C5*C6</f>
        <v>0</v>
      </c>
      <c r="D7" s="4">
        <f t="shared" ref="D7:AA7" si="12">+D5*D6</f>
        <v>0</v>
      </c>
      <c r="E7" s="4">
        <f t="shared" si="12"/>
        <v>0</v>
      </c>
      <c r="F7" s="4">
        <f t="shared" si="12"/>
        <v>86658653.358326107</v>
      </c>
      <c r="G7" s="4">
        <f t="shared" si="12"/>
        <v>159409677.08897975</v>
      </c>
      <c r="H7" s="4">
        <f t="shared" si="12"/>
        <v>154305187.93499717</v>
      </c>
      <c r="I7" s="4">
        <f t="shared" si="12"/>
        <v>149200698.78101459</v>
      </c>
      <c r="J7" s="4">
        <f t="shared" si="12"/>
        <v>144096209.62703201</v>
      </c>
      <c r="K7" s="4">
        <f t="shared" si="12"/>
        <v>138991720.4730494</v>
      </c>
      <c r="L7" s="4">
        <f t="shared" si="12"/>
        <v>133887231.31906684</v>
      </c>
      <c r="M7" s="4">
        <f t="shared" si="12"/>
        <v>128798509.66508424</v>
      </c>
      <c r="N7" s="4">
        <f t="shared" si="12"/>
        <v>125141755.73153034</v>
      </c>
      <c r="O7" s="4">
        <f t="shared" si="12"/>
        <v>122917125.02864416</v>
      </c>
      <c r="P7" s="4">
        <f t="shared" si="12"/>
        <v>120692716.99301986</v>
      </c>
      <c r="Q7" s="4">
        <f t="shared" si="12"/>
        <v>118468538.29783916</v>
      </c>
      <c r="R7" s="4">
        <f t="shared" si="12"/>
        <v>116244595.82553758</v>
      </c>
      <c r="S7" s="4">
        <f t="shared" si="12"/>
        <v>114041671.94666688</v>
      </c>
      <c r="T7" s="4">
        <f t="shared" si="12"/>
        <v>111839272.77401164</v>
      </c>
      <c r="U7" s="4">
        <f t="shared" si="12"/>
        <v>109637414.0445246</v>
      </c>
      <c r="V7" s="4">
        <f t="shared" si="12"/>
        <v>107436111.97158027</v>
      </c>
      <c r="W7" s="4">
        <f t="shared" si="12"/>
        <v>105235383.25552684</v>
      </c>
      <c r="X7" s="4">
        <f t="shared" si="12"/>
        <v>103035245.09948976</v>
      </c>
      <c r="Y7" s="4">
        <f t="shared" si="12"/>
        <v>100835715.21886364</v>
      </c>
      <c r="Z7" s="4">
        <f t="shared" si="12"/>
        <v>98636811.861789301</v>
      </c>
      <c r="AA7" s="4">
        <f t="shared" si="12"/>
        <v>96438553.823223174</v>
      </c>
      <c r="AB7" s="4">
        <f t="shared" ref="AB7:AF7" si="13">+AB5*AB6</f>
        <v>94240960.458427936</v>
      </c>
      <c r="AC7" s="4">
        <f t="shared" si="13"/>
        <v>92044051.713086322</v>
      </c>
      <c r="AD7" s="4">
        <f t="shared" si="13"/>
        <v>89847848.129612908</v>
      </c>
      <c r="AE7" s="4">
        <f t="shared" si="13"/>
        <v>87652370.85871768</v>
      </c>
      <c r="AF7" s="4">
        <f t="shared" si="13"/>
        <v>85457641.687592447</v>
      </c>
    </row>
    <row r="8" spans="1:32">
      <c r="A8" s="2" t="s">
        <v>459</v>
      </c>
      <c r="C8" s="5">
        <f>+'Input Data'!$C$32</f>
        <v>1.7000000000000001E-2</v>
      </c>
      <c r="D8" s="5">
        <f>+'Input Data'!$C$32</f>
        <v>1.7000000000000001E-2</v>
      </c>
      <c r="E8" s="5">
        <f>+'Input Data'!$C$32</f>
        <v>1.7000000000000001E-2</v>
      </c>
      <c r="F8" s="5">
        <f>+'Input Data'!$C$32</f>
        <v>1.7000000000000001E-2</v>
      </c>
      <c r="G8" s="5">
        <f>+'Input Data'!$C$32</f>
        <v>1.7000000000000001E-2</v>
      </c>
      <c r="H8" s="5">
        <f>+'Input Data'!$C$32</f>
        <v>1.7000000000000001E-2</v>
      </c>
      <c r="I8" s="5">
        <f>+'Input Data'!$C$32</f>
        <v>1.7000000000000001E-2</v>
      </c>
      <c r="J8" s="5">
        <f>+'Input Data'!$C$32</f>
        <v>1.7000000000000001E-2</v>
      </c>
      <c r="K8" s="5">
        <f>+'Input Data'!$C$32</f>
        <v>1.7000000000000001E-2</v>
      </c>
      <c r="L8" s="5">
        <f>+'Input Data'!$C$32</f>
        <v>1.7000000000000001E-2</v>
      </c>
      <c r="M8" s="5">
        <f>+'Input Data'!$C$32</f>
        <v>1.7000000000000001E-2</v>
      </c>
      <c r="N8" s="5">
        <f>+'Input Data'!$C$32</f>
        <v>1.7000000000000001E-2</v>
      </c>
      <c r="O8" s="5">
        <f>+'Input Data'!$C$32</f>
        <v>1.7000000000000001E-2</v>
      </c>
      <c r="P8" s="5">
        <f>+'Input Data'!$C$32</f>
        <v>1.7000000000000001E-2</v>
      </c>
      <c r="Q8" s="5">
        <f>+'Input Data'!$C$32</f>
        <v>1.7000000000000001E-2</v>
      </c>
      <c r="R8" s="5">
        <f>+'Input Data'!$C$32</f>
        <v>1.7000000000000001E-2</v>
      </c>
      <c r="S8" s="5">
        <f>+'Input Data'!$C$32</f>
        <v>1.7000000000000001E-2</v>
      </c>
      <c r="T8" s="5">
        <f>+'Input Data'!$C$32</f>
        <v>1.7000000000000001E-2</v>
      </c>
      <c r="U8" s="5">
        <f>+'Input Data'!$C$32</f>
        <v>1.7000000000000001E-2</v>
      </c>
      <c r="V8" s="5">
        <f>+'Input Data'!$C$32</f>
        <v>1.7000000000000001E-2</v>
      </c>
      <c r="W8" s="5">
        <f>+'Input Data'!$C$32</f>
        <v>1.7000000000000001E-2</v>
      </c>
      <c r="X8" s="5">
        <f>+'Input Data'!$C$32</f>
        <v>1.7000000000000001E-2</v>
      </c>
      <c r="Y8" s="5">
        <f>+'Input Data'!$C$32</f>
        <v>1.7000000000000001E-2</v>
      </c>
      <c r="Z8" s="5">
        <f>+'Input Data'!$C$32</f>
        <v>1.7000000000000001E-2</v>
      </c>
      <c r="AA8" s="5">
        <f>+'Input Data'!$C$32</f>
        <v>1.7000000000000001E-2</v>
      </c>
      <c r="AB8" s="5">
        <f>+'Input Data'!$C$32</f>
        <v>1.7000000000000001E-2</v>
      </c>
      <c r="AC8" s="5">
        <f>+'Input Data'!$C$32</f>
        <v>1.7000000000000001E-2</v>
      </c>
      <c r="AD8" s="5">
        <f>+'Input Data'!$C$32</f>
        <v>1.7000000000000001E-2</v>
      </c>
      <c r="AE8" s="5">
        <f>+'Input Data'!$C$32</f>
        <v>1.7000000000000001E-2</v>
      </c>
      <c r="AF8" s="5">
        <f>+'Input Data'!$C$32</f>
        <v>1.7000000000000001E-2</v>
      </c>
    </row>
    <row r="9" spans="1:32" ht="15" thickBot="1">
      <c r="A9" s="2" t="s">
        <v>460</v>
      </c>
      <c r="C9" s="43">
        <f>+C7*C8</f>
        <v>0</v>
      </c>
      <c r="D9" s="43">
        <f t="shared" ref="D9:AA9" si="14">+D7*D8</f>
        <v>0</v>
      </c>
      <c r="E9" s="43">
        <f t="shared" si="14"/>
        <v>0</v>
      </c>
      <c r="F9" s="43">
        <f t="shared" si="14"/>
        <v>1473197.107091544</v>
      </c>
      <c r="G9" s="43">
        <f t="shared" si="14"/>
        <v>2709964.5105126561</v>
      </c>
      <c r="H9" s="43">
        <f t="shared" si="14"/>
        <v>2623188.1948949522</v>
      </c>
      <c r="I9" s="43">
        <f t="shared" si="14"/>
        <v>2536411.8792772484</v>
      </c>
      <c r="J9" s="43">
        <f t="shared" si="14"/>
        <v>2449635.5636595446</v>
      </c>
      <c r="K9" s="43">
        <f t="shared" si="14"/>
        <v>2362859.2480418398</v>
      </c>
      <c r="L9" s="43">
        <f t="shared" si="14"/>
        <v>2276082.9324241364</v>
      </c>
      <c r="M9" s="43">
        <f t="shared" si="14"/>
        <v>2189574.6643064325</v>
      </c>
      <c r="N9" s="43">
        <f t="shared" si="14"/>
        <v>2127409.847436016</v>
      </c>
      <c r="O9" s="43">
        <f t="shared" si="14"/>
        <v>2089591.1254869509</v>
      </c>
      <c r="P9" s="43">
        <f t="shared" si="14"/>
        <v>2051776.1888813379</v>
      </c>
      <c r="Q9" s="43">
        <f t="shared" si="14"/>
        <v>2013965.151063266</v>
      </c>
      <c r="R9" s="43">
        <f t="shared" si="14"/>
        <v>1976158.129034139</v>
      </c>
      <c r="S9" s="43">
        <f t="shared" si="14"/>
        <v>1938708.4230933371</v>
      </c>
      <c r="T9" s="43">
        <f t="shared" si="14"/>
        <v>1901267.637158198</v>
      </c>
      <c r="U9" s="43">
        <f t="shared" si="14"/>
        <v>1863836.0387569182</v>
      </c>
      <c r="V9" s="43">
        <f t="shared" si="14"/>
        <v>1826413.9035168646</v>
      </c>
      <c r="W9" s="43">
        <f t="shared" si="14"/>
        <v>1789001.5153439564</v>
      </c>
      <c r="X9" s="43">
        <f t="shared" si="14"/>
        <v>1751599.1666913261</v>
      </c>
      <c r="Y9" s="43">
        <f t="shared" si="14"/>
        <v>1714207.1587206819</v>
      </c>
      <c r="Z9" s="43">
        <f t="shared" si="14"/>
        <v>1676825.8016504182</v>
      </c>
      <c r="AA9" s="43">
        <f t="shared" si="14"/>
        <v>1639455.4149947942</v>
      </c>
      <c r="AB9" s="43">
        <f t="shared" ref="AB9:AF9" si="15">+AB7*AB8</f>
        <v>1602096.327793275</v>
      </c>
      <c r="AC9" s="43">
        <f t="shared" si="15"/>
        <v>1564748.8791224675</v>
      </c>
      <c r="AD9" s="43">
        <f t="shared" si="15"/>
        <v>1527413.4182034195</v>
      </c>
      <c r="AE9" s="43">
        <f t="shared" si="15"/>
        <v>1490090.3045982006</v>
      </c>
      <c r="AF9" s="43">
        <f t="shared" si="15"/>
        <v>1452779.9086890717</v>
      </c>
    </row>
    <row r="11" spans="1:32">
      <c r="A11" s="438" t="s">
        <v>461</v>
      </c>
      <c r="B11" s="439"/>
      <c r="C11" s="439"/>
      <c r="D11" s="439"/>
      <c r="E11" s="439"/>
      <c r="F11" s="439"/>
      <c r="G11" s="439"/>
      <c r="H11" s="439"/>
      <c r="I11" s="439"/>
      <c r="J11" s="439"/>
      <c r="K11" s="439"/>
      <c r="L11" s="439"/>
      <c r="M11" s="439"/>
      <c r="N11" s="439"/>
      <c r="O11" s="439"/>
    </row>
    <row r="20" spans="1:1">
      <c r="A20" s="2" t="s">
        <v>462</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sheetPr>
  <dimension ref="A1"/>
  <sheetViews>
    <sheetView workbookViewId="0">
      <selection activeCell="B6" sqref="B6"/>
    </sheetView>
  </sheetViews>
  <sheetFormatPr defaultRowHeight="15"/>
  <sheetData/>
  <pageMargins left="0.7" right="0.7" top="0.75" bottom="0.75" header="0.3" footer="0.3"/>
  <pageSetup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51"/>
  <sheetViews>
    <sheetView showGridLines="0" topLeftCell="A3" workbookViewId="0">
      <selection activeCell="F17" sqref="F17"/>
    </sheetView>
  </sheetViews>
  <sheetFormatPr defaultColWidth="8.90625" defaultRowHeight="14.4"/>
  <cols>
    <col min="1" max="1" width="25" style="2" customWidth="1"/>
    <col min="2" max="32" width="11.90625" style="2" customWidth="1"/>
    <col min="33" max="16384" width="8.90625" style="2"/>
  </cols>
  <sheetData>
    <row r="1" spans="1:32" ht="15.6">
      <c r="A1" s="177" t="s">
        <v>237</v>
      </c>
      <c r="B1" s="190" t="s">
        <v>463</v>
      </c>
      <c r="C1" s="191">
        <f>+Financials!C40</f>
        <v>8.5088948022705502E-2</v>
      </c>
      <c r="D1" s="190" t="s">
        <v>464</v>
      </c>
      <c r="E1" s="191">
        <f>+Results!F16</f>
        <v>7.1168899049999998E-2</v>
      </c>
      <c r="G1" s="566" t="str">
        <f>IF(Financials!D175=0,"All checks OK","Press D&amp;E Macro")</f>
        <v>All checks OK</v>
      </c>
    </row>
    <row r="2" spans="1:32" ht="15.6">
      <c r="A2" s="177"/>
      <c r="B2" s="66"/>
      <c r="C2" s="189"/>
      <c r="D2" s="66"/>
      <c r="E2" s="189"/>
    </row>
    <row r="3" spans="1:32" ht="15" thickBot="1">
      <c r="C3" s="35">
        <f>+Financials!C3</f>
        <v>1</v>
      </c>
      <c r="D3" s="36">
        <f>C3+1</f>
        <v>2</v>
      </c>
      <c r="E3" s="36">
        <f t="shared" ref="E3:AA3" si="0">D3+1</f>
        <v>3</v>
      </c>
      <c r="F3" s="36">
        <f t="shared" si="0"/>
        <v>4</v>
      </c>
      <c r="G3" s="36">
        <f t="shared" si="0"/>
        <v>5</v>
      </c>
      <c r="H3" s="36">
        <f t="shared" si="0"/>
        <v>6</v>
      </c>
      <c r="I3" s="36">
        <f t="shared" si="0"/>
        <v>7</v>
      </c>
      <c r="J3" s="36">
        <f t="shared" si="0"/>
        <v>8</v>
      </c>
      <c r="K3" s="36">
        <f t="shared" si="0"/>
        <v>9</v>
      </c>
      <c r="L3" s="36">
        <f t="shared" si="0"/>
        <v>10</v>
      </c>
      <c r="M3" s="36">
        <f t="shared" si="0"/>
        <v>11</v>
      </c>
      <c r="N3" s="36">
        <f t="shared" si="0"/>
        <v>12</v>
      </c>
      <c r="O3" s="36">
        <f t="shared" si="0"/>
        <v>13</v>
      </c>
      <c r="P3" s="36">
        <f t="shared" si="0"/>
        <v>14</v>
      </c>
      <c r="Q3" s="36">
        <f t="shared" si="0"/>
        <v>15</v>
      </c>
      <c r="R3" s="36">
        <f t="shared" si="0"/>
        <v>16</v>
      </c>
      <c r="S3" s="36">
        <f t="shared" si="0"/>
        <v>17</v>
      </c>
      <c r="T3" s="36">
        <f t="shared" si="0"/>
        <v>18</v>
      </c>
      <c r="U3" s="36">
        <f t="shared" si="0"/>
        <v>19</v>
      </c>
      <c r="V3" s="36">
        <f t="shared" si="0"/>
        <v>20</v>
      </c>
      <c r="W3" s="36">
        <f t="shared" si="0"/>
        <v>21</v>
      </c>
      <c r="X3" s="36">
        <f t="shared" si="0"/>
        <v>22</v>
      </c>
      <c r="Y3" s="36">
        <f t="shared" si="0"/>
        <v>23</v>
      </c>
      <c r="Z3" s="36">
        <f t="shared" si="0"/>
        <v>24</v>
      </c>
      <c r="AA3" s="36">
        <f t="shared" si="0"/>
        <v>25</v>
      </c>
      <c r="AB3" s="36">
        <f t="shared" ref="AB3" si="1">AA3+1</f>
        <v>26</v>
      </c>
      <c r="AC3" s="36">
        <f t="shared" ref="AC3" si="2">AB3+1</f>
        <v>27</v>
      </c>
      <c r="AD3" s="36">
        <f t="shared" ref="AD3" si="3">AC3+1</f>
        <v>28</v>
      </c>
      <c r="AE3" s="36">
        <f t="shared" ref="AE3" si="4">AD3+1</f>
        <v>29</v>
      </c>
      <c r="AF3" s="36">
        <f t="shared" ref="AF3" si="5">AE3+1</f>
        <v>30</v>
      </c>
    </row>
    <row r="4" spans="1:32">
      <c r="C4" s="37">
        <f>+Financials!C4</f>
        <v>2022</v>
      </c>
      <c r="D4" s="38">
        <f>+C4+1</f>
        <v>2023</v>
      </c>
      <c r="E4" s="38">
        <f t="shared" ref="E4:AA4" si="6">+D4+1</f>
        <v>2024</v>
      </c>
      <c r="F4" s="38">
        <f t="shared" si="6"/>
        <v>2025</v>
      </c>
      <c r="G4" s="38">
        <f t="shared" si="6"/>
        <v>2026</v>
      </c>
      <c r="H4" s="38">
        <f t="shared" si="6"/>
        <v>2027</v>
      </c>
      <c r="I4" s="38">
        <f t="shared" si="6"/>
        <v>2028</v>
      </c>
      <c r="J4" s="38">
        <f t="shared" si="6"/>
        <v>2029</v>
      </c>
      <c r="K4" s="38">
        <f t="shared" si="6"/>
        <v>2030</v>
      </c>
      <c r="L4" s="38">
        <f t="shared" si="6"/>
        <v>2031</v>
      </c>
      <c r="M4" s="38">
        <f t="shared" si="6"/>
        <v>2032</v>
      </c>
      <c r="N4" s="38">
        <f t="shared" si="6"/>
        <v>2033</v>
      </c>
      <c r="O4" s="38">
        <f t="shared" si="6"/>
        <v>2034</v>
      </c>
      <c r="P4" s="38">
        <f t="shared" si="6"/>
        <v>2035</v>
      </c>
      <c r="Q4" s="38">
        <f t="shared" si="6"/>
        <v>2036</v>
      </c>
      <c r="R4" s="38">
        <f t="shared" si="6"/>
        <v>2037</v>
      </c>
      <c r="S4" s="38">
        <f t="shared" si="6"/>
        <v>2038</v>
      </c>
      <c r="T4" s="38">
        <f t="shared" si="6"/>
        <v>2039</v>
      </c>
      <c r="U4" s="38">
        <f t="shared" si="6"/>
        <v>2040</v>
      </c>
      <c r="V4" s="38">
        <f t="shared" si="6"/>
        <v>2041</v>
      </c>
      <c r="W4" s="38">
        <f t="shared" si="6"/>
        <v>2042</v>
      </c>
      <c r="X4" s="38">
        <f t="shared" si="6"/>
        <v>2043</v>
      </c>
      <c r="Y4" s="38">
        <f t="shared" si="6"/>
        <v>2044</v>
      </c>
      <c r="Z4" s="38">
        <f t="shared" si="6"/>
        <v>2045</v>
      </c>
      <c r="AA4" s="38">
        <f t="shared" si="6"/>
        <v>2046</v>
      </c>
      <c r="AB4" s="38">
        <f t="shared" ref="AB4" si="7">+AA4+1</f>
        <v>2047</v>
      </c>
      <c r="AC4" s="38">
        <f t="shared" ref="AC4" si="8">+AB4+1</f>
        <v>2048</v>
      </c>
      <c r="AD4" s="38">
        <f t="shared" ref="AD4" si="9">+AC4+1</f>
        <v>2049</v>
      </c>
      <c r="AE4" s="38">
        <f t="shared" ref="AE4" si="10">+AD4+1</f>
        <v>2050</v>
      </c>
      <c r="AF4" s="38">
        <f t="shared" ref="AF4" si="11">+AE4+1</f>
        <v>2051</v>
      </c>
    </row>
    <row r="5" spans="1:32">
      <c r="A5" s="1" t="s">
        <v>198</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row>
    <row r="6" spans="1:32">
      <c r="A6" s="6" t="str">
        <f>+Financials!A15</f>
        <v>Fuel</v>
      </c>
      <c r="C6" s="40">
        <f>+Financials!C15</f>
        <v>0</v>
      </c>
      <c r="D6" s="40">
        <f>+Financials!D15</f>
        <v>0</v>
      </c>
      <c r="E6" s="40">
        <f>+Financials!E15</f>
        <v>0</v>
      </c>
      <c r="F6" s="40">
        <f>+Financials!F15</f>
        <v>0</v>
      </c>
      <c r="G6" s="40">
        <f>+Financials!G15</f>
        <v>0</v>
      </c>
      <c r="H6" s="40">
        <f>+Financials!H15</f>
        <v>0</v>
      </c>
      <c r="I6" s="40">
        <f>+Financials!I15</f>
        <v>0</v>
      </c>
      <c r="J6" s="40">
        <f>+Financials!J15</f>
        <v>0</v>
      </c>
      <c r="K6" s="40">
        <f>+Financials!K15</f>
        <v>0</v>
      </c>
      <c r="L6" s="40">
        <f>+Financials!L15</f>
        <v>0</v>
      </c>
      <c r="M6" s="40">
        <f>+Financials!M15</f>
        <v>0</v>
      </c>
      <c r="N6" s="40">
        <f>+Financials!N15</f>
        <v>0</v>
      </c>
      <c r="O6" s="40">
        <f>+Financials!O15</f>
        <v>0</v>
      </c>
      <c r="P6" s="40">
        <f>+Financials!P15</f>
        <v>0</v>
      </c>
      <c r="Q6" s="40">
        <f>+Financials!Q15</f>
        <v>0</v>
      </c>
      <c r="R6" s="40">
        <f>+Financials!R15</f>
        <v>0</v>
      </c>
      <c r="S6" s="40">
        <f>+Financials!S15</f>
        <v>0</v>
      </c>
      <c r="T6" s="40">
        <f>+Financials!T15</f>
        <v>0</v>
      </c>
      <c r="U6" s="40">
        <f>+Financials!U15</f>
        <v>0</v>
      </c>
      <c r="V6" s="40">
        <f>+Financials!V15</f>
        <v>0</v>
      </c>
      <c r="W6" s="40">
        <f>+Financials!W15</f>
        <v>0</v>
      </c>
      <c r="X6" s="40">
        <f>+Financials!X15</f>
        <v>0</v>
      </c>
      <c r="Y6" s="40">
        <f>+Financials!Y15</f>
        <v>0</v>
      </c>
      <c r="Z6" s="40">
        <f>+Financials!Z15</f>
        <v>0</v>
      </c>
      <c r="AA6" s="40">
        <f>+Financials!AA15</f>
        <v>0</v>
      </c>
      <c r="AB6" s="40">
        <f>+Financials!AB15</f>
        <v>0</v>
      </c>
      <c r="AC6" s="40">
        <f>+Financials!AC15</f>
        <v>0</v>
      </c>
      <c r="AD6" s="40">
        <f>+Financials!AD15</f>
        <v>0</v>
      </c>
      <c r="AE6" s="40">
        <f>+Financials!AE15</f>
        <v>0</v>
      </c>
      <c r="AF6" s="40">
        <f>+Financials!AF15</f>
        <v>0</v>
      </c>
    </row>
    <row r="7" spans="1:32">
      <c r="A7" s="6" t="str">
        <f>+Financials!A16</f>
        <v>O&amp;M Expense</v>
      </c>
      <c r="C7" s="40">
        <f>+Financials!C16</f>
        <v>0</v>
      </c>
      <c r="D7" s="40">
        <f>+Financials!D16</f>
        <v>0</v>
      </c>
      <c r="E7" s="40">
        <f>+Financials!E16</f>
        <v>0</v>
      </c>
      <c r="F7" s="40">
        <f>+Financials!F16</f>
        <v>3453821</v>
      </c>
      <c r="G7" s="40">
        <f>+Financials!G16</f>
        <v>2896628</v>
      </c>
      <c r="H7" s="40">
        <f>+Financials!H16</f>
        <v>2940078</v>
      </c>
      <c r="I7" s="40">
        <f>+Financials!I16</f>
        <v>2984180</v>
      </c>
      <c r="J7" s="40">
        <f>+Financials!J16</f>
        <v>3028942</v>
      </c>
      <c r="K7" s="40">
        <f>+Financials!K16</f>
        <v>3074376</v>
      </c>
      <c r="L7" s="40">
        <f>+Financials!L16</f>
        <v>3120492</v>
      </c>
      <c r="M7" s="40">
        <f>+Financials!M16</f>
        <v>3167300</v>
      </c>
      <c r="N7" s="40">
        <f>+Financials!N16</f>
        <v>3214809</v>
      </c>
      <c r="O7" s="40">
        <f>+Financials!O16</f>
        <v>3263031</v>
      </c>
      <c r="P7" s="40">
        <f>+Financials!P16</f>
        <v>3328291</v>
      </c>
      <c r="Q7" s="40">
        <f>+Financials!Q16</f>
        <v>3394856</v>
      </c>
      <c r="R7" s="40">
        <f>+Financials!R16</f>
        <v>3462753</v>
      </c>
      <c r="S7" s="40">
        <f>+Financials!S16</f>
        <v>3532008</v>
      </c>
      <c r="T7" s="40">
        <f>+Financials!T16</f>
        <v>3602648</v>
      </c>
      <c r="U7" s="40">
        <f>+Financials!U16</f>
        <v>3674701</v>
      </c>
      <c r="V7" s="40">
        <f>+Financials!V16</f>
        <v>3748195</v>
      </c>
      <c r="W7" s="40">
        <f>+Financials!W16</f>
        <v>3823159</v>
      </c>
      <c r="X7" s="40">
        <f>+Financials!X16</f>
        <v>3899623</v>
      </c>
      <c r="Y7" s="40">
        <f>+Financials!Y16</f>
        <v>3977615</v>
      </c>
      <c r="Z7" s="40">
        <f>+Financials!Z16</f>
        <v>4057167</v>
      </c>
      <c r="AA7" s="40">
        <f>+Financials!AA16</f>
        <v>4138310</v>
      </c>
      <c r="AB7" s="40">
        <f>+Financials!AB16</f>
        <v>4221076</v>
      </c>
      <c r="AC7" s="40">
        <f>+Financials!AC16</f>
        <v>4305497</v>
      </c>
      <c r="AD7" s="40">
        <f>+Financials!AD16</f>
        <v>4391607</v>
      </c>
      <c r="AE7" s="40">
        <f>+Financials!AE16</f>
        <v>4479439</v>
      </c>
      <c r="AF7" s="40">
        <f>+Financials!AF16</f>
        <v>4569028</v>
      </c>
    </row>
    <row r="8" spans="1:32">
      <c r="A8" s="6" t="str">
        <f>+Financials!A17</f>
        <v>Depreciation, Book</v>
      </c>
      <c r="C8" s="40">
        <f>Financials!C17</f>
        <v>0</v>
      </c>
      <c r="D8" s="40">
        <f>Financials!D17</f>
        <v>0</v>
      </c>
      <c r="E8" s="40">
        <f>Financials!E17</f>
        <v>0</v>
      </c>
      <c r="F8" s="40">
        <f>Financials!F17</f>
        <v>5344643.8985098768</v>
      </c>
      <c r="G8" s="40">
        <f>Financials!G17</f>
        <v>8507481.9233043119</v>
      </c>
      <c r="H8" s="40">
        <f>Financials!H17</f>
        <v>8507481.9233043119</v>
      </c>
      <c r="I8" s="40">
        <f>Financials!I17</f>
        <v>8507481.9233043119</v>
      </c>
      <c r="J8" s="40">
        <f>Financials!J17</f>
        <v>8507481.9233043119</v>
      </c>
      <c r="K8" s="40">
        <f>Financials!K17</f>
        <v>8507481.9233043119</v>
      </c>
      <c r="L8" s="40">
        <f>Financials!L17</f>
        <v>8507702.7566376459</v>
      </c>
      <c r="M8" s="40">
        <f>Financials!M17</f>
        <v>6121884.8892565202</v>
      </c>
      <c r="N8" s="40">
        <f>Financials!N17</f>
        <v>3736082.5612344802</v>
      </c>
      <c r="O8" s="40">
        <f>Financials!O17</f>
        <v>3736562.3978587231</v>
      </c>
      <c r="P8" s="40">
        <f>Financials!P17</f>
        <v>3737056.6296041775</v>
      </c>
      <c r="Q8" s="40">
        <f>Financials!Q17</f>
        <v>3737565.6882602382</v>
      </c>
      <c r="R8" s="40">
        <f>Financials!R17</f>
        <v>3738380.9890269046</v>
      </c>
      <c r="S8" s="40">
        <f>Financials!S17</f>
        <v>3739511.7192132683</v>
      </c>
      <c r="T8" s="40">
        <f>Financials!T17</f>
        <v>3740676.3713269047</v>
      </c>
      <c r="U8" s="40">
        <f>Financials!U17</f>
        <v>3741875.9629678139</v>
      </c>
      <c r="V8" s="40">
        <f>Financials!V17</f>
        <v>3743111.5423314502</v>
      </c>
      <c r="W8" s="40">
        <f>Financials!W17</f>
        <v>3744384.1890920564</v>
      </c>
      <c r="X8" s="40">
        <f>Financials!X17</f>
        <v>3745695.0152859958</v>
      </c>
      <c r="Y8" s="40">
        <f>Financials!Y17</f>
        <v>3747045.1662753895</v>
      </c>
      <c r="Z8" s="40">
        <f>Financials!Z17</f>
        <v>3748435.8217920563</v>
      </c>
      <c r="AA8" s="40">
        <f>Financials!AA17</f>
        <v>3749868.1969011473</v>
      </c>
      <c r="AB8" s="40">
        <f>Financials!AB17</f>
        <v>3751343.5432056924</v>
      </c>
      <c r="AC8" s="40">
        <f>Financials!AC17</f>
        <v>3752863.1499708439</v>
      </c>
      <c r="AD8" s="40">
        <f>Financials!AD17</f>
        <v>3754428.3450072077</v>
      </c>
      <c r="AE8" s="40">
        <f>Financials!AE17</f>
        <v>3756040.4958753893</v>
      </c>
      <c r="AF8" s="40">
        <f>Financials!AF17</f>
        <v>3757701.0112511469</v>
      </c>
    </row>
    <row r="9" spans="1:32">
      <c r="A9" s="6" t="str">
        <f>+Financials!A18</f>
        <v>Property Taxes</v>
      </c>
      <c r="C9" s="40">
        <f>+Financials!C18</f>
        <v>0</v>
      </c>
      <c r="D9" s="40">
        <f>+Financials!D18</f>
        <v>0</v>
      </c>
      <c r="E9" s="40">
        <f>+Financials!E18</f>
        <v>0</v>
      </c>
      <c r="F9" s="40">
        <f>+Financials!F18</f>
        <v>1473197.107091544</v>
      </c>
      <c r="G9" s="40">
        <f>+Financials!G18</f>
        <v>2709964.5105126561</v>
      </c>
      <c r="H9" s="40">
        <f>+Financials!H18</f>
        <v>2623188.1948949522</v>
      </c>
      <c r="I9" s="40">
        <f>+Financials!I18</f>
        <v>2536411.8792772484</v>
      </c>
      <c r="J9" s="40">
        <f>+Financials!J18</f>
        <v>2449635.5636595446</v>
      </c>
      <c r="K9" s="40">
        <f>+Financials!K18</f>
        <v>2362859.2480418398</v>
      </c>
      <c r="L9" s="40">
        <f>+Financials!L18</f>
        <v>2276082.9324241364</v>
      </c>
      <c r="M9" s="40">
        <f>+Financials!M18</f>
        <v>2189574.6643064325</v>
      </c>
      <c r="N9" s="40">
        <f>+Financials!N18</f>
        <v>2127409.847436016</v>
      </c>
      <c r="O9" s="40">
        <f>+Financials!O18</f>
        <v>2089591.1254869509</v>
      </c>
      <c r="P9" s="40">
        <f>+Financials!P18</f>
        <v>2051776.1888813379</v>
      </c>
      <c r="Q9" s="40">
        <f>+Financials!Q18</f>
        <v>2013965.151063266</v>
      </c>
      <c r="R9" s="40">
        <f>+Financials!R18</f>
        <v>1976158.129034139</v>
      </c>
      <c r="S9" s="40">
        <f>+Financials!S18</f>
        <v>1938708.4230933371</v>
      </c>
      <c r="T9" s="40">
        <f>+Financials!T18</f>
        <v>1901267.637158198</v>
      </c>
      <c r="U9" s="40">
        <f>+Financials!U18</f>
        <v>1863836.0387569182</v>
      </c>
      <c r="V9" s="40">
        <f>+Financials!V18</f>
        <v>1826413.9035168646</v>
      </c>
      <c r="W9" s="40">
        <f>+Financials!W18</f>
        <v>1789001.5153439564</v>
      </c>
      <c r="X9" s="40">
        <f>+Financials!X18</f>
        <v>1751599.1666913261</v>
      </c>
      <c r="Y9" s="40">
        <f>+Financials!Y18</f>
        <v>1714207.1587206819</v>
      </c>
      <c r="Z9" s="40">
        <f>+Financials!Z18</f>
        <v>1676825.8016504182</v>
      </c>
      <c r="AA9" s="40">
        <f>+Financials!AA18</f>
        <v>1639455.4149947942</v>
      </c>
      <c r="AB9" s="40">
        <f>+Financials!AB18</f>
        <v>1602096.327793275</v>
      </c>
      <c r="AC9" s="40">
        <f>+Financials!AC18</f>
        <v>1564748.8791224675</v>
      </c>
      <c r="AD9" s="40">
        <f>+Financials!AD18</f>
        <v>1527413.4182034195</v>
      </c>
      <c r="AE9" s="40">
        <f>+Financials!AE18</f>
        <v>1490090.3045982006</v>
      </c>
      <c r="AF9" s="40">
        <f>+Financials!AF18</f>
        <v>1452779.9086890717</v>
      </c>
    </row>
    <row r="10" spans="1:32">
      <c r="A10" s="6" t="s">
        <v>465</v>
      </c>
      <c r="C10" s="4">
        <f>+C36</f>
        <v>0</v>
      </c>
      <c r="D10" s="4">
        <f t="shared" ref="D10:AA10" si="12">+D36</f>
        <v>0</v>
      </c>
      <c r="E10" s="4">
        <f t="shared" si="12"/>
        <v>0</v>
      </c>
      <c r="F10" s="4">
        <f t="shared" si="12"/>
        <v>0</v>
      </c>
      <c r="G10" s="4">
        <f t="shared" si="12"/>
        <v>0</v>
      </c>
      <c r="H10" s="4">
        <f t="shared" si="12"/>
        <v>0</v>
      </c>
      <c r="I10" s="4">
        <f t="shared" si="12"/>
        <v>0</v>
      </c>
      <c r="J10" s="4">
        <f t="shared" si="12"/>
        <v>0</v>
      </c>
      <c r="K10" s="4">
        <f t="shared" si="12"/>
        <v>0</v>
      </c>
      <c r="L10" s="4">
        <f t="shared" si="12"/>
        <v>0</v>
      </c>
      <c r="M10" s="4">
        <f t="shared" si="12"/>
        <v>0</v>
      </c>
      <c r="N10" s="4">
        <f t="shared" si="12"/>
        <v>0</v>
      </c>
      <c r="O10" s="4">
        <f t="shared" si="12"/>
        <v>0</v>
      </c>
      <c r="P10" s="4">
        <f t="shared" si="12"/>
        <v>0</v>
      </c>
      <c r="Q10" s="4">
        <f t="shared" si="12"/>
        <v>0</v>
      </c>
      <c r="R10" s="4">
        <f t="shared" si="12"/>
        <v>0</v>
      </c>
      <c r="S10" s="4">
        <f t="shared" si="12"/>
        <v>0</v>
      </c>
      <c r="T10" s="4">
        <f t="shared" si="12"/>
        <v>0</v>
      </c>
      <c r="U10" s="4">
        <f t="shared" si="12"/>
        <v>0</v>
      </c>
      <c r="V10" s="4">
        <f t="shared" si="12"/>
        <v>0</v>
      </c>
      <c r="W10" s="4">
        <f t="shared" si="12"/>
        <v>0</v>
      </c>
      <c r="X10" s="4">
        <f t="shared" si="12"/>
        <v>0</v>
      </c>
      <c r="Y10" s="4">
        <f t="shared" si="12"/>
        <v>0</v>
      </c>
      <c r="Z10" s="4">
        <f t="shared" si="12"/>
        <v>0</v>
      </c>
      <c r="AA10" s="4">
        <f t="shared" si="12"/>
        <v>0</v>
      </c>
      <c r="AB10" s="4">
        <f t="shared" ref="AB10:AF10" si="13">+AB36</f>
        <v>0</v>
      </c>
      <c r="AC10" s="4">
        <f t="shared" si="13"/>
        <v>0</v>
      </c>
      <c r="AD10" s="4">
        <f t="shared" si="13"/>
        <v>0</v>
      </c>
      <c r="AE10" s="4">
        <f t="shared" si="13"/>
        <v>0</v>
      </c>
      <c r="AF10" s="4">
        <f t="shared" si="13"/>
        <v>0</v>
      </c>
    </row>
    <row r="11" spans="1:32">
      <c r="A11" s="6" t="s">
        <v>466</v>
      </c>
      <c r="C11" s="4">
        <f>+C45</f>
        <v>0</v>
      </c>
      <c r="D11" s="4">
        <f t="shared" ref="D11:AA11" si="14">+D45</f>
        <v>0</v>
      </c>
      <c r="E11" s="4">
        <f t="shared" si="14"/>
        <v>0</v>
      </c>
      <c r="F11" s="4">
        <f t="shared" si="14"/>
        <v>0</v>
      </c>
      <c r="G11" s="4">
        <f t="shared" si="14"/>
        <v>0</v>
      </c>
      <c r="H11" s="4">
        <f t="shared" si="14"/>
        <v>0</v>
      </c>
      <c r="I11" s="4">
        <f t="shared" si="14"/>
        <v>0</v>
      </c>
      <c r="J11" s="4">
        <f t="shared" si="14"/>
        <v>0</v>
      </c>
      <c r="K11" s="4">
        <f t="shared" si="14"/>
        <v>0</v>
      </c>
      <c r="L11" s="4">
        <f t="shared" si="14"/>
        <v>0</v>
      </c>
      <c r="M11" s="4">
        <f t="shared" si="14"/>
        <v>0</v>
      </c>
      <c r="N11" s="4">
        <f t="shared" si="14"/>
        <v>0</v>
      </c>
      <c r="O11" s="4">
        <f t="shared" si="14"/>
        <v>0</v>
      </c>
      <c r="P11" s="4">
        <f t="shared" si="14"/>
        <v>0</v>
      </c>
      <c r="Q11" s="4">
        <f t="shared" si="14"/>
        <v>0</v>
      </c>
      <c r="R11" s="4">
        <f t="shared" si="14"/>
        <v>0</v>
      </c>
      <c r="S11" s="4">
        <f t="shared" si="14"/>
        <v>0</v>
      </c>
      <c r="T11" s="4">
        <f t="shared" si="14"/>
        <v>0</v>
      </c>
      <c r="U11" s="4">
        <f t="shared" si="14"/>
        <v>0</v>
      </c>
      <c r="V11" s="4">
        <f t="shared" si="14"/>
        <v>0</v>
      </c>
      <c r="W11" s="4">
        <f t="shared" si="14"/>
        <v>0</v>
      </c>
      <c r="X11" s="4">
        <f t="shared" si="14"/>
        <v>0</v>
      </c>
      <c r="Y11" s="4">
        <f t="shared" si="14"/>
        <v>0</v>
      </c>
      <c r="Z11" s="4">
        <f t="shared" si="14"/>
        <v>0</v>
      </c>
      <c r="AA11" s="4">
        <f t="shared" si="14"/>
        <v>0</v>
      </c>
      <c r="AB11" s="4">
        <f t="shared" ref="AB11:AF11" si="15">+AB45</f>
        <v>0</v>
      </c>
      <c r="AC11" s="4">
        <f t="shared" si="15"/>
        <v>0</v>
      </c>
      <c r="AD11" s="4">
        <f t="shared" si="15"/>
        <v>0</v>
      </c>
      <c r="AE11" s="4">
        <f t="shared" si="15"/>
        <v>0</v>
      </c>
      <c r="AF11" s="4">
        <f t="shared" si="15"/>
        <v>0</v>
      </c>
    </row>
    <row r="12" spans="1:32">
      <c r="A12" s="6" t="s">
        <v>68</v>
      </c>
      <c r="C12" s="4">
        <f>+C22</f>
        <v>0</v>
      </c>
      <c r="D12" s="4">
        <f t="shared" ref="D12:AA12" si="16">+D22</f>
        <v>-1.3117999881319698E-2</v>
      </c>
      <c r="E12" s="4">
        <f t="shared" si="16"/>
        <v>1547150.1007789997</v>
      </c>
      <c r="F12" s="4">
        <f t="shared" si="16"/>
        <v>4386713.652817999</v>
      </c>
      <c r="G12" s="4">
        <f t="shared" si="16"/>
        <v>5572652.0985499984</v>
      </c>
      <c r="H12" s="4">
        <f t="shared" si="16"/>
        <v>5366088.6213999987</v>
      </c>
      <c r="I12" s="4">
        <f t="shared" si="16"/>
        <v>5170473.754999999</v>
      </c>
      <c r="J12" s="4">
        <f t="shared" si="16"/>
        <v>4982668.8772999989</v>
      </c>
      <c r="K12" s="4">
        <f t="shared" si="16"/>
        <v>4798121.1989999991</v>
      </c>
      <c r="L12" s="4">
        <f t="shared" si="16"/>
        <v>4613855.4171499992</v>
      </c>
      <c r="M12" s="4">
        <f t="shared" si="16"/>
        <v>4453140.0527499989</v>
      </c>
      <c r="N12" s="4">
        <f t="shared" si="16"/>
        <v>4338973.4896999989</v>
      </c>
      <c r="O12" s="4">
        <f t="shared" si="16"/>
        <v>4248081.4444499994</v>
      </c>
      <c r="P12" s="4">
        <f t="shared" si="16"/>
        <v>4157196.0050499989</v>
      </c>
      <c r="Q12" s="4">
        <f t="shared" si="16"/>
        <v>4066317.405749999</v>
      </c>
      <c r="R12" s="4">
        <f t="shared" si="16"/>
        <v>3975817.260749999</v>
      </c>
      <c r="S12" s="4">
        <f t="shared" si="16"/>
        <v>3885699.833399999</v>
      </c>
      <c r="T12" s="4">
        <f t="shared" si="16"/>
        <v>3795598.0539499992</v>
      </c>
      <c r="U12" s="4">
        <f t="shared" si="16"/>
        <v>3705512.344049999</v>
      </c>
      <c r="V12" s="4">
        <f t="shared" si="16"/>
        <v>3615443.172199999</v>
      </c>
      <c r="W12" s="4">
        <f t="shared" si="16"/>
        <v>3525391.053749999</v>
      </c>
      <c r="X12" s="4">
        <f t="shared" si="16"/>
        <v>3435356.5508999992</v>
      </c>
      <c r="Y12" s="4">
        <f t="shared" si="16"/>
        <v>3345340.085299999</v>
      </c>
      <c r="Z12" s="4">
        <f t="shared" si="16"/>
        <v>3255342.3128499994</v>
      </c>
      <c r="AA12" s="4">
        <f t="shared" si="16"/>
        <v>3165363.702049999</v>
      </c>
      <c r="AB12" s="4">
        <f t="shared" ref="AB12:AF12" si="17">+AB22</f>
        <v>3075404.9087999994</v>
      </c>
      <c r="AC12" s="4">
        <f t="shared" si="17"/>
        <v>2985466.4484499991</v>
      </c>
      <c r="AD12" s="4">
        <f t="shared" si="17"/>
        <v>2895548.9768999992</v>
      </c>
      <c r="AE12" s="4">
        <f t="shared" si="17"/>
        <v>2805653.1031999993</v>
      </c>
      <c r="AF12" s="4">
        <f t="shared" si="17"/>
        <v>2715779.4832499996</v>
      </c>
    </row>
    <row r="13" spans="1:32">
      <c r="A13" s="6" t="s">
        <v>67</v>
      </c>
      <c r="C13" s="4">
        <f>+C29</f>
        <v>0</v>
      </c>
      <c r="D13" s="4">
        <f t="shared" ref="D13:AA13" si="18">+D29</f>
        <v>3.8255977659357676E-2</v>
      </c>
      <c r="E13" s="4">
        <f t="shared" si="18"/>
        <v>5296635.1313642748</v>
      </c>
      <c r="F13" s="4">
        <f t="shared" si="18"/>
        <v>15017819.909503715</v>
      </c>
      <c r="G13" s="4">
        <f t="shared" si="18"/>
        <v>19077854.699618243</v>
      </c>
      <c r="H13" s="4">
        <f t="shared" si="18"/>
        <v>18370689.129997987</v>
      </c>
      <c r="I13" s="4">
        <f t="shared" si="18"/>
        <v>17701005.810729351</v>
      </c>
      <c r="J13" s="4">
        <f t="shared" si="18"/>
        <v>17058059.730761502</v>
      </c>
      <c r="K13" s="4">
        <f t="shared" si="18"/>
        <v>16426264.721719909</v>
      </c>
      <c r="L13" s="4">
        <f t="shared" si="18"/>
        <v>15795434.856339158</v>
      </c>
      <c r="M13" s="4">
        <f t="shared" si="18"/>
        <v>15245229.190275265</v>
      </c>
      <c r="N13" s="4">
        <f t="shared" si="18"/>
        <v>14854382.487442233</v>
      </c>
      <c r="O13" s="4">
        <f t="shared" si="18"/>
        <v>14543215.471167369</v>
      </c>
      <c r="P13" s="4">
        <f t="shared" si="18"/>
        <v>14232071.135222021</v>
      </c>
      <c r="Q13" s="4">
        <f t="shared" si="18"/>
        <v>13920950.16274864</v>
      </c>
      <c r="R13" s="4">
        <f t="shared" si="18"/>
        <v>13611124.974884467</v>
      </c>
      <c r="S13" s="4">
        <f t="shared" si="18"/>
        <v>13302609.917621054</v>
      </c>
      <c r="T13" s="4">
        <f t="shared" si="18"/>
        <v>12994148.282097647</v>
      </c>
      <c r="U13" s="4">
        <f t="shared" si="18"/>
        <v>12685741.844484627</v>
      </c>
      <c r="V13" s="4">
        <f t="shared" si="18"/>
        <v>12377391.971066907</v>
      </c>
      <c r="W13" s="4">
        <f t="shared" si="18"/>
        <v>12069100.574643359</v>
      </c>
      <c r="X13" s="4">
        <f t="shared" si="18"/>
        <v>11760869.158127384</v>
      </c>
      <c r="Y13" s="4">
        <f t="shared" si="18"/>
        <v>11452699.907574842</v>
      </c>
      <c r="Z13" s="4">
        <f t="shared" si="18"/>
        <v>11144594.325899135</v>
      </c>
      <c r="AA13" s="4">
        <f t="shared" si="18"/>
        <v>10836554.599156117</v>
      </c>
      <c r="AB13" s="4">
        <f t="shared" ref="AB13:AF13" si="19">+AB29</f>
        <v>10528582.503516173</v>
      </c>
      <c r="AC13" s="4">
        <f t="shared" si="19"/>
        <v>10220680.225035161</v>
      </c>
      <c r="AD13" s="4">
        <f t="shared" si="19"/>
        <v>9912849.6765119545</v>
      </c>
      <c r="AE13" s="4">
        <f t="shared" si="19"/>
        <v>9605093.04400241</v>
      </c>
      <c r="AF13" s="4">
        <f t="shared" si="19"/>
        <v>9297412.7868193686</v>
      </c>
    </row>
    <row r="14" spans="1:32">
      <c r="A14" s="6" t="s">
        <v>467</v>
      </c>
      <c r="C14" s="4">
        <f>+Financials!C91/C28</f>
        <v>0</v>
      </c>
      <c r="D14" s="4">
        <f>+Financials!D91/D28</f>
        <v>0</v>
      </c>
      <c r="E14" s="4">
        <f>+Financials!E91/E28</f>
        <v>0</v>
      </c>
      <c r="F14" s="4">
        <f>+Financials!F91/F28</f>
        <v>0</v>
      </c>
      <c r="G14" s="4">
        <f>+Financials!G91/G28</f>
        <v>0</v>
      </c>
      <c r="H14" s="4">
        <f>+Financials!H91/H28</f>
        <v>0</v>
      </c>
      <c r="I14" s="4">
        <f>+Financials!I91/I28</f>
        <v>0</v>
      </c>
      <c r="J14" s="4">
        <f>+Financials!J91/J28</f>
        <v>0</v>
      </c>
      <c r="K14" s="4">
        <f>+Financials!K91/K28</f>
        <v>0</v>
      </c>
      <c r="L14" s="4">
        <f>+Financials!L91/L28</f>
        <v>0</v>
      </c>
      <c r="M14" s="4">
        <f>+Financials!M91/M28</f>
        <v>0</v>
      </c>
      <c r="N14" s="4">
        <f>+Financials!N91/N28</f>
        <v>0</v>
      </c>
      <c r="O14" s="4">
        <f>+Financials!O91/O28</f>
        <v>0</v>
      </c>
      <c r="P14" s="4">
        <f>+Financials!P91/P28</f>
        <v>0</v>
      </c>
      <c r="Q14" s="4">
        <f>+Financials!Q91/Q28</f>
        <v>0</v>
      </c>
      <c r="R14" s="4">
        <f>+Financials!R91/R28</f>
        <v>0</v>
      </c>
      <c r="S14" s="4">
        <f>+Financials!S91/S28</f>
        <v>0</v>
      </c>
      <c r="T14" s="4">
        <f>+Financials!T91/T28</f>
        <v>0</v>
      </c>
      <c r="U14" s="4">
        <f>+Financials!U91/U28</f>
        <v>0</v>
      </c>
      <c r="V14" s="4">
        <f>+Financials!V91/V28</f>
        <v>0</v>
      </c>
      <c r="W14" s="4">
        <f>+Financials!W91/W28</f>
        <v>0</v>
      </c>
      <c r="X14" s="4">
        <f>+Financials!X91/X28</f>
        <v>0</v>
      </c>
      <c r="Y14" s="4">
        <f>+Financials!Y91/Y28</f>
        <v>0</v>
      </c>
      <c r="Z14" s="4">
        <f>+Financials!Z91/Z28</f>
        <v>0</v>
      </c>
      <c r="AA14" s="4">
        <f>+Financials!AA91/AA28</f>
        <v>0</v>
      </c>
      <c r="AB14" s="4">
        <f>+Financials!AB91/AB28</f>
        <v>0</v>
      </c>
      <c r="AC14" s="4">
        <f>+Financials!AC91/AC28</f>
        <v>0</v>
      </c>
      <c r="AD14" s="4">
        <f>+Financials!AD91/AD28</f>
        <v>0</v>
      </c>
      <c r="AE14" s="4">
        <f>+Financials!AE91/AE28</f>
        <v>0</v>
      </c>
      <c r="AF14" s="4">
        <f>+Financials!AF91/AF28</f>
        <v>0</v>
      </c>
    </row>
    <row r="15" spans="1:32" ht="15" thickBot="1">
      <c r="A15" s="6" t="s">
        <v>237</v>
      </c>
      <c r="C15" s="44">
        <f>SUM(C6:C14)</f>
        <v>0</v>
      </c>
      <c r="D15" s="44">
        <f t="shared" ref="D15:AA15" si="20">SUM(D6:D14)</f>
        <v>2.513797777803798E-2</v>
      </c>
      <c r="E15" s="44">
        <f t="shared" ref="E15:T15" si="21">SUM(E6:E14)</f>
        <v>6843785.2321432745</v>
      </c>
      <c r="F15" s="44">
        <f t="shared" si="21"/>
        <v>29676195.567923136</v>
      </c>
      <c r="G15" s="44">
        <f t="shared" si="21"/>
        <v>38764581.231985211</v>
      </c>
      <c r="H15" s="44">
        <f t="shared" si="21"/>
        <v>37807525.869597256</v>
      </c>
      <c r="I15" s="44">
        <f t="shared" si="21"/>
        <v>36899553.368310913</v>
      </c>
      <c r="J15" s="44">
        <f t="shared" si="21"/>
        <v>36026788.095025361</v>
      </c>
      <c r="K15" s="44">
        <f t="shared" si="21"/>
        <v>35169103.092066064</v>
      </c>
      <c r="L15" s="44">
        <f t="shared" si="21"/>
        <v>34313567.962550938</v>
      </c>
      <c r="M15" s="44">
        <f t="shared" si="21"/>
        <v>31177128.796588216</v>
      </c>
      <c r="N15" s="44">
        <f t="shared" si="21"/>
        <v>28271657.38581273</v>
      </c>
      <c r="O15" s="44">
        <f t="shared" si="21"/>
        <v>27880481.438963041</v>
      </c>
      <c r="P15" s="44">
        <f t="shared" si="21"/>
        <v>27506390.958757535</v>
      </c>
      <c r="Q15" s="44">
        <f t="shared" si="21"/>
        <v>27133654.407822143</v>
      </c>
      <c r="R15" s="44">
        <f t="shared" si="21"/>
        <v>26764234.353695512</v>
      </c>
      <c r="S15" s="44">
        <f t="shared" si="21"/>
        <v>26398537.893327657</v>
      </c>
      <c r="T15" s="44">
        <f t="shared" si="21"/>
        <v>26034338.344532751</v>
      </c>
      <c r="U15" s="44">
        <f t="shared" si="20"/>
        <v>25671667.19025936</v>
      </c>
      <c r="V15" s="44">
        <f t="shared" si="20"/>
        <v>25310555.589115221</v>
      </c>
      <c r="W15" s="44">
        <f t="shared" si="20"/>
        <v>24951036.332829371</v>
      </c>
      <c r="X15" s="44">
        <f t="shared" si="20"/>
        <v>24593142.891004704</v>
      </c>
      <c r="Y15" s="44">
        <f t="shared" si="20"/>
        <v>24236907.317870911</v>
      </c>
      <c r="Z15" s="44">
        <f t="shared" si="20"/>
        <v>23882365.262191609</v>
      </c>
      <c r="AA15" s="44">
        <f t="shared" si="20"/>
        <v>23529551.913102057</v>
      </c>
      <c r="AB15" s="44">
        <f t="shared" ref="AB15:AF15" si="22">SUM(AB6:AB14)</f>
        <v>23178503.283315137</v>
      </c>
      <c r="AC15" s="44">
        <f t="shared" si="22"/>
        <v>22829255.70257847</v>
      </c>
      <c r="AD15" s="44">
        <f t="shared" si="22"/>
        <v>22481847.416622579</v>
      </c>
      <c r="AE15" s="44">
        <f t="shared" si="22"/>
        <v>22136315.947675999</v>
      </c>
      <c r="AF15" s="44">
        <f t="shared" si="22"/>
        <v>21792701.190009587</v>
      </c>
    </row>
    <row r="16" spans="1:32">
      <c r="A16" s="6" t="s">
        <v>468</v>
      </c>
      <c r="B16" s="252">
        <f>SUM(C16:AF16)</f>
        <v>319906644.24676865</v>
      </c>
      <c r="C16" s="4">
        <f>C15/(1+Financials!$C$74)^(C3-1)</f>
        <v>0</v>
      </c>
      <c r="D16" s="4">
        <f>D15/(1+Financials!$C$74)^(D3-1)</f>
        <v>2.3467800269716937E-2</v>
      </c>
      <c r="E16" s="4">
        <f>E15/(1+Financials!$C$74)^(E3-1)</f>
        <v>5964588.1731819017</v>
      </c>
      <c r="F16" s="4">
        <f>F15/(1+Financials!$C$74)^(F3-1)</f>
        <v>24145397.560489666</v>
      </c>
      <c r="G16" s="4">
        <f>G15/(1+Financials!$C$74)^(G3-1)</f>
        <v>29444438.594517246</v>
      </c>
      <c r="H16" s="4">
        <f>H15/(1+Financials!$C$74)^(H3-1)</f>
        <v>26809485.829588942</v>
      </c>
      <c r="I16" s="4">
        <f>I15/(1+Financials!$C$74)^(I3-1)</f>
        <v>24427182.760657299</v>
      </c>
      <c r="J16" s="4">
        <f>J15/(1+Financials!$C$74)^(J3-1)</f>
        <v>22264854.568496369</v>
      </c>
      <c r="K16" s="4">
        <f>K15/(1+Financials!$C$74)^(K3-1)</f>
        <v>20290729.244634636</v>
      </c>
      <c r="L16" s="4">
        <f>L15/(1+Financials!$C$74)^(L3-1)</f>
        <v>18481800.89219363</v>
      </c>
      <c r="M16" s="4">
        <f>M15/(1+Financials!$C$74)^(M3-1)</f>
        <v>15676769.428497985</v>
      </c>
      <c r="N16" s="4">
        <f>N15/(1+Financials!$C$74)^(N3-1)</f>
        <v>13271309.218736529</v>
      </c>
      <c r="O16" s="4">
        <f>O15/(1+Financials!$C$74)^(O3-1)</f>
        <v>12218132.016905475</v>
      </c>
      <c r="P16" s="4">
        <f>P15/(1+Financials!$C$74)^(P3-1)</f>
        <v>11253307.891522255</v>
      </c>
      <c r="Q16" s="4">
        <f>Q15/(1+Financials!$C$74)^(Q3-1)</f>
        <v>10363272.655303007</v>
      </c>
      <c r="R16" s="4">
        <f>R15/(1+Financials!$C$74)^(R3-1)</f>
        <v>9543012.7624169867</v>
      </c>
      <c r="S16" s="4">
        <f>S15/(1+Financials!$C$74)^(S3-1)</f>
        <v>8787242.2579257209</v>
      </c>
      <c r="T16" s="4">
        <f>T15/(1+Financials!$C$74)^(T3-1)</f>
        <v>8090238.3373475438</v>
      </c>
      <c r="U16" s="4">
        <f>U15/(1+Financials!$C$74)^(U3-1)</f>
        <v>7447506.4951780057</v>
      </c>
      <c r="V16" s="4">
        <f>V15/(1+Financials!$C$74)^(V3-1)</f>
        <v>6854890.7964206599</v>
      </c>
      <c r="W16" s="4">
        <f>W15/(1+Financials!$C$74)^(W3-1)</f>
        <v>6308549.224234242</v>
      </c>
      <c r="X16" s="4">
        <f>X15/(1+Financials!$C$74)^(X3-1)</f>
        <v>5804929.9858240401</v>
      </c>
      <c r="Y16" s="4">
        <f>Y15/(1+Financials!$C$74)^(Y3-1)</f>
        <v>5340749.3999222592</v>
      </c>
      <c r="Z16" s="4">
        <f>Z15/(1+Financials!$C$74)^(Z3-1)</f>
        <v>4912973.0280098934</v>
      </c>
      <c r="AA16" s="4">
        <f>AA15/(1+Financials!$C$74)^(AA3-1)</f>
        <v>4518796.1049899189</v>
      </c>
      <c r="AB16" s="4">
        <f>AB15/(1+Financials!$C$74)^(AB3-1)</f>
        <v>4155626.6526319445</v>
      </c>
      <c r="AC16" s="4">
        <f>AC15/(1+Financials!$C$74)^(AC3-1)</f>
        <v>3821069.4585367655</v>
      </c>
      <c r="AD16" s="4">
        <f>AD15/(1+Financials!$C$74)^(AD3-1)</f>
        <v>3512911.5989761404</v>
      </c>
      <c r="AE16" s="4">
        <f>AE15/(1+Financials!$C$74)^(AE3-1)</f>
        <v>3229108.3325053058</v>
      </c>
      <c r="AF16" s="4">
        <f>AF15/(1+Financials!$C$74)^(AF3-1)</f>
        <v>2967770.9536566217</v>
      </c>
    </row>
    <row r="17" spans="1:40">
      <c r="A17" s="6" t="s">
        <v>469</v>
      </c>
      <c r="B17" s="4">
        <f>IF(Capex!AK16=0,0,PMT(Financials!C74,'Input Data'!G19,-B16,)/Capex!AK16/(1+Financials!C74))*Capex!AK16</f>
        <v>24350502.342468087</v>
      </c>
      <c r="F17" s="252">
        <f>(+F12+F13)/11</f>
        <v>1764048.5056656105</v>
      </c>
      <c r="G17" s="252">
        <f t="shared" ref="G17:N17" si="23">(+G12+G13)/11</f>
        <v>2240955.1634698403</v>
      </c>
      <c r="H17" s="252">
        <f t="shared" si="23"/>
        <v>2157888.8864907259</v>
      </c>
      <c r="I17" s="252">
        <f t="shared" si="23"/>
        <v>2079225.4150663046</v>
      </c>
      <c r="J17" s="252">
        <f t="shared" si="23"/>
        <v>2003702.6007328636</v>
      </c>
      <c r="K17" s="252">
        <f t="shared" si="23"/>
        <v>1929489.629156355</v>
      </c>
      <c r="L17" s="252">
        <f t="shared" si="23"/>
        <v>1855390.0248626508</v>
      </c>
      <c r="M17" s="252">
        <f t="shared" si="23"/>
        <v>1790760.8402750241</v>
      </c>
      <c r="N17" s="252">
        <f t="shared" si="23"/>
        <v>1744850.5433765664</v>
      </c>
    </row>
    <row r="18" spans="1:40">
      <c r="C18" s="252"/>
      <c r="F18" s="4">
        <f>(+F13+F12+F8)/11</f>
        <v>2249925.2237119628</v>
      </c>
      <c r="G18" s="4">
        <f t="shared" ref="G18:N18" si="24">(+G13+G12+G8)/11</f>
        <v>3014362.6110429596</v>
      </c>
      <c r="H18" s="4">
        <f t="shared" si="24"/>
        <v>2931296.3340638452</v>
      </c>
      <c r="I18" s="4">
        <f t="shared" si="24"/>
        <v>2852632.8626394239</v>
      </c>
      <c r="J18" s="4">
        <f t="shared" si="24"/>
        <v>2777110.0483059827</v>
      </c>
      <c r="K18" s="4">
        <f t="shared" si="24"/>
        <v>2702897.0767294746</v>
      </c>
      <c r="L18" s="4">
        <f t="shared" si="24"/>
        <v>2628817.5481933458</v>
      </c>
      <c r="M18" s="4">
        <f t="shared" si="24"/>
        <v>2347295.8302074354</v>
      </c>
      <c r="N18" s="4">
        <f t="shared" si="24"/>
        <v>2084494.412579701</v>
      </c>
    </row>
    <row r="19" spans="1:40">
      <c r="A19" s="48" t="s">
        <v>470</v>
      </c>
      <c r="F19" s="5"/>
    </row>
    <row r="20" spans="1:40">
      <c r="A20" s="6" t="s">
        <v>288</v>
      </c>
      <c r="C20" s="40">
        <f>+Financials!C155</f>
        <v>0</v>
      </c>
      <c r="D20" s="40">
        <f>+Financials!D155</f>
        <v>-0.2799999974668026</v>
      </c>
      <c r="E20" s="40">
        <f>+Financials!E155</f>
        <v>33023481.340000004</v>
      </c>
      <c r="F20" s="40">
        <f>+Financials!F155</f>
        <v>93633162.280000001</v>
      </c>
      <c r="G20" s="40">
        <f>+Financials!G155</f>
        <v>118946683</v>
      </c>
      <c r="H20" s="40">
        <f>+Financials!H155</f>
        <v>114537644</v>
      </c>
      <c r="I20" s="40">
        <f>+Financials!I155</f>
        <v>110362300</v>
      </c>
      <c r="J20" s="40">
        <f>+Financials!J155</f>
        <v>106353658</v>
      </c>
      <c r="K20" s="40">
        <f>+Financials!K155</f>
        <v>102414540</v>
      </c>
      <c r="L20" s="40">
        <f>+Financials!L155</f>
        <v>98481439</v>
      </c>
      <c r="M20" s="40">
        <f>+Financials!M155</f>
        <v>95051015</v>
      </c>
      <c r="N20" s="40">
        <f>+Financials!N155</f>
        <v>92614162</v>
      </c>
      <c r="O20" s="40">
        <f>+Financials!O155</f>
        <v>90674097</v>
      </c>
      <c r="P20" s="40">
        <f>+Financials!P155</f>
        <v>88734173</v>
      </c>
      <c r="Q20" s="40">
        <f>+Financials!Q155</f>
        <v>86794395</v>
      </c>
      <c r="R20" s="40">
        <f>+Financials!R155</f>
        <v>84862695</v>
      </c>
      <c r="S20" s="40">
        <f>+Financials!S155</f>
        <v>82939164</v>
      </c>
      <c r="T20" s="40">
        <f>+Financials!T155</f>
        <v>81015967</v>
      </c>
      <c r="U20" s="40">
        <f>+Financials!U155</f>
        <v>79093113</v>
      </c>
      <c r="V20" s="40">
        <f>+Financials!V155</f>
        <v>77170612</v>
      </c>
      <c r="W20" s="40">
        <f>+Financials!W155</f>
        <v>75248475</v>
      </c>
      <c r="X20" s="40">
        <f>+Financials!X155</f>
        <v>73326714</v>
      </c>
      <c r="Y20" s="40">
        <f>+Financials!Y155</f>
        <v>71405338</v>
      </c>
      <c r="Z20" s="40">
        <f>+Financials!Z155</f>
        <v>69484361</v>
      </c>
      <c r="AA20" s="40">
        <f>+Financials!AA155</f>
        <v>67563793</v>
      </c>
      <c r="AB20" s="40">
        <f>+Financials!AB155</f>
        <v>65643648</v>
      </c>
      <c r="AC20" s="40">
        <f>+Financials!AC155</f>
        <v>63723937</v>
      </c>
      <c r="AD20" s="40">
        <f>+Financials!AD155</f>
        <v>61804674</v>
      </c>
      <c r="AE20" s="40">
        <f>+Financials!AE155</f>
        <v>59885872</v>
      </c>
      <c r="AF20" s="40">
        <f>+Financials!AF155</f>
        <v>57967545</v>
      </c>
    </row>
    <row r="21" spans="1:40">
      <c r="A21" s="6" t="s">
        <v>471</v>
      </c>
      <c r="C21" s="45">
        <f>+'Input Data'!$C$29</f>
        <v>4.6849999999999989E-2</v>
      </c>
      <c r="D21" s="45">
        <f>+'Input Data'!$C$29</f>
        <v>4.6849999999999989E-2</v>
      </c>
      <c r="E21" s="45">
        <f>+'Input Data'!$C$29</f>
        <v>4.6849999999999989E-2</v>
      </c>
      <c r="F21" s="45">
        <f>+'Input Data'!$C$29</f>
        <v>4.6849999999999989E-2</v>
      </c>
      <c r="G21" s="45">
        <f>+'Input Data'!$C$29</f>
        <v>4.6849999999999989E-2</v>
      </c>
      <c r="H21" s="45">
        <f>+'Input Data'!$C$29</f>
        <v>4.6849999999999989E-2</v>
      </c>
      <c r="I21" s="45">
        <f>+'Input Data'!$C$29</f>
        <v>4.6849999999999989E-2</v>
      </c>
      <c r="J21" s="45">
        <f>+'Input Data'!$C$29</f>
        <v>4.6849999999999989E-2</v>
      </c>
      <c r="K21" s="45">
        <f>+'Input Data'!$C$29</f>
        <v>4.6849999999999989E-2</v>
      </c>
      <c r="L21" s="45">
        <f>+'Input Data'!$C$29</f>
        <v>4.6849999999999989E-2</v>
      </c>
      <c r="M21" s="45">
        <f>+'Input Data'!$C$29</f>
        <v>4.6849999999999989E-2</v>
      </c>
      <c r="N21" s="45">
        <f>+'Input Data'!$C$29</f>
        <v>4.6849999999999989E-2</v>
      </c>
      <c r="O21" s="45">
        <f>+'Input Data'!$C$29</f>
        <v>4.6849999999999989E-2</v>
      </c>
      <c r="P21" s="45">
        <f>+'Input Data'!$C$29</f>
        <v>4.6849999999999989E-2</v>
      </c>
      <c r="Q21" s="45">
        <f>+'Input Data'!$C$29</f>
        <v>4.6849999999999989E-2</v>
      </c>
      <c r="R21" s="45">
        <f>+'Input Data'!$C$29</f>
        <v>4.6849999999999989E-2</v>
      </c>
      <c r="S21" s="45">
        <f>+'Input Data'!$C$29</f>
        <v>4.6849999999999989E-2</v>
      </c>
      <c r="T21" s="45">
        <f>+'Input Data'!$C$29</f>
        <v>4.6849999999999989E-2</v>
      </c>
      <c r="U21" s="45">
        <f>+'Input Data'!$C$29</f>
        <v>4.6849999999999989E-2</v>
      </c>
      <c r="V21" s="45">
        <f>+'Input Data'!$C$29</f>
        <v>4.6849999999999989E-2</v>
      </c>
      <c r="W21" s="45">
        <f>+'Input Data'!$C$29</f>
        <v>4.6849999999999989E-2</v>
      </c>
      <c r="X21" s="45">
        <f>+'Input Data'!$C$29</f>
        <v>4.6849999999999989E-2</v>
      </c>
      <c r="Y21" s="45">
        <f>+'Input Data'!$C$29</f>
        <v>4.6849999999999989E-2</v>
      </c>
      <c r="Z21" s="45">
        <f>+'Input Data'!$C$29</f>
        <v>4.6849999999999989E-2</v>
      </c>
      <c r="AA21" s="45">
        <f>+'Input Data'!$C$29</f>
        <v>4.6849999999999989E-2</v>
      </c>
      <c r="AB21" s="45">
        <f>+'Input Data'!$C$29</f>
        <v>4.6849999999999989E-2</v>
      </c>
      <c r="AC21" s="45">
        <f>+'Input Data'!$C$29</f>
        <v>4.6849999999999989E-2</v>
      </c>
      <c r="AD21" s="45">
        <f>+'Input Data'!$C$29</f>
        <v>4.6849999999999989E-2</v>
      </c>
      <c r="AE21" s="45">
        <f>+'Input Data'!$C$29</f>
        <v>4.6849999999999989E-2</v>
      </c>
      <c r="AF21" s="45">
        <f>+'Input Data'!$C$29</f>
        <v>4.6849999999999989E-2</v>
      </c>
    </row>
    <row r="22" spans="1:40" ht="15" thickBot="1">
      <c r="A22" s="6" t="s">
        <v>472</v>
      </c>
      <c r="C22" s="43">
        <f>+C20*C21</f>
        <v>0</v>
      </c>
      <c r="D22" s="43">
        <f t="shared" ref="D22:AA22" si="25">+D20*D21</f>
        <v>-1.3117999881319698E-2</v>
      </c>
      <c r="E22" s="43">
        <f t="shared" si="25"/>
        <v>1547150.1007789997</v>
      </c>
      <c r="F22" s="43">
        <f t="shared" si="25"/>
        <v>4386713.652817999</v>
      </c>
      <c r="G22" s="43">
        <f t="shared" si="25"/>
        <v>5572652.0985499984</v>
      </c>
      <c r="H22" s="43">
        <f t="shared" si="25"/>
        <v>5366088.6213999987</v>
      </c>
      <c r="I22" s="43">
        <f t="shared" si="25"/>
        <v>5170473.754999999</v>
      </c>
      <c r="J22" s="43">
        <f t="shared" si="25"/>
        <v>4982668.8772999989</v>
      </c>
      <c r="K22" s="43">
        <f t="shared" si="25"/>
        <v>4798121.1989999991</v>
      </c>
      <c r="L22" s="43">
        <f t="shared" si="25"/>
        <v>4613855.4171499992</v>
      </c>
      <c r="M22" s="43">
        <f t="shared" si="25"/>
        <v>4453140.0527499989</v>
      </c>
      <c r="N22" s="43">
        <f t="shared" si="25"/>
        <v>4338973.4896999989</v>
      </c>
      <c r="O22" s="43">
        <f t="shared" si="25"/>
        <v>4248081.4444499994</v>
      </c>
      <c r="P22" s="43">
        <f t="shared" si="25"/>
        <v>4157196.0050499989</v>
      </c>
      <c r="Q22" s="43">
        <f t="shared" si="25"/>
        <v>4066317.405749999</v>
      </c>
      <c r="R22" s="43">
        <f t="shared" si="25"/>
        <v>3975817.260749999</v>
      </c>
      <c r="S22" s="43">
        <f t="shared" si="25"/>
        <v>3885699.833399999</v>
      </c>
      <c r="T22" s="43">
        <f t="shared" si="25"/>
        <v>3795598.0539499992</v>
      </c>
      <c r="U22" s="43">
        <f t="shared" si="25"/>
        <v>3705512.344049999</v>
      </c>
      <c r="V22" s="43">
        <f t="shared" si="25"/>
        <v>3615443.172199999</v>
      </c>
      <c r="W22" s="43">
        <f t="shared" si="25"/>
        <v>3525391.053749999</v>
      </c>
      <c r="X22" s="43">
        <f t="shared" si="25"/>
        <v>3435356.5508999992</v>
      </c>
      <c r="Y22" s="43">
        <f t="shared" si="25"/>
        <v>3345340.085299999</v>
      </c>
      <c r="Z22" s="43">
        <f t="shared" si="25"/>
        <v>3255342.3128499994</v>
      </c>
      <c r="AA22" s="43">
        <f t="shared" si="25"/>
        <v>3165363.702049999</v>
      </c>
      <c r="AB22" s="43">
        <f t="shared" ref="AB22:AF22" si="26">+AB20*AB21</f>
        <v>3075404.9087999994</v>
      </c>
      <c r="AC22" s="43">
        <f t="shared" si="26"/>
        <v>2985466.4484499991</v>
      </c>
      <c r="AD22" s="43">
        <f t="shared" si="26"/>
        <v>2895548.9768999992</v>
      </c>
      <c r="AE22" s="43">
        <f t="shared" si="26"/>
        <v>2805653.1031999993</v>
      </c>
      <c r="AF22" s="43">
        <f t="shared" si="26"/>
        <v>2715779.4832499996</v>
      </c>
    </row>
    <row r="24" spans="1:40">
      <c r="A24" s="48" t="s">
        <v>473</v>
      </c>
    </row>
    <row r="25" spans="1:40">
      <c r="A25" s="6" t="s">
        <v>289</v>
      </c>
      <c r="C25" s="40">
        <f>+Financials!C156</f>
        <v>0</v>
      </c>
      <c r="D25" s="40">
        <f>+Financials!D156</f>
        <v>0.2800000011920929</v>
      </c>
      <c r="E25" s="40">
        <f>+Financials!E156</f>
        <v>38766695.659999996</v>
      </c>
      <c r="F25" s="40">
        <f>+Financials!F156</f>
        <v>109917190.72</v>
      </c>
      <c r="G25" s="40">
        <f>+Financials!G156</f>
        <v>139633063</v>
      </c>
      <c r="H25" s="40">
        <f>+Financials!H156</f>
        <v>134457235</v>
      </c>
      <c r="I25" s="40">
        <f>+Financials!I156</f>
        <v>129555744</v>
      </c>
      <c r="J25" s="40">
        <f>+Financials!J156</f>
        <v>124849946</v>
      </c>
      <c r="K25" s="40">
        <f>+Financials!K156</f>
        <v>120225764</v>
      </c>
      <c r="L25" s="40">
        <f>+Financials!L156</f>
        <v>115608646</v>
      </c>
      <c r="M25" s="40">
        <f>+Financials!M156</f>
        <v>111581626</v>
      </c>
      <c r="N25" s="40">
        <f>+Financials!N156</f>
        <v>108720973</v>
      </c>
      <c r="O25" s="40">
        <f>+Financials!O156</f>
        <v>106443505</v>
      </c>
      <c r="P25" s="40">
        <f>+Financials!P156</f>
        <v>104166203</v>
      </c>
      <c r="Q25" s="40">
        <f>+Financials!Q156</f>
        <v>101889072</v>
      </c>
      <c r="R25" s="40">
        <f>+Financials!R156</f>
        <v>99621425</v>
      </c>
      <c r="S25" s="40">
        <f>+Financials!S156</f>
        <v>97363367</v>
      </c>
      <c r="T25" s="40">
        <f>+Financials!T156</f>
        <v>95105700</v>
      </c>
      <c r="U25" s="40">
        <f>+Financials!U156</f>
        <v>92848437</v>
      </c>
      <c r="V25" s="40">
        <f>+Financials!V156</f>
        <v>90591588</v>
      </c>
      <c r="W25" s="40">
        <f>+Financials!W156</f>
        <v>88335167</v>
      </c>
      <c r="X25" s="40">
        <f>+Financials!X156</f>
        <v>86079185</v>
      </c>
      <c r="Y25" s="40">
        <f>+Financials!Y156</f>
        <v>83823658</v>
      </c>
      <c r="Z25" s="40">
        <f>+Financials!Z156</f>
        <v>81568597</v>
      </c>
      <c r="AA25" s="40">
        <f>+Financials!AA156</f>
        <v>79314018</v>
      </c>
      <c r="AB25" s="40">
        <f>+Financials!AB156</f>
        <v>77059934</v>
      </c>
      <c r="AC25" s="40">
        <f>+Financials!AC156</f>
        <v>74806361</v>
      </c>
      <c r="AD25" s="40">
        <f>+Financials!AD156</f>
        <v>72553313</v>
      </c>
      <c r="AE25" s="40">
        <f>+Financials!AE156</f>
        <v>70300806</v>
      </c>
      <c r="AF25" s="40">
        <f>+Financials!AF156</f>
        <v>68048858</v>
      </c>
      <c r="AH25" s="9" t="s">
        <v>474</v>
      </c>
      <c r="AI25" s="9"/>
      <c r="AJ25" s="9"/>
      <c r="AK25" s="9"/>
      <c r="AL25" s="9"/>
      <c r="AM25" s="9"/>
      <c r="AN25" s="391"/>
    </row>
    <row r="26" spans="1:40">
      <c r="A26" s="6" t="s">
        <v>475</v>
      </c>
      <c r="C26" s="46">
        <f>+'Input Data'!$C$27</f>
        <v>0.10199999999999999</v>
      </c>
      <c r="D26" s="46">
        <f>+'Input Data'!$C$27</f>
        <v>0.10199999999999999</v>
      </c>
      <c r="E26" s="46">
        <f>+'Input Data'!$C$27</f>
        <v>0.10199999999999999</v>
      </c>
      <c r="F26" s="46">
        <f>+'Input Data'!$C$27</f>
        <v>0.10199999999999999</v>
      </c>
      <c r="G26" s="46">
        <f>+'Input Data'!$C$27</f>
        <v>0.10199999999999999</v>
      </c>
      <c r="H26" s="46">
        <f>+'Input Data'!$C$27</f>
        <v>0.10199999999999999</v>
      </c>
      <c r="I26" s="46">
        <f>+'Input Data'!$C$27</f>
        <v>0.10199999999999999</v>
      </c>
      <c r="J26" s="46">
        <f>+'Input Data'!$C$27</f>
        <v>0.10199999999999999</v>
      </c>
      <c r="K26" s="46">
        <f>+'Input Data'!$C$27</f>
        <v>0.10199999999999999</v>
      </c>
      <c r="L26" s="46">
        <f>+'Input Data'!$C$27</f>
        <v>0.10199999999999999</v>
      </c>
      <c r="M26" s="46">
        <f>+'Input Data'!$C$27</f>
        <v>0.10199999999999999</v>
      </c>
      <c r="N26" s="46">
        <f>+'Input Data'!$C$27</f>
        <v>0.10199999999999999</v>
      </c>
      <c r="O26" s="46">
        <f>+'Input Data'!$C$27</f>
        <v>0.10199999999999999</v>
      </c>
      <c r="P26" s="46">
        <f>+'Input Data'!$C$27</f>
        <v>0.10199999999999999</v>
      </c>
      <c r="Q26" s="46">
        <f>+'Input Data'!$C$27</f>
        <v>0.10199999999999999</v>
      </c>
      <c r="R26" s="46">
        <f>+'Input Data'!$C$27</f>
        <v>0.10199999999999999</v>
      </c>
      <c r="S26" s="46">
        <f>+'Input Data'!$C$27</f>
        <v>0.10199999999999999</v>
      </c>
      <c r="T26" s="46">
        <f>+'Input Data'!$C$27</f>
        <v>0.10199999999999999</v>
      </c>
      <c r="U26" s="46">
        <f>+'Input Data'!$C$27</f>
        <v>0.10199999999999999</v>
      </c>
      <c r="V26" s="46">
        <f>+'Input Data'!$C$27</f>
        <v>0.10199999999999999</v>
      </c>
      <c r="W26" s="46">
        <f>+'Input Data'!$C$27</f>
        <v>0.10199999999999999</v>
      </c>
      <c r="X26" s="46">
        <f>+'Input Data'!$C$27</f>
        <v>0.10199999999999999</v>
      </c>
      <c r="Y26" s="46">
        <f>+'Input Data'!$C$27</f>
        <v>0.10199999999999999</v>
      </c>
      <c r="Z26" s="46">
        <f>+'Input Data'!$C$27</f>
        <v>0.10199999999999999</v>
      </c>
      <c r="AA26" s="46">
        <f>+'Input Data'!$C$27</f>
        <v>0.10199999999999999</v>
      </c>
      <c r="AB26" s="46">
        <f>+'Input Data'!$C$27</f>
        <v>0.10199999999999999</v>
      </c>
      <c r="AC26" s="46">
        <f>+'Input Data'!$C$27</f>
        <v>0.10199999999999999</v>
      </c>
      <c r="AD26" s="46">
        <f>+'Input Data'!$C$27</f>
        <v>0.10199999999999999</v>
      </c>
      <c r="AE26" s="46">
        <f>+'Input Data'!$C$27</f>
        <v>0.10199999999999999</v>
      </c>
      <c r="AF26" s="46">
        <f>+'Input Data'!$C$27</f>
        <v>0.10199999999999999</v>
      </c>
    </row>
    <row r="27" spans="1:40">
      <c r="A27" s="6" t="s">
        <v>476</v>
      </c>
      <c r="C27" s="4">
        <f>+C25*C26</f>
        <v>0</v>
      </c>
      <c r="D27" s="4">
        <f t="shared" ref="D27:AA27" si="27">+D25*D26</f>
        <v>2.8560000121593473E-2</v>
      </c>
      <c r="E27" s="4">
        <f t="shared" si="27"/>
        <v>3954202.9573199996</v>
      </c>
      <c r="F27" s="4">
        <f t="shared" si="27"/>
        <v>11211553.453439999</v>
      </c>
      <c r="G27" s="4">
        <f t="shared" si="27"/>
        <v>14242572.425999999</v>
      </c>
      <c r="H27" s="4">
        <f t="shared" si="27"/>
        <v>13714637.969999999</v>
      </c>
      <c r="I27" s="4">
        <f t="shared" si="27"/>
        <v>13214685.887999998</v>
      </c>
      <c r="J27" s="4">
        <f t="shared" si="27"/>
        <v>12734694.491999999</v>
      </c>
      <c r="K27" s="4">
        <f t="shared" si="27"/>
        <v>12263027.927999999</v>
      </c>
      <c r="L27" s="4">
        <f t="shared" si="27"/>
        <v>11792081.891999999</v>
      </c>
      <c r="M27" s="4">
        <f t="shared" si="27"/>
        <v>11381325.852</v>
      </c>
      <c r="N27" s="4">
        <f t="shared" si="27"/>
        <v>11089539.245999999</v>
      </c>
      <c r="O27" s="4">
        <f t="shared" si="27"/>
        <v>10857237.51</v>
      </c>
      <c r="P27" s="4">
        <f t="shared" si="27"/>
        <v>10624952.706</v>
      </c>
      <c r="Q27" s="4">
        <f t="shared" si="27"/>
        <v>10392685.343999999</v>
      </c>
      <c r="R27" s="4">
        <f t="shared" si="27"/>
        <v>10161385.35</v>
      </c>
      <c r="S27" s="4">
        <f t="shared" si="27"/>
        <v>9931063.4339999985</v>
      </c>
      <c r="T27" s="4">
        <f t="shared" si="27"/>
        <v>9700781.3999999985</v>
      </c>
      <c r="U27" s="4">
        <f t="shared" si="27"/>
        <v>9470540.5739999991</v>
      </c>
      <c r="V27" s="4">
        <f t="shared" si="27"/>
        <v>9240341.9759999998</v>
      </c>
      <c r="W27" s="4">
        <f t="shared" si="27"/>
        <v>9010187.034</v>
      </c>
      <c r="X27" s="4">
        <f t="shared" si="27"/>
        <v>8780076.8699999992</v>
      </c>
      <c r="Y27" s="4">
        <f t="shared" si="27"/>
        <v>8550013.1159999985</v>
      </c>
      <c r="Z27" s="4">
        <f t="shared" si="27"/>
        <v>8319996.8939999994</v>
      </c>
      <c r="AA27" s="4">
        <f t="shared" si="27"/>
        <v>8090029.8359999992</v>
      </c>
      <c r="AB27" s="4">
        <f t="shared" ref="AB27:AF27" si="28">+AB25*AB26</f>
        <v>7860113.2679999992</v>
      </c>
      <c r="AC27" s="4">
        <f t="shared" si="28"/>
        <v>7630248.8219999997</v>
      </c>
      <c r="AD27" s="4">
        <f t="shared" si="28"/>
        <v>7400437.926</v>
      </c>
      <c r="AE27" s="4">
        <f t="shared" si="28"/>
        <v>7170682.2119999994</v>
      </c>
      <c r="AF27" s="4">
        <f t="shared" si="28"/>
        <v>6940983.5159999998</v>
      </c>
    </row>
    <row r="28" spans="1:40">
      <c r="A28" s="6" t="s">
        <v>477</v>
      </c>
      <c r="C28" s="47">
        <f>1-'Input Data'!C$50</f>
        <v>0.74655000000000005</v>
      </c>
      <c r="D28" s="47">
        <f>1-'Input Data'!D$50</f>
        <v>0.74655000000000005</v>
      </c>
      <c r="E28" s="47">
        <f>1-'Input Data'!E$50</f>
        <v>0.74655000000000005</v>
      </c>
      <c r="F28" s="47">
        <f>1-'Input Data'!F$50</f>
        <v>0.74655000000000005</v>
      </c>
      <c r="G28" s="47">
        <f>1-'Input Data'!G$50</f>
        <v>0.74655000000000005</v>
      </c>
      <c r="H28" s="47">
        <f>1-'Input Data'!H$50</f>
        <v>0.74655000000000005</v>
      </c>
      <c r="I28" s="47">
        <f>1-'Input Data'!I$50</f>
        <v>0.74655000000000005</v>
      </c>
      <c r="J28" s="47">
        <f>1-'Input Data'!J$50</f>
        <v>0.74655000000000005</v>
      </c>
      <c r="K28" s="47">
        <f>1-'Input Data'!K$50</f>
        <v>0.74655000000000005</v>
      </c>
      <c r="L28" s="47">
        <f>1-'Input Data'!L$50</f>
        <v>0.74655000000000005</v>
      </c>
      <c r="M28" s="47">
        <f>1-'Input Data'!M$50</f>
        <v>0.74655000000000005</v>
      </c>
      <c r="N28" s="300">
        <f t="shared" ref="N28:AA28" si="29">+M28</f>
        <v>0.74655000000000005</v>
      </c>
      <c r="O28" s="300">
        <f t="shared" si="29"/>
        <v>0.74655000000000005</v>
      </c>
      <c r="P28" s="300">
        <f t="shared" si="29"/>
        <v>0.74655000000000005</v>
      </c>
      <c r="Q28" s="300">
        <f t="shared" si="29"/>
        <v>0.74655000000000005</v>
      </c>
      <c r="R28" s="300">
        <f t="shared" si="29"/>
        <v>0.74655000000000005</v>
      </c>
      <c r="S28" s="300">
        <f t="shared" si="29"/>
        <v>0.74655000000000005</v>
      </c>
      <c r="T28" s="300">
        <f t="shared" si="29"/>
        <v>0.74655000000000005</v>
      </c>
      <c r="U28" s="300">
        <f t="shared" si="29"/>
        <v>0.74655000000000005</v>
      </c>
      <c r="V28" s="300">
        <f t="shared" si="29"/>
        <v>0.74655000000000005</v>
      </c>
      <c r="W28" s="300">
        <f t="shared" si="29"/>
        <v>0.74655000000000005</v>
      </c>
      <c r="X28" s="300">
        <f t="shared" si="29"/>
        <v>0.74655000000000005</v>
      </c>
      <c r="Y28" s="300">
        <f t="shared" si="29"/>
        <v>0.74655000000000005</v>
      </c>
      <c r="Z28" s="300">
        <f t="shared" si="29"/>
        <v>0.74655000000000005</v>
      </c>
      <c r="AA28" s="300">
        <f t="shared" si="29"/>
        <v>0.74655000000000005</v>
      </c>
      <c r="AB28" s="300">
        <f t="shared" ref="AB28" si="30">+AA28</f>
        <v>0.74655000000000005</v>
      </c>
      <c r="AC28" s="300">
        <f t="shared" ref="AC28" si="31">+AB28</f>
        <v>0.74655000000000005</v>
      </c>
      <c r="AD28" s="300">
        <f t="shared" ref="AD28" si="32">+AC28</f>
        <v>0.74655000000000005</v>
      </c>
      <c r="AE28" s="300">
        <f t="shared" ref="AE28" si="33">+AD28</f>
        <v>0.74655000000000005</v>
      </c>
      <c r="AF28" s="300">
        <f t="shared" ref="AF28" si="34">+AE28</f>
        <v>0.74655000000000005</v>
      </c>
    </row>
    <row r="29" spans="1:40" ht="15" thickBot="1">
      <c r="A29" s="6" t="s">
        <v>478</v>
      </c>
      <c r="C29" s="43">
        <f>+C27/C28</f>
        <v>0</v>
      </c>
      <c r="D29" s="43">
        <f t="shared" ref="D29:AA29" si="35">+D27/D28</f>
        <v>3.8255977659357676E-2</v>
      </c>
      <c r="E29" s="43">
        <f t="shared" si="35"/>
        <v>5296635.1313642748</v>
      </c>
      <c r="F29" s="43">
        <f t="shared" si="35"/>
        <v>15017819.909503715</v>
      </c>
      <c r="G29" s="43">
        <f t="shared" si="35"/>
        <v>19077854.699618243</v>
      </c>
      <c r="H29" s="43">
        <f t="shared" si="35"/>
        <v>18370689.129997987</v>
      </c>
      <c r="I29" s="43">
        <f t="shared" si="35"/>
        <v>17701005.810729351</v>
      </c>
      <c r="J29" s="43">
        <f t="shared" si="35"/>
        <v>17058059.730761502</v>
      </c>
      <c r="K29" s="43">
        <f t="shared" si="35"/>
        <v>16426264.721719909</v>
      </c>
      <c r="L29" s="43">
        <f t="shared" si="35"/>
        <v>15795434.856339158</v>
      </c>
      <c r="M29" s="43">
        <f t="shared" si="35"/>
        <v>15245229.190275265</v>
      </c>
      <c r="N29" s="43">
        <f t="shared" si="35"/>
        <v>14854382.487442233</v>
      </c>
      <c r="O29" s="43">
        <f t="shared" si="35"/>
        <v>14543215.471167369</v>
      </c>
      <c r="P29" s="43">
        <f t="shared" si="35"/>
        <v>14232071.135222021</v>
      </c>
      <c r="Q29" s="43">
        <f t="shared" si="35"/>
        <v>13920950.16274864</v>
      </c>
      <c r="R29" s="43">
        <f t="shared" si="35"/>
        <v>13611124.974884467</v>
      </c>
      <c r="S29" s="43">
        <f t="shared" si="35"/>
        <v>13302609.917621054</v>
      </c>
      <c r="T29" s="43">
        <f t="shared" si="35"/>
        <v>12994148.282097647</v>
      </c>
      <c r="U29" s="43">
        <f t="shared" si="35"/>
        <v>12685741.844484627</v>
      </c>
      <c r="V29" s="43">
        <f t="shared" si="35"/>
        <v>12377391.971066907</v>
      </c>
      <c r="W29" s="43">
        <f t="shared" si="35"/>
        <v>12069100.574643359</v>
      </c>
      <c r="X29" s="43">
        <f t="shared" si="35"/>
        <v>11760869.158127384</v>
      </c>
      <c r="Y29" s="43">
        <f t="shared" si="35"/>
        <v>11452699.907574842</v>
      </c>
      <c r="Z29" s="43">
        <f t="shared" si="35"/>
        <v>11144594.325899135</v>
      </c>
      <c r="AA29" s="43">
        <f t="shared" si="35"/>
        <v>10836554.599156117</v>
      </c>
      <c r="AB29" s="43">
        <f t="shared" ref="AB29:AF29" si="36">+AB27/AB28</f>
        <v>10528582.503516173</v>
      </c>
      <c r="AC29" s="43">
        <f t="shared" si="36"/>
        <v>10220680.225035161</v>
      </c>
      <c r="AD29" s="43">
        <f t="shared" si="36"/>
        <v>9912849.6765119545</v>
      </c>
      <c r="AE29" s="43">
        <f t="shared" si="36"/>
        <v>9605093.04400241</v>
      </c>
      <c r="AF29" s="43">
        <f t="shared" si="36"/>
        <v>9297412.7868193686</v>
      </c>
    </row>
    <row r="30" spans="1:40">
      <c r="C30" s="252"/>
    </row>
    <row r="31" spans="1:40">
      <c r="A31" s="48" t="s">
        <v>479</v>
      </c>
    </row>
    <row r="32" spans="1:40">
      <c r="A32" s="6" t="s">
        <v>290</v>
      </c>
      <c r="C32" s="40">
        <f>+Financials!C$153</f>
        <v>0</v>
      </c>
      <c r="D32" s="40">
        <f>+Financials!D$153</f>
        <v>0</v>
      </c>
      <c r="E32" s="40">
        <f>+Financials!E$153</f>
        <v>0</v>
      </c>
      <c r="F32" s="40">
        <f>+Financials!F$153</f>
        <v>0</v>
      </c>
      <c r="G32" s="40">
        <f>+Financials!G$153</f>
        <v>0</v>
      </c>
      <c r="H32" s="40">
        <f>+Financials!H$153</f>
        <v>0</v>
      </c>
      <c r="I32" s="40">
        <f>+Financials!I$153</f>
        <v>0</v>
      </c>
      <c r="J32" s="40">
        <f>+Financials!J$153</f>
        <v>0</v>
      </c>
      <c r="K32" s="40">
        <f>+Financials!K$153</f>
        <v>0</v>
      </c>
      <c r="L32" s="40">
        <f>+Financials!L$153</f>
        <v>0</v>
      </c>
      <c r="M32" s="40">
        <f>+Financials!M$153</f>
        <v>0</v>
      </c>
      <c r="N32" s="40">
        <f>+Financials!N$153</f>
        <v>0</v>
      </c>
      <c r="O32" s="40">
        <f>+Financials!O$153</f>
        <v>0</v>
      </c>
      <c r="P32" s="40">
        <f>+Financials!P$153</f>
        <v>0</v>
      </c>
      <c r="Q32" s="40">
        <f>+Financials!Q$153</f>
        <v>0</v>
      </c>
      <c r="R32" s="40">
        <f>+Financials!R$153</f>
        <v>0</v>
      </c>
      <c r="S32" s="40">
        <f>+Financials!S$153</f>
        <v>0</v>
      </c>
      <c r="T32" s="40">
        <f>+Financials!T$153</f>
        <v>0</v>
      </c>
      <c r="U32" s="40">
        <f>+Financials!U$153</f>
        <v>0</v>
      </c>
      <c r="V32" s="40">
        <f>+Financials!V$153</f>
        <v>0</v>
      </c>
      <c r="W32" s="40">
        <f>+Financials!W$153</f>
        <v>0</v>
      </c>
      <c r="X32" s="40">
        <f>+Financials!X$153</f>
        <v>0</v>
      </c>
      <c r="Y32" s="40">
        <f>+Financials!Y$153</f>
        <v>0</v>
      </c>
      <c r="Z32" s="40">
        <f>+Financials!Z$153</f>
        <v>0</v>
      </c>
      <c r="AA32" s="40">
        <f>+Financials!AA$153</f>
        <v>0</v>
      </c>
      <c r="AB32" s="40">
        <f>+Financials!AB$153</f>
        <v>0</v>
      </c>
      <c r="AC32" s="40">
        <f>+Financials!AC$153</f>
        <v>0</v>
      </c>
      <c r="AD32" s="40">
        <f>+Financials!AD$153</f>
        <v>0</v>
      </c>
      <c r="AE32" s="40">
        <f>+Financials!AE$153</f>
        <v>0</v>
      </c>
      <c r="AF32" s="40">
        <f>+Financials!AF$153</f>
        <v>0</v>
      </c>
    </row>
    <row r="33" spans="1:32">
      <c r="A33" s="6" t="s">
        <v>480</v>
      </c>
      <c r="C33" s="253">
        <f>Financials!C$160</f>
        <v>0.45999999999999996</v>
      </c>
      <c r="D33" s="253">
        <f>Financials!D$160</f>
        <v>0.45999999999999996</v>
      </c>
      <c r="E33" s="253">
        <f>Financials!E$160</f>
        <v>0.45999999999999996</v>
      </c>
      <c r="F33" s="253">
        <f>Financials!F$160</f>
        <v>0.45999999999999996</v>
      </c>
      <c r="G33" s="253">
        <f>Financials!G$160</f>
        <v>0.45999999999999996</v>
      </c>
      <c r="H33" s="253">
        <f>Financials!H$160</f>
        <v>0.45999999999999996</v>
      </c>
      <c r="I33" s="253">
        <f>Financials!I$160</f>
        <v>0.45999999999999996</v>
      </c>
      <c r="J33" s="253">
        <f>Financials!J$160</f>
        <v>0.45999999999999996</v>
      </c>
      <c r="K33" s="253">
        <f>Financials!K$160</f>
        <v>0.45999999999999996</v>
      </c>
      <c r="L33" s="253">
        <f>Financials!L$160</f>
        <v>0.45999999999999996</v>
      </c>
      <c r="M33" s="253">
        <f>Financials!M$160</f>
        <v>0.45999999999999996</v>
      </c>
      <c r="N33" s="253">
        <f>Financials!N$160</f>
        <v>0.45999999999999996</v>
      </c>
      <c r="O33" s="253">
        <f>Financials!O$160</f>
        <v>0.45999999999999996</v>
      </c>
      <c r="P33" s="253">
        <f>Financials!P$160</f>
        <v>0.45999999999999996</v>
      </c>
      <c r="Q33" s="253">
        <f>Financials!Q$160</f>
        <v>0.45999999999999996</v>
      </c>
      <c r="R33" s="253">
        <f>Financials!R$160</f>
        <v>0.45999999999999996</v>
      </c>
      <c r="S33" s="253">
        <f>Financials!S$160</f>
        <v>0.45999999999999996</v>
      </c>
      <c r="T33" s="253">
        <f>Financials!T$160</f>
        <v>0.45999999999999996</v>
      </c>
      <c r="U33" s="253">
        <f>Financials!U$160</f>
        <v>0.45999999999999996</v>
      </c>
      <c r="V33" s="253">
        <f>Financials!V$160</f>
        <v>0.45999999999999996</v>
      </c>
      <c r="W33" s="253">
        <f>Financials!W$160</f>
        <v>0.45999999999999996</v>
      </c>
      <c r="X33" s="253">
        <f>Financials!X$160</f>
        <v>0.45999999999999996</v>
      </c>
      <c r="Y33" s="253">
        <f>Financials!Y$160</f>
        <v>0.45999999999999996</v>
      </c>
      <c r="Z33" s="253">
        <f>Financials!Z$160</f>
        <v>0.45999999999999996</v>
      </c>
      <c r="AA33" s="253">
        <f>Financials!AA$160</f>
        <v>0.45999999999999996</v>
      </c>
      <c r="AB33" s="253">
        <f>Financials!AB$160</f>
        <v>0.45999999999999996</v>
      </c>
      <c r="AC33" s="253">
        <f>Financials!AC$160</f>
        <v>0.45999999999999996</v>
      </c>
      <c r="AD33" s="253">
        <f>Financials!AD$160</f>
        <v>0.45999999999999996</v>
      </c>
      <c r="AE33" s="253">
        <f>Financials!AE$160</f>
        <v>0.45999999999999996</v>
      </c>
      <c r="AF33" s="253">
        <f>Financials!AF$160</f>
        <v>0.45999999999999996</v>
      </c>
    </row>
    <row r="34" spans="1:32">
      <c r="A34" s="6" t="s">
        <v>481</v>
      </c>
      <c r="C34" s="4">
        <f>+C32*C33</f>
        <v>0</v>
      </c>
      <c r="D34" s="4">
        <f t="shared" ref="D34:AA34" si="37">+D32*D33</f>
        <v>0</v>
      </c>
      <c r="E34" s="4">
        <f t="shared" si="37"/>
        <v>0</v>
      </c>
      <c r="F34" s="4">
        <f t="shared" si="37"/>
        <v>0</v>
      </c>
      <c r="G34" s="4">
        <f t="shared" si="37"/>
        <v>0</v>
      </c>
      <c r="H34" s="4">
        <f t="shared" si="37"/>
        <v>0</v>
      </c>
      <c r="I34" s="4">
        <f t="shared" si="37"/>
        <v>0</v>
      </c>
      <c r="J34" s="4">
        <f t="shared" si="37"/>
        <v>0</v>
      </c>
      <c r="K34" s="4">
        <f t="shared" si="37"/>
        <v>0</v>
      </c>
      <c r="L34" s="4">
        <f t="shared" si="37"/>
        <v>0</v>
      </c>
      <c r="M34" s="4">
        <f t="shared" si="37"/>
        <v>0</v>
      </c>
      <c r="N34" s="4">
        <f t="shared" si="37"/>
        <v>0</v>
      </c>
      <c r="O34" s="4">
        <f t="shared" si="37"/>
        <v>0</v>
      </c>
      <c r="P34" s="4">
        <f t="shared" si="37"/>
        <v>0</v>
      </c>
      <c r="Q34" s="4">
        <f t="shared" si="37"/>
        <v>0</v>
      </c>
      <c r="R34" s="4">
        <f t="shared" si="37"/>
        <v>0</v>
      </c>
      <c r="S34" s="4">
        <f t="shared" si="37"/>
        <v>0</v>
      </c>
      <c r="T34" s="4">
        <f t="shared" si="37"/>
        <v>0</v>
      </c>
      <c r="U34" s="4">
        <f t="shared" si="37"/>
        <v>0</v>
      </c>
      <c r="V34" s="4">
        <f t="shared" si="37"/>
        <v>0</v>
      </c>
      <c r="W34" s="4">
        <f t="shared" si="37"/>
        <v>0</v>
      </c>
      <c r="X34" s="4">
        <f t="shared" si="37"/>
        <v>0</v>
      </c>
      <c r="Y34" s="4">
        <f t="shared" si="37"/>
        <v>0</v>
      </c>
      <c r="Z34" s="4">
        <f t="shared" si="37"/>
        <v>0</v>
      </c>
      <c r="AA34" s="4">
        <f t="shared" si="37"/>
        <v>0</v>
      </c>
      <c r="AB34" s="4">
        <f t="shared" ref="AB34:AF34" si="38">+AB32*AB33</f>
        <v>0</v>
      </c>
      <c r="AC34" s="4">
        <f t="shared" si="38"/>
        <v>0</v>
      </c>
      <c r="AD34" s="4">
        <f t="shared" si="38"/>
        <v>0</v>
      </c>
      <c r="AE34" s="4">
        <f t="shared" si="38"/>
        <v>0</v>
      </c>
      <c r="AF34" s="4">
        <f t="shared" si="38"/>
        <v>0</v>
      </c>
    </row>
    <row r="35" spans="1:32">
      <c r="A35" s="6" t="s">
        <v>471</v>
      </c>
      <c r="C35" s="45">
        <f>+'Input Data'!$C$29</f>
        <v>4.6849999999999989E-2</v>
      </c>
      <c r="D35" s="45">
        <f>+'Input Data'!$C$29</f>
        <v>4.6849999999999989E-2</v>
      </c>
      <c r="E35" s="45">
        <f>+'Input Data'!$C$29</f>
        <v>4.6849999999999989E-2</v>
      </c>
      <c r="F35" s="45">
        <f>+'Input Data'!$C$29</f>
        <v>4.6849999999999989E-2</v>
      </c>
      <c r="G35" s="45">
        <f>+'Input Data'!$C$29</f>
        <v>4.6849999999999989E-2</v>
      </c>
      <c r="H35" s="45">
        <f>+'Input Data'!$C$29</f>
        <v>4.6849999999999989E-2</v>
      </c>
      <c r="I35" s="45">
        <f>+'Input Data'!$C$29</f>
        <v>4.6849999999999989E-2</v>
      </c>
      <c r="J35" s="45">
        <f>+'Input Data'!$C$29</f>
        <v>4.6849999999999989E-2</v>
      </c>
      <c r="K35" s="45">
        <f>+'Input Data'!$C$29</f>
        <v>4.6849999999999989E-2</v>
      </c>
      <c r="L35" s="45">
        <f>+'Input Data'!$C$29</f>
        <v>4.6849999999999989E-2</v>
      </c>
      <c r="M35" s="45">
        <f>+'Input Data'!$C$29</f>
        <v>4.6849999999999989E-2</v>
      </c>
      <c r="N35" s="45">
        <f>+'Input Data'!$C$29</f>
        <v>4.6849999999999989E-2</v>
      </c>
      <c r="O35" s="45">
        <f>+'Input Data'!$C$29</f>
        <v>4.6849999999999989E-2</v>
      </c>
      <c r="P35" s="45">
        <f>+'Input Data'!$C$29</f>
        <v>4.6849999999999989E-2</v>
      </c>
      <c r="Q35" s="45">
        <f>+'Input Data'!$C$29</f>
        <v>4.6849999999999989E-2</v>
      </c>
      <c r="R35" s="45">
        <f>+'Input Data'!$C$29</f>
        <v>4.6849999999999989E-2</v>
      </c>
      <c r="S35" s="45">
        <f>+'Input Data'!$C$29</f>
        <v>4.6849999999999989E-2</v>
      </c>
      <c r="T35" s="45">
        <f>+'Input Data'!$C$29</f>
        <v>4.6849999999999989E-2</v>
      </c>
      <c r="U35" s="45">
        <f>+'Input Data'!$C$29</f>
        <v>4.6849999999999989E-2</v>
      </c>
      <c r="V35" s="45">
        <f>+'Input Data'!$C$29</f>
        <v>4.6849999999999989E-2</v>
      </c>
      <c r="W35" s="45">
        <f>+'Input Data'!$C$29</f>
        <v>4.6849999999999989E-2</v>
      </c>
      <c r="X35" s="45">
        <f>+'Input Data'!$C$29</f>
        <v>4.6849999999999989E-2</v>
      </c>
      <c r="Y35" s="45">
        <f>+'Input Data'!$C$29</f>
        <v>4.6849999999999989E-2</v>
      </c>
      <c r="Z35" s="45">
        <f>+'Input Data'!$C$29</f>
        <v>4.6849999999999989E-2</v>
      </c>
      <c r="AA35" s="45">
        <f>+'Input Data'!$C$29</f>
        <v>4.6849999999999989E-2</v>
      </c>
      <c r="AB35" s="45">
        <f>+'Input Data'!$C$29</f>
        <v>4.6849999999999989E-2</v>
      </c>
      <c r="AC35" s="45">
        <f>+'Input Data'!$C$29</f>
        <v>4.6849999999999989E-2</v>
      </c>
      <c r="AD35" s="45">
        <f>+'Input Data'!$C$29</f>
        <v>4.6849999999999989E-2</v>
      </c>
      <c r="AE35" s="45">
        <f>+'Input Data'!$C$29</f>
        <v>4.6849999999999989E-2</v>
      </c>
      <c r="AF35" s="45">
        <f>+'Input Data'!$C$29</f>
        <v>4.6849999999999989E-2</v>
      </c>
    </row>
    <row r="36" spans="1:32" ht="15" thickBot="1">
      <c r="A36" s="6" t="s">
        <v>472</v>
      </c>
      <c r="C36" s="43">
        <f>+C34*C35</f>
        <v>0</v>
      </c>
      <c r="D36" s="43">
        <f t="shared" ref="D36:AA36" si="39">+D34*D35</f>
        <v>0</v>
      </c>
      <c r="E36" s="43">
        <f t="shared" si="39"/>
        <v>0</v>
      </c>
      <c r="F36" s="43">
        <f t="shared" si="39"/>
        <v>0</v>
      </c>
      <c r="G36" s="43">
        <f t="shared" si="39"/>
        <v>0</v>
      </c>
      <c r="H36" s="43">
        <f t="shared" si="39"/>
        <v>0</v>
      </c>
      <c r="I36" s="43">
        <f t="shared" si="39"/>
        <v>0</v>
      </c>
      <c r="J36" s="43">
        <f t="shared" si="39"/>
        <v>0</v>
      </c>
      <c r="K36" s="43">
        <f t="shared" si="39"/>
        <v>0</v>
      </c>
      <c r="L36" s="43">
        <f t="shared" si="39"/>
        <v>0</v>
      </c>
      <c r="M36" s="43">
        <f t="shared" si="39"/>
        <v>0</v>
      </c>
      <c r="N36" s="43">
        <f t="shared" si="39"/>
        <v>0</v>
      </c>
      <c r="O36" s="43">
        <f t="shared" si="39"/>
        <v>0</v>
      </c>
      <c r="P36" s="43">
        <f t="shared" si="39"/>
        <v>0</v>
      </c>
      <c r="Q36" s="43">
        <f t="shared" si="39"/>
        <v>0</v>
      </c>
      <c r="R36" s="43">
        <f t="shared" si="39"/>
        <v>0</v>
      </c>
      <c r="S36" s="43">
        <f t="shared" si="39"/>
        <v>0</v>
      </c>
      <c r="T36" s="43">
        <f t="shared" si="39"/>
        <v>0</v>
      </c>
      <c r="U36" s="43">
        <f t="shared" si="39"/>
        <v>0</v>
      </c>
      <c r="V36" s="43">
        <f t="shared" si="39"/>
        <v>0</v>
      </c>
      <c r="W36" s="43">
        <f t="shared" si="39"/>
        <v>0</v>
      </c>
      <c r="X36" s="43">
        <f t="shared" si="39"/>
        <v>0</v>
      </c>
      <c r="Y36" s="43">
        <f t="shared" si="39"/>
        <v>0</v>
      </c>
      <c r="Z36" s="43">
        <f t="shared" si="39"/>
        <v>0</v>
      </c>
      <c r="AA36" s="43">
        <f t="shared" si="39"/>
        <v>0</v>
      </c>
      <c r="AB36" s="43">
        <f t="shared" ref="AB36:AF36" si="40">+AB34*AB35</f>
        <v>0</v>
      </c>
      <c r="AC36" s="43">
        <f t="shared" si="40"/>
        <v>0</v>
      </c>
      <c r="AD36" s="43">
        <f t="shared" si="40"/>
        <v>0</v>
      </c>
      <c r="AE36" s="43">
        <f t="shared" si="40"/>
        <v>0</v>
      </c>
      <c r="AF36" s="43">
        <f t="shared" si="40"/>
        <v>0</v>
      </c>
    </row>
    <row r="38" spans="1:32">
      <c r="A38" s="48" t="s">
        <v>482</v>
      </c>
    </row>
    <row r="39" spans="1:32">
      <c r="A39" s="6" t="s">
        <v>289</v>
      </c>
      <c r="C39" s="4">
        <f>+C32</f>
        <v>0</v>
      </c>
      <c r="D39" s="4">
        <f t="shared" ref="D39:AA39" si="41">+D32</f>
        <v>0</v>
      </c>
      <c r="E39" s="4">
        <f t="shared" si="41"/>
        <v>0</v>
      </c>
      <c r="F39" s="4">
        <f t="shared" si="41"/>
        <v>0</v>
      </c>
      <c r="G39" s="4">
        <f t="shared" si="41"/>
        <v>0</v>
      </c>
      <c r="H39" s="4">
        <f t="shared" si="41"/>
        <v>0</v>
      </c>
      <c r="I39" s="4">
        <f t="shared" si="41"/>
        <v>0</v>
      </c>
      <c r="J39" s="4">
        <f t="shared" si="41"/>
        <v>0</v>
      </c>
      <c r="K39" s="4">
        <f t="shared" si="41"/>
        <v>0</v>
      </c>
      <c r="L39" s="4">
        <f t="shared" si="41"/>
        <v>0</v>
      </c>
      <c r="M39" s="4">
        <f t="shared" si="41"/>
        <v>0</v>
      </c>
      <c r="N39" s="4">
        <f t="shared" si="41"/>
        <v>0</v>
      </c>
      <c r="O39" s="4">
        <f t="shared" si="41"/>
        <v>0</v>
      </c>
      <c r="P39" s="4">
        <f t="shared" si="41"/>
        <v>0</v>
      </c>
      <c r="Q39" s="4">
        <f t="shared" si="41"/>
        <v>0</v>
      </c>
      <c r="R39" s="4">
        <f t="shared" si="41"/>
        <v>0</v>
      </c>
      <c r="S39" s="4">
        <f t="shared" si="41"/>
        <v>0</v>
      </c>
      <c r="T39" s="4">
        <f t="shared" si="41"/>
        <v>0</v>
      </c>
      <c r="U39" s="4">
        <f t="shared" si="41"/>
        <v>0</v>
      </c>
      <c r="V39" s="4">
        <f t="shared" si="41"/>
        <v>0</v>
      </c>
      <c r="W39" s="4">
        <f t="shared" si="41"/>
        <v>0</v>
      </c>
      <c r="X39" s="4">
        <f t="shared" si="41"/>
        <v>0</v>
      </c>
      <c r="Y39" s="4">
        <f t="shared" si="41"/>
        <v>0</v>
      </c>
      <c r="Z39" s="4">
        <f t="shared" si="41"/>
        <v>0</v>
      </c>
      <c r="AA39" s="4">
        <f t="shared" si="41"/>
        <v>0</v>
      </c>
      <c r="AB39" s="4">
        <f t="shared" ref="AB39:AF39" si="42">+AB32</f>
        <v>0</v>
      </c>
      <c r="AC39" s="4">
        <f t="shared" si="42"/>
        <v>0</v>
      </c>
      <c r="AD39" s="4">
        <f t="shared" si="42"/>
        <v>0</v>
      </c>
      <c r="AE39" s="4">
        <f t="shared" si="42"/>
        <v>0</v>
      </c>
      <c r="AF39" s="4">
        <f t="shared" si="42"/>
        <v>0</v>
      </c>
    </row>
    <row r="40" spans="1:32">
      <c r="A40" s="6" t="s">
        <v>153</v>
      </c>
      <c r="C40" s="253">
        <f>+Financials!C159</f>
        <v>0.54</v>
      </c>
      <c r="D40" s="253">
        <f>+Financials!D159</f>
        <v>0.54</v>
      </c>
      <c r="E40" s="253">
        <f>+Financials!E159</f>
        <v>0.54</v>
      </c>
      <c r="F40" s="253">
        <f>+Financials!F159</f>
        <v>0.54</v>
      </c>
      <c r="G40" s="253">
        <f>+Financials!G159</f>
        <v>0.54</v>
      </c>
      <c r="H40" s="253">
        <f>+Financials!H159</f>
        <v>0.54</v>
      </c>
      <c r="I40" s="253">
        <f>+Financials!I159</f>
        <v>0.54</v>
      </c>
      <c r="J40" s="253">
        <f>+Financials!J159</f>
        <v>0.54</v>
      </c>
      <c r="K40" s="253">
        <f>+Financials!K159</f>
        <v>0.54</v>
      </c>
      <c r="L40" s="253">
        <f>+Financials!L159</f>
        <v>0.54</v>
      </c>
      <c r="M40" s="253">
        <f>+Financials!M159</f>
        <v>0.54</v>
      </c>
      <c r="N40" s="253">
        <f>+Financials!N159</f>
        <v>0.54</v>
      </c>
      <c r="O40" s="253">
        <f>+Financials!O159</f>
        <v>0.54</v>
      </c>
      <c r="P40" s="253">
        <f>+Financials!P159</f>
        <v>0.54</v>
      </c>
      <c r="Q40" s="253">
        <f>+Financials!Q159</f>
        <v>0.54</v>
      </c>
      <c r="R40" s="253">
        <f>+Financials!R159</f>
        <v>0.54</v>
      </c>
      <c r="S40" s="253">
        <f>+Financials!S159</f>
        <v>0.54</v>
      </c>
      <c r="T40" s="253">
        <f>+Financials!T159</f>
        <v>0.54</v>
      </c>
      <c r="U40" s="253">
        <f>+Financials!U159</f>
        <v>0.54</v>
      </c>
      <c r="V40" s="253">
        <f>+Financials!V159</f>
        <v>0.54</v>
      </c>
      <c r="W40" s="253">
        <f>+Financials!W159</f>
        <v>0.54</v>
      </c>
      <c r="X40" s="253">
        <f>+Financials!X159</f>
        <v>0.54</v>
      </c>
      <c r="Y40" s="253">
        <f>+Financials!Y159</f>
        <v>0.54</v>
      </c>
      <c r="Z40" s="253">
        <f>+Financials!Z159</f>
        <v>0.54</v>
      </c>
      <c r="AA40" s="253">
        <f>+Financials!AA159</f>
        <v>0.54</v>
      </c>
      <c r="AB40" s="253">
        <f>+Financials!AB159</f>
        <v>0.54</v>
      </c>
      <c r="AC40" s="253">
        <f>+Financials!AC159</f>
        <v>0.54</v>
      </c>
      <c r="AD40" s="253">
        <f>+Financials!AD159</f>
        <v>0.54</v>
      </c>
      <c r="AE40" s="253">
        <f>+Financials!AE159</f>
        <v>0.54</v>
      </c>
      <c r="AF40" s="253">
        <f>+Financials!AF159</f>
        <v>0.54</v>
      </c>
    </row>
    <row r="41" spans="1:32">
      <c r="A41" s="6" t="s">
        <v>483</v>
      </c>
      <c r="C41" s="4">
        <f>+C39*C40</f>
        <v>0</v>
      </c>
      <c r="D41" s="4">
        <f t="shared" ref="D41:AA41" si="43">+D39*D40</f>
        <v>0</v>
      </c>
      <c r="E41" s="4">
        <f t="shared" si="43"/>
        <v>0</v>
      </c>
      <c r="F41" s="4">
        <f t="shared" si="43"/>
        <v>0</v>
      </c>
      <c r="G41" s="4">
        <f t="shared" si="43"/>
        <v>0</v>
      </c>
      <c r="H41" s="4">
        <f t="shared" si="43"/>
        <v>0</v>
      </c>
      <c r="I41" s="4">
        <f t="shared" si="43"/>
        <v>0</v>
      </c>
      <c r="J41" s="4">
        <f t="shared" si="43"/>
        <v>0</v>
      </c>
      <c r="K41" s="4">
        <f t="shared" si="43"/>
        <v>0</v>
      </c>
      <c r="L41" s="4">
        <f t="shared" si="43"/>
        <v>0</v>
      </c>
      <c r="M41" s="4">
        <f t="shared" si="43"/>
        <v>0</v>
      </c>
      <c r="N41" s="4">
        <f t="shared" si="43"/>
        <v>0</v>
      </c>
      <c r="O41" s="4">
        <f t="shared" si="43"/>
        <v>0</v>
      </c>
      <c r="P41" s="4">
        <f t="shared" si="43"/>
        <v>0</v>
      </c>
      <c r="Q41" s="4">
        <f t="shared" si="43"/>
        <v>0</v>
      </c>
      <c r="R41" s="4">
        <f t="shared" si="43"/>
        <v>0</v>
      </c>
      <c r="S41" s="4">
        <f t="shared" si="43"/>
        <v>0</v>
      </c>
      <c r="T41" s="4">
        <f t="shared" si="43"/>
        <v>0</v>
      </c>
      <c r="U41" s="4">
        <f t="shared" si="43"/>
        <v>0</v>
      </c>
      <c r="V41" s="4">
        <f t="shared" si="43"/>
        <v>0</v>
      </c>
      <c r="W41" s="4">
        <f t="shared" si="43"/>
        <v>0</v>
      </c>
      <c r="X41" s="4">
        <f t="shared" si="43"/>
        <v>0</v>
      </c>
      <c r="Y41" s="4">
        <f t="shared" si="43"/>
        <v>0</v>
      </c>
      <c r="Z41" s="4">
        <f t="shared" si="43"/>
        <v>0</v>
      </c>
      <c r="AA41" s="4">
        <f t="shared" si="43"/>
        <v>0</v>
      </c>
      <c r="AB41" s="4">
        <f t="shared" ref="AB41:AF41" si="44">+AB39*AB40</f>
        <v>0</v>
      </c>
      <c r="AC41" s="4">
        <f t="shared" si="44"/>
        <v>0</v>
      </c>
      <c r="AD41" s="4">
        <f t="shared" si="44"/>
        <v>0</v>
      </c>
      <c r="AE41" s="4">
        <f t="shared" si="44"/>
        <v>0</v>
      </c>
      <c r="AF41" s="4">
        <f t="shared" si="44"/>
        <v>0</v>
      </c>
    </row>
    <row r="42" spans="1:32">
      <c r="A42" s="6" t="s">
        <v>475</v>
      </c>
      <c r="C42" s="46">
        <f>+'Input Data'!$C$27</f>
        <v>0.10199999999999999</v>
      </c>
      <c r="D42" s="46">
        <f>+'Input Data'!$C$27</f>
        <v>0.10199999999999999</v>
      </c>
      <c r="E42" s="46">
        <f>+'Input Data'!$C$27</f>
        <v>0.10199999999999999</v>
      </c>
      <c r="F42" s="46">
        <f>+'Input Data'!$C$27</f>
        <v>0.10199999999999999</v>
      </c>
      <c r="G42" s="46">
        <f>+'Input Data'!$C$27</f>
        <v>0.10199999999999999</v>
      </c>
      <c r="H42" s="46">
        <f>+'Input Data'!$C$27</f>
        <v>0.10199999999999999</v>
      </c>
      <c r="I42" s="46">
        <f>+'Input Data'!$C$27</f>
        <v>0.10199999999999999</v>
      </c>
      <c r="J42" s="46">
        <f>+'Input Data'!$C$27</f>
        <v>0.10199999999999999</v>
      </c>
      <c r="K42" s="46">
        <f>+'Input Data'!$C$27</f>
        <v>0.10199999999999999</v>
      </c>
      <c r="L42" s="46">
        <f>+'Input Data'!$C$27</f>
        <v>0.10199999999999999</v>
      </c>
      <c r="M42" s="46">
        <f>+'Input Data'!$C$27</f>
        <v>0.10199999999999999</v>
      </c>
      <c r="N42" s="46">
        <f>+'Input Data'!$C$27</f>
        <v>0.10199999999999999</v>
      </c>
      <c r="O42" s="46">
        <f>+'Input Data'!$C$27</f>
        <v>0.10199999999999999</v>
      </c>
      <c r="P42" s="46">
        <f>+'Input Data'!$C$27</f>
        <v>0.10199999999999999</v>
      </c>
      <c r="Q42" s="46">
        <f>+'Input Data'!$C$27</f>
        <v>0.10199999999999999</v>
      </c>
      <c r="R42" s="46">
        <f>+'Input Data'!$C$27</f>
        <v>0.10199999999999999</v>
      </c>
      <c r="S42" s="46">
        <f>+'Input Data'!$C$27</f>
        <v>0.10199999999999999</v>
      </c>
      <c r="T42" s="46">
        <f>+'Input Data'!$C$27</f>
        <v>0.10199999999999999</v>
      </c>
      <c r="U42" s="46">
        <f>+'Input Data'!$C$27</f>
        <v>0.10199999999999999</v>
      </c>
      <c r="V42" s="46">
        <f>+'Input Data'!$C$27</f>
        <v>0.10199999999999999</v>
      </c>
      <c r="W42" s="46">
        <f>+'Input Data'!$C$27</f>
        <v>0.10199999999999999</v>
      </c>
      <c r="X42" s="46">
        <f>+'Input Data'!$C$27</f>
        <v>0.10199999999999999</v>
      </c>
      <c r="Y42" s="46">
        <f>+'Input Data'!$C$27</f>
        <v>0.10199999999999999</v>
      </c>
      <c r="Z42" s="46">
        <f>+'Input Data'!$C$27</f>
        <v>0.10199999999999999</v>
      </c>
      <c r="AA42" s="46">
        <f>+'Input Data'!$C$27</f>
        <v>0.10199999999999999</v>
      </c>
      <c r="AB42" s="46">
        <f>+'Input Data'!$C$27</f>
        <v>0.10199999999999999</v>
      </c>
      <c r="AC42" s="46">
        <f>+'Input Data'!$C$27</f>
        <v>0.10199999999999999</v>
      </c>
      <c r="AD42" s="46">
        <f>+'Input Data'!$C$27</f>
        <v>0.10199999999999999</v>
      </c>
      <c r="AE42" s="46">
        <f>+'Input Data'!$C$27</f>
        <v>0.10199999999999999</v>
      </c>
      <c r="AF42" s="46">
        <f>+'Input Data'!$C$27</f>
        <v>0.10199999999999999</v>
      </c>
    </row>
    <row r="43" spans="1:32">
      <c r="A43" s="6" t="s">
        <v>476</v>
      </c>
      <c r="C43" s="4">
        <f>+C41*C42</f>
        <v>0</v>
      </c>
      <c r="D43" s="4">
        <f t="shared" ref="D43:AA43" si="45">+D41*D42</f>
        <v>0</v>
      </c>
      <c r="E43" s="4">
        <f t="shared" si="45"/>
        <v>0</v>
      </c>
      <c r="F43" s="4">
        <f t="shared" si="45"/>
        <v>0</v>
      </c>
      <c r="G43" s="4">
        <f t="shared" si="45"/>
        <v>0</v>
      </c>
      <c r="H43" s="4">
        <f t="shared" si="45"/>
        <v>0</v>
      </c>
      <c r="I43" s="4">
        <f t="shared" si="45"/>
        <v>0</v>
      </c>
      <c r="J43" s="4">
        <f t="shared" si="45"/>
        <v>0</v>
      </c>
      <c r="K43" s="4">
        <f t="shared" si="45"/>
        <v>0</v>
      </c>
      <c r="L43" s="4">
        <f t="shared" si="45"/>
        <v>0</v>
      </c>
      <c r="M43" s="4">
        <f t="shared" si="45"/>
        <v>0</v>
      </c>
      <c r="N43" s="4">
        <f t="shared" si="45"/>
        <v>0</v>
      </c>
      <c r="O43" s="4">
        <f t="shared" si="45"/>
        <v>0</v>
      </c>
      <c r="P43" s="4">
        <f t="shared" si="45"/>
        <v>0</v>
      </c>
      <c r="Q43" s="4">
        <f t="shared" si="45"/>
        <v>0</v>
      </c>
      <c r="R43" s="4">
        <f t="shared" si="45"/>
        <v>0</v>
      </c>
      <c r="S43" s="4">
        <f t="shared" si="45"/>
        <v>0</v>
      </c>
      <c r="T43" s="4">
        <f t="shared" si="45"/>
        <v>0</v>
      </c>
      <c r="U43" s="4">
        <f t="shared" si="45"/>
        <v>0</v>
      </c>
      <c r="V43" s="4">
        <f t="shared" si="45"/>
        <v>0</v>
      </c>
      <c r="W43" s="4">
        <f t="shared" si="45"/>
        <v>0</v>
      </c>
      <c r="X43" s="4">
        <f t="shared" si="45"/>
        <v>0</v>
      </c>
      <c r="Y43" s="4">
        <f t="shared" si="45"/>
        <v>0</v>
      </c>
      <c r="Z43" s="4">
        <f t="shared" si="45"/>
        <v>0</v>
      </c>
      <c r="AA43" s="4">
        <f t="shared" si="45"/>
        <v>0</v>
      </c>
      <c r="AB43" s="4">
        <f t="shared" ref="AB43:AF43" si="46">+AB41*AB42</f>
        <v>0</v>
      </c>
      <c r="AC43" s="4">
        <f t="shared" si="46"/>
        <v>0</v>
      </c>
      <c r="AD43" s="4">
        <f t="shared" si="46"/>
        <v>0</v>
      </c>
      <c r="AE43" s="4">
        <f t="shared" si="46"/>
        <v>0</v>
      </c>
      <c r="AF43" s="4">
        <f t="shared" si="46"/>
        <v>0</v>
      </c>
    </row>
    <row r="44" spans="1:32">
      <c r="A44" s="6" t="s">
        <v>477</v>
      </c>
      <c r="C44" s="300">
        <f>+C28</f>
        <v>0.74655000000000005</v>
      </c>
      <c r="D44" s="300">
        <f t="shared" ref="D44:AA44" si="47">+D28</f>
        <v>0.74655000000000005</v>
      </c>
      <c r="E44" s="300">
        <f t="shared" si="47"/>
        <v>0.74655000000000005</v>
      </c>
      <c r="F44" s="300">
        <f t="shared" si="47"/>
        <v>0.74655000000000005</v>
      </c>
      <c r="G44" s="300">
        <f t="shared" si="47"/>
        <v>0.74655000000000005</v>
      </c>
      <c r="H44" s="300">
        <f t="shared" si="47"/>
        <v>0.74655000000000005</v>
      </c>
      <c r="I44" s="300">
        <f t="shared" si="47"/>
        <v>0.74655000000000005</v>
      </c>
      <c r="J44" s="300">
        <f t="shared" si="47"/>
        <v>0.74655000000000005</v>
      </c>
      <c r="K44" s="300">
        <f t="shared" si="47"/>
        <v>0.74655000000000005</v>
      </c>
      <c r="L44" s="300">
        <f t="shared" si="47"/>
        <v>0.74655000000000005</v>
      </c>
      <c r="M44" s="300">
        <f t="shared" si="47"/>
        <v>0.74655000000000005</v>
      </c>
      <c r="N44" s="300">
        <f t="shared" si="47"/>
        <v>0.74655000000000005</v>
      </c>
      <c r="O44" s="300">
        <f t="shared" si="47"/>
        <v>0.74655000000000005</v>
      </c>
      <c r="P44" s="300">
        <f t="shared" si="47"/>
        <v>0.74655000000000005</v>
      </c>
      <c r="Q44" s="300">
        <f t="shared" si="47"/>
        <v>0.74655000000000005</v>
      </c>
      <c r="R44" s="300">
        <f t="shared" si="47"/>
        <v>0.74655000000000005</v>
      </c>
      <c r="S44" s="300">
        <f t="shared" si="47"/>
        <v>0.74655000000000005</v>
      </c>
      <c r="T44" s="300">
        <f t="shared" si="47"/>
        <v>0.74655000000000005</v>
      </c>
      <c r="U44" s="300">
        <f t="shared" si="47"/>
        <v>0.74655000000000005</v>
      </c>
      <c r="V44" s="300">
        <f t="shared" si="47"/>
        <v>0.74655000000000005</v>
      </c>
      <c r="W44" s="300">
        <f t="shared" si="47"/>
        <v>0.74655000000000005</v>
      </c>
      <c r="X44" s="300">
        <f t="shared" si="47"/>
        <v>0.74655000000000005</v>
      </c>
      <c r="Y44" s="300">
        <f t="shared" si="47"/>
        <v>0.74655000000000005</v>
      </c>
      <c r="Z44" s="300">
        <f t="shared" si="47"/>
        <v>0.74655000000000005</v>
      </c>
      <c r="AA44" s="300">
        <f t="shared" si="47"/>
        <v>0.74655000000000005</v>
      </c>
      <c r="AB44" s="300">
        <f t="shared" ref="AB44:AF44" si="48">+AB28</f>
        <v>0.74655000000000005</v>
      </c>
      <c r="AC44" s="300">
        <f t="shared" si="48"/>
        <v>0.74655000000000005</v>
      </c>
      <c r="AD44" s="300">
        <f t="shared" si="48"/>
        <v>0.74655000000000005</v>
      </c>
      <c r="AE44" s="300">
        <f t="shared" si="48"/>
        <v>0.74655000000000005</v>
      </c>
      <c r="AF44" s="300">
        <f t="shared" si="48"/>
        <v>0.74655000000000005</v>
      </c>
    </row>
    <row r="45" spans="1:32" ht="15" thickBot="1">
      <c r="A45" s="6" t="s">
        <v>478</v>
      </c>
      <c r="C45" s="43">
        <f>+C43/C44</f>
        <v>0</v>
      </c>
      <c r="D45" s="43">
        <f t="shared" ref="D45:AA45" si="49">+D43/D44</f>
        <v>0</v>
      </c>
      <c r="E45" s="43">
        <f t="shared" si="49"/>
        <v>0</v>
      </c>
      <c r="F45" s="43">
        <f t="shared" si="49"/>
        <v>0</v>
      </c>
      <c r="G45" s="43">
        <f t="shared" si="49"/>
        <v>0</v>
      </c>
      <c r="H45" s="43">
        <f t="shared" si="49"/>
        <v>0</v>
      </c>
      <c r="I45" s="43">
        <f t="shared" si="49"/>
        <v>0</v>
      </c>
      <c r="J45" s="43">
        <f t="shared" si="49"/>
        <v>0</v>
      </c>
      <c r="K45" s="43">
        <f t="shared" si="49"/>
        <v>0</v>
      </c>
      <c r="L45" s="43">
        <f t="shared" si="49"/>
        <v>0</v>
      </c>
      <c r="M45" s="43">
        <f t="shared" si="49"/>
        <v>0</v>
      </c>
      <c r="N45" s="43">
        <f t="shared" si="49"/>
        <v>0</v>
      </c>
      <c r="O45" s="43">
        <f t="shared" si="49"/>
        <v>0</v>
      </c>
      <c r="P45" s="43">
        <f t="shared" si="49"/>
        <v>0</v>
      </c>
      <c r="Q45" s="43">
        <f t="shared" si="49"/>
        <v>0</v>
      </c>
      <c r="R45" s="43">
        <f t="shared" si="49"/>
        <v>0</v>
      </c>
      <c r="S45" s="43">
        <f t="shared" si="49"/>
        <v>0</v>
      </c>
      <c r="T45" s="43">
        <f t="shared" si="49"/>
        <v>0</v>
      </c>
      <c r="U45" s="43">
        <f t="shared" si="49"/>
        <v>0</v>
      </c>
      <c r="V45" s="43">
        <f t="shared" si="49"/>
        <v>0</v>
      </c>
      <c r="W45" s="43">
        <f t="shared" si="49"/>
        <v>0</v>
      </c>
      <c r="X45" s="43">
        <f t="shared" si="49"/>
        <v>0</v>
      </c>
      <c r="Y45" s="43">
        <f t="shared" si="49"/>
        <v>0</v>
      </c>
      <c r="Z45" s="43">
        <f t="shared" si="49"/>
        <v>0</v>
      </c>
      <c r="AA45" s="43">
        <f t="shared" si="49"/>
        <v>0</v>
      </c>
      <c r="AB45" s="43">
        <f t="shared" ref="AB45:AF45" si="50">+AB43/AB44</f>
        <v>0</v>
      </c>
      <c r="AC45" s="43">
        <f t="shared" si="50"/>
        <v>0</v>
      </c>
      <c r="AD45" s="43">
        <f t="shared" si="50"/>
        <v>0</v>
      </c>
      <c r="AE45" s="43">
        <f t="shared" si="50"/>
        <v>0</v>
      </c>
      <c r="AF45" s="43">
        <f t="shared" si="50"/>
        <v>0</v>
      </c>
    </row>
    <row r="47" spans="1:32">
      <c r="A47" s="48" t="s">
        <v>484</v>
      </c>
    </row>
    <row r="48" spans="1:32">
      <c r="A48" s="6" t="s">
        <v>485</v>
      </c>
      <c r="B48" s="366"/>
      <c r="C48" s="442">
        <f>IF('Input Data'!$C$57=TRUE,SUMIF('Input Data'!$B$111:$B$122,C$4,'Input Data'!$C$111:$C$122),0)</f>
        <v>0</v>
      </c>
      <c r="D48" s="442">
        <f>IF('Input Data'!$C$57=TRUE,SUMIF('Input Data'!$B$111:$B$122,D$4,'Input Data'!$C$111:$C$122),0)</f>
        <v>0</v>
      </c>
      <c r="E48" s="442">
        <f>IF('Input Data'!$C$57=TRUE,SUMIF('Input Data'!$B$111:$B$122,E$4,'Input Data'!$C$111:$C$122),0)</f>
        <v>0</v>
      </c>
      <c r="F48" s="442">
        <f>IF('Input Data'!$C$57=TRUE,SUMIF('Input Data'!$B$111:$B$122,F$4,'Input Data'!$C$111:$C$122),0)</f>
        <v>1</v>
      </c>
      <c r="G48" s="442">
        <f>IF('Input Data'!$C$57=TRUE,SUMIF('Input Data'!$B$111:$B$122,G$4,'Input Data'!$C$111:$C$122),0)</f>
        <v>1</v>
      </c>
      <c r="H48" s="442">
        <f>IF('Input Data'!$C$57=TRUE,SUMIF('Input Data'!$B$111:$B$122,H$4,'Input Data'!$C$111:$C$122),0)</f>
        <v>1</v>
      </c>
      <c r="I48" s="442">
        <f>IF('Input Data'!$C$57=TRUE,SUMIF('Input Data'!$B$111:$B$122,I$4,'Input Data'!$C$111:$C$122),0)</f>
        <v>0</v>
      </c>
      <c r="J48" s="442">
        <f>IF('Input Data'!$C$57=TRUE,SUMIF('Input Data'!$B$111:$B$122,J$4,'Input Data'!$C$111:$C$122),0)</f>
        <v>0</v>
      </c>
      <c r="K48" s="442">
        <f>IF('Input Data'!$C$57=TRUE,SUMIF('Input Data'!$B$111:$B$122,K$4,'Input Data'!$C$111:$C$122),0)</f>
        <v>1</v>
      </c>
      <c r="L48" s="442">
        <f>IF('Input Data'!$C$57=TRUE,SUMIF('Input Data'!$B$111:$B$122,L$4,'Input Data'!$C$111:$C$122),0)</f>
        <v>0</v>
      </c>
      <c r="M48" s="442">
        <f>IF('Input Data'!$C$57=TRUE,SUMIF('Input Data'!$B$111:$B$122,M$4,'Input Data'!$C$111:$C$122),0)</f>
        <v>0</v>
      </c>
      <c r="N48" s="442">
        <f>IF('Input Data'!$C$57=TRUE,SUMIF('Input Data'!$B$111:$B$122,N$4,'Input Data'!$C$111:$C$122),0)</f>
        <v>0</v>
      </c>
      <c r="O48" s="442">
        <f>IF('Input Data'!$C$57=TRUE,SUMIF('Input Data'!$B$111:$B$122,O$4,'Input Data'!$C$111:$C$122),0)</f>
        <v>0</v>
      </c>
      <c r="P48" s="442">
        <f>IF('Input Data'!$C$57=TRUE,SUMIF('Input Data'!$B$111:$B$122,P$4,'Input Data'!$C$111:$C$122),0)</f>
        <v>1</v>
      </c>
      <c r="Q48" s="442">
        <f>IF('Input Data'!$C$57=TRUE,SUMIF('Input Data'!$B$111:$B$122,Q$4,'Input Data'!$C$111:$C$122),0)</f>
        <v>0</v>
      </c>
      <c r="R48" s="442">
        <f>IF('Input Data'!$C$57=TRUE,SUMIF('Input Data'!$B$111:$B$122,R$4,'Input Data'!$C$111:$C$122),0)</f>
        <v>0</v>
      </c>
      <c r="S48" s="442">
        <f>IF('Input Data'!$C$57=TRUE,SUMIF('Input Data'!$B$111:$B$122,S$4,'Input Data'!$C$111:$C$122),0)</f>
        <v>0</v>
      </c>
      <c r="T48" s="442">
        <f>IF('Input Data'!$C$57=TRUE,SUMIF('Input Data'!$B$111:$B$122,T$4,'Input Data'!$C$111:$C$122),0)</f>
        <v>0</v>
      </c>
      <c r="U48" s="442">
        <f>IF('Input Data'!$C$57=TRUE,SUMIF('Input Data'!$B$111:$B$122,U$4,'Input Data'!$C$111:$C$122),0)</f>
        <v>1</v>
      </c>
      <c r="V48" s="442">
        <f>IF('Input Data'!$C$57=TRUE,SUMIF('Input Data'!$B$111:$B$122,V$4,'Input Data'!$C$111:$C$122),0)</f>
        <v>0</v>
      </c>
      <c r="W48" s="442">
        <f>IF('Input Data'!$C$57=TRUE,SUMIF('Input Data'!$B$111:$B$122,W$4,'Input Data'!$C$111:$C$122),0)</f>
        <v>0</v>
      </c>
      <c r="X48" s="442">
        <f>IF('Input Data'!$C$57=TRUE,SUMIF('Input Data'!$B$111:$B$122,X$4,'Input Data'!$C$111:$C$122),0)</f>
        <v>0</v>
      </c>
      <c r="Y48" s="442">
        <f>IF('Input Data'!$C$57=TRUE,SUMIF('Input Data'!$B$111:$B$122,Y$4,'Input Data'!$C$111:$C$122),0)</f>
        <v>0</v>
      </c>
      <c r="Z48" s="442">
        <f>IF('Input Data'!$C$57=TRUE,SUMIF('Input Data'!$B$111:$B$122,Z$4,'Input Data'!$C$111:$C$122),0)</f>
        <v>1</v>
      </c>
      <c r="AA48" s="442">
        <f>IF('Input Data'!$C$57=TRUE,SUMIF('Input Data'!$B$111:$B$122,AA$4,'Input Data'!$C$111:$C$122),0)</f>
        <v>0</v>
      </c>
      <c r="AB48" s="442">
        <f>IF('Input Data'!$C$57=TRUE,SUMIF('Input Data'!$B$111:$B$122,AB$4,'Input Data'!$C$111:$C$122),0)</f>
        <v>0</v>
      </c>
      <c r="AC48" s="442">
        <f>IF('Input Data'!$C$57=TRUE,SUMIF('Input Data'!$B$111:$B$122,AC$4,'Input Data'!$C$111:$C$122),0)</f>
        <v>0</v>
      </c>
      <c r="AD48" s="442">
        <f>IF('Input Data'!$C$57=TRUE,SUMIF('Input Data'!$B$111:$B$122,AD$4,'Input Data'!$C$111:$C$122),0)</f>
        <v>0</v>
      </c>
      <c r="AE48" s="442">
        <f>IF('Input Data'!$C$57=TRUE,SUMIF('Input Data'!$B$111:$B$122,AE$4,'Input Data'!$C$111:$C$122),0)</f>
        <v>1</v>
      </c>
      <c r="AF48" s="442">
        <f>IF('Input Data'!$C$57=TRUE,SUMIF('Input Data'!$B$111:$B$122,AF$4,'Input Data'!$C$111:$C$122),0)</f>
        <v>0</v>
      </c>
    </row>
    <row r="49" spans="1:32">
      <c r="A49" s="6" t="s">
        <v>194</v>
      </c>
      <c r="B49" s="189"/>
      <c r="C49" s="4">
        <f>IF(C48=1,C$15-C6,B49*(1+'Input Data'!$C$60))*IF(C$4&lt;='Input Data'!$C$15+'Input Data'!$C$19,1,0)</f>
        <v>0</v>
      </c>
      <c r="D49" s="4">
        <f>IF(D48=1,D$15-D6,C49*(1+'Input Data'!$C$60))*IF(D$4&lt;='Input Data'!$C$15+'Input Data'!$C$19,1,0)</f>
        <v>0</v>
      </c>
      <c r="E49" s="4">
        <f>IF(E48=1,E$15-E6,D49*(1+'Input Data'!$C$60))*IF(E$4&lt;='Input Data'!$C$15+'Input Data'!$C$19,1,0)</f>
        <v>0</v>
      </c>
      <c r="F49" s="4">
        <f>IF(F48=1,F$15-F6,E49*(1+'Input Data'!$C$60))*IF(F$4&lt;='Input Data'!$C$15+'Input Data'!$C$19,1,0)</f>
        <v>29676195.567923136</v>
      </c>
      <c r="G49" s="4">
        <f>IF(G48=1,G$15-G6,F49*(1+'Input Data'!$C$60))*IF(G$4&lt;='Input Data'!$C$15+'Input Data'!$C$19,1,0)</f>
        <v>38764581.231985211</v>
      </c>
      <c r="H49" s="4">
        <f>IF(H48=1,H$15-H6,G49*(1+'Input Data'!$C$60))*IF(H$4&lt;='Input Data'!$C$15+'Input Data'!$C$19,1,0)</f>
        <v>37807525.869597256</v>
      </c>
      <c r="I49" s="4">
        <f>IF(I48=1,I$15-I6,H49*(1+'Input Data'!$C$60))*IF(I$4&lt;='Input Data'!$C$15+'Input Data'!$C$19,1,0)</f>
        <v>38374638.757641211</v>
      </c>
      <c r="J49" s="4">
        <f>IF(J48=1,J$15-J6,I49*(1+'Input Data'!$C$60))*IF(J$4&lt;='Input Data'!$C$15+'Input Data'!$C$19,1,0)</f>
        <v>38950258.339005828</v>
      </c>
      <c r="K49" s="4">
        <f>IF(K48=1,K$15-K6,J49*(1+'Input Data'!$C$60))*IF(K$4&lt;='Input Data'!$C$15+'Input Data'!$C$19,1,0)</f>
        <v>35169103.092066064</v>
      </c>
      <c r="L49" s="4">
        <f>IF(L48=1,L$15-L6,K49*(1+'Input Data'!$C$60))*IF(L$4&lt;='Input Data'!$C$15+'Input Data'!$C$19,1,0)</f>
        <v>35696639.638447054</v>
      </c>
      <c r="M49" s="4">
        <f>IF(M48=1,M$15-M6,L49*(1+'Input Data'!$C$60))*IF(M$4&lt;='Input Data'!$C$15+'Input Data'!$C$19,1,0)</f>
        <v>36232089.233023755</v>
      </c>
      <c r="N49" s="4">
        <f>IF(N48=1,N$15-N6,M49*(1+'Input Data'!$C$60))*IF(N$4&lt;='Input Data'!$C$15+'Input Data'!$C$19,1,0)</f>
        <v>36775570.571519107</v>
      </c>
      <c r="O49" s="4">
        <f>IF(O48=1,O$15-O6,N49*(1+'Input Data'!$C$60))*IF(O$4&lt;='Input Data'!$C$15+'Input Data'!$C$19,1,0)</f>
        <v>37327204.130091891</v>
      </c>
      <c r="P49" s="4">
        <f>IF(P48=1,P$15-P6,O49*(1+'Input Data'!$C$60))*IF(P$4&lt;='Input Data'!$C$15+'Input Data'!$C$19,1,0)</f>
        <v>27506390.958757535</v>
      </c>
      <c r="Q49" s="4">
        <f>IF(Q48=1,Q$15-Q6,P49*(1+'Input Data'!$C$60))*IF(Q$4&lt;='Input Data'!$C$15+'Input Data'!$C$19,1,0)</f>
        <v>27918986.823138896</v>
      </c>
      <c r="R49" s="4">
        <f>IF(R48=1,R$15-R6,Q49*(1+'Input Data'!$C$60))*IF(R$4&lt;='Input Data'!$C$15+'Input Data'!$C$19,1,0)</f>
        <v>28337771.625485975</v>
      </c>
      <c r="S49" s="4">
        <f>IF(S48=1,S$15-S6,R49*(1+'Input Data'!$C$60))*IF(S$4&lt;='Input Data'!$C$15+'Input Data'!$C$19,1,0)</f>
        <v>28762838.199868262</v>
      </c>
      <c r="T49" s="4">
        <f>IF(T48=1,T$15-T6,S49*(1+'Input Data'!$C$60))*IF(T$4&lt;='Input Data'!$C$15+'Input Data'!$C$19,1,0)</f>
        <v>29194280.772866283</v>
      </c>
      <c r="U49" s="4">
        <f>IF(U48=1,U$15-U6,T49*(1+'Input Data'!$C$60))*IF(U$4&lt;='Input Data'!$C$15+'Input Data'!$C$19,1,0)</f>
        <v>25671667.19025936</v>
      </c>
      <c r="V49" s="4">
        <f>IF(V48=1,V$15-V6,U49*(1+'Input Data'!$C$60))*IF(V$4&lt;='Input Data'!$C$15+'Input Data'!$C$19,1,0)</f>
        <v>26056742.198113248</v>
      </c>
      <c r="W49" s="4">
        <f>IF(W48=1,W$15-W6,V49*(1+'Input Data'!$C$60))*IF(W$4&lt;='Input Data'!$C$15+'Input Data'!$C$19,1,0)</f>
        <v>26447593.331084944</v>
      </c>
      <c r="X49" s="4">
        <f>IF(X48=1,X$15-X6,W49*(1+'Input Data'!$C$60))*IF(X$4&lt;='Input Data'!$C$15+'Input Data'!$C$19,1,0)</f>
        <v>26844307.231051214</v>
      </c>
      <c r="Y49" s="4">
        <f>IF(Y48=1,Y$15-Y6,X49*(1+'Input Data'!$C$60))*IF(Y$4&lt;='Input Data'!$C$15+'Input Data'!$C$19,1,0)</f>
        <v>27246971.839516979</v>
      </c>
      <c r="Z49" s="4">
        <f>IF(Z48=1,Z$15-Z6,Y49*(1+'Input Data'!$C$60))*IF(Z$4&lt;='Input Data'!$C$15+'Input Data'!$C$19,1,0)</f>
        <v>23882365.262191609</v>
      </c>
      <c r="AA49" s="4">
        <f>IF(AA48=1,AA$15-AA6,Z49*(1+'Input Data'!$C$60))*IF(AA$4&lt;='Input Data'!$C$15+'Input Data'!$C$19,1,0)</f>
        <v>24240600.741124481</v>
      </c>
      <c r="AB49" s="4">
        <f>IF(AB48=1,AB$15-AB6,AA49*(1+'Input Data'!$C$60))*IF(AB$4&lt;='Input Data'!$C$15+'Input Data'!$C$19,1,0)</f>
        <v>24604209.752241347</v>
      </c>
      <c r="AC49" s="4">
        <f>IF(AC48=1,AC$15-AC6,AB49*(1+'Input Data'!$C$60))*IF(AC$4&lt;='Input Data'!$C$15+'Input Data'!$C$19,1,0)</f>
        <v>24973272.898524966</v>
      </c>
      <c r="AD49" s="4">
        <f>IF(AD48=1,AD$15-AD6,AC49*(1+'Input Data'!$C$60))*IF(AD$4&lt;='Input Data'!$C$15+'Input Data'!$C$19,1,0)</f>
        <v>25347871.992002837</v>
      </c>
      <c r="AE49" s="4">
        <f>IF(AE48=1,AE$15-AE6,AD49*(1+'Input Data'!$C$60))*IF(AE$4&lt;='Input Data'!$C$15+'Input Data'!$C$19,1,0)</f>
        <v>22136315.947675999</v>
      </c>
      <c r="AF49" s="4">
        <f>IF(AF48=1,AF$15-AF6,AE49*(1+'Input Data'!$C$60))*IF(AF$4&lt;='Input Data'!$C$15+'Input Data'!$C$19,1,0)</f>
        <v>22468360.686891139</v>
      </c>
    </row>
    <row r="50" spans="1:32">
      <c r="A50" s="6" t="s">
        <v>196</v>
      </c>
      <c r="C50" s="40">
        <f>IF(C48=1,-Financials!C9,B50*(1+$B$49))*IF(C$4&lt;='Input Data'!$C$15+'Input Data'!$C$19,1,0)</f>
        <v>0</v>
      </c>
      <c r="D50" s="40">
        <f>IF(D48=1,-Financials!D9,C50*(1+$B$49))*IF(D$4&lt;='Input Data'!$C$15+'Input Data'!$C$19,1,0)</f>
        <v>0</v>
      </c>
      <c r="E50" s="40">
        <f>IF(E48=1,-Financials!E9,D50*(1+$B$49))*IF(E$4&lt;='Input Data'!$C$15+'Input Data'!$C$19,1,0)</f>
        <v>0</v>
      </c>
      <c r="F50" s="40">
        <f>IF(F48=1,-Financials!F9,E50*(1+$B$49))*IF(F$4&lt;='Input Data'!$C$15+'Input Data'!$C$19,1,0)</f>
        <v>0</v>
      </c>
      <c r="G50" s="40">
        <f>IF(G48=1,-Financials!G9,F50*(1+$B$49))*IF(G$4&lt;='Input Data'!$C$15+'Input Data'!$C$19,1,0)</f>
        <v>0</v>
      </c>
      <c r="H50" s="40">
        <f>IF(H48=1,-Financials!H9,G50*(1+$B$49))*IF(H$4&lt;='Input Data'!$C$15+'Input Data'!$C$19,1,0)</f>
        <v>0</v>
      </c>
      <c r="I50" s="40">
        <f>IF(I48=1,-Financials!I9,H50*(1+$B$49))*IF(I$4&lt;='Input Data'!$C$15+'Input Data'!$C$19,1,0)</f>
        <v>0</v>
      </c>
      <c r="J50" s="40">
        <f>IF(J48=1,-Financials!J9,I50*(1+$B$49))*IF(J$4&lt;='Input Data'!$C$15+'Input Data'!$C$19,1,0)</f>
        <v>0</v>
      </c>
      <c r="K50" s="40">
        <f>IF(K48=1,-Financials!K9,J50*(1+$B$49))*IF(K$4&lt;='Input Data'!$C$15+'Input Data'!$C$19,1,0)</f>
        <v>0</v>
      </c>
      <c r="L50" s="40">
        <f>IF(L48=1,-Financials!L9,K50*(1+$B$49))*IF(L$4&lt;='Input Data'!$C$15+'Input Data'!$C$19,1,0)</f>
        <v>0</v>
      </c>
      <c r="M50" s="40">
        <f>IF(M48=1,-Financials!M9,L50*(1+$B$49))*IF(M$4&lt;='Input Data'!$C$15+'Input Data'!$C$19,1,0)</f>
        <v>0</v>
      </c>
      <c r="N50" s="40">
        <f>IF(N48=1,-Financials!N9,M50*(1+$B$49))*IF(N$4&lt;='Input Data'!$C$15+'Input Data'!$C$19,1,0)</f>
        <v>0</v>
      </c>
      <c r="O50" s="40">
        <f>IF(O48=1,-Financials!O9,N50*(1+$B$49))*IF(O$4&lt;='Input Data'!$C$15+'Input Data'!$C$19,1,0)</f>
        <v>0</v>
      </c>
      <c r="P50" s="40">
        <f>IF(P48=1,-Financials!P9,O50*(1+$B$49))*IF(P$4&lt;='Input Data'!$C$15+'Input Data'!$C$19,1,0)</f>
        <v>0</v>
      </c>
      <c r="Q50" s="40">
        <f>IF(Q48=1,-Financials!Q9,P50*(1+$B$49))*IF(Q$4&lt;='Input Data'!$C$15+'Input Data'!$C$19,1,0)</f>
        <v>0</v>
      </c>
      <c r="R50" s="40">
        <f>IF(R48=1,-Financials!R9,Q50*(1+$B$49))*IF(R$4&lt;='Input Data'!$C$15+'Input Data'!$C$19,1,0)</f>
        <v>0</v>
      </c>
      <c r="S50" s="40">
        <f>IF(S48=1,-Financials!S9,R50*(1+$B$49))*IF(S$4&lt;='Input Data'!$C$15+'Input Data'!$C$19,1,0)</f>
        <v>0</v>
      </c>
      <c r="T50" s="40">
        <f>IF(T48=1,-Financials!T9,S50*(1+$B$49))*IF(T$4&lt;='Input Data'!$C$15+'Input Data'!$C$19,1,0)</f>
        <v>0</v>
      </c>
      <c r="U50" s="40">
        <f>IF(U48=1,-Financials!U9,T50*(1+$B$49))*IF(U$4&lt;='Input Data'!$C$15+'Input Data'!$C$19,1,0)</f>
        <v>0</v>
      </c>
      <c r="V50" s="40">
        <f>IF(V48=1,-Financials!V9,U50*(1+$B$49))*IF(V$4&lt;='Input Data'!$C$15+'Input Data'!$C$19,1,0)</f>
        <v>0</v>
      </c>
      <c r="W50" s="40">
        <f>IF(W48=1,-Financials!W9,V50*(1+$B$49))*IF(W$4&lt;='Input Data'!$C$15+'Input Data'!$C$19,1,0)</f>
        <v>0</v>
      </c>
      <c r="X50" s="40">
        <f>IF(X48=1,-Financials!X9,W50*(1+$B$49))*IF(X$4&lt;='Input Data'!$C$15+'Input Data'!$C$19,1,0)</f>
        <v>0</v>
      </c>
      <c r="Y50" s="40">
        <f>IF(Y48=1,-Financials!Y9,X50*(1+$B$49))*IF(Y$4&lt;='Input Data'!$C$15+'Input Data'!$C$19,1,0)</f>
        <v>0</v>
      </c>
      <c r="Z50" s="40">
        <f>IF(Z48=1,-Financials!Z9,Y50*(1+$B$49))*IF(Z$4&lt;='Input Data'!$C$15+'Input Data'!$C$19,1,0)</f>
        <v>0</v>
      </c>
      <c r="AA50" s="40">
        <f>IF(AA48=1,-Financials!AA9,Z50*(1+$B$49))*IF(AA$4&lt;='Input Data'!$C$15+'Input Data'!$C$19,1,0)</f>
        <v>0</v>
      </c>
      <c r="AB50" s="40">
        <f>IF(AB48=1,-Financials!AB9,AA50*(1+$B$49))*IF(AB$4&lt;='Input Data'!$C$15+'Input Data'!$C$19,1,0)</f>
        <v>0</v>
      </c>
      <c r="AC50" s="40">
        <f>IF(AC48=1,-Financials!AC9,AB50*(1+$B$49))*IF(AC$4&lt;='Input Data'!$C$15+'Input Data'!$C$19,1,0)</f>
        <v>0</v>
      </c>
      <c r="AD50" s="40">
        <f>IF(AD48=1,-Financials!AD9,AC50*(1+$B$49))*IF(AD$4&lt;='Input Data'!$C$15+'Input Data'!$C$19,1,0)</f>
        <v>0</v>
      </c>
      <c r="AE50" s="40">
        <f>IF(AE48=1,-Financials!AE9,AD50*(1+$B$49))*IF(AE$4&lt;='Input Data'!$C$15+'Input Data'!$C$19,1,0)</f>
        <v>0</v>
      </c>
      <c r="AF50" s="40">
        <f>IF(AF48=1,-Financials!AF9,AE50*(1+$B$49))*IF(AF$4&lt;='Input Data'!$C$15+'Input Data'!$C$19,1,0)</f>
        <v>0</v>
      </c>
    </row>
    <row r="51" spans="1:32" ht="15" thickBot="1">
      <c r="A51" s="6" t="s">
        <v>486</v>
      </c>
      <c r="C51" s="44">
        <f t="shared" ref="C51:AA51" si="51">SUM(C49:C50)</f>
        <v>0</v>
      </c>
      <c r="D51" s="44">
        <f t="shared" si="51"/>
        <v>0</v>
      </c>
      <c r="E51" s="44">
        <f t="shared" si="51"/>
        <v>0</v>
      </c>
      <c r="F51" s="44">
        <f t="shared" si="51"/>
        <v>29676195.567923136</v>
      </c>
      <c r="G51" s="44">
        <f t="shared" si="51"/>
        <v>38764581.231985211</v>
      </c>
      <c r="H51" s="44">
        <f t="shared" si="51"/>
        <v>37807525.869597256</v>
      </c>
      <c r="I51" s="44">
        <f t="shared" si="51"/>
        <v>38374638.757641211</v>
      </c>
      <c r="J51" s="44">
        <f t="shared" si="51"/>
        <v>38950258.339005828</v>
      </c>
      <c r="K51" s="44">
        <f t="shared" si="51"/>
        <v>35169103.092066064</v>
      </c>
      <c r="L51" s="44">
        <f t="shared" si="51"/>
        <v>35696639.638447054</v>
      </c>
      <c r="M51" s="44">
        <f t="shared" si="51"/>
        <v>36232089.233023755</v>
      </c>
      <c r="N51" s="44">
        <f t="shared" si="51"/>
        <v>36775570.571519107</v>
      </c>
      <c r="O51" s="44">
        <f t="shared" si="51"/>
        <v>37327204.130091891</v>
      </c>
      <c r="P51" s="44">
        <f t="shared" si="51"/>
        <v>27506390.958757535</v>
      </c>
      <c r="Q51" s="44">
        <f t="shared" si="51"/>
        <v>27918986.823138896</v>
      </c>
      <c r="R51" s="44">
        <f t="shared" si="51"/>
        <v>28337771.625485975</v>
      </c>
      <c r="S51" s="44">
        <f t="shared" si="51"/>
        <v>28762838.199868262</v>
      </c>
      <c r="T51" s="44">
        <f t="shared" si="51"/>
        <v>29194280.772866283</v>
      </c>
      <c r="U51" s="44">
        <f t="shared" si="51"/>
        <v>25671667.19025936</v>
      </c>
      <c r="V51" s="44">
        <f t="shared" si="51"/>
        <v>26056742.198113248</v>
      </c>
      <c r="W51" s="44">
        <f t="shared" si="51"/>
        <v>26447593.331084944</v>
      </c>
      <c r="X51" s="44">
        <f t="shared" si="51"/>
        <v>26844307.231051214</v>
      </c>
      <c r="Y51" s="44">
        <f t="shared" si="51"/>
        <v>27246971.839516979</v>
      </c>
      <c r="Z51" s="44">
        <f t="shared" si="51"/>
        <v>23882365.262191609</v>
      </c>
      <c r="AA51" s="44">
        <f t="shared" si="51"/>
        <v>24240600.741124481</v>
      </c>
      <c r="AB51" s="44">
        <f t="shared" ref="AB51:AF51" si="52">SUM(AB49:AB50)</f>
        <v>24604209.752241347</v>
      </c>
      <c r="AC51" s="44">
        <f t="shared" si="52"/>
        <v>24973272.898524966</v>
      </c>
      <c r="AD51" s="44">
        <f t="shared" si="52"/>
        <v>25347871.992002837</v>
      </c>
      <c r="AE51" s="44">
        <f t="shared" si="52"/>
        <v>22136315.947675999</v>
      </c>
      <c r="AF51" s="44">
        <f t="shared" si="52"/>
        <v>22468360.686891139</v>
      </c>
    </row>
  </sheetData>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E3D715E2-7837-4F61-A269-EF62B94F4A76}">
            <xm:f>Financials!$D$175&gt;0</xm:f>
            <x14:dxf>
              <fill>
                <patternFill>
                  <bgColor rgb="FFFF0000"/>
                </patternFill>
              </fill>
            </x14:dxf>
          </x14:cfRule>
          <x14:cfRule type="expression" priority="2" id="{00000000-000E-0000-0D00-000001000000}">
            <xm:f>Financials!$D$175=0</xm:f>
            <x14:dxf>
              <font>
                <color theme="1"/>
              </font>
              <fill>
                <patternFill patternType="solid">
                  <bgColor rgb="FF92D050"/>
                </patternFill>
              </fill>
            </x14:dxf>
          </x14:cfRule>
          <xm:sqref>G1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sheetPr>
  <dimension ref="A1"/>
  <sheetViews>
    <sheetView workbookViewId="0">
      <selection activeCell="B6" sqref="B6"/>
    </sheetView>
  </sheetViews>
  <sheetFormatPr defaultRowHeight="15"/>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pageSetUpPr fitToPage="1"/>
  </sheetPr>
  <dimension ref="A1:R122"/>
  <sheetViews>
    <sheetView showGridLines="0" zoomScaleNormal="100" workbookViewId="0">
      <pane ySplit="7" topLeftCell="A58" activePane="bottomLeft" state="frozen"/>
      <selection activeCell="B6" sqref="B6"/>
      <selection pane="bottomLeft" activeCell="T38" sqref="T38"/>
    </sheetView>
  </sheetViews>
  <sheetFormatPr defaultColWidth="8.90625" defaultRowHeight="14.4"/>
  <cols>
    <col min="1" max="1" width="4.453125" style="2" customWidth="1"/>
    <col min="2" max="2" width="44.90625" style="2" bestFit="1" customWidth="1"/>
    <col min="3" max="16" width="10.90625" style="2" customWidth="1"/>
    <col min="17" max="17" width="2.90625" style="2" customWidth="1"/>
    <col min="18" max="16384" width="8.90625" style="2"/>
  </cols>
  <sheetData>
    <row r="1" spans="1:17" ht="15.6">
      <c r="A1" s="196" t="s">
        <v>0</v>
      </c>
      <c r="C1" s="565" t="str">
        <f>IF(Financials!D175=0,"All checks OK","Press D&amp;E Macro")</f>
        <v>All checks OK</v>
      </c>
    </row>
    <row r="2" spans="1:17" ht="16.2" thickBot="1">
      <c r="A2" s="197" t="str">
        <f>+C9&amp;" - Input Data"</f>
        <v>Project Tampa - Midtown (Updated Costs Sept 2022) - Input Data</v>
      </c>
      <c r="B2" s="195"/>
      <c r="C2" s="195"/>
      <c r="D2" s="195"/>
      <c r="E2" s="195"/>
      <c r="F2" s="195"/>
      <c r="G2" s="195"/>
      <c r="H2" s="195"/>
      <c r="I2" s="195"/>
      <c r="J2" s="195"/>
      <c r="K2" s="195"/>
      <c r="L2" s="195"/>
      <c r="M2" s="195"/>
      <c r="N2" s="195"/>
      <c r="O2" s="195"/>
      <c r="P2" s="195"/>
      <c r="Q2" s="195"/>
    </row>
    <row r="3" spans="1:17" ht="8.1" customHeight="1">
      <c r="A3" s="552"/>
      <c r="B3" s="11"/>
      <c r="C3" s="11"/>
      <c r="D3" s="11"/>
      <c r="E3" s="11"/>
      <c r="F3" s="11"/>
      <c r="G3" s="11"/>
      <c r="H3" s="11"/>
      <c r="I3" s="11"/>
      <c r="J3" s="11"/>
      <c r="K3" s="11"/>
      <c r="L3" s="11"/>
      <c r="M3" s="11"/>
      <c r="N3" s="11"/>
      <c r="O3" s="11"/>
      <c r="P3" s="11"/>
      <c r="Q3" s="11"/>
    </row>
    <row r="4" spans="1:17" ht="24.9" customHeight="1">
      <c r="A4" s="11"/>
      <c r="B4" s="551"/>
      <c r="C4" s="11"/>
      <c r="D4" s="367" t="s">
        <v>42</v>
      </c>
      <c r="E4" s="368"/>
      <c r="F4" s="368"/>
      <c r="G4" s="11"/>
      <c r="H4" s="235" t="s">
        <v>43</v>
      </c>
      <c r="I4" s="202"/>
      <c r="J4" s="202"/>
      <c r="K4" s="11"/>
      <c r="L4" s="11"/>
      <c r="M4" s="11"/>
      <c r="N4" s="11"/>
      <c r="O4" s="11"/>
      <c r="P4" s="11"/>
      <c r="Q4" s="563"/>
    </row>
    <row r="5" spans="1:17">
      <c r="A5" s="561" t="s">
        <v>44</v>
      </c>
      <c r="B5" s="559"/>
      <c r="C5" s="11"/>
      <c r="D5" s="11"/>
      <c r="E5" s="11"/>
      <c r="F5" s="11"/>
      <c r="G5" s="553"/>
      <c r="H5" s="554"/>
      <c r="I5" s="11"/>
      <c r="J5" s="555"/>
      <c r="K5" s="556"/>
      <c r="L5" s="11"/>
      <c r="M5" s="11"/>
      <c r="N5" s="11"/>
      <c r="O5" s="11"/>
      <c r="P5" s="11"/>
      <c r="Q5" s="563"/>
    </row>
    <row r="6" spans="1:17">
      <c r="A6" s="562" t="s">
        <v>45</v>
      </c>
      <c r="B6" s="560"/>
      <c r="C6" s="11"/>
      <c r="D6" s="249" t="s">
        <v>46</v>
      </c>
      <c r="E6" s="250"/>
      <c r="F6" s="250"/>
      <c r="G6" s="11"/>
      <c r="H6" s="251" t="s">
        <v>47</v>
      </c>
      <c r="I6" s="250"/>
      <c r="J6" s="250"/>
      <c r="K6" s="11"/>
      <c r="L6" s="11"/>
      <c r="M6" s="11"/>
      <c r="N6" s="11"/>
      <c r="O6" s="11"/>
      <c r="P6" s="11"/>
      <c r="Q6" s="563"/>
    </row>
    <row r="7" spans="1:17" ht="8.1" customHeight="1" thickBot="1">
      <c r="A7" s="558"/>
      <c r="B7" s="557"/>
      <c r="C7" s="557"/>
      <c r="D7" s="557"/>
      <c r="E7" s="557"/>
      <c r="F7" s="557"/>
      <c r="G7" s="557"/>
      <c r="H7" s="557"/>
      <c r="I7" s="557"/>
      <c r="J7" s="557"/>
      <c r="K7" s="557"/>
      <c r="L7" s="557"/>
      <c r="M7" s="557"/>
      <c r="N7" s="557"/>
      <c r="O7" s="557"/>
      <c r="P7" s="557"/>
      <c r="Q7" s="557"/>
    </row>
    <row r="8" spans="1:17">
      <c r="B8" s="203"/>
      <c r="C8" s="204"/>
      <c r="D8" s="204"/>
      <c r="E8" s="201"/>
      <c r="G8" s="201"/>
      <c r="H8" s="201"/>
      <c r="J8" s="201"/>
      <c r="K8" s="201"/>
      <c r="L8" s="201"/>
      <c r="M8" s="201"/>
      <c r="N8" s="201"/>
      <c r="O8" s="201"/>
    </row>
    <row r="9" spans="1:17" ht="15" customHeight="1">
      <c r="A9" s="398" t="s">
        <v>48</v>
      </c>
      <c r="B9" s="205" t="s">
        <v>49</v>
      </c>
      <c r="C9" s="373" t="s">
        <v>50</v>
      </c>
      <c r="D9" s="374"/>
      <c r="E9" s="374"/>
      <c r="F9" s="374"/>
      <c r="G9" s="375"/>
    </row>
    <row r="10" spans="1:17" ht="15" customHeight="1">
      <c r="A10" s="398"/>
      <c r="B10" s="205"/>
      <c r="C10" s="373" t="s">
        <v>51</v>
      </c>
      <c r="D10" s="374"/>
      <c r="E10" s="374"/>
      <c r="F10" s="374"/>
      <c r="G10" s="375"/>
    </row>
    <row r="11" spans="1:17" ht="15" customHeight="1">
      <c r="A11" s="398"/>
      <c r="B11" s="205"/>
      <c r="C11" s="373" t="s">
        <v>52</v>
      </c>
      <c r="D11" s="374"/>
      <c r="E11" s="374"/>
      <c r="F11" s="374"/>
      <c r="G11" s="375"/>
    </row>
    <row r="12" spans="1:17" ht="15" customHeight="1">
      <c r="A12" s="6"/>
      <c r="G12" s="206"/>
    </row>
    <row r="13" spans="1:17" ht="15" customHeight="1">
      <c r="A13" s="398" t="s">
        <v>53</v>
      </c>
      <c r="B13" s="205" t="s">
        <v>54</v>
      </c>
      <c r="C13" s="376" t="s">
        <v>55</v>
      </c>
    </row>
    <row r="14" spans="1:17" ht="15" customHeight="1">
      <c r="A14" s="6"/>
      <c r="C14" s="207"/>
    </row>
    <row r="15" spans="1:17" ht="15" customHeight="1">
      <c r="A15" s="50" t="s">
        <v>56</v>
      </c>
      <c r="B15" s="1" t="s">
        <v>57</v>
      </c>
      <c r="C15" s="369">
        <v>2022</v>
      </c>
      <c r="E15" s="1"/>
      <c r="F15" s="5"/>
      <c r="G15" s="5"/>
    </row>
    <row r="16" spans="1:17" ht="15" customHeight="1">
      <c r="A16" s="6"/>
      <c r="F16" s="5"/>
      <c r="G16" s="5"/>
    </row>
    <row r="17" spans="1:12" ht="15" customHeight="1">
      <c r="A17" s="50" t="s">
        <v>58</v>
      </c>
      <c r="B17" s="1" t="s">
        <v>59</v>
      </c>
      <c r="C17" s="369">
        <v>2022</v>
      </c>
      <c r="F17" s="5"/>
      <c r="G17" s="5"/>
    </row>
    <row r="18" spans="1:12" ht="15" customHeight="1">
      <c r="A18" s="6"/>
      <c r="F18" s="5"/>
      <c r="G18" s="5"/>
    </row>
    <row r="19" spans="1:12">
      <c r="A19" s="50" t="s">
        <v>60</v>
      </c>
      <c r="B19" s="1" t="s">
        <v>61</v>
      </c>
      <c r="C19" s="304">
        <f>+G19-1</f>
        <v>29</v>
      </c>
      <c r="D19" s="219"/>
      <c r="E19" s="305" t="s">
        <v>62</v>
      </c>
      <c r="F19" s="5"/>
      <c r="G19" s="370">
        <v>30</v>
      </c>
    </row>
    <row r="20" spans="1:12" ht="15" customHeight="1">
      <c r="A20" s="50"/>
      <c r="B20" s="1"/>
      <c r="C20" s="208"/>
      <c r="D20" s="5"/>
      <c r="E20" s="5"/>
      <c r="F20" s="5"/>
      <c r="G20" s="5"/>
    </row>
    <row r="21" spans="1:12" ht="15" customHeight="1">
      <c r="A21" s="50" t="s">
        <v>63</v>
      </c>
      <c r="B21" s="1" t="s">
        <v>64</v>
      </c>
      <c r="C21" s="248" t="str">
        <f>C15&amp;" - "&amp;C15+C19</f>
        <v>2022 - 2051</v>
      </c>
      <c r="D21" s="5"/>
      <c r="E21" s="5"/>
      <c r="F21" s="5"/>
      <c r="G21" s="5"/>
    </row>
    <row r="22" spans="1:12" ht="15" customHeight="1">
      <c r="A22" s="50"/>
      <c r="B22" s="1"/>
      <c r="C22" s="208"/>
      <c r="D22" s="5"/>
      <c r="E22" s="5"/>
      <c r="F22" s="5"/>
      <c r="G22" s="5"/>
    </row>
    <row r="23" spans="1:12">
      <c r="A23" s="50" t="s">
        <v>65</v>
      </c>
      <c r="B23" s="1" t="s">
        <v>66</v>
      </c>
      <c r="D23" s="36"/>
      <c r="F23" s="209"/>
    </row>
    <row r="24" spans="1:12">
      <c r="A24" s="6"/>
      <c r="B24" s="6" t="s">
        <v>67</v>
      </c>
      <c r="C24" s="210">
        <f>D106*D87+E106*E87+F106*F87</f>
        <v>0.54</v>
      </c>
      <c r="E24" s="209"/>
    </row>
    <row r="25" spans="1:12">
      <c r="A25" s="6"/>
      <c r="B25" s="6" t="s">
        <v>68</v>
      </c>
      <c r="C25" s="210">
        <f>1-C24</f>
        <v>0.45999999999999996</v>
      </c>
      <c r="E25" s="209"/>
    </row>
    <row r="26" spans="1:12" ht="15" customHeight="1">
      <c r="A26" s="6"/>
      <c r="B26" s="6"/>
      <c r="C26" s="211"/>
      <c r="E26" s="209"/>
    </row>
    <row r="27" spans="1:12">
      <c r="A27" s="50" t="s">
        <v>69</v>
      </c>
      <c r="B27" s="1" t="s">
        <v>70</v>
      </c>
      <c r="C27" s="212">
        <f>+D104*D87+E104*E87+F104*F87</f>
        <v>0.10199999999999999</v>
      </c>
      <c r="E27" s="209"/>
    </row>
    <row r="28" spans="1:12" ht="15" customHeight="1">
      <c r="A28" s="50"/>
      <c r="B28" s="1"/>
      <c r="C28" s="185"/>
      <c r="E28" s="209"/>
    </row>
    <row r="29" spans="1:12">
      <c r="A29" s="50" t="s">
        <v>71</v>
      </c>
      <c r="B29" s="1" t="s">
        <v>72</v>
      </c>
      <c r="C29" s="212">
        <f>IF(G29="y",AVERAGEIF($H$90:$H$100,"&gt;0",D90:D100)*D87+AVERAGEIF($H$90:$H$100,"&gt;0",E90:E100)*E87+AVERAGEIF($H$90:$H$100,"&gt;0",F90:F100)*F87,(SUMIF($C$90:$C$100,$C$15,$D$90:$D$100)*D87+SUMIF($C$90:$C$100,$C$15,$E$90:$E$100)*E87+SUMIF($C$90:$C$100,$C$15,$F$90:$F$100)*F87))</f>
        <v>4.6849999999999989E-2</v>
      </c>
      <c r="E29" s="401" t="s">
        <v>73</v>
      </c>
      <c r="G29" s="370" t="s">
        <v>74</v>
      </c>
      <c r="I29" s="1" t="s">
        <v>75</v>
      </c>
      <c r="L29" s="370">
        <v>5</v>
      </c>
    </row>
    <row r="30" spans="1:12" ht="15" customHeight="1">
      <c r="A30" s="50"/>
      <c r="B30" s="1"/>
      <c r="C30" s="185"/>
      <c r="E30" s="209"/>
      <c r="K30" s="5"/>
    </row>
    <row r="31" spans="1:12">
      <c r="A31" s="399" t="s">
        <v>76</v>
      </c>
      <c r="B31" s="7" t="s">
        <v>77</v>
      </c>
      <c r="C31" s="213"/>
      <c r="E31" s="209"/>
    </row>
    <row r="32" spans="1:12">
      <c r="A32" s="8"/>
      <c r="B32" s="8" t="s">
        <v>78</v>
      </c>
      <c r="C32" s="214">
        <f>IF(G32="N",0,0.017)</f>
        <v>1.7000000000000001E-2</v>
      </c>
      <c r="E32" s="401" t="s">
        <v>79</v>
      </c>
      <c r="G32" s="370" t="s">
        <v>74</v>
      </c>
    </row>
    <row r="33" spans="1:18">
      <c r="A33" s="8"/>
      <c r="B33" s="8" t="s">
        <v>80</v>
      </c>
      <c r="C33" s="210">
        <f>IF(G33="y",0.2,D108*D87+E108*E87+F108*F87)</f>
        <v>0.6</v>
      </c>
      <c r="D33" s="215"/>
      <c r="E33" s="401" t="s">
        <v>81</v>
      </c>
      <c r="G33" s="370" t="s">
        <v>82</v>
      </c>
    </row>
    <row r="34" spans="1:18">
      <c r="A34" s="397"/>
      <c r="B34" s="8"/>
      <c r="C34" s="297"/>
      <c r="D34" s="297"/>
      <c r="E34" s="297"/>
      <c r="F34" s="297"/>
      <c r="G34" s="259"/>
      <c r="H34" s="259"/>
      <c r="I34" s="259"/>
      <c r="J34" s="259"/>
      <c r="K34" s="259"/>
      <c r="L34" s="259"/>
      <c r="M34" s="259"/>
      <c r="N34" s="259"/>
      <c r="O34" s="259"/>
      <c r="P34" s="259"/>
    </row>
    <row r="35" spans="1:18">
      <c r="A35" s="399" t="s">
        <v>83</v>
      </c>
      <c r="B35" s="7" t="s">
        <v>84</v>
      </c>
      <c r="C35" s="363" t="s">
        <v>85</v>
      </c>
      <c r="D35" s="364"/>
      <c r="E35" s="7"/>
      <c r="F35" s="7"/>
      <c r="G35" s="7"/>
      <c r="H35" s="7"/>
      <c r="I35" s="7"/>
      <c r="J35" s="7"/>
      <c r="K35" s="7"/>
      <c r="L35" s="7"/>
      <c r="M35" s="7"/>
      <c r="N35" s="7"/>
      <c r="O35" s="7"/>
      <c r="P35" s="7"/>
    </row>
    <row r="36" spans="1:18">
      <c r="A36" s="399"/>
      <c r="B36" s="7"/>
      <c r="C36" s="7"/>
      <c r="D36" s="7"/>
      <c r="E36" s="7"/>
      <c r="F36" s="7"/>
      <c r="G36" s="7"/>
      <c r="H36" s="7"/>
      <c r="I36" s="7"/>
      <c r="J36" s="7"/>
      <c r="K36" s="7"/>
      <c r="L36" s="7"/>
      <c r="M36" s="7"/>
      <c r="N36" s="7"/>
      <c r="O36" s="7"/>
      <c r="P36" s="7"/>
      <c r="Q36" s="7"/>
    </row>
    <row r="37" spans="1:18">
      <c r="A37" s="50" t="s">
        <v>86</v>
      </c>
      <c r="B37" s="216" t="s">
        <v>87</v>
      </c>
      <c r="C37" s="229">
        <f>+C15</f>
        <v>2022</v>
      </c>
      <c r="D37" s="229">
        <f>+C37+1</f>
        <v>2023</v>
      </c>
      <c r="E37" s="229">
        <f t="shared" ref="E37:M37" si="0">+D37+1</f>
        <v>2024</v>
      </c>
      <c r="F37" s="229">
        <f t="shared" si="0"/>
        <v>2025</v>
      </c>
      <c r="G37" s="229">
        <f t="shared" si="0"/>
        <v>2026</v>
      </c>
      <c r="H37" s="229">
        <f t="shared" si="0"/>
        <v>2027</v>
      </c>
      <c r="I37" s="229">
        <f t="shared" si="0"/>
        <v>2028</v>
      </c>
      <c r="J37" s="229">
        <f t="shared" si="0"/>
        <v>2029</v>
      </c>
      <c r="K37" s="229">
        <f t="shared" si="0"/>
        <v>2030</v>
      </c>
      <c r="L37" s="229">
        <f t="shared" si="0"/>
        <v>2031</v>
      </c>
      <c r="M37" s="229">
        <f t="shared" si="0"/>
        <v>2032</v>
      </c>
      <c r="N37" s="7"/>
      <c r="O37" s="7"/>
    </row>
    <row r="38" spans="1:18">
      <c r="A38" s="6"/>
      <c r="B38" s="6" t="s">
        <v>88</v>
      </c>
      <c r="C38" s="218">
        <v>0</v>
      </c>
      <c r="D38" s="218">
        <f>+C38</f>
        <v>0</v>
      </c>
      <c r="E38" s="218">
        <f t="shared" ref="E38:M38" si="1">+D38</f>
        <v>0</v>
      </c>
      <c r="F38" s="218">
        <f t="shared" si="1"/>
        <v>0</v>
      </c>
      <c r="G38" s="218">
        <f t="shared" si="1"/>
        <v>0</v>
      </c>
      <c r="H38" s="218">
        <f t="shared" si="1"/>
        <v>0</v>
      </c>
      <c r="I38" s="218">
        <f t="shared" si="1"/>
        <v>0</v>
      </c>
      <c r="J38" s="218">
        <f t="shared" si="1"/>
        <v>0</v>
      </c>
      <c r="K38" s="218">
        <f t="shared" si="1"/>
        <v>0</v>
      </c>
      <c r="L38" s="218">
        <f t="shared" si="1"/>
        <v>0</v>
      </c>
      <c r="M38" s="218">
        <f t="shared" si="1"/>
        <v>0</v>
      </c>
      <c r="N38" s="7"/>
      <c r="O38" s="7"/>
    </row>
    <row r="39" spans="1:18">
      <c r="A39" s="288"/>
      <c r="B39" s="217"/>
      <c r="C39" s="220"/>
      <c r="N39" s="7"/>
      <c r="O39" s="7"/>
    </row>
    <row r="40" spans="1:18">
      <c r="A40" s="50" t="s">
        <v>89</v>
      </c>
      <c r="B40" s="216" t="s">
        <v>90</v>
      </c>
      <c r="C40" s="229">
        <f>+C15</f>
        <v>2022</v>
      </c>
      <c r="D40" s="229">
        <f t="shared" ref="D40:I40" si="2">+C40+1</f>
        <v>2023</v>
      </c>
      <c r="E40" s="229">
        <f t="shared" si="2"/>
        <v>2024</v>
      </c>
      <c r="F40" s="229">
        <f t="shared" si="2"/>
        <v>2025</v>
      </c>
      <c r="G40" s="229">
        <f t="shared" si="2"/>
        <v>2026</v>
      </c>
      <c r="H40" s="229">
        <f t="shared" si="2"/>
        <v>2027</v>
      </c>
      <c r="I40" s="229">
        <f t="shared" si="2"/>
        <v>2028</v>
      </c>
      <c r="J40" s="229">
        <f t="shared" ref="J40" si="3">+I40+1</f>
        <v>2029</v>
      </c>
      <c r="K40" s="229">
        <f t="shared" ref="K40" si="4">+J40+1</f>
        <v>2030</v>
      </c>
      <c r="L40" s="229">
        <f t="shared" ref="L40" si="5">+K40+1</f>
        <v>2031</v>
      </c>
      <c r="M40" s="229">
        <f t="shared" ref="M40" si="6">+L40+1</f>
        <v>2032</v>
      </c>
      <c r="N40" s="7"/>
      <c r="O40" s="7"/>
    </row>
    <row r="41" spans="1:18">
      <c r="A41" s="8"/>
      <c r="B41" s="8" t="s">
        <v>91</v>
      </c>
      <c r="C41" s="218">
        <f>IF(C40&lt;2020,0.3,IF(C40=2020,0.26,IF(C40=2021,0.22,0.1)))</f>
        <v>0.1</v>
      </c>
      <c r="D41" s="218">
        <f t="shared" ref="D41:M41" si="7">IF(D40&lt;2020,0.3,IF(D40=2020,0.26,IF(D40=2021,0.22,0.1)))</f>
        <v>0.1</v>
      </c>
      <c r="E41" s="218">
        <f t="shared" si="7"/>
        <v>0.1</v>
      </c>
      <c r="F41" s="218">
        <f>IF(F40&lt;2020,0.3,IF(F40=2020,0.26,IF(F40=2021,0.22,0.1)))</f>
        <v>0.1</v>
      </c>
      <c r="G41" s="218">
        <f t="shared" si="7"/>
        <v>0.1</v>
      </c>
      <c r="H41" s="218">
        <f t="shared" si="7"/>
        <v>0.1</v>
      </c>
      <c r="I41" s="218">
        <f t="shared" si="7"/>
        <v>0.1</v>
      </c>
      <c r="J41" s="218">
        <f t="shared" si="7"/>
        <v>0.1</v>
      </c>
      <c r="K41" s="218">
        <f t="shared" si="7"/>
        <v>0.1</v>
      </c>
      <c r="L41" s="218">
        <f t="shared" si="7"/>
        <v>0.1</v>
      </c>
      <c r="M41" s="218">
        <f t="shared" si="7"/>
        <v>0.1</v>
      </c>
      <c r="N41" s="7"/>
      <c r="O41" s="7"/>
    </row>
    <row r="42" spans="1:18">
      <c r="A42" s="8"/>
      <c r="B42" s="8" t="s">
        <v>92</v>
      </c>
      <c r="C42" s="210">
        <f>+C41/2</f>
        <v>0.05</v>
      </c>
      <c r="D42" s="210">
        <f t="shared" ref="D42:I42" si="8">+D41/2</f>
        <v>0.05</v>
      </c>
      <c r="E42" s="210">
        <f t="shared" si="8"/>
        <v>0.05</v>
      </c>
      <c r="F42" s="210">
        <f t="shared" si="8"/>
        <v>0.05</v>
      </c>
      <c r="G42" s="210">
        <f t="shared" si="8"/>
        <v>0.05</v>
      </c>
      <c r="H42" s="210">
        <f t="shared" si="8"/>
        <v>0.05</v>
      </c>
      <c r="I42" s="210">
        <f t="shared" si="8"/>
        <v>0.05</v>
      </c>
      <c r="J42" s="210">
        <f t="shared" ref="J42:M42" si="9">+J41/2</f>
        <v>0.05</v>
      </c>
      <c r="K42" s="210">
        <f t="shared" si="9"/>
        <v>0.05</v>
      </c>
      <c r="L42" s="210">
        <f t="shared" si="9"/>
        <v>0.05</v>
      </c>
      <c r="M42" s="210">
        <f t="shared" si="9"/>
        <v>0.05</v>
      </c>
      <c r="N42" s="7"/>
      <c r="O42" s="7"/>
    </row>
    <row r="43" spans="1:18">
      <c r="A43" s="397"/>
      <c r="B43" s="397"/>
      <c r="C43" s="211"/>
      <c r="D43" s="211"/>
      <c r="E43" s="211"/>
      <c r="F43" s="211"/>
      <c r="G43" s="211"/>
      <c r="H43" s="211"/>
      <c r="I43" s="211"/>
      <c r="J43" s="211"/>
      <c r="K43" s="211"/>
      <c r="L43" s="211"/>
      <c r="M43" s="211"/>
      <c r="N43" s="7"/>
      <c r="O43" s="7"/>
    </row>
    <row r="44" spans="1:18">
      <c r="A44" s="8"/>
      <c r="B44" s="8" t="s">
        <v>93</v>
      </c>
      <c r="C44" s="369">
        <v>2027</v>
      </c>
      <c r="D44" s="211"/>
      <c r="E44" s="211"/>
      <c r="F44" s="211"/>
      <c r="G44" s="211"/>
      <c r="H44" s="211"/>
      <c r="I44" s="211"/>
      <c r="J44" s="211"/>
      <c r="K44" s="211"/>
      <c r="L44" s="211"/>
      <c r="M44" s="211"/>
      <c r="N44" s="7"/>
    </row>
    <row r="45" spans="1:18">
      <c r="A45" s="397"/>
      <c r="B45" s="8"/>
      <c r="C45" s="222"/>
      <c r="F45" s="209"/>
      <c r="N45" s="7"/>
    </row>
    <row r="46" spans="1:18">
      <c r="A46" s="399" t="s">
        <v>94</v>
      </c>
      <c r="B46" s="216" t="s">
        <v>95</v>
      </c>
      <c r="C46" s="213"/>
      <c r="D46" s="211"/>
      <c r="E46" s="211"/>
      <c r="F46" s="211"/>
      <c r="G46" s="211"/>
      <c r="H46" s="211"/>
      <c r="I46" s="211"/>
      <c r="N46" s="7"/>
      <c r="O46" s="505"/>
      <c r="P46" s="229"/>
      <c r="Q46" s="419"/>
      <c r="R46" s="258"/>
    </row>
    <row r="47" spans="1:18">
      <c r="B47" s="8" t="s">
        <v>96</v>
      </c>
      <c r="C47" s="369">
        <v>1</v>
      </c>
      <c r="D47" s="211"/>
      <c r="E47" s="211"/>
      <c r="F47" s="211"/>
      <c r="G47" s="211"/>
      <c r="H47" s="211"/>
      <c r="I47" s="211"/>
      <c r="N47" s="7"/>
      <c r="O47" s="505"/>
      <c r="P47" s="229"/>
      <c r="Q47" s="419"/>
      <c r="R47" s="258"/>
    </row>
    <row r="48" spans="1:18">
      <c r="A48" s="8"/>
      <c r="B48" s="8" t="s">
        <v>97</v>
      </c>
      <c r="C48" s="547">
        <v>6.0900000000000003E-2</v>
      </c>
      <c r="D48" s="211"/>
      <c r="E48" s="211"/>
      <c r="F48" s="211"/>
      <c r="G48" s="211"/>
      <c r="H48" s="211"/>
      <c r="I48" s="211"/>
      <c r="N48" s="7"/>
      <c r="O48" s="507" t="s">
        <v>98</v>
      </c>
      <c r="P48" s="508"/>
      <c r="Q48" s="508"/>
      <c r="R48" s="508"/>
    </row>
    <row r="49" spans="1:18">
      <c r="A49" s="397"/>
      <c r="B49" s="8"/>
      <c r="C49" s="222"/>
      <c r="F49" s="209"/>
      <c r="N49" s="7"/>
      <c r="O49" s="505" t="s">
        <v>99</v>
      </c>
      <c r="P49" s="229" t="s">
        <v>100</v>
      </c>
      <c r="Q49" s="419" t="s">
        <v>101</v>
      </c>
      <c r="R49" s="258"/>
    </row>
    <row r="50" spans="1:18">
      <c r="A50" s="50" t="s">
        <v>102</v>
      </c>
      <c r="B50" s="1" t="s">
        <v>103</v>
      </c>
      <c r="C50" s="223">
        <f t="shared" ref="C50:M50" si="10">IF(C40&lt;2018,0.38575,IF(C40&lt;2022,$P$50,$Q$50))</f>
        <v>0.25345000000000001</v>
      </c>
      <c r="D50" s="223">
        <f t="shared" si="10"/>
        <v>0.25345000000000001</v>
      </c>
      <c r="E50" s="223">
        <f t="shared" si="10"/>
        <v>0.25345000000000001</v>
      </c>
      <c r="F50" s="223">
        <f t="shared" si="10"/>
        <v>0.25345000000000001</v>
      </c>
      <c r="G50" s="223">
        <f t="shared" si="10"/>
        <v>0.25345000000000001</v>
      </c>
      <c r="H50" s="223">
        <f t="shared" si="10"/>
        <v>0.25345000000000001</v>
      </c>
      <c r="I50" s="223">
        <f t="shared" si="10"/>
        <v>0.25345000000000001</v>
      </c>
      <c r="J50" s="223">
        <f t="shared" si="10"/>
        <v>0.25345000000000001</v>
      </c>
      <c r="K50" s="223">
        <f t="shared" si="10"/>
        <v>0.25345000000000001</v>
      </c>
      <c r="L50" s="223">
        <f t="shared" si="10"/>
        <v>0.25345000000000001</v>
      </c>
      <c r="M50" s="223">
        <f t="shared" si="10"/>
        <v>0.25345000000000001</v>
      </c>
      <c r="N50" s="7"/>
      <c r="O50" s="506">
        <f>0.35+(0.055*(1-0.35))</f>
        <v>0.38574999999999998</v>
      </c>
      <c r="P50" s="506">
        <f>0.21+(0.04458*(1-0.21))</f>
        <v>0.2452182</v>
      </c>
      <c r="Q50" s="509">
        <f>0.21+(0.055*(1-0.21))</f>
        <v>0.25345000000000001</v>
      </c>
      <c r="R50" s="510"/>
    </row>
    <row r="51" spans="1:18">
      <c r="A51" s="6"/>
      <c r="B51" s="1" t="s">
        <v>104</v>
      </c>
      <c r="C51" s="511">
        <v>0.08</v>
      </c>
    </row>
    <row r="52" spans="1:18">
      <c r="A52" s="6"/>
      <c r="B52" s="1"/>
      <c r="C52" s="550"/>
    </row>
    <row r="53" spans="1:18">
      <c r="A53" s="50" t="s">
        <v>105</v>
      </c>
      <c r="B53" s="1" t="s">
        <v>106</v>
      </c>
    </row>
    <row r="54" spans="1:18">
      <c r="A54" s="50"/>
      <c r="B54" s="6" t="s">
        <v>107</v>
      </c>
      <c r="C54" s="371" t="b">
        <v>0</v>
      </c>
    </row>
    <row r="55" spans="1:18">
      <c r="B55" s="6" t="s">
        <v>108</v>
      </c>
      <c r="C55" s="371" t="b">
        <v>0</v>
      </c>
      <c r="D55" s="244" t="s">
        <v>109</v>
      </c>
      <c r="F55" s="97"/>
      <c r="G55" s="97"/>
      <c r="I55" s="66" t="s">
        <v>110</v>
      </c>
      <c r="J55" s="371">
        <v>1</v>
      </c>
      <c r="K55" s="59" t="s">
        <v>111</v>
      </c>
      <c r="L55" s="371"/>
    </row>
    <row r="56" spans="1:18">
      <c r="B56" s="6" t="s">
        <v>112</v>
      </c>
      <c r="C56" s="371" t="b">
        <v>0</v>
      </c>
      <c r="D56" s="244" t="s">
        <v>113</v>
      </c>
      <c r="F56" s="97"/>
      <c r="G56" s="97"/>
      <c r="H56" s="97"/>
      <c r="I56" s="97"/>
      <c r="J56" s="97"/>
    </row>
    <row r="57" spans="1:18">
      <c r="B57" s="6" t="s">
        <v>114</v>
      </c>
      <c r="C57" s="2" t="b">
        <v>1</v>
      </c>
    </row>
    <row r="58" spans="1:18">
      <c r="B58" s="6" t="s">
        <v>115</v>
      </c>
      <c r="C58" s="396">
        <v>2025</v>
      </c>
      <c r="D58" s="447">
        <v>2026</v>
      </c>
      <c r="E58" s="447">
        <v>2027</v>
      </c>
      <c r="F58" s="447">
        <v>2030</v>
      </c>
      <c r="H58" s="437" t="s">
        <v>116</v>
      </c>
      <c r="I58" s="437"/>
      <c r="J58" s="437"/>
      <c r="K58" s="437"/>
      <c r="L58" s="437"/>
    </row>
    <row r="59" spans="1:18">
      <c r="B59" s="6" t="s">
        <v>117</v>
      </c>
      <c r="C59" s="396">
        <v>5</v>
      </c>
    </row>
    <row r="60" spans="1:18">
      <c r="B60" s="6" t="s">
        <v>118</v>
      </c>
      <c r="C60" s="441">
        <v>1.4999999999999999E-2</v>
      </c>
    </row>
    <row r="61" spans="1:18">
      <c r="B61" s="217"/>
    </row>
    <row r="62" spans="1:18">
      <c r="B62" s="50"/>
      <c r="F62" s="225" t="s">
        <v>119</v>
      </c>
      <c r="G62" s="225"/>
      <c r="H62" s="225"/>
      <c r="I62" s="225"/>
      <c r="J62" s="225"/>
      <c r="K62" s="225"/>
      <c r="L62" s="225"/>
      <c r="M62" s="225"/>
      <c r="N62" s="225"/>
      <c r="O62" s="225"/>
    </row>
    <row r="63" spans="1:18" ht="28.8">
      <c r="B63" s="6"/>
      <c r="C63" s="227" t="s">
        <v>120</v>
      </c>
      <c r="D63" s="226" t="s">
        <v>121</v>
      </c>
      <c r="E63" s="296">
        <f>+C17</f>
        <v>2022</v>
      </c>
      <c r="F63" s="267">
        <f>+C17+1</f>
        <v>2023</v>
      </c>
      <c r="G63" s="267">
        <f t="shared" ref="G63:O63" si="11">+F63+1</f>
        <v>2024</v>
      </c>
      <c r="H63" s="267">
        <f t="shared" si="11"/>
        <v>2025</v>
      </c>
      <c r="I63" s="267">
        <f t="shared" si="11"/>
        <v>2026</v>
      </c>
      <c r="J63" s="267">
        <f t="shared" si="11"/>
        <v>2027</v>
      </c>
      <c r="K63" s="267">
        <f t="shared" si="11"/>
        <v>2028</v>
      </c>
      <c r="L63" s="267">
        <f t="shared" si="11"/>
        <v>2029</v>
      </c>
      <c r="M63" s="267">
        <f t="shared" si="11"/>
        <v>2030</v>
      </c>
      <c r="N63" s="267">
        <f t="shared" si="11"/>
        <v>2031</v>
      </c>
      <c r="O63" s="267">
        <f t="shared" si="11"/>
        <v>2032</v>
      </c>
    </row>
    <row r="64" spans="1:18">
      <c r="B64" s="6" t="s">
        <v>122</v>
      </c>
      <c r="C64" s="372"/>
      <c r="D64" s="396"/>
      <c r="E64" s="395"/>
      <c r="F64" s="395"/>
      <c r="G64" s="395"/>
      <c r="H64" s="395"/>
      <c r="I64" s="395"/>
      <c r="J64" s="395"/>
      <c r="K64" s="395"/>
      <c r="L64" s="395"/>
      <c r="M64" s="395"/>
      <c r="N64" s="395"/>
      <c r="O64" s="395"/>
    </row>
    <row r="65" spans="1:17">
      <c r="B65" s="6"/>
      <c r="C65" s="6"/>
      <c r="D65" s="6"/>
      <c r="E65" s="6"/>
      <c r="F65" s="446"/>
      <c r="G65" s="446"/>
      <c r="H65" s="446"/>
      <c r="I65" s="446"/>
      <c r="J65" s="446"/>
      <c r="K65" s="446"/>
      <c r="L65" s="446"/>
      <c r="M65" s="446"/>
      <c r="N65" s="446"/>
      <c r="O65" s="446"/>
    </row>
    <row r="66" spans="1:17">
      <c r="A66" s="50" t="s">
        <v>123</v>
      </c>
      <c r="B66" s="1" t="s">
        <v>124</v>
      </c>
      <c r="C66" s="6"/>
      <c r="D66" s="6"/>
      <c r="E66" s="6"/>
      <c r="F66" s="6"/>
      <c r="G66" s="6"/>
      <c r="H66" s="6"/>
      <c r="I66" s="6"/>
      <c r="J66" s="6"/>
      <c r="K66" s="6"/>
    </row>
    <row r="67" spans="1:17">
      <c r="B67" s="50"/>
      <c r="F67" s="225" t="s">
        <v>125</v>
      </c>
      <c r="G67" s="225"/>
      <c r="H67" s="225"/>
      <c r="I67" s="225"/>
      <c r="J67" s="225"/>
      <c r="K67" s="225"/>
      <c r="L67" s="225"/>
      <c r="M67" s="225"/>
      <c r="N67" s="225"/>
      <c r="O67" s="225"/>
    </row>
    <row r="68" spans="1:17" ht="28.8">
      <c r="B68" s="6"/>
      <c r="C68" s="227" t="s">
        <v>120</v>
      </c>
      <c r="D68" s="226" t="s">
        <v>121</v>
      </c>
      <c r="E68" s="296">
        <f>+E63</f>
        <v>2022</v>
      </c>
      <c r="F68" s="268">
        <f t="shared" ref="F68:O68" si="12">+F63</f>
        <v>2023</v>
      </c>
      <c r="G68" s="268">
        <f t="shared" si="12"/>
        <v>2024</v>
      </c>
      <c r="H68" s="268">
        <f t="shared" si="12"/>
        <v>2025</v>
      </c>
      <c r="I68" s="268">
        <f t="shared" si="12"/>
        <v>2026</v>
      </c>
      <c r="J68" s="268">
        <f t="shared" si="12"/>
        <v>2027</v>
      </c>
      <c r="K68" s="268">
        <f t="shared" si="12"/>
        <v>2028</v>
      </c>
      <c r="L68" s="268">
        <f t="shared" si="12"/>
        <v>2029</v>
      </c>
      <c r="M68" s="268">
        <f t="shared" si="12"/>
        <v>2030</v>
      </c>
      <c r="N68" s="268">
        <f t="shared" si="12"/>
        <v>2031</v>
      </c>
      <c r="O68" s="268">
        <f t="shared" si="12"/>
        <v>2032</v>
      </c>
    </row>
    <row r="69" spans="1:17">
      <c r="B69" s="6" t="s">
        <v>126</v>
      </c>
      <c r="C69" s="372"/>
      <c r="D69" s="396"/>
      <c r="E69" s="492"/>
      <c r="F69" s="492"/>
      <c r="G69" s="492"/>
      <c r="H69" s="492"/>
      <c r="I69" s="492"/>
      <c r="J69" s="492"/>
      <c r="K69" s="492"/>
      <c r="L69" s="492"/>
      <c r="M69" s="492"/>
      <c r="N69" s="492"/>
      <c r="O69" s="492"/>
    </row>
    <row r="70" spans="1:17">
      <c r="B70" s="6"/>
      <c r="C70" s="307"/>
      <c r="D70" s="224"/>
      <c r="F70" s="308"/>
      <c r="G70" s="308"/>
      <c r="H70" s="308"/>
      <c r="I70" s="308"/>
      <c r="J70" s="308"/>
      <c r="K70" s="308"/>
      <c r="L70" s="308"/>
      <c r="M70" s="308"/>
    </row>
    <row r="71" spans="1:17">
      <c r="A71" s="50" t="s">
        <v>127</v>
      </c>
      <c r="B71" s="1" t="s">
        <v>128</v>
      </c>
      <c r="D71" s="224"/>
      <c r="F71" s="308"/>
      <c r="G71" s="308"/>
      <c r="H71" s="308"/>
      <c r="I71" s="308"/>
      <c r="J71" s="308"/>
      <c r="K71" s="308"/>
      <c r="L71" s="308"/>
      <c r="M71" s="308"/>
    </row>
    <row r="72" spans="1:17">
      <c r="B72" s="6" t="s">
        <v>129</v>
      </c>
      <c r="C72" s="427">
        <v>0</v>
      </c>
      <c r="D72" s="224"/>
      <c r="F72" s="308"/>
      <c r="G72" s="308"/>
      <c r="H72" s="308"/>
      <c r="I72" s="308"/>
      <c r="J72" s="308"/>
      <c r="K72" s="308"/>
      <c r="L72" s="308"/>
      <c r="M72" s="308"/>
    </row>
    <row r="73" spans="1:17">
      <c r="B73" s="6" t="s">
        <v>130</v>
      </c>
      <c r="C73" s="372">
        <v>0</v>
      </c>
      <c r="D73" s="224"/>
      <c r="F73" s="308"/>
      <c r="G73" s="308"/>
      <c r="H73" s="308"/>
      <c r="I73" s="308"/>
      <c r="J73" s="308"/>
      <c r="K73" s="308"/>
      <c r="L73" s="308"/>
      <c r="M73" s="308"/>
    </row>
    <row r="74" spans="1:17">
      <c r="B74" s="6" t="s">
        <v>131</v>
      </c>
      <c r="C74" s="372">
        <v>0</v>
      </c>
      <c r="D74" s="224"/>
      <c r="F74" s="308"/>
      <c r="G74" s="308"/>
      <c r="H74" s="308"/>
      <c r="I74" s="308"/>
      <c r="J74" s="308"/>
      <c r="K74" s="308"/>
      <c r="L74" s="308"/>
      <c r="M74" s="308"/>
    </row>
    <row r="75" spans="1:17">
      <c r="B75" s="6" t="s">
        <v>132</v>
      </c>
      <c r="C75" s="372">
        <v>1</v>
      </c>
      <c r="D75" s="224"/>
      <c r="F75" s="308"/>
      <c r="G75" s="308"/>
      <c r="H75" s="308"/>
      <c r="I75" s="308"/>
      <c r="J75" s="308"/>
    </row>
    <row r="76" spans="1:17">
      <c r="A76" s="50" t="s">
        <v>133</v>
      </c>
      <c r="B76" s="1" t="s">
        <v>134</v>
      </c>
      <c r="C76" s="396">
        <v>0</v>
      </c>
    </row>
    <row r="77" spans="1:17">
      <c r="A77" s="243"/>
      <c r="B77" s="240" t="s">
        <v>135</v>
      </c>
      <c r="C77" s="241" t="s">
        <v>136</v>
      </c>
      <c r="D77" s="242">
        <f>+Results!B20</f>
        <v>8.5088948022705502E-2</v>
      </c>
      <c r="E77" s="241" t="s">
        <v>137</v>
      </c>
      <c r="F77" s="242">
        <f>+Results!G26</f>
        <v>0.10886127397052964</v>
      </c>
      <c r="G77" s="243"/>
      <c r="H77" s="243"/>
      <c r="I77" s="243"/>
      <c r="J77" s="243"/>
      <c r="K77" s="243"/>
      <c r="L77" s="243"/>
      <c r="M77" s="243"/>
      <c r="N77" s="243"/>
      <c r="O77" s="243"/>
    </row>
    <row r="78" spans="1:17">
      <c r="A78" s="243"/>
      <c r="B78" s="240" t="s">
        <v>138</v>
      </c>
      <c r="C78" s="241" t="s">
        <v>136</v>
      </c>
      <c r="D78" s="242">
        <f>+Financials!C56</f>
        <v>0.12136277606981127</v>
      </c>
      <c r="E78" s="522" t="str">
        <f>IF(C13="Other",IF(D78&lt;0.12,"Project doesn't meet IRR Threshold",""),"")</f>
        <v/>
      </c>
      <c r="F78" s="242"/>
      <c r="G78" s="243"/>
      <c r="H78" s="243"/>
      <c r="I78" s="243"/>
      <c r="J78" s="243"/>
      <c r="K78" s="243"/>
      <c r="L78" s="243"/>
      <c r="M78" s="243"/>
      <c r="N78" s="243"/>
      <c r="O78" s="243"/>
      <c r="P78" s="1"/>
      <c r="Q78" s="1"/>
    </row>
    <row r="79" spans="1:17">
      <c r="B79" s="9" t="s">
        <v>139</v>
      </c>
      <c r="C79" s="9"/>
      <c r="D79" s="9"/>
      <c r="E79" s="9"/>
      <c r="F79" s="9"/>
      <c r="G79" s="9"/>
      <c r="H79" s="9"/>
      <c r="I79" s="9"/>
      <c r="J79" s="9"/>
      <c r="K79" s="9"/>
      <c r="L79" s="9"/>
      <c r="M79" s="9"/>
      <c r="N79" s="9"/>
      <c r="O79" s="9"/>
      <c r="P79" s="1"/>
      <c r="Q79" s="1"/>
    </row>
    <row r="80" spans="1:17">
      <c r="J80" s="1"/>
      <c r="K80" s="1"/>
      <c r="L80" s="1"/>
      <c r="M80" s="1"/>
      <c r="N80" s="1"/>
      <c r="O80" s="1"/>
      <c r="P80" s="1"/>
      <c r="Q80" s="1"/>
    </row>
    <row r="81" spans="2:17">
      <c r="B81" s="1" t="s">
        <v>140</v>
      </c>
    </row>
    <row r="82" spans="2:17">
      <c r="B82" s="234" t="s">
        <v>55</v>
      </c>
    </row>
    <row r="83" spans="2:17">
      <c r="B83" s="234" t="s">
        <v>141</v>
      </c>
    </row>
    <row r="84" spans="2:17">
      <c r="B84" s="234" t="s">
        <v>142</v>
      </c>
    </row>
    <row r="85" spans="2:17">
      <c r="B85" s="234"/>
    </row>
    <row r="86" spans="2:17">
      <c r="B86" s="48"/>
      <c r="J86" s="1"/>
      <c r="K86" s="1"/>
      <c r="L86" s="1"/>
      <c r="M86" s="1"/>
      <c r="N86" s="1"/>
      <c r="O86" s="1"/>
      <c r="P86" s="1"/>
      <c r="Q86" s="1"/>
    </row>
    <row r="87" spans="2:17">
      <c r="C87" s="228"/>
      <c r="D87" s="36">
        <f>IFERROR(MATCH(D88,$C$13,0),0)</f>
        <v>1</v>
      </c>
      <c r="E87" s="36">
        <f>IFERROR(MATCH(E88,$C$13,0),0)</f>
        <v>0</v>
      </c>
      <c r="F87" s="36">
        <f>IFERROR(MATCH(F88,$C$13,0),0)</f>
        <v>0</v>
      </c>
      <c r="J87" s="1"/>
      <c r="K87" s="1"/>
      <c r="L87" s="1"/>
      <c r="M87" s="1"/>
      <c r="N87" s="1"/>
      <c r="O87" s="1"/>
      <c r="P87" s="1"/>
      <c r="Q87" s="1"/>
    </row>
    <row r="88" spans="2:17">
      <c r="D88" s="3" t="str">
        <f>+B82</f>
        <v>TEC</v>
      </c>
      <c r="E88" s="3" t="str">
        <f>+B83</f>
        <v>PGS</v>
      </c>
      <c r="F88" s="3" t="str">
        <f>+B84</f>
        <v>Other</v>
      </c>
      <c r="J88" s="1"/>
      <c r="K88" s="48" t="s">
        <v>143</v>
      </c>
      <c r="L88" s="570">
        <v>2021</v>
      </c>
      <c r="M88" s="229">
        <f>+L88+1</f>
        <v>2022</v>
      </c>
      <c r="N88" s="229">
        <f t="shared" ref="N88:P88" si="13">+M88+1</f>
        <v>2023</v>
      </c>
      <c r="O88" s="229">
        <f t="shared" si="13"/>
        <v>2024</v>
      </c>
      <c r="P88" s="229">
        <f t="shared" si="13"/>
        <v>2025</v>
      </c>
      <c r="Q88" s="1"/>
    </row>
    <row r="89" spans="2:17">
      <c r="D89" s="229"/>
      <c r="E89" s="229"/>
      <c r="F89" s="229"/>
      <c r="H89" s="36">
        <f>+C15+L29-1</f>
        <v>2026</v>
      </c>
      <c r="I89" s="2" t="s">
        <v>144</v>
      </c>
      <c r="J89" s="1"/>
      <c r="K89" s="2" t="s">
        <v>145</v>
      </c>
      <c r="L89" s="569">
        <v>1.9E-2</v>
      </c>
      <c r="M89" s="569">
        <v>4.3999999999999997E-2</v>
      </c>
      <c r="N89" s="569">
        <v>4.2250000000000003E-2</v>
      </c>
      <c r="O89" s="569">
        <v>4.1000000000000002E-2</v>
      </c>
      <c r="P89" s="569">
        <v>4.1000000000000002E-2</v>
      </c>
      <c r="Q89" s="1"/>
    </row>
    <row r="90" spans="2:17">
      <c r="B90" s="1" t="s">
        <v>146</v>
      </c>
      <c r="C90" s="230">
        <v>2020</v>
      </c>
      <c r="D90" s="221">
        <v>2.7E-2</v>
      </c>
      <c r="E90" s="212">
        <f>+D90</f>
        <v>2.7E-2</v>
      </c>
      <c r="F90" s="221">
        <v>3.1E-2</v>
      </c>
      <c r="H90" s="36">
        <f t="shared" ref="H90:H100" si="14">IF(C90&gt;=$C$15,IF(C90&lt;=$H$89,IF(C90=$C$15,1,H89+1),0),0)</f>
        <v>0</v>
      </c>
      <c r="K90" s="2" t="s">
        <v>147</v>
      </c>
      <c r="L90" s="569">
        <v>2.9000000000000001E-2</v>
      </c>
      <c r="M90" s="569">
        <v>4.9000000000000002E-2</v>
      </c>
      <c r="N90" s="569">
        <v>4.725E-2</v>
      </c>
      <c r="O90" s="569">
        <v>4.5999999999999999E-2</v>
      </c>
      <c r="P90" s="569">
        <v>4.5999999999999999E-2</v>
      </c>
    </row>
    <row r="91" spans="2:17">
      <c r="B91" s="233"/>
      <c r="C91" s="400">
        <f>+C90+1</f>
        <v>2021</v>
      </c>
      <c r="D91" s="221">
        <f>SUMIF($L$88:$P$88,C91,$L$90:$P$90)</f>
        <v>2.9000000000000001E-2</v>
      </c>
      <c r="E91" s="212">
        <f>+D91</f>
        <v>2.9000000000000001E-2</v>
      </c>
      <c r="F91" s="212">
        <f>+D91+0.005</f>
        <v>3.4000000000000002E-2</v>
      </c>
      <c r="H91" s="36">
        <f t="shared" si="14"/>
        <v>0</v>
      </c>
    </row>
    <row r="92" spans="2:17">
      <c r="C92" s="400">
        <f>+C91+1</f>
        <v>2022</v>
      </c>
      <c r="D92" s="221">
        <f t="shared" ref="D92:D95" si="15">SUMIF($L$88:$P$88,C92,$L$90:$P$90)</f>
        <v>4.9000000000000002E-2</v>
      </c>
      <c r="E92" s="212">
        <f>+D92</f>
        <v>4.9000000000000002E-2</v>
      </c>
      <c r="F92" s="212">
        <f t="shared" ref="F92:F95" si="16">+D92+0.005</f>
        <v>5.3999999999999999E-2</v>
      </c>
      <c r="H92" s="36">
        <f t="shared" si="14"/>
        <v>1</v>
      </c>
      <c r="K92" s="48" t="s">
        <v>148</v>
      </c>
    </row>
    <row r="93" spans="2:17">
      <c r="C93" s="400">
        <f>+C92+1</f>
        <v>2023</v>
      </c>
      <c r="D93" s="221">
        <f t="shared" si="15"/>
        <v>4.725E-2</v>
      </c>
      <c r="E93" s="212">
        <f>+D93</f>
        <v>4.725E-2</v>
      </c>
      <c r="F93" s="212">
        <f t="shared" si="16"/>
        <v>5.2249999999999998E-2</v>
      </c>
      <c r="H93" s="36">
        <f t="shared" si="14"/>
        <v>2</v>
      </c>
      <c r="K93" s="2" t="s">
        <v>149</v>
      </c>
    </row>
    <row r="94" spans="2:17">
      <c r="C94" s="400">
        <f t="shared" ref="C94:C100" si="17">+C93+1</f>
        <v>2024</v>
      </c>
      <c r="D94" s="221">
        <f t="shared" si="15"/>
        <v>4.5999999999999999E-2</v>
      </c>
      <c r="E94" s="212">
        <f t="shared" ref="E94:E100" si="18">+D94</f>
        <v>4.5999999999999999E-2</v>
      </c>
      <c r="F94" s="212">
        <f t="shared" si="16"/>
        <v>5.0999999999999997E-2</v>
      </c>
      <c r="H94" s="36">
        <f t="shared" si="14"/>
        <v>3</v>
      </c>
      <c r="K94" s="2" t="s">
        <v>150</v>
      </c>
    </row>
    <row r="95" spans="2:17">
      <c r="C95" s="400">
        <f t="shared" si="17"/>
        <v>2025</v>
      </c>
      <c r="D95" s="221">
        <f t="shared" si="15"/>
        <v>4.5999999999999999E-2</v>
      </c>
      <c r="E95" s="212">
        <f t="shared" si="18"/>
        <v>4.5999999999999999E-2</v>
      </c>
      <c r="F95" s="212">
        <f t="shared" si="16"/>
        <v>5.0999999999999997E-2</v>
      </c>
      <c r="H95" s="36">
        <f t="shared" si="14"/>
        <v>4</v>
      </c>
    </row>
    <row r="96" spans="2:17">
      <c r="C96" s="400">
        <f t="shared" si="17"/>
        <v>2026</v>
      </c>
      <c r="D96" s="212">
        <f t="shared" ref="D96:D100" si="19">+D95</f>
        <v>4.5999999999999999E-2</v>
      </c>
      <c r="E96" s="212">
        <f t="shared" si="18"/>
        <v>4.5999999999999999E-2</v>
      </c>
      <c r="F96" s="212">
        <f t="shared" ref="F96:F100" si="20">+F95</f>
        <v>5.0999999999999997E-2</v>
      </c>
      <c r="H96" s="36">
        <f t="shared" si="14"/>
        <v>5</v>
      </c>
    </row>
    <row r="97" spans="2:11">
      <c r="C97" s="400">
        <f t="shared" si="17"/>
        <v>2027</v>
      </c>
      <c r="D97" s="212">
        <f t="shared" si="19"/>
        <v>4.5999999999999999E-2</v>
      </c>
      <c r="E97" s="212">
        <f t="shared" si="18"/>
        <v>4.5999999999999999E-2</v>
      </c>
      <c r="F97" s="212">
        <f t="shared" si="20"/>
        <v>5.0999999999999997E-2</v>
      </c>
      <c r="H97" s="36">
        <f t="shared" si="14"/>
        <v>0</v>
      </c>
    </row>
    <row r="98" spans="2:11">
      <c r="C98" s="400">
        <f t="shared" si="17"/>
        <v>2028</v>
      </c>
      <c r="D98" s="212">
        <f t="shared" si="19"/>
        <v>4.5999999999999999E-2</v>
      </c>
      <c r="E98" s="212">
        <f t="shared" si="18"/>
        <v>4.5999999999999999E-2</v>
      </c>
      <c r="F98" s="212">
        <f t="shared" si="20"/>
        <v>5.0999999999999997E-2</v>
      </c>
      <c r="H98" s="36">
        <f t="shared" si="14"/>
        <v>0</v>
      </c>
    </row>
    <row r="99" spans="2:11">
      <c r="C99" s="400">
        <f t="shared" si="17"/>
        <v>2029</v>
      </c>
      <c r="D99" s="212">
        <f t="shared" si="19"/>
        <v>4.5999999999999999E-2</v>
      </c>
      <c r="E99" s="212">
        <f t="shared" si="18"/>
        <v>4.5999999999999999E-2</v>
      </c>
      <c r="F99" s="212">
        <f t="shared" si="20"/>
        <v>5.0999999999999997E-2</v>
      </c>
      <c r="H99" s="36">
        <f t="shared" si="14"/>
        <v>0</v>
      </c>
    </row>
    <row r="100" spans="2:11">
      <c r="C100" s="400">
        <f t="shared" si="17"/>
        <v>2030</v>
      </c>
      <c r="D100" s="212">
        <f t="shared" si="19"/>
        <v>4.5999999999999999E-2</v>
      </c>
      <c r="E100" s="212">
        <f t="shared" si="18"/>
        <v>4.5999999999999999E-2</v>
      </c>
      <c r="F100" s="212">
        <f t="shared" si="20"/>
        <v>5.0999999999999997E-2</v>
      </c>
      <c r="H100" s="36">
        <f t="shared" si="14"/>
        <v>0</v>
      </c>
    </row>
    <row r="101" spans="2:11">
      <c r="C101" s="257"/>
      <c r="D101" s="54"/>
      <c r="E101" s="232"/>
      <c r="F101" s="54"/>
    </row>
    <row r="102" spans="2:11">
      <c r="B102" s="233"/>
    </row>
    <row r="103" spans="2:11">
      <c r="B103" s="233"/>
    </row>
    <row r="104" spans="2:11">
      <c r="B104" s="1" t="s">
        <v>151</v>
      </c>
      <c r="D104" s="221">
        <v>0.10199999999999999</v>
      </c>
      <c r="E104" s="221">
        <v>0.1075</v>
      </c>
      <c r="F104" s="221">
        <v>0.12</v>
      </c>
      <c r="G104" s="520" t="s">
        <v>152</v>
      </c>
      <c r="H104" s="521"/>
      <c r="I104" s="521"/>
      <c r="J104" s="521"/>
      <c r="K104" s="521"/>
    </row>
    <row r="105" spans="2:11">
      <c r="D105" s="206"/>
      <c r="E105" s="206"/>
      <c r="F105" s="206"/>
    </row>
    <row r="106" spans="2:11">
      <c r="B106" s="1" t="s">
        <v>153</v>
      </c>
      <c r="D106" s="221">
        <v>0.54</v>
      </c>
      <c r="E106" s="221">
        <v>0.55000000000000004</v>
      </c>
      <c r="F106" s="221">
        <v>0.4</v>
      </c>
      <c r="G106" s="520" t="s">
        <v>154</v>
      </c>
      <c r="H106" s="521"/>
      <c r="I106" s="521"/>
      <c r="J106" s="521"/>
      <c r="K106" s="521"/>
    </row>
    <row r="108" spans="2:11">
      <c r="B108" s="7" t="s">
        <v>80</v>
      </c>
      <c r="D108" s="231">
        <v>0.6</v>
      </c>
      <c r="E108" s="231">
        <v>0.88</v>
      </c>
      <c r="F108" s="231">
        <v>1</v>
      </c>
    </row>
    <row r="110" spans="2:11">
      <c r="B110" s="1" t="s">
        <v>155</v>
      </c>
    </row>
    <row r="111" spans="2:11">
      <c r="B111" s="365">
        <f>IF(C$58=0,IF($C$59=0,"",$C$15+$C$59),C$58)</f>
        <v>2025</v>
      </c>
      <c r="C111" s="400">
        <f>IF(B111&gt;0,1)</f>
        <v>1</v>
      </c>
    </row>
    <row r="112" spans="2:11">
      <c r="B112" s="365">
        <f>IF(D$58=0,IF($C$59=0,"",B111+$C$59),D$58)</f>
        <v>2026</v>
      </c>
      <c r="C112" s="400">
        <f t="shared" ref="C112:C122" si="21">IF(B112&gt;0,1)</f>
        <v>1</v>
      </c>
    </row>
    <row r="113" spans="2:3">
      <c r="B113" s="365">
        <f>IF(E$58=0,IF($C$59=0,"",B112+$C$59),E$58)</f>
        <v>2027</v>
      </c>
      <c r="C113" s="400">
        <f t="shared" si="21"/>
        <v>1</v>
      </c>
    </row>
    <row r="114" spans="2:3">
      <c r="B114" s="365">
        <f t="shared" ref="B114" si="22">IF(F$58=0,IF($C$59=0,"",B113+$C$59),F$58)</f>
        <v>2030</v>
      </c>
      <c r="C114" s="400">
        <f t="shared" si="21"/>
        <v>1</v>
      </c>
    </row>
    <row r="115" spans="2:3">
      <c r="B115" s="365">
        <f>IF(G$58=0,IF($C$59=0,"",B114+$C$59),G$58)</f>
        <v>2035</v>
      </c>
      <c r="C115" s="400">
        <f t="shared" si="21"/>
        <v>1</v>
      </c>
    </row>
    <row r="116" spans="2:3">
      <c r="B116" s="365">
        <f t="shared" ref="B116:B122" si="23">IF(G$58=0,IF($C$59=0,"",B115+$C$59),G$58)</f>
        <v>2040</v>
      </c>
      <c r="C116" s="400">
        <f t="shared" si="21"/>
        <v>1</v>
      </c>
    </row>
    <row r="117" spans="2:3">
      <c r="B117" s="365">
        <f t="shared" si="23"/>
        <v>2045</v>
      </c>
      <c r="C117" s="400">
        <f t="shared" si="21"/>
        <v>1</v>
      </c>
    </row>
    <row r="118" spans="2:3">
      <c r="B118" s="365">
        <f t="shared" si="23"/>
        <v>2050</v>
      </c>
      <c r="C118" s="400">
        <f t="shared" si="21"/>
        <v>1</v>
      </c>
    </row>
    <row r="119" spans="2:3">
      <c r="B119" s="365">
        <f t="shared" si="23"/>
        <v>2055</v>
      </c>
      <c r="C119" s="400">
        <f t="shared" si="21"/>
        <v>1</v>
      </c>
    </row>
    <row r="120" spans="2:3">
      <c r="B120" s="365">
        <f t="shared" si="23"/>
        <v>2060</v>
      </c>
      <c r="C120" s="400">
        <f t="shared" si="21"/>
        <v>1</v>
      </c>
    </row>
    <row r="121" spans="2:3">
      <c r="B121" s="365">
        <f t="shared" si="23"/>
        <v>2065</v>
      </c>
      <c r="C121" s="400">
        <f t="shared" si="21"/>
        <v>1</v>
      </c>
    </row>
    <row r="122" spans="2:3">
      <c r="B122" s="365">
        <f t="shared" si="23"/>
        <v>2070</v>
      </c>
      <c r="C122" s="400">
        <f t="shared" si="21"/>
        <v>1</v>
      </c>
    </row>
  </sheetData>
  <phoneticPr fontId="24" type="noConversion"/>
  <dataValidations count="3">
    <dataValidation type="whole" allowBlank="1" showInputMessage="1" showErrorMessage="1" sqref="L29">
      <formula1>1</formula1>
      <formula2>25</formula2>
    </dataValidation>
    <dataValidation type="whole" allowBlank="1" showInputMessage="1" showErrorMessage="1" sqref="G19">
      <formula1>1</formula1>
      <formula2>30</formula2>
    </dataValidation>
    <dataValidation type="list" allowBlank="1" showInputMessage="1" showErrorMessage="1" sqref="C13">
      <formula1>$B$82:$B$85</formula1>
    </dataValidation>
  </dataValidations>
  <pageMargins left="0.7" right="0.5" top="0.5" bottom="0.5" header="0.3" footer="0.3"/>
  <pageSetup scale="4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2100" r:id="rId4" name="Check Box 116">
              <controlPr defaultSize="0" autoFill="0" autoLine="0" autoPict="0">
                <anchor moveWithCells="1">
                  <from>
                    <xdr:col>2</xdr:col>
                    <xdr:colOff>0</xdr:colOff>
                    <xdr:row>54</xdr:row>
                    <xdr:rowOff>182880</xdr:rowOff>
                  </from>
                  <to>
                    <xdr:col>2</xdr:col>
                    <xdr:colOff>906780</xdr:colOff>
                    <xdr:row>56</xdr:row>
                    <xdr:rowOff>30480</xdr:rowOff>
                  </to>
                </anchor>
              </controlPr>
            </control>
          </mc:Choice>
        </mc:AlternateContent>
        <mc:AlternateContent xmlns:mc="http://schemas.openxmlformats.org/markup-compatibility/2006">
          <mc:Choice Requires="x14">
            <control shapeId="42101" r:id="rId5" name="Check Box 117">
              <controlPr defaultSize="0" autoFill="0" autoLine="0" autoPict="0">
                <anchor moveWithCells="1">
                  <from>
                    <xdr:col>2</xdr:col>
                    <xdr:colOff>0</xdr:colOff>
                    <xdr:row>54</xdr:row>
                    <xdr:rowOff>0</xdr:rowOff>
                  </from>
                  <to>
                    <xdr:col>2</xdr:col>
                    <xdr:colOff>929640</xdr:colOff>
                    <xdr:row>55</xdr:row>
                    <xdr:rowOff>15240</xdr:rowOff>
                  </to>
                </anchor>
              </controlPr>
            </control>
          </mc:Choice>
        </mc:AlternateContent>
        <mc:AlternateContent xmlns:mc="http://schemas.openxmlformats.org/markup-compatibility/2006">
          <mc:Choice Requires="x14">
            <control shapeId="42104" r:id="rId6" name="Option Button 120">
              <controlPr defaultSize="0" autoFill="0" autoLine="0" autoPict="0">
                <anchor moveWithCells="1">
                  <from>
                    <xdr:col>9</xdr:col>
                    <xdr:colOff>53340</xdr:colOff>
                    <xdr:row>53</xdr:row>
                    <xdr:rowOff>182880</xdr:rowOff>
                  </from>
                  <to>
                    <xdr:col>9</xdr:col>
                    <xdr:colOff>929640</xdr:colOff>
                    <xdr:row>55</xdr:row>
                    <xdr:rowOff>22860</xdr:rowOff>
                  </to>
                </anchor>
              </controlPr>
            </control>
          </mc:Choice>
        </mc:AlternateContent>
        <mc:AlternateContent xmlns:mc="http://schemas.openxmlformats.org/markup-compatibility/2006">
          <mc:Choice Requires="x14">
            <control shapeId="42106" r:id="rId7" name="Option Button 122">
              <controlPr defaultSize="0" autoFill="0" autoLine="0" autoPict="0">
                <anchor moveWithCells="1">
                  <from>
                    <xdr:col>11</xdr:col>
                    <xdr:colOff>106680</xdr:colOff>
                    <xdr:row>54</xdr:row>
                    <xdr:rowOff>15240</xdr:rowOff>
                  </from>
                  <to>
                    <xdr:col>11</xdr:col>
                    <xdr:colOff>906780</xdr:colOff>
                    <xdr:row>55</xdr:row>
                    <xdr:rowOff>22860</xdr:rowOff>
                  </to>
                </anchor>
              </controlPr>
            </control>
          </mc:Choice>
        </mc:AlternateContent>
        <mc:AlternateContent xmlns:mc="http://schemas.openxmlformats.org/markup-compatibility/2006">
          <mc:Choice Requires="x14">
            <control shapeId="42107" r:id="rId8" name="Check Box 123">
              <controlPr defaultSize="0" autoFill="0" autoLine="0" autoPict="0">
                <anchor moveWithCells="1">
                  <from>
                    <xdr:col>2</xdr:col>
                    <xdr:colOff>0</xdr:colOff>
                    <xdr:row>53</xdr:row>
                    <xdr:rowOff>0</xdr:rowOff>
                  </from>
                  <to>
                    <xdr:col>2</xdr:col>
                    <xdr:colOff>929640</xdr:colOff>
                    <xdr:row>54</xdr:row>
                    <xdr:rowOff>15240</xdr:rowOff>
                  </to>
                </anchor>
              </controlPr>
            </control>
          </mc:Choice>
        </mc:AlternateContent>
        <mc:AlternateContent xmlns:mc="http://schemas.openxmlformats.org/markup-compatibility/2006">
          <mc:Choice Requires="x14">
            <control shapeId="42108" r:id="rId9" name="Check Box 124">
              <controlPr defaultSize="0" autoFill="0" autoLine="0" autoPict="0">
                <anchor moveWithCells="1">
                  <from>
                    <xdr:col>2</xdr:col>
                    <xdr:colOff>15240</xdr:colOff>
                    <xdr:row>56</xdr:row>
                    <xdr:rowOff>15240</xdr:rowOff>
                  </from>
                  <to>
                    <xdr:col>2</xdr:col>
                    <xdr:colOff>929640</xdr:colOff>
                    <xdr:row>57</xdr:row>
                    <xdr:rowOff>15240</xdr:rowOff>
                  </to>
                </anchor>
              </controlPr>
            </control>
          </mc:Choice>
        </mc:AlternateContent>
        <mc:AlternateContent xmlns:mc="http://schemas.openxmlformats.org/markup-compatibility/2006">
          <mc:Choice Requires="x14">
            <control shapeId="42110" r:id="rId10" name="Button 126">
              <controlPr defaultSize="0" print="0" autoFill="0" autoPict="0" macro="[0]!SolveDebt">
                <anchor moveWithCells="1">
                  <from>
                    <xdr:col>0</xdr:col>
                    <xdr:colOff>106680</xdr:colOff>
                    <xdr:row>3</xdr:row>
                    <xdr:rowOff>38100</xdr:rowOff>
                  </from>
                  <to>
                    <xdr:col>1</xdr:col>
                    <xdr:colOff>746760</xdr:colOff>
                    <xdr:row>4</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7911DD0-26F6-4B37-8A91-2886A50D7787}">
            <xm:f>Financials!$D$175=0</xm:f>
            <x14:dxf>
              <font>
                <color theme="1"/>
              </font>
              <fill>
                <patternFill patternType="solid">
                  <bgColor rgb="FF92D050"/>
                </patternFill>
              </fill>
            </x14:dxf>
          </x14:cfRule>
          <xm:sqref>C1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Q112"/>
  <sheetViews>
    <sheetView showGridLines="0" topLeftCell="A3" zoomScale="90" zoomScaleNormal="90" workbookViewId="0">
      <selection activeCell="D13" sqref="D13"/>
    </sheetView>
  </sheetViews>
  <sheetFormatPr defaultColWidth="8.90625" defaultRowHeight="14.4"/>
  <cols>
    <col min="1" max="2" width="8.90625" style="2"/>
    <col min="3" max="5" width="9.90625" style="2" customWidth="1"/>
    <col min="6" max="6" width="11" style="2" bestFit="1" customWidth="1"/>
    <col min="7" max="7" width="10.6328125" style="2" bestFit="1" customWidth="1"/>
    <col min="8" max="16" width="8.90625" style="2"/>
    <col min="17" max="17" width="8.90625" style="2" customWidth="1"/>
    <col min="18" max="21" width="8.90625" style="2"/>
    <col min="22" max="22" width="4.81640625" style="2" customWidth="1"/>
    <col min="23" max="29" width="8.90625" style="2"/>
    <col min="30" max="30" width="8.90625" style="36"/>
    <col min="31" max="31" width="2.6328125" style="36" customWidth="1"/>
    <col min="32" max="33" width="11" style="2" bestFit="1" customWidth="1"/>
    <col min="34" max="34" width="8.90625" style="2"/>
    <col min="35" max="35" width="10.1796875" style="2" bestFit="1" customWidth="1"/>
    <col min="36" max="36" width="11.81640625" style="2" bestFit="1" customWidth="1"/>
    <col min="37" max="37" width="11" style="2" bestFit="1" customWidth="1"/>
    <col min="38" max="38" width="8.90625" style="2"/>
    <col min="39" max="39" width="11" style="2" bestFit="1" customWidth="1"/>
    <col min="40" max="16384" width="8.90625" style="2"/>
  </cols>
  <sheetData>
    <row r="1" spans="1:43" ht="15.6">
      <c r="A1" s="184" t="str">
        <f>"Calculation of Levelized Fixed Charge Rate"</f>
        <v>Calculation of Levelized Fixed Charge Rate</v>
      </c>
      <c r="B1" s="18"/>
      <c r="C1" s="18"/>
      <c r="D1" s="18"/>
      <c r="E1" s="18"/>
      <c r="F1" s="566" t="str">
        <f>IF(Financials!D175=0,"All checks OK","Press D&amp;E Macro")</f>
        <v>All checks OK</v>
      </c>
      <c r="G1" s="19"/>
      <c r="H1" s="19"/>
      <c r="I1" s="19"/>
      <c r="L1" s="19"/>
      <c r="M1" s="19"/>
      <c r="N1" s="19"/>
      <c r="O1" s="19"/>
      <c r="P1" s="19"/>
      <c r="Q1" s="19"/>
      <c r="R1" s="19"/>
      <c r="S1" s="19"/>
      <c r="T1" s="19"/>
      <c r="U1" s="19"/>
      <c r="V1" s="19"/>
      <c r="W1" s="19"/>
      <c r="X1" s="19"/>
      <c r="Y1" s="19"/>
      <c r="Z1" s="19"/>
    </row>
    <row r="2" spans="1:43">
      <c r="A2" s="17"/>
      <c r="B2" s="18"/>
      <c r="C2" s="18"/>
      <c r="D2" s="18"/>
      <c r="E2" s="18"/>
      <c r="F2" s="18"/>
      <c r="G2" s="19"/>
      <c r="H2" s="19"/>
      <c r="I2" s="19"/>
      <c r="L2" s="19"/>
      <c r="M2" s="19"/>
      <c r="N2" s="19"/>
      <c r="O2" s="19"/>
      <c r="P2" s="19"/>
      <c r="Q2" s="19"/>
      <c r="R2" s="19"/>
      <c r="S2" s="19"/>
      <c r="T2" s="19"/>
      <c r="U2" s="19"/>
      <c r="V2" s="19"/>
      <c r="W2" s="19"/>
      <c r="X2" s="19"/>
      <c r="Y2" s="19"/>
      <c r="Z2" s="19"/>
    </row>
    <row r="3" spans="1:43">
      <c r="A3" s="134" t="s">
        <v>487</v>
      </c>
      <c r="B3" s="135"/>
      <c r="C3" s="136"/>
      <c r="D3" s="137"/>
      <c r="F3" s="18"/>
      <c r="G3" s="134" t="s">
        <v>66</v>
      </c>
      <c r="H3" s="144"/>
      <c r="I3" s="144"/>
      <c r="J3" s="144"/>
      <c r="K3" s="145"/>
      <c r="M3" s="157" t="s">
        <v>488</v>
      </c>
      <c r="N3" s="158"/>
      <c r="O3" s="158"/>
      <c r="P3" s="159"/>
      <c r="S3" s="19"/>
      <c r="T3" s="19"/>
      <c r="U3" s="19"/>
      <c r="V3" s="19"/>
      <c r="W3" s="19"/>
      <c r="X3" s="19"/>
      <c r="Y3" s="19"/>
      <c r="Z3" s="19"/>
    </row>
    <row r="4" spans="1:43">
      <c r="A4" s="165" t="s">
        <v>489</v>
      </c>
      <c r="B4" s="18"/>
      <c r="D4" s="463">
        <f>+Capex!AK16/1000000+Capex!AK30/1000000</f>
        <v>272.44307505990042</v>
      </c>
      <c r="F4" s="20"/>
      <c r="G4" s="146" t="s">
        <v>490</v>
      </c>
      <c r="H4" s="125" t="s">
        <v>491</v>
      </c>
      <c r="I4" s="125" t="s">
        <v>492</v>
      </c>
      <c r="J4" s="125" t="s">
        <v>493</v>
      </c>
      <c r="K4" s="147" t="s">
        <v>494</v>
      </c>
      <c r="M4" s="154" t="s">
        <v>495</v>
      </c>
      <c r="N4" s="19"/>
      <c r="O4" s="19"/>
      <c r="P4" s="160">
        <f>'Input Data'!G19</f>
        <v>30</v>
      </c>
      <c r="S4" s="19"/>
      <c r="T4" s="22"/>
      <c r="U4" s="22"/>
      <c r="V4" s="22"/>
      <c r="W4" s="19"/>
      <c r="X4" s="19"/>
      <c r="Y4" s="19"/>
      <c r="Z4" s="19"/>
    </row>
    <row r="5" spans="1:43">
      <c r="A5" s="165" t="s">
        <v>384</v>
      </c>
      <c r="B5" s="18"/>
      <c r="D5" s="138">
        <f>MAX(Capex!D6:D15)</f>
        <v>60</v>
      </c>
      <c r="F5" s="20"/>
      <c r="G5" s="165" t="s">
        <v>496</v>
      </c>
      <c r="H5" s="148">
        <f>+'Input Data'!C24</f>
        <v>0.54</v>
      </c>
      <c r="I5" s="31">
        <f>$J5</f>
        <v>0.10199999999999999</v>
      </c>
      <c r="J5" s="149">
        <f>+'Input Data'!C27</f>
        <v>0.10199999999999999</v>
      </c>
      <c r="K5" s="150">
        <f>$J5/(1-$D$7)</f>
        <v>0.13662849105887079</v>
      </c>
      <c r="M5" s="168" t="s">
        <v>199</v>
      </c>
      <c r="P5" s="162">
        <f>+Q43</f>
        <v>783.08853138069378</v>
      </c>
      <c r="S5" s="23"/>
      <c r="T5" s="22"/>
      <c r="U5" s="22"/>
      <c r="V5" s="22"/>
      <c r="W5" s="19"/>
      <c r="X5" s="19"/>
      <c r="Y5" s="19"/>
      <c r="Z5" s="19"/>
    </row>
    <row r="6" spans="1:43">
      <c r="A6" s="165" t="s">
        <v>385</v>
      </c>
      <c r="B6" s="18"/>
      <c r="D6" s="138">
        <f>+Capex!E16</f>
        <v>34.755669998147958</v>
      </c>
      <c r="F6" s="20"/>
      <c r="G6" s="165" t="s">
        <v>497</v>
      </c>
      <c r="H6" s="151">
        <v>0</v>
      </c>
      <c r="I6" s="152">
        <f>+J6/(1-$D$7)</f>
        <v>0</v>
      </c>
      <c r="J6" s="151">
        <v>0</v>
      </c>
      <c r="K6" s="153">
        <f>J6/(1-$D$7)</f>
        <v>0</v>
      </c>
      <c r="M6" s="154" t="s">
        <v>498</v>
      </c>
      <c r="N6" s="19"/>
      <c r="O6" s="19"/>
      <c r="P6" s="162">
        <f>+R43</f>
        <v>339.47127698364835</v>
      </c>
      <c r="S6" s="23"/>
      <c r="T6" s="22"/>
      <c r="U6" s="22"/>
      <c r="V6" s="22"/>
      <c r="W6" s="19"/>
      <c r="X6" s="19"/>
      <c r="Y6" s="19"/>
      <c r="Z6" s="19"/>
    </row>
    <row r="7" spans="1:43">
      <c r="A7" s="165" t="s">
        <v>103</v>
      </c>
      <c r="B7" s="18"/>
      <c r="D7" s="139">
        <f>+'Input Data'!E50</f>
        <v>0.25345000000000001</v>
      </c>
      <c r="F7" s="20"/>
      <c r="G7" s="165" t="s">
        <v>68</v>
      </c>
      <c r="H7" s="149">
        <f>+'Input Data'!C25</f>
        <v>0.45999999999999996</v>
      </c>
      <c r="I7" s="149">
        <f>+'Input Data'!C29</f>
        <v>4.6849999999999989E-2</v>
      </c>
      <c r="J7" s="152">
        <f>+I7*(1-D7)</f>
        <v>3.4975867499999994E-2</v>
      </c>
      <c r="K7" s="150">
        <f>I7</f>
        <v>4.6849999999999989E-2</v>
      </c>
      <c r="M7" s="154" t="s">
        <v>499</v>
      </c>
      <c r="N7" s="21"/>
      <c r="O7" s="21"/>
      <c r="P7" s="155">
        <f>IF(D4=0,0,PMT(J8,P4,-P6,)/D4/(1+J8))</f>
        <v>9.4844450642541239E-2</v>
      </c>
      <c r="Q7" s="300"/>
      <c r="S7" s="24"/>
      <c r="T7" s="19"/>
      <c r="U7" s="19"/>
      <c r="V7" s="19"/>
      <c r="W7" s="19"/>
      <c r="X7" s="19"/>
      <c r="Y7" s="19"/>
      <c r="Z7" s="19"/>
    </row>
    <row r="8" spans="1:43" ht="15" thickBot="1">
      <c r="A8" s="166" t="s">
        <v>500</v>
      </c>
      <c r="B8" s="18"/>
      <c r="C8" s="140">
        <f>+'Input Data'!C33</f>
        <v>0.6</v>
      </c>
      <c r="D8" s="141">
        <f>+'Input Data'!C32</f>
        <v>1.7000000000000001E-2</v>
      </c>
      <c r="G8" s="163" t="s">
        <v>191</v>
      </c>
      <c r="H8" s="122">
        <f>SUM(H5:H7)</f>
        <v>1</v>
      </c>
      <c r="I8" s="121">
        <f>($H5*I5)+($H6*I6)+($H7*I7)</f>
        <v>7.6630999999999991E-2</v>
      </c>
      <c r="J8" s="121">
        <f>($H5*J5)+($H6*J6)+($H7*J7)</f>
        <v>7.1168899049999998E-2</v>
      </c>
      <c r="K8" s="164">
        <f>($H5*K5)+($H6*K6)+($H7*K7)</f>
        <v>9.5330385171790211E-2</v>
      </c>
      <c r="M8" s="154" t="s">
        <v>501</v>
      </c>
      <c r="N8" s="19"/>
      <c r="O8" s="19"/>
      <c r="P8" s="416">
        <f>IF(D4=0,0,MAX(S13:S37)/D4)</f>
        <v>1.1811083468694088</v>
      </c>
      <c r="S8" s="24"/>
      <c r="T8" s="34"/>
      <c r="U8" s="18"/>
      <c r="V8" s="19"/>
      <c r="W8" s="19"/>
      <c r="X8" s="19"/>
      <c r="Y8" s="19"/>
      <c r="Z8" s="19"/>
    </row>
    <row r="9" spans="1:43">
      <c r="A9" s="167"/>
      <c r="B9" s="32"/>
      <c r="C9" s="142"/>
      <c r="D9" s="143"/>
      <c r="F9" s="27"/>
      <c r="M9" s="156" t="s">
        <v>502</v>
      </c>
      <c r="N9" s="161"/>
      <c r="O9" s="161"/>
      <c r="P9" s="417" t="str">
        <f>IF(W43&gt;0,Z13,"N/A")</f>
        <v>N/A</v>
      </c>
      <c r="Q9" s="5"/>
      <c r="S9" s="28"/>
      <c r="T9" s="23"/>
      <c r="U9" s="23"/>
      <c r="V9" s="19"/>
      <c r="W9" s="19"/>
      <c r="X9" s="19"/>
      <c r="Y9" s="19"/>
      <c r="Z9" s="19"/>
    </row>
    <row r="10" spans="1:43">
      <c r="B10" s="18"/>
      <c r="J10" s="26"/>
      <c r="K10" s="19"/>
      <c r="L10" s="19"/>
      <c r="M10" s="19"/>
      <c r="N10" s="19"/>
      <c r="O10" s="19"/>
      <c r="P10" s="19"/>
      <c r="Q10" s="19"/>
      <c r="R10" s="19"/>
      <c r="S10" s="30"/>
      <c r="T10" s="23"/>
      <c r="U10" s="23"/>
      <c r="V10" s="19"/>
      <c r="W10" s="418" t="s">
        <v>503</v>
      </c>
      <c r="X10" s="418"/>
      <c r="Y10" s="418"/>
      <c r="Z10" s="418"/>
      <c r="AA10" s="419"/>
      <c r="AB10" s="419"/>
      <c r="AF10" s="515" t="s">
        <v>301</v>
      </c>
      <c r="AG10" s="515"/>
      <c r="AH10" s="515"/>
      <c r="AI10" s="515"/>
      <c r="AJ10" s="515"/>
      <c r="AK10" s="515"/>
      <c r="AL10" s="515"/>
    </row>
    <row r="11" spans="1:43">
      <c r="A11" s="173">
        <v>1</v>
      </c>
      <c r="B11" s="174">
        <f>+A11+1</f>
        <v>2</v>
      </c>
      <c r="C11" s="174">
        <f t="shared" ref="C11:L11" si="0">B11+1</f>
        <v>3</v>
      </c>
      <c r="D11" s="174">
        <f>+C11+1</f>
        <v>4</v>
      </c>
      <c r="E11" s="174">
        <f>+D11+1</f>
        <v>5</v>
      </c>
      <c r="F11" s="174">
        <f t="shared" si="0"/>
        <v>6</v>
      </c>
      <c r="G11" s="174">
        <f t="shared" si="0"/>
        <v>7</v>
      </c>
      <c r="H11" s="174">
        <f t="shared" si="0"/>
        <v>8</v>
      </c>
      <c r="I11" s="174">
        <f t="shared" si="0"/>
        <v>9</v>
      </c>
      <c r="J11" s="173">
        <f>+I11+1</f>
        <v>10</v>
      </c>
      <c r="K11" s="174">
        <f t="shared" si="0"/>
        <v>11</v>
      </c>
      <c r="L11" s="174">
        <f t="shared" si="0"/>
        <v>12</v>
      </c>
      <c r="M11" s="174">
        <f>+L11+1</f>
        <v>13</v>
      </c>
      <c r="N11" s="174">
        <f>+M11+1</f>
        <v>14</v>
      </c>
      <c r="O11" s="174">
        <f t="shared" ref="O11:U11" si="1">N11+1</f>
        <v>15</v>
      </c>
      <c r="P11" s="175">
        <f>+O11+1</f>
        <v>16</v>
      </c>
      <c r="Q11" s="173">
        <f>+P11+1</f>
        <v>17</v>
      </c>
      <c r="R11" s="174">
        <f t="shared" si="1"/>
        <v>18</v>
      </c>
      <c r="S11" s="175">
        <f t="shared" si="1"/>
        <v>19</v>
      </c>
      <c r="T11" s="173">
        <f t="shared" si="1"/>
        <v>20</v>
      </c>
      <c r="U11" s="175">
        <f t="shared" si="1"/>
        <v>21</v>
      </c>
      <c r="V11" s="19"/>
      <c r="W11" s="173">
        <f>+U11+1</f>
        <v>22</v>
      </c>
      <c r="X11" s="175">
        <f>W11+1</f>
        <v>23</v>
      </c>
      <c r="Y11" s="174">
        <f>X11+1</f>
        <v>24</v>
      </c>
      <c r="Z11" s="175">
        <f>Y11+1</f>
        <v>25</v>
      </c>
      <c r="AA11" s="174">
        <f>Z11+1</f>
        <v>26</v>
      </c>
      <c r="AB11" s="175">
        <f>+AA11+1</f>
        <v>27</v>
      </c>
      <c r="AD11" s="512"/>
      <c r="AF11" s="431" t="s">
        <v>504</v>
      </c>
      <c r="AG11" s="431"/>
      <c r="AH11" s="431"/>
      <c r="AI11" s="432"/>
      <c r="AJ11" s="431" t="s">
        <v>505</v>
      </c>
      <c r="AK11" s="431"/>
      <c r="AL11" s="431"/>
    </row>
    <row r="12" spans="1:43" ht="43.8" thickBot="1">
      <c r="A12" s="126"/>
      <c r="B12" s="169"/>
      <c r="C12" s="169" t="s">
        <v>506</v>
      </c>
      <c r="D12" s="169" t="s">
        <v>507</v>
      </c>
      <c r="E12" s="169" t="s">
        <v>508</v>
      </c>
      <c r="F12" s="169" t="s">
        <v>509</v>
      </c>
      <c r="G12" s="169" t="s">
        <v>510</v>
      </c>
      <c r="H12" s="169" t="s">
        <v>511</v>
      </c>
      <c r="I12" s="169" t="s">
        <v>512</v>
      </c>
      <c r="J12" s="170" t="str">
        <f>+E12</f>
        <v>Book Depr.</v>
      </c>
      <c r="K12" s="169" t="s">
        <v>513</v>
      </c>
      <c r="L12" s="169" t="s">
        <v>77</v>
      </c>
      <c r="M12" s="169" t="s">
        <v>429</v>
      </c>
      <c r="N12" s="169" t="s">
        <v>201</v>
      </c>
      <c r="O12" s="169" t="s">
        <v>514</v>
      </c>
      <c r="P12" s="169" t="s">
        <v>515</v>
      </c>
      <c r="Q12" s="172" t="s">
        <v>516</v>
      </c>
      <c r="R12" s="410" t="s">
        <v>517</v>
      </c>
      <c r="S12" s="171" t="s">
        <v>518</v>
      </c>
      <c r="T12" s="172" t="s">
        <v>519</v>
      </c>
      <c r="U12" s="171" t="s">
        <v>520</v>
      </c>
      <c r="V12" s="124"/>
      <c r="W12" s="172" t="s">
        <v>521</v>
      </c>
      <c r="X12" s="171" t="s">
        <v>522</v>
      </c>
      <c r="Y12" s="410" t="s">
        <v>523</v>
      </c>
      <c r="Z12" s="171" t="s">
        <v>524</v>
      </c>
      <c r="AA12" s="410" t="s">
        <v>525</v>
      </c>
      <c r="AB12" s="171" t="s">
        <v>526</v>
      </c>
      <c r="AD12" s="513" t="s">
        <v>103</v>
      </c>
      <c r="AE12" s="229"/>
      <c r="AF12" s="436" t="s">
        <v>527</v>
      </c>
      <c r="AG12" s="436" t="s">
        <v>528</v>
      </c>
      <c r="AH12" s="436" t="s">
        <v>394</v>
      </c>
      <c r="AI12" s="436"/>
      <c r="AJ12" s="436" t="s">
        <v>529</v>
      </c>
      <c r="AK12" s="436" t="s">
        <v>530</v>
      </c>
      <c r="AL12" s="436"/>
      <c r="AM12" s="229"/>
    </row>
    <row r="13" spans="1:43">
      <c r="A13" s="127">
        <v>1</v>
      </c>
      <c r="B13" s="128">
        <f>+Financials!C4</f>
        <v>2022</v>
      </c>
      <c r="C13" s="464">
        <f>SUMIF(Financials!$C$4:$AF$4,LFCR!$B13,Financials!$C$111:$AF$111)/1000000</f>
        <v>0</v>
      </c>
      <c r="D13" s="464">
        <f>IF(A13&gt;$P$4,0,(SUMIF(Financials!$C$4:$AF$4,B13,Financials!$C$113:$AF$113)-SUMIF(Financials!$C$4:$AF$4,B13-1,Financials!$C$113:$AF$113)+SUMIF(Financials!$C$4:$AF$4,B13,Financials!$C$118:$AF$118)-SUMIF(Financials!$C$4:$AF$4,B13-1,Financials!$C$118:$AF$118))/1000000)</f>
        <v>29.686757223903104</v>
      </c>
      <c r="E13" s="465">
        <f>SUMIF(Book!$C$1:$AF$1,A13,Book!$C$369:$AF$369)/1000000</f>
        <v>0</v>
      </c>
      <c r="F13" s="465">
        <f>IF(A13&gt;$P$4,0,SUMIF(Tax!$C$2:$AF$2,B13,Tax!$C$396:$AF$396)/1000000)</f>
        <v>0</v>
      </c>
      <c r="G13" s="466">
        <f>+C13+D13-E13-F13</f>
        <v>29.686757223903104</v>
      </c>
      <c r="H13" s="129">
        <f>IF('Input Data'!C54=TRUE,1,2)</f>
        <v>2</v>
      </c>
      <c r="I13" s="466">
        <f>IF(A13&gt;$P$4,0,IF(H13&lt;&gt;0,(C13+G13)/2*H13,(C13+G13)/2))</f>
        <v>29.686757223903104</v>
      </c>
      <c r="J13" s="470">
        <f t="shared" ref="J13:J37" si="2">E13</f>
        <v>0</v>
      </c>
      <c r="K13" s="466">
        <f>IF(A13&gt;$P$4,0,I13*$I$8)</f>
        <v>2.2749258928249185</v>
      </c>
      <c r="L13" s="465">
        <f>SUMIF(Financials!$C$3:$AG$3,A13,Financials!$C$18:$AG$18)/1000000</f>
        <v>0</v>
      </c>
      <c r="M13" s="465">
        <f>SUMIF(Financials!$C$3:$AG$3,A13,Financials!$C$16:$AG$16)/1000000</f>
        <v>0</v>
      </c>
      <c r="N13" s="465">
        <f>SUMIF(Financials!$C$3:$AG$3,A13,Financials!$C$15:$AG$15)/1000000</f>
        <v>0</v>
      </c>
      <c r="O13" s="466">
        <f>IF(A13&gt;$P$4,0,I13*$H$5*$I$5*(AD13/(1-AD13)))</f>
        <v>0.55512410783119037</v>
      </c>
      <c r="P13" s="466">
        <f>+SUMIF('Rev Req'!$C$4:$AF$4,B13,'Rev Req'!$C$14:$AF$14)/1000000</f>
        <v>0</v>
      </c>
      <c r="Q13" s="472">
        <f>SUM(J13:P13)</f>
        <v>2.8300500006561089</v>
      </c>
      <c r="R13" s="473">
        <f t="shared" ref="R13:R37" si="3">Q13/(1+$J$8)^(A13-1)</f>
        <v>2.8300500006561089</v>
      </c>
      <c r="S13" s="474">
        <f>R13</f>
        <v>2.8300500006561089</v>
      </c>
      <c r="T13" s="475">
        <f>+P7*D4</f>
        <v>25.839713785420884</v>
      </c>
      <c r="U13" s="476">
        <f t="shared" ref="U13:U37" si="4">T13/(1+$J$8)^(A13-1)</f>
        <v>25.839713785420884</v>
      </c>
      <c r="V13" s="18"/>
      <c r="W13" s="405">
        <f>IF(A13&gt;$P$4,0,IF(B13='Input Data'!$C$17,'Input Data'!$C$72*'Input Data'!$C$73*8760,0))*'Input Data'!C75</f>
        <v>0</v>
      </c>
      <c r="X13" s="406">
        <f t="shared" ref="X13:X37" si="5">W13/(1+$J$8)^(A13-1)</f>
        <v>0</v>
      </c>
      <c r="Y13" s="411">
        <f>IFERROR(T13/W13*1000,0)</f>
        <v>0</v>
      </c>
      <c r="Z13" s="412">
        <f>IFERROR(U43/X43*1000,0)</f>
        <v>0</v>
      </c>
      <c r="AA13" s="482">
        <f>+Z13*W13/1000</f>
        <v>0</v>
      </c>
      <c r="AB13" s="483">
        <f t="shared" ref="AB13:AB37" si="6">AA13/(1+$J$8)^(A13-1)</f>
        <v>0</v>
      </c>
      <c r="AD13" s="514">
        <f>IF(SUMIF('Input Data'!$C$40:$M$40,B13,'Input Data'!$C$50:$M$50)=0,'Input Data'!$M$50,SUMIF('Input Data'!$C$40:$M$40,B13,'Input Data'!$C$50:$M$50))</f>
        <v>0.25345000000000001</v>
      </c>
      <c r="AE13" s="306"/>
      <c r="AF13" s="433">
        <f>+Q13*1000000</f>
        <v>2830050.0006561088</v>
      </c>
      <c r="AG13" s="433">
        <f>SUMIF('Rev Req'!$C$4:$AF$4,B13,'Rev Req'!$C$15:$AF$15)</f>
        <v>0</v>
      </c>
      <c r="AH13" s="434">
        <f>AF13-AG13</f>
        <v>2830050.0006561088</v>
      </c>
      <c r="AI13" s="433"/>
      <c r="AJ13" s="433">
        <f>+I13*1000000</f>
        <v>29686757.223903105</v>
      </c>
      <c r="AK13" s="433">
        <f>SUMIF('Rev Req'!$C$4:$AF$4,B13,'Rev Req'!$C$20:$AF$20)+SUMIF('Rev Req'!$C$4:$AF$4,B13,'Rev Req'!$C$25:$AF$25)+SUMIF('Rev Req'!$C$4:$AF$4,B13,'Rev Req'!$C$32:$AF$32)</f>
        <v>0</v>
      </c>
      <c r="AL13" s="432"/>
    </row>
    <row r="14" spans="1:43">
      <c r="A14" s="132">
        <f t="shared" ref="A14:A42" si="7">A13+1</f>
        <v>2</v>
      </c>
      <c r="B14" s="133">
        <f t="shared" ref="B14:B42" si="8">B13+1</f>
        <v>2023</v>
      </c>
      <c r="C14" s="467">
        <f>+G13</f>
        <v>29.686757223903104</v>
      </c>
      <c r="D14" s="467">
        <f>IF(A14&gt;$P$4,0,(SUMIF(Financials!$C$4:$AF$4,B14,Financials!$C$113:$AF$113)-SUMIF(Financials!$C$4:$AF$4,B14-1,Financials!$C$113:$AF$113)+SUMIF(Financials!$C$4:$AF$4,B14,Financials!$C$118:$AF$118)-SUMIF(Financials!$C$4:$AF$4,B14-1,Financials!$C$118:$AF$118))/1000000)</f>
        <v>75.139621710071708</v>
      </c>
      <c r="E14" s="468">
        <f>SUMIF(Book!$C$1:$AF$1,A14,Book!$C$369:$AF$369)/1000000</f>
        <v>0</v>
      </c>
      <c r="F14" s="468">
        <f>IF(A14&gt;$P$4,0,SUMIF(Tax!$C$2:$AF$2,B14,Tax!$C$396:$AF$396)/1000000)-SUM($F$13:F13)</f>
        <v>0</v>
      </c>
      <c r="G14" s="469">
        <f t="shared" ref="G14:G37" si="9">+C14+D14-E14-F14</f>
        <v>104.82637893397481</v>
      </c>
      <c r="H14" s="130"/>
      <c r="I14" s="469">
        <f t="shared" ref="I14:I37" si="10">IF(A14&gt;$P$4,0,IF(H14&lt;&gt;0,(C14+G14)/2*H14,(C14+G14)/2))</f>
        <v>67.256568078938955</v>
      </c>
      <c r="J14" s="471">
        <f t="shared" si="2"/>
        <v>0</v>
      </c>
      <c r="K14" s="469">
        <f t="shared" ref="K14:K37" si="11">IF(A14&gt;$P$4,0,I14*$I$8)</f>
        <v>5.1539380684571707</v>
      </c>
      <c r="L14" s="468">
        <f>SUMIF(Financials!$C$3:$AG$3,A14,Financials!$C$18:$AG$18)/1000000</f>
        <v>0</v>
      </c>
      <c r="M14" s="468">
        <f>SUMIF(Financials!$C$3:$AG$3,A14,Financials!$C$16:$AG$16)/1000000</f>
        <v>0</v>
      </c>
      <c r="N14" s="468">
        <f>SUMIF(Financials!$C$3:$AG$3,A14,Financials!$C$15:$AG$15)/1000000</f>
        <v>0</v>
      </c>
      <c r="O14" s="469">
        <f t="shared" ref="O14:O42" si="12">IF(A14&gt;$P$4,0,I14*$H$5*$I$5*(AD14/(1-AD14)))</f>
        <v>1.2576564718408114</v>
      </c>
      <c r="P14" s="469">
        <f>+SUMIF('Rev Req'!$C$4:$AF$4,B14,'Rev Req'!$C$14:$AF$14)/1000000</f>
        <v>0</v>
      </c>
      <c r="Q14" s="477">
        <f t="shared" ref="Q14:Q37" si="13">SUM(J14:P14)</f>
        <v>6.4115945402979824</v>
      </c>
      <c r="R14" s="478">
        <f t="shared" si="3"/>
        <v>5.9856055809539548</v>
      </c>
      <c r="S14" s="479">
        <f>R14+S13</f>
        <v>8.8156555816100628</v>
      </c>
      <c r="T14" s="480">
        <f t="shared" ref="T14:T37" si="14">IF(A14&gt;$P$4,0,+T13)</f>
        <v>25.839713785420884</v>
      </c>
      <c r="U14" s="481">
        <f t="shared" si="4"/>
        <v>24.12291265022505</v>
      </c>
      <c r="V14" s="18"/>
      <c r="W14" s="407">
        <f>IF(A14&gt;$P$4,0,IF(B14='Input Data'!$C$17,'Input Data'!$C$72*'Input Data'!$C$73*8760*'Input Data'!$C$75,W13*(1-'Input Data'!$C$74)))</f>
        <v>0</v>
      </c>
      <c r="X14" s="408">
        <f t="shared" si="5"/>
        <v>0</v>
      </c>
      <c r="Y14" s="413">
        <f t="shared" ref="Y14:Y37" si="15">IFERROR(T14/W14*1000,0)</f>
        <v>0</v>
      </c>
      <c r="Z14" s="414">
        <f>+Z13</f>
        <v>0</v>
      </c>
      <c r="AA14" s="484">
        <f t="shared" ref="AA14:AA37" si="16">+Z14*W14/1000</f>
        <v>0</v>
      </c>
      <c r="AB14" s="485">
        <f t="shared" si="6"/>
        <v>0</v>
      </c>
      <c r="AD14" s="514">
        <f>IF(SUMIF('Input Data'!$C$40:$M$40,B14,'Input Data'!$C$50:$M$50)=0,'Input Data'!$M$50,SUMIF('Input Data'!$C$40:$M$40,B14,'Input Data'!$C$50:$M$50))</f>
        <v>0.25345000000000001</v>
      </c>
      <c r="AE14" s="306"/>
      <c r="AF14" s="433">
        <f t="shared" ref="AF14:AF37" si="17">+Q14*1000000</f>
        <v>6411594.5402979823</v>
      </c>
      <c r="AG14" s="433">
        <f>SUMIF('Rev Req'!$C$4:$AF$4,B14,'Rev Req'!$C$15:$AF$15)</f>
        <v>2.513797777803798E-2</v>
      </c>
      <c r="AH14" s="434">
        <f t="shared" ref="AH14:AH37" si="18">AF14-AG14</f>
        <v>6411594.5151600046</v>
      </c>
      <c r="AI14" s="433"/>
      <c r="AJ14" s="433">
        <f t="shared" ref="AJ14:AJ37" si="19">+I14*1000000</f>
        <v>67256568.078938961</v>
      </c>
      <c r="AK14" s="433">
        <f>SUMIF('Rev Req'!$C$4:$AF$4,B14,'Rev Req'!$C$20:$AF$20)+SUMIF('Rev Req'!$C$4:$AF$4,B14,'Rev Req'!$C$25:$AF$25)+SUMIF('Rev Req'!$C$4:$AF$4,B14,'Rev Req'!$C$32:$AF$32)</f>
        <v>3.7252902984619141E-9</v>
      </c>
      <c r="AL14" s="434">
        <f>+AJ14-AK14</f>
        <v>67256568.078938961</v>
      </c>
      <c r="AQ14" s="252"/>
    </row>
    <row r="15" spans="1:43">
      <c r="A15" s="132">
        <f t="shared" si="7"/>
        <v>3</v>
      </c>
      <c r="B15" s="133">
        <f t="shared" si="8"/>
        <v>2024</v>
      </c>
      <c r="C15" s="467">
        <f t="shared" ref="C15:C37" si="20">+G14</f>
        <v>104.82637893397481</v>
      </c>
      <c r="D15" s="467">
        <f>IF(A15&gt;$P$4,0,(SUMIF(Financials!$C$4:$AF$4,B15,Financials!$C$113:$AF$113)-SUMIF(Financials!$C$4:$AF$4,B15-1,Financials!$C$113:$AF$113)+SUMIF(Financials!$C$4:$AF$4,B15,Financials!$C$118:$AF$118)-SUMIF(Financials!$C$4:$AF$4,B15-1,Financials!$C$118:$AF$118))/1000000)</f>
        <v>119.21147400611784</v>
      </c>
      <c r="E15" s="468">
        <f>SUMIF(Book!$C$1:$AF$1,A15,Book!$C$369:$AF$369)/1000000</f>
        <v>0</v>
      </c>
      <c r="F15" s="468">
        <f>IF(A15&gt;$P$4,0,SUMIF(Tax!$C$2:$AF$2,B15,Tax!$C$396:$AF$396)/1000000)-SUM($F$13:F14)</f>
        <v>0.85073645952796739</v>
      </c>
      <c r="G15" s="469">
        <f t="shared" si="9"/>
        <v>223.18711648056467</v>
      </c>
      <c r="H15" s="130"/>
      <c r="I15" s="469">
        <f t="shared" si="10"/>
        <v>164.00674770726974</v>
      </c>
      <c r="J15" s="471">
        <f t="shared" si="2"/>
        <v>0</v>
      </c>
      <c r="K15" s="469">
        <f t="shared" si="11"/>
        <v>12.568001083555785</v>
      </c>
      <c r="L15" s="468">
        <f>SUMIF(Financials!$C$3:$AG$3,A15,Financials!$C$18:$AG$18)/1000000</f>
        <v>0</v>
      </c>
      <c r="M15" s="468">
        <f>SUMIF(Financials!$C$3:$AG$3,A15,Financials!$C$16:$AG$16)/1000000</f>
        <v>0</v>
      </c>
      <c r="N15" s="468">
        <f>SUMIF(Financials!$C$3:$AG$3,A15,Financials!$C$15:$AG$15)/1000000</f>
        <v>0</v>
      </c>
      <c r="O15" s="469">
        <f t="shared" si="12"/>
        <v>3.0668253461508614</v>
      </c>
      <c r="P15" s="469">
        <f>+SUMIF('Rev Req'!$C$4:$AF$4,B15,'Rev Req'!$C$14:$AF$14)/1000000</f>
        <v>0</v>
      </c>
      <c r="Q15" s="477">
        <f t="shared" si="13"/>
        <v>15.634826429706646</v>
      </c>
      <c r="R15" s="478">
        <f t="shared" si="3"/>
        <v>13.626275175086878</v>
      </c>
      <c r="S15" s="479">
        <f t="shared" ref="S15:S32" si="21">R15+S14</f>
        <v>22.441930756696941</v>
      </c>
      <c r="T15" s="480">
        <f t="shared" si="14"/>
        <v>25.839713785420884</v>
      </c>
      <c r="U15" s="481">
        <f t="shared" si="4"/>
        <v>22.520176483483809</v>
      </c>
      <c r="V15" s="18"/>
      <c r="W15" s="407">
        <f>IF(A15&gt;$P$4,0,IF(B15='Input Data'!$C$17,'Input Data'!$C$72*'Input Data'!$C$73*8760*'Input Data'!$C$75,W14*(1-'Input Data'!$C$74)))</f>
        <v>0</v>
      </c>
      <c r="X15" s="408">
        <f t="shared" si="5"/>
        <v>0</v>
      </c>
      <c r="Y15" s="413">
        <f t="shared" si="15"/>
        <v>0</v>
      </c>
      <c r="Z15" s="414">
        <f t="shared" ref="Z15:Z42" si="22">+Z14</f>
        <v>0</v>
      </c>
      <c r="AA15" s="484">
        <f t="shared" si="16"/>
        <v>0</v>
      </c>
      <c r="AB15" s="485">
        <f t="shared" si="6"/>
        <v>0</v>
      </c>
      <c r="AD15" s="514">
        <f>IF(SUMIF('Input Data'!$C$40:$M$40,B15,'Input Data'!$C$50:$M$50)=0,'Input Data'!$M$50,SUMIF('Input Data'!$C$40:$M$40,B15,'Input Data'!$C$50:$M$50))</f>
        <v>0.25345000000000001</v>
      </c>
      <c r="AE15" s="306"/>
      <c r="AF15" s="433">
        <f t="shared" si="17"/>
        <v>15634826.429706646</v>
      </c>
      <c r="AG15" s="433">
        <f>SUMIF('Rev Req'!$C$4:$AF$4,B15,'Rev Req'!$C$15:$AF$15)</f>
        <v>6843785.2321432745</v>
      </c>
      <c r="AH15" s="434">
        <f t="shared" si="18"/>
        <v>8791041.1975633726</v>
      </c>
      <c r="AI15" s="433"/>
      <c r="AJ15" s="433">
        <f t="shared" si="19"/>
        <v>164006747.70726973</v>
      </c>
      <c r="AK15" s="433">
        <f>SUMIF('Rev Req'!$C$4:$AF$4,B15,'Rev Req'!$C$20:$AF$20)+SUMIF('Rev Req'!$C$4:$AF$4,B15,'Rev Req'!$C$25:$AF$25)+SUMIF('Rev Req'!$C$4:$AF$4,B15,'Rev Req'!$C$32:$AF$32)</f>
        <v>71790177</v>
      </c>
      <c r="AL15" s="434">
        <f t="shared" ref="AL15:AL42" si="23">+AJ15-AK15</f>
        <v>92216570.707269728</v>
      </c>
      <c r="AQ15" s="252"/>
    </row>
    <row r="16" spans="1:43">
      <c r="A16" s="132">
        <f t="shared" si="7"/>
        <v>4</v>
      </c>
      <c r="B16" s="133">
        <f t="shared" si="8"/>
        <v>2025</v>
      </c>
      <c r="C16" s="467">
        <f t="shared" si="20"/>
        <v>223.18711648056467</v>
      </c>
      <c r="D16" s="467">
        <f>IF(A16&gt;$P$4,0,(SUMIF(Financials!$C$4:$AF$4,B16,Financials!$C$113:$AF$113)-SUMIF(Financials!$C$4:$AF$4,B16-1,Financials!$C$113:$AF$113)+SUMIF(Financials!$C$4:$AF$4,B16,Financials!$C$118:$AF$118)-SUMIF(Financials!$C$4:$AF$4,B16-1,Financials!$C$118:$AF$118))/1000000)</f>
        <v>46.989586106716843</v>
      </c>
      <c r="E16" s="468">
        <f>SUMIF(Book!$C$1:$AF$1,A16,Book!$C$369:$AF$369)/1000000</f>
        <v>5.3446438985098768</v>
      </c>
      <c r="F16" s="468">
        <f>IF(A16&gt;$P$4,0,SUMIF(Tax!$C$2:$AF$2,B16,Tax!$C$396:$AF$396)/1000000)-SUM($F$13:F15)</f>
        <v>1.3117042416544218</v>
      </c>
      <c r="G16" s="469">
        <f t="shared" si="9"/>
        <v>263.5203544471172</v>
      </c>
      <c r="H16" s="130"/>
      <c r="I16" s="469">
        <f t="shared" si="10"/>
        <v>243.35373546384093</v>
      </c>
      <c r="J16" s="471">
        <f t="shared" si="2"/>
        <v>5.3446438985098768</v>
      </c>
      <c r="K16" s="469">
        <f t="shared" si="11"/>
        <v>18.648440102329591</v>
      </c>
      <c r="L16" s="468">
        <f>SUMIF(Financials!$C$3:$AG$3,A16,Financials!$C$18:$AG$18)/1000000</f>
        <v>1.4731971070915439</v>
      </c>
      <c r="M16" s="468">
        <f>SUMIF(Financials!$C$3:$AG$3,A16,Financials!$C$16:$AG$16)/1000000</f>
        <v>3.453821</v>
      </c>
      <c r="N16" s="468">
        <f>SUMIF(Financials!$C$3:$AG$3,A16,Financials!$C$15:$AG$15)/1000000</f>
        <v>0</v>
      </c>
      <c r="O16" s="469">
        <f t="shared" si="12"/>
        <v>4.5505652324323105</v>
      </c>
      <c r="P16" s="469">
        <f>+SUMIF('Rev Req'!$C$4:$AF$4,B16,'Rev Req'!$C$14:$AF$14)/1000000</f>
        <v>0</v>
      </c>
      <c r="Q16" s="477">
        <f t="shared" si="13"/>
        <v>33.47066734036332</v>
      </c>
      <c r="R16" s="478">
        <f t="shared" si="3"/>
        <v>27.23268781870102</v>
      </c>
      <c r="S16" s="479">
        <f t="shared" si="21"/>
        <v>49.674618575397957</v>
      </c>
      <c r="T16" s="480">
        <f t="shared" si="14"/>
        <v>25.839713785420884</v>
      </c>
      <c r="U16" s="481">
        <f t="shared" si="4"/>
        <v>21.023926762116172</v>
      </c>
      <c r="V16" s="18"/>
      <c r="W16" s="407">
        <f>IF(A16&gt;$P$4,0,IF(B16='Input Data'!$C$17,'Input Data'!$C$72*'Input Data'!$C$73*8760*'Input Data'!$C$75,W15*(1-'Input Data'!$C$74)))</f>
        <v>0</v>
      </c>
      <c r="X16" s="408">
        <f t="shared" si="5"/>
        <v>0</v>
      </c>
      <c r="Y16" s="413">
        <f t="shared" si="15"/>
        <v>0</v>
      </c>
      <c r="Z16" s="414">
        <f t="shared" si="22"/>
        <v>0</v>
      </c>
      <c r="AA16" s="484">
        <f t="shared" si="16"/>
        <v>0</v>
      </c>
      <c r="AB16" s="485">
        <f t="shared" si="6"/>
        <v>0</v>
      </c>
      <c r="AD16" s="514">
        <f>IF(SUMIF('Input Data'!$C$40:$M$40,B16,'Input Data'!$C$50:$M$50)=0,'Input Data'!$M$50,SUMIF('Input Data'!$C$40:$M$40,B16,'Input Data'!$C$50:$M$50))</f>
        <v>0.25345000000000001</v>
      </c>
      <c r="AE16" s="306"/>
      <c r="AF16" s="433">
        <f t="shared" si="17"/>
        <v>33470667.34036332</v>
      </c>
      <c r="AG16" s="433">
        <f>SUMIF('Rev Req'!$C$4:$AF$4,B16,'Rev Req'!$C$15:$AF$15)</f>
        <v>29676195.567923136</v>
      </c>
      <c r="AH16" s="434">
        <f t="shared" si="18"/>
        <v>3794471.7724401839</v>
      </c>
      <c r="AI16" s="433"/>
      <c r="AJ16" s="433">
        <f t="shared" si="19"/>
        <v>243353735.46384093</v>
      </c>
      <c r="AK16" s="433">
        <f>SUMIF('Rev Req'!$C$4:$AF$4,B16,'Rev Req'!$C$20:$AF$20)+SUMIF('Rev Req'!$C$4:$AF$4,B16,'Rev Req'!$C$25:$AF$25)+SUMIF('Rev Req'!$C$4:$AF$4,B16,'Rev Req'!$C$32:$AF$32)</f>
        <v>203550353</v>
      </c>
      <c r="AL16" s="434">
        <f t="shared" si="23"/>
        <v>39803382.463840932</v>
      </c>
      <c r="AQ16" s="252"/>
    </row>
    <row r="17" spans="1:43">
      <c r="A17" s="132">
        <f t="shared" si="7"/>
        <v>5</v>
      </c>
      <c r="B17" s="133">
        <f t="shared" si="8"/>
        <v>2026</v>
      </c>
      <c r="C17" s="467">
        <f t="shared" si="20"/>
        <v>263.5203544471172</v>
      </c>
      <c r="D17" s="467">
        <f>IF(A17&gt;$P$4,0,(SUMIF(Financials!$C$4:$AF$4,B17,Financials!$C$113:$AF$113)-SUMIF(Financials!$C$4:$AF$4,B17-1,Financials!$C$113:$AF$113)+SUMIF(Financials!$C$4:$AF$4,B17,Financials!$C$118:$AF$118)-SUMIF(Financials!$C$4:$AF$4,B17-1,Financials!$C$118:$AF$118))/1000000)</f>
        <v>0</v>
      </c>
      <c r="E17" s="468">
        <f>SUMIF(Book!$C$1:$AF$1,A17,Book!$C$369:$AF$369)/1000000</f>
        <v>8.5074819233043115</v>
      </c>
      <c r="F17" s="468">
        <f>IF(A17&gt;$P$4,0,SUMIF(Tax!$C$2:$AF$2,B17,Tax!$C$396:$AF$396)/1000000)-SUM($F$13:F16)</f>
        <v>1.3737361419095002</v>
      </c>
      <c r="G17" s="469">
        <f t="shared" si="9"/>
        <v>253.6391363819034</v>
      </c>
      <c r="H17" s="130"/>
      <c r="I17" s="469">
        <f t="shared" si="10"/>
        <v>258.57974541451028</v>
      </c>
      <c r="J17" s="471">
        <f t="shared" si="2"/>
        <v>8.5074819233043115</v>
      </c>
      <c r="K17" s="469">
        <f t="shared" si="11"/>
        <v>19.815224470859334</v>
      </c>
      <c r="L17" s="468">
        <f>SUMIF(Financials!$C$3:$AG$3,A17,Financials!$C$18:$AG$18)/1000000</f>
        <v>2.709964510512656</v>
      </c>
      <c r="M17" s="468">
        <f>SUMIF(Financials!$C$3:$AG$3,A17,Financials!$C$16:$AG$16)/1000000</f>
        <v>2.8966280000000002</v>
      </c>
      <c r="N17" s="468">
        <f>SUMIF(Financials!$C$3:$AG$3,A17,Financials!$C$15:$AG$15)/1000000</f>
        <v>0</v>
      </c>
      <c r="O17" s="469">
        <f t="shared" si="12"/>
        <v>4.8352822571293883</v>
      </c>
      <c r="P17" s="469">
        <f>+SUMIF('Rev Req'!$C$4:$AF$4,B17,'Rev Req'!$C$14:$AF$14)/1000000</f>
        <v>0</v>
      </c>
      <c r="Q17" s="477">
        <f t="shared" si="13"/>
        <v>38.764581161805687</v>
      </c>
      <c r="R17" s="478">
        <f t="shared" si="3"/>
        <v>29.444438541210936</v>
      </c>
      <c r="S17" s="479">
        <f t="shared" si="21"/>
        <v>79.1190571166089</v>
      </c>
      <c r="T17" s="480">
        <f t="shared" si="14"/>
        <v>25.839713785420884</v>
      </c>
      <c r="U17" s="481">
        <f t="shared" si="4"/>
        <v>19.627088483209238</v>
      </c>
      <c r="V17" s="18"/>
      <c r="W17" s="407">
        <f>IF(A17&gt;$P$4,0,IF(B17='Input Data'!$C$17,'Input Data'!$C$72*'Input Data'!$C$73*8760*'Input Data'!$C$75,W16*(1-'Input Data'!$C$74)))</f>
        <v>0</v>
      </c>
      <c r="X17" s="408">
        <f t="shared" si="5"/>
        <v>0</v>
      </c>
      <c r="Y17" s="413">
        <f t="shared" si="15"/>
        <v>0</v>
      </c>
      <c r="Z17" s="414">
        <f t="shared" si="22"/>
        <v>0</v>
      </c>
      <c r="AA17" s="484">
        <f t="shared" si="16"/>
        <v>0</v>
      </c>
      <c r="AB17" s="485">
        <f t="shared" si="6"/>
        <v>0</v>
      </c>
      <c r="AD17" s="514">
        <f>IF(SUMIF('Input Data'!$C$40:$M$40,B17,'Input Data'!$C$50:$M$50)=0,'Input Data'!$M$50,SUMIF('Input Data'!$C$40:$M$40,B17,'Input Data'!$C$50:$M$50))</f>
        <v>0.25345000000000001</v>
      </c>
      <c r="AE17" s="306"/>
      <c r="AF17" s="433">
        <f t="shared" si="17"/>
        <v>38764581.161805689</v>
      </c>
      <c r="AG17" s="433">
        <f>SUMIF('Rev Req'!$C$4:$AF$4,B17,'Rev Req'!$C$15:$AF$15)</f>
        <v>38764581.231985211</v>
      </c>
      <c r="AH17" s="434">
        <f t="shared" si="18"/>
        <v>-7.0179522037506104E-2</v>
      </c>
      <c r="AI17" s="433"/>
      <c r="AJ17" s="433">
        <f t="shared" si="19"/>
        <v>258579745.41451028</v>
      </c>
      <c r="AK17" s="433">
        <f>SUMIF('Rev Req'!$C$4:$AF$4,B17,'Rev Req'!$C$20:$AF$20)+SUMIF('Rev Req'!$C$4:$AF$4,B17,'Rev Req'!$C$25:$AF$25)+SUMIF('Rev Req'!$C$4:$AF$4,B17,'Rev Req'!$C$32:$AF$32)</f>
        <v>258579746</v>
      </c>
      <c r="AL17" s="434">
        <f t="shared" si="23"/>
        <v>-0.58548972010612488</v>
      </c>
      <c r="AQ17" s="252"/>
    </row>
    <row r="18" spans="1:43">
      <c r="A18" s="132">
        <f t="shared" si="7"/>
        <v>6</v>
      </c>
      <c r="B18" s="133">
        <f t="shared" si="8"/>
        <v>2027</v>
      </c>
      <c r="C18" s="467">
        <f t="shared" si="20"/>
        <v>253.6391363819034</v>
      </c>
      <c r="D18" s="467">
        <f>IF(A18&gt;$P$4,0,(SUMIF(Financials!$C$4:$AF$4,B18,Financials!$C$113:$AF$113)-SUMIF(Financials!$C$4:$AF$4,B18-1,Financials!$C$113:$AF$113)+SUMIF(Financials!$C$4:$AF$4,B18,Financials!$C$118:$AF$118)-SUMIF(Financials!$C$4:$AF$4,B18-1,Financials!$C$118:$AF$118))/1000000)</f>
        <v>0</v>
      </c>
      <c r="E18" s="468">
        <f>SUMIF(Book!$C$1:$AF$1,A18,Book!$C$369:$AF$369)/1000000</f>
        <v>8.5074819233043115</v>
      </c>
      <c r="F18" s="468">
        <f>IF(A18&gt;$P$4,0,SUMIF(Tax!$C$2:$AF$2,B18,Tax!$C$396:$AF$396)/1000000)-SUM($F$13:F17)</f>
        <v>0.7810329670590499</v>
      </c>
      <c r="G18" s="469">
        <f t="shared" si="9"/>
        <v>244.35062149154004</v>
      </c>
      <c r="H18" s="131"/>
      <c r="I18" s="469">
        <f t="shared" si="10"/>
        <v>248.9948789367217</v>
      </c>
      <c r="J18" s="471">
        <f t="shared" si="2"/>
        <v>8.5074819233043115</v>
      </c>
      <c r="K18" s="469">
        <f t="shared" si="11"/>
        <v>19.080726567799918</v>
      </c>
      <c r="L18" s="468">
        <f>SUMIF(Financials!$C$3:$AG$3,A18,Financials!$C$18:$AG$18)/1000000</f>
        <v>2.623188194894952</v>
      </c>
      <c r="M18" s="468">
        <f>SUMIF(Financials!$C$3:$AG$3,A18,Financials!$C$16:$AG$16)/1000000</f>
        <v>2.9400780000000002</v>
      </c>
      <c r="N18" s="468">
        <f>SUMIF(Financials!$C$3:$AG$3,A18,Financials!$C$15:$AG$15)/1000000</f>
        <v>0</v>
      </c>
      <c r="O18" s="469">
        <f t="shared" si="12"/>
        <v>4.6560511470410377</v>
      </c>
      <c r="P18" s="469">
        <f>+SUMIF('Rev Req'!$C$4:$AF$4,B18,'Rev Req'!$C$14:$AF$14)/1000000</f>
        <v>0</v>
      </c>
      <c r="Q18" s="477">
        <f t="shared" si="13"/>
        <v>37.807525833040224</v>
      </c>
      <c r="R18" s="478">
        <f t="shared" si="3"/>
        <v>26.809485803666185</v>
      </c>
      <c r="S18" s="479">
        <f t="shared" si="21"/>
        <v>105.92854292027508</v>
      </c>
      <c r="T18" s="480">
        <f t="shared" si="14"/>
        <v>25.839713785420884</v>
      </c>
      <c r="U18" s="481">
        <f t="shared" si="4"/>
        <v>18.323056709932622</v>
      </c>
      <c r="V18" s="18"/>
      <c r="W18" s="407">
        <f>IF(A18&gt;$P$4,0,IF(B18='Input Data'!$C$17,'Input Data'!$C$72*'Input Data'!$C$73*8760*'Input Data'!$C$75,W17*(1-'Input Data'!$C$74)))</f>
        <v>0</v>
      </c>
      <c r="X18" s="408">
        <f t="shared" si="5"/>
        <v>0</v>
      </c>
      <c r="Y18" s="413">
        <f t="shared" si="15"/>
        <v>0</v>
      </c>
      <c r="Z18" s="414">
        <f t="shared" si="22"/>
        <v>0</v>
      </c>
      <c r="AA18" s="484">
        <f t="shared" si="16"/>
        <v>0</v>
      </c>
      <c r="AB18" s="485">
        <f t="shared" si="6"/>
        <v>0</v>
      </c>
      <c r="AD18" s="514">
        <f>IF(SUMIF('Input Data'!$C$40:$M$40,B18,'Input Data'!$C$50:$M$50)=0,'Input Data'!$M$50,SUMIF('Input Data'!$C$40:$M$40,B18,'Input Data'!$C$50:$M$50))</f>
        <v>0.25345000000000001</v>
      </c>
      <c r="AE18" s="306"/>
      <c r="AF18" s="433">
        <f t="shared" si="17"/>
        <v>37807525.833040223</v>
      </c>
      <c r="AG18" s="433">
        <f>SUMIF('Rev Req'!$C$4:$AF$4,B18,'Rev Req'!$C$15:$AF$15)</f>
        <v>37807525.869597256</v>
      </c>
      <c r="AH18" s="434">
        <f t="shared" si="18"/>
        <v>-3.6557033658027649E-2</v>
      </c>
      <c r="AI18" s="433"/>
      <c r="AJ18" s="433">
        <f t="shared" si="19"/>
        <v>248994878.93672171</v>
      </c>
      <c r="AK18" s="433">
        <f>SUMIF('Rev Req'!$C$4:$AF$4,B18,'Rev Req'!$C$20:$AF$20)+SUMIF('Rev Req'!$C$4:$AF$4,B18,'Rev Req'!$C$25:$AF$25)+SUMIF('Rev Req'!$C$4:$AF$4,B18,'Rev Req'!$C$32:$AF$32)</f>
        <v>248994879</v>
      </c>
      <c r="AL18" s="434">
        <f t="shared" si="23"/>
        <v>-6.3278287649154663E-2</v>
      </c>
      <c r="AQ18" s="252"/>
    </row>
    <row r="19" spans="1:43">
      <c r="A19" s="132">
        <f t="shared" si="7"/>
        <v>7</v>
      </c>
      <c r="B19" s="133">
        <f t="shared" si="8"/>
        <v>2028</v>
      </c>
      <c r="C19" s="467">
        <f t="shared" si="20"/>
        <v>244.35062149154004</v>
      </c>
      <c r="D19" s="467">
        <f>IF(A19&gt;$P$4,0,(SUMIF(Financials!$C$4:$AF$4,B19,Financials!$C$113:$AF$113)-SUMIF(Financials!$C$4:$AF$4,B19-1,Financials!$C$113:$AF$113)+SUMIF(Financials!$C$4:$AF$4,B19,Financials!$C$118:$AF$118)-SUMIF(Financials!$C$4:$AF$4,B19-1,Financials!$C$118:$AF$118))/1000000)</f>
        <v>0</v>
      </c>
      <c r="E19" s="468">
        <f>SUMIF(Book!$C$1:$AF$1,A19,Book!$C$369:$AF$369)/1000000</f>
        <v>8.5074819233043115</v>
      </c>
      <c r="F19" s="468">
        <f>IF(A19&gt;$P$4,0,SUMIF(Tax!$C$2:$AF$2,B19,Tax!$C$396:$AF$396)/1000000)-SUM($F$13:F18)</f>
        <v>0.3576735564515845</v>
      </c>
      <c r="G19" s="469">
        <f t="shared" si="9"/>
        <v>235.48546601178415</v>
      </c>
      <c r="H19" s="131"/>
      <c r="I19" s="469">
        <f t="shared" si="10"/>
        <v>239.91804375166208</v>
      </c>
      <c r="J19" s="471">
        <f t="shared" si="2"/>
        <v>8.5074819233043115</v>
      </c>
      <c r="K19" s="469">
        <f t="shared" si="11"/>
        <v>18.385159610733616</v>
      </c>
      <c r="L19" s="468">
        <f>SUMIF(Financials!$C$3:$AG$3,A19,Financials!$C$18:$AG$18)/1000000</f>
        <v>2.5364118792772485</v>
      </c>
      <c r="M19" s="468">
        <f>SUMIF(Financials!$C$3:$AG$3,A19,Financials!$C$16:$AG$16)/1000000</f>
        <v>2.9841799999999998</v>
      </c>
      <c r="N19" s="468">
        <f>SUMIF(Financials!$C$3:$AG$3,A19,Financials!$C$15:$AG$15)/1000000</f>
        <v>0</v>
      </c>
      <c r="O19" s="469">
        <f t="shared" si="12"/>
        <v>4.4863199097747497</v>
      </c>
      <c r="P19" s="469">
        <f>+SUMIF('Rev Req'!$C$4:$AF$4,B19,'Rev Req'!$C$14:$AF$14)/1000000</f>
        <v>0</v>
      </c>
      <c r="Q19" s="477">
        <f t="shared" si="13"/>
        <v>36.899553323089926</v>
      </c>
      <c r="R19" s="478">
        <f t="shared" si="3"/>
        <v>24.427182730721398</v>
      </c>
      <c r="S19" s="479">
        <f t="shared" si="21"/>
        <v>130.35572565099648</v>
      </c>
      <c r="T19" s="480">
        <f t="shared" si="14"/>
        <v>25.839713785420884</v>
      </c>
      <c r="U19" s="481">
        <f t="shared" si="4"/>
        <v>17.105665340155976</v>
      </c>
      <c r="V19" s="18"/>
      <c r="W19" s="407">
        <f>IF(A19&gt;$P$4,0,IF(B19='Input Data'!$C$17,'Input Data'!$C$72*'Input Data'!$C$73*8760*'Input Data'!$C$75,W18*(1-'Input Data'!$C$74)))</f>
        <v>0</v>
      </c>
      <c r="X19" s="408">
        <f t="shared" si="5"/>
        <v>0</v>
      </c>
      <c r="Y19" s="413">
        <f t="shared" si="15"/>
        <v>0</v>
      </c>
      <c r="Z19" s="414">
        <f t="shared" si="22"/>
        <v>0</v>
      </c>
      <c r="AA19" s="484">
        <f t="shared" si="16"/>
        <v>0</v>
      </c>
      <c r="AB19" s="485">
        <f t="shared" si="6"/>
        <v>0</v>
      </c>
      <c r="AD19" s="514">
        <f>IF(SUMIF('Input Data'!$C$40:$M$40,B19,'Input Data'!$C$50:$M$50)=0,'Input Data'!$M$50,SUMIF('Input Data'!$C$40:$M$40,B19,'Input Data'!$C$50:$M$50))</f>
        <v>0.25345000000000001</v>
      </c>
      <c r="AE19" s="306"/>
      <c r="AF19" s="433">
        <f t="shared" si="17"/>
        <v>36899553.323089927</v>
      </c>
      <c r="AG19" s="433">
        <f>SUMIF('Rev Req'!$C$4:$AF$4,B19,'Rev Req'!$C$15:$AF$15)</f>
        <v>36899553.368310913</v>
      </c>
      <c r="AH19" s="434">
        <f t="shared" si="18"/>
        <v>-4.5220986008644104E-2</v>
      </c>
      <c r="AI19" s="433"/>
      <c r="AJ19" s="433">
        <f t="shared" si="19"/>
        <v>239918043.75166208</v>
      </c>
      <c r="AK19" s="433">
        <f>SUMIF('Rev Req'!$C$4:$AF$4,B19,'Rev Req'!$C$20:$AF$20)+SUMIF('Rev Req'!$C$4:$AF$4,B19,'Rev Req'!$C$25:$AF$25)+SUMIF('Rev Req'!$C$4:$AF$4,B19,'Rev Req'!$C$32:$AF$32)</f>
        <v>239918044</v>
      </c>
      <c r="AL19" s="434">
        <f t="shared" si="23"/>
        <v>-0.24833792448043823</v>
      </c>
      <c r="AQ19" s="252"/>
    </row>
    <row r="20" spans="1:43">
      <c r="A20" s="132">
        <f t="shared" si="7"/>
        <v>8</v>
      </c>
      <c r="B20" s="133">
        <f t="shared" si="8"/>
        <v>2029</v>
      </c>
      <c r="C20" s="467">
        <f t="shared" si="20"/>
        <v>235.48546601178415</v>
      </c>
      <c r="D20" s="467">
        <f>IF(A20&gt;$P$4,0,(SUMIF(Financials!$C$4:$AF$4,B20,Financials!$C$113:$AF$113)-SUMIF(Financials!$C$4:$AF$4,B20-1,Financials!$C$113:$AF$113)+SUMIF(Financials!$C$4:$AF$4,B20,Financials!$C$118:$AF$118)-SUMIF(Financials!$C$4:$AF$4,B20-1,Financials!$C$118:$AF$118))/1000000)</f>
        <v>0</v>
      </c>
      <c r="E20" s="468">
        <f>SUMIF(Book!$C$1:$AF$1,A20,Book!$C$369:$AF$369)/1000000</f>
        <v>8.5074819233043115</v>
      </c>
      <c r="F20" s="468">
        <f>IF(A20&gt;$P$4,0,SUMIF(Tax!$C$2:$AF$2,B20,Tax!$C$396:$AF$396)/1000000)-SUM($F$13:F19)</f>
        <v>5.624165609907017E-2</v>
      </c>
      <c r="G20" s="469">
        <f t="shared" si="9"/>
        <v>226.92174243238077</v>
      </c>
      <c r="H20" s="131"/>
      <c r="I20" s="469">
        <f t="shared" si="10"/>
        <v>231.20360422208245</v>
      </c>
      <c r="J20" s="471">
        <f t="shared" si="2"/>
        <v>8.5074819233043115</v>
      </c>
      <c r="K20" s="469">
        <f t="shared" si="11"/>
        <v>17.717363395142399</v>
      </c>
      <c r="L20" s="468">
        <f>SUMIF(Financials!$C$3:$AG$3,A20,Financials!$C$18:$AG$18)/1000000</f>
        <v>2.4496355636595446</v>
      </c>
      <c r="M20" s="468">
        <f>SUMIF(Financials!$C$3:$AG$3,A20,Financials!$C$16:$AG$16)/1000000</f>
        <v>3.0289419999999998</v>
      </c>
      <c r="N20" s="468">
        <f>SUMIF(Financials!$C$3:$AG$3,A20,Financials!$C$15:$AG$15)/1000000</f>
        <v>0</v>
      </c>
      <c r="O20" s="469">
        <f t="shared" si="12"/>
        <v>4.3233652484548664</v>
      </c>
      <c r="P20" s="469">
        <f>+SUMIF('Rev Req'!$C$4:$AF$4,B20,'Rev Req'!$C$14:$AF$14)/1000000</f>
        <v>0</v>
      </c>
      <c r="Q20" s="477">
        <f t="shared" si="13"/>
        <v>36.026788130561123</v>
      </c>
      <c r="R20" s="478">
        <f t="shared" si="3"/>
        <v>22.264854590457766</v>
      </c>
      <c r="S20" s="479">
        <f t="shared" si="21"/>
        <v>152.62058024145423</v>
      </c>
      <c r="T20" s="480">
        <f t="shared" si="14"/>
        <v>25.839713785420884</v>
      </c>
      <c r="U20" s="481">
        <f t="shared" si="4"/>
        <v>15.969157950092352</v>
      </c>
      <c r="V20" s="18"/>
      <c r="W20" s="407">
        <f>IF(A20&gt;$P$4,0,IF(B20='Input Data'!$C$17,'Input Data'!$C$72*'Input Data'!$C$73*8760*'Input Data'!$C$75,W19*(1-'Input Data'!$C$74)))</f>
        <v>0</v>
      </c>
      <c r="X20" s="408">
        <f t="shared" si="5"/>
        <v>0</v>
      </c>
      <c r="Y20" s="413">
        <f t="shared" si="15"/>
        <v>0</v>
      </c>
      <c r="Z20" s="414">
        <f t="shared" si="22"/>
        <v>0</v>
      </c>
      <c r="AA20" s="484">
        <f t="shared" si="16"/>
        <v>0</v>
      </c>
      <c r="AB20" s="485">
        <f t="shared" si="6"/>
        <v>0</v>
      </c>
      <c r="AD20" s="514">
        <f>IF(SUMIF('Input Data'!$C$40:$M$40,B20,'Input Data'!$C$50:$M$50)=0,'Input Data'!$M$50,SUMIF('Input Data'!$C$40:$M$40,B20,'Input Data'!$C$50:$M$50))</f>
        <v>0.25345000000000001</v>
      </c>
      <c r="AE20" s="306"/>
      <c r="AF20" s="433">
        <f t="shared" si="17"/>
        <v>36026788.130561121</v>
      </c>
      <c r="AG20" s="433">
        <f>SUMIF('Rev Req'!$C$4:$AF$4,B20,'Rev Req'!$C$15:$AF$15)</f>
        <v>36026788.095025361</v>
      </c>
      <c r="AH20" s="434">
        <f t="shared" si="18"/>
        <v>3.5535760223865509E-2</v>
      </c>
      <c r="AI20" s="433"/>
      <c r="AJ20" s="433">
        <f t="shared" si="19"/>
        <v>231203604.22208244</v>
      </c>
      <c r="AK20" s="433">
        <f>SUMIF('Rev Req'!$C$4:$AF$4,B20,'Rev Req'!$C$20:$AF$20)+SUMIF('Rev Req'!$C$4:$AF$4,B20,'Rev Req'!$C$25:$AF$25)+SUMIF('Rev Req'!$C$4:$AF$4,B20,'Rev Req'!$C$32:$AF$32)</f>
        <v>231203604</v>
      </c>
      <c r="AL20" s="434">
        <f t="shared" si="23"/>
        <v>0.22208243608474731</v>
      </c>
      <c r="AQ20" s="252"/>
    </row>
    <row r="21" spans="1:43">
      <c r="A21" s="132">
        <f t="shared" si="7"/>
        <v>9</v>
      </c>
      <c r="B21" s="133">
        <f t="shared" si="8"/>
        <v>2030</v>
      </c>
      <c r="C21" s="467">
        <f t="shared" si="20"/>
        <v>226.92174243238077</v>
      </c>
      <c r="D21" s="467">
        <f>IF(A21&gt;$P$4,0,(SUMIF(Financials!$C$4:$AF$4,B21,Financials!$C$113:$AF$113)-SUMIF(Financials!$C$4:$AF$4,B21-1,Financials!$C$113:$AF$113)+SUMIF(Financials!$C$4:$AF$4,B21,Financials!$C$118:$AF$118)-SUMIF(Financials!$C$4:$AF$4,B21-1,Financials!$C$118:$AF$118))/1000000)</f>
        <v>0</v>
      </c>
      <c r="E21" s="468">
        <f>SUMIF(Book!$C$1:$AF$1,A21,Book!$C$369:$AF$369)/1000000</f>
        <v>8.5074819233043115</v>
      </c>
      <c r="F21" s="468">
        <f>IF(A21&gt;$P$4,0,SUMIF(Tax!$C$2:$AF$2,B21,Tax!$C$396:$AF$396)/1000000)-SUM($F$13:F20)</f>
        <v>5.539493727785505E-2</v>
      </c>
      <c r="G21" s="469">
        <f t="shared" si="9"/>
        <v>218.35886557179859</v>
      </c>
      <c r="H21" s="131"/>
      <c r="I21" s="469">
        <f t="shared" si="10"/>
        <v>222.64030400208969</v>
      </c>
      <c r="J21" s="471">
        <f t="shared" si="2"/>
        <v>8.5074819233043115</v>
      </c>
      <c r="K21" s="469">
        <f t="shared" si="11"/>
        <v>17.061149135984135</v>
      </c>
      <c r="L21" s="468">
        <f>SUMIF(Financials!$C$3:$AG$3,A21,Financials!$C$18:$AG$18)/1000000</f>
        <v>2.3628592480418398</v>
      </c>
      <c r="M21" s="468">
        <f>SUMIF(Financials!$C$3:$AG$3,A21,Financials!$C$16:$AG$16)/1000000</f>
        <v>3.074376</v>
      </c>
      <c r="N21" s="468">
        <f>SUMIF(Financials!$C$3:$AG$3,A21,Financials!$C$15:$AG$15)/1000000</f>
        <v>0</v>
      </c>
      <c r="O21" s="469">
        <f t="shared" si="12"/>
        <v>4.163236799299546</v>
      </c>
      <c r="P21" s="469">
        <f>+SUMIF('Rev Req'!$C$4:$AF$4,B21,'Rev Req'!$C$14:$AF$14)/1000000</f>
        <v>0</v>
      </c>
      <c r="Q21" s="477">
        <f t="shared" si="13"/>
        <v>35.169103106629834</v>
      </c>
      <c r="R21" s="478">
        <f t="shared" si="3"/>
        <v>20.290729253037167</v>
      </c>
      <c r="S21" s="479">
        <f t="shared" si="21"/>
        <v>172.91130949449141</v>
      </c>
      <c r="T21" s="480">
        <f t="shared" si="14"/>
        <v>25.839713785420884</v>
      </c>
      <c r="U21" s="481">
        <f t="shared" si="4"/>
        <v>14.908160575101746</v>
      </c>
      <c r="V21" s="18"/>
      <c r="W21" s="407">
        <f>IF(A21&gt;$P$4,0,IF(B21='Input Data'!$C$17,'Input Data'!$C$72*'Input Data'!$C$73*8760*'Input Data'!$C$75,W20*(1-'Input Data'!$C$74)))</f>
        <v>0</v>
      </c>
      <c r="X21" s="408">
        <f t="shared" si="5"/>
        <v>0</v>
      </c>
      <c r="Y21" s="413">
        <f t="shared" si="15"/>
        <v>0</v>
      </c>
      <c r="Z21" s="414">
        <f t="shared" si="22"/>
        <v>0</v>
      </c>
      <c r="AA21" s="484">
        <f t="shared" si="16"/>
        <v>0</v>
      </c>
      <c r="AB21" s="485">
        <f t="shared" si="6"/>
        <v>0</v>
      </c>
      <c r="AD21" s="514">
        <f>IF(SUMIF('Input Data'!$C$40:$M$40,B21,'Input Data'!$C$50:$M$50)=0,'Input Data'!$M$50,SUMIF('Input Data'!$C$40:$M$40,B21,'Input Data'!$C$50:$M$50))</f>
        <v>0.25345000000000001</v>
      </c>
      <c r="AE21" s="306"/>
      <c r="AF21" s="433">
        <f t="shared" si="17"/>
        <v>35169103.106629834</v>
      </c>
      <c r="AG21" s="433">
        <f>SUMIF('Rev Req'!$C$4:$AF$4,B21,'Rev Req'!$C$15:$AF$15)</f>
        <v>35169103.092066064</v>
      </c>
      <c r="AH21" s="434">
        <f t="shared" si="18"/>
        <v>1.4563769102096558E-2</v>
      </c>
      <c r="AI21" s="433"/>
      <c r="AJ21" s="433">
        <f t="shared" si="19"/>
        <v>222640304.00208968</v>
      </c>
      <c r="AK21" s="433">
        <f>SUMIF('Rev Req'!$C$4:$AF$4,B21,'Rev Req'!$C$20:$AF$20)+SUMIF('Rev Req'!$C$4:$AF$4,B21,'Rev Req'!$C$25:$AF$25)+SUMIF('Rev Req'!$C$4:$AF$4,B21,'Rev Req'!$C$32:$AF$32)</f>
        <v>222640304</v>
      </c>
      <c r="AL21" s="434">
        <f t="shared" si="23"/>
        <v>2.0896792411804199E-3</v>
      </c>
      <c r="AQ21" s="252"/>
    </row>
    <row r="22" spans="1:43">
      <c r="A22" s="132">
        <f t="shared" si="7"/>
        <v>10</v>
      </c>
      <c r="B22" s="133">
        <f t="shared" si="8"/>
        <v>2031</v>
      </c>
      <c r="C22" s="467">
        <f t="shared" si="20"/>
        <v>218.35886557179859</v>
      </c>
      <c r="D22" s="467">
        <f>IF(A22&gt;$P$4,0,(SUMIF(Financials!$C$4:$AF$4,B22,Financials!$C$113:$AF$113)-SUMIF(Financials!$C$4:$AF$4,B22-1,Financials!$C$113:$AF$113)+SUMIF(Financials!$C$4:$AF$4,B22,Financials!$C$118:$AF$118)-SUMIF(Financials!$C$4:$AF$4,B22-1,Financials!$C$118:$AF$118))/1000000)</f>
        <v>2.6499999999999999E-2</v>
      </c>
      <c r="E22" s="468">
        <f>SUMIF(Book!$C$1:$AF$1,A22,Book!$C$369:$AF$369)/1000000</f>
        <v>8.5077027566376451</v>
      </c>
      <c r="F22" s="468">
        <f>IF(A22&gt;$P$4,0,SUMIF(Tax!$C$2:$AF$2,B22,Tax!$C$396:$AF$396)/1000000)-SUM($F$13:F21)</f>
        <v>5.6357901916378239E-2</v>
      </c>
      <c r="G22" s="469">
        <f t="shared" si="9"/>
        <v>209.82130491324455</v>
      </c>
      <c r="H22" s="131"/>
      <c r="I22" s="469">
        <f t="shared" si="10"/>
        <v>214.09008524252158</v>
      </c>
      <c r="J22" s="471">
        <f t="shared" si="2"/>
        <v>8.5077027566376451</v>
      </c>
      <c r="K22" s="469">
        <f t="shared" si="11"/>
        <v>16.405937322219668</v>
      </c>
      <c r="L22" s="468">
        <f>SUMIF(Financials!$C$3:$AG$3,A22,Financials!$C$18:$AG$18)/1000000</f>
        <v>2.2760829324241363</v>
      </c>
      <c r="M22" s="468">
        <f>SUMIF(Financials!$C$3:$AG$3,A22,Financials!$C$16:$AG$16)/1000000</f>
        <v>3.120492</v>
      </c>
      <c r="N22" s="468">
        <f>SUMIF(Financials!$C$3:$AG$3,A22,Financials!$C$15:$AG$15)/1000000</f>
        <v>0</v>
      </c>
      <c r="O22" s="469">
        <f t="shared" si="12"/>
        <v>4.0033529654113158</v>
      </c>
      <c r="P22" s="469">
        <f>+SUMIF('Rev Req'!$C$4:$AF$4,B22,'Rev Req'!$C$14:$AF$14)/1000000</f>
        <v>0</v>
      </c>
      <c r="Q22" s="477">
        <f t="shared" si="13"/>
        <v>34.313567976692759</v>
      </c>
      <c r="R22" s="478">
        <f t="shared" si="3"/>
        <v>18.481800899810626</v>
      </c>
      <c r="S22" s="479">
        <f t="shared" si="21"/>
        <v>191.39311039430203</v>
      </c>
      <c r="T22" s="480">
        <f t="shared" si="14"/>
        <v>25.839713785420884</v>
      </c>
      <c r="U22" s="481">
        <f t="shared" si="4"/>
        <v>13.917656298949234</v>
      </c>
      <c r="V22" s="18"/>
      <c r="W22" s="407">
        <f>IF(A22&gt;$P$4,0,IF(B22='Input Data'!$C$17,'Input Data'!$C$72*'Input Data'!$C$73*8760*'Input Data'!$C$75,W21*(1-'Input Data'!$C$74)))</f>
        <v>0</v>
      </c>
      <c r="X22" s="408">
        <f t="shared" si="5"/>
        <v>0</v>
      </c>
      <c r="Y22" s="413">
        <f t="shared" si="15"/>
        <v>0</v>
      </c>
      <c r="Z22" s="414">
        <f t="shared" si="22"/>
        <v>0</v>
      </c>
      <c r="AA22" s="484">
        <f t="shared" si="16"/>
        <v>0</v>
      </c>
      <c r="AB22" s="485">
        <f t="shared" si="6"/>
        <v>0</v>
      </c>
      <c r="AD22" s="514">
        <f>IF(SUMIF('Input Data'!$C$40:$M$40,B22,'Input Data'!$C$50:$M$50)=0,'Input Data'!$M$50,SUMIF('Input Data'!$C$40:$M$40,B22,'Input Data'!$C$50:$M$50))</f>
        <v>0.25345000000000001</v>
      </c>
      <c r="AE22" s="306"/>
      <c r="AF22" s="433">
        <f t="shared" si="17"/>
        <v>34313567.976692759</v>
      </c>
      <c r="AG22" s="433">
        <f>SUMIF('Rev Req'!$C$4:$AF$4,B22,'Rev Req'!$C$15:$AF$15)</f>
        <v>34313567.962550938</v>
      </c>
      <c r="AH22" s="434">
        <f t="shared" si="18"/>
        <v>1.414182037115097E-2</v>
      </c>
      <c r="AI22" s="433"/>
      <c r="AJ22" s="433">
        <f t="shared" si="19"/>
        <v>214090085.24252158</v>
      </c>
      <c r="AK22" s="433">
        <f>SUMIF('Rev Req'!$C$4:$AF$4,B22,'Rev Req'!$C$20:$AF$20)+SUMIF('Rev Req'!$C$4:$AF$4,B22,'Rev Req'!$C$25:$AF$25)+SUMIF('Rev Req'!$C$4:$AF$4,B22,'Rev Req'!$C$32:$AF$32)</f>
        <v>214090085</v>
      </c>
      <c r="AL22" s="434">
        <f t="shared" si="23"/>
        <v>0.24252158403396606</v>
      </c>
      <c r="AQ22" s="252"/>
    </row>
    <row r="23" spans="1:43">
      <c r="A23" s="132">
        <f t="shared" si="7"/>
        <v>11</v>
      </c>
      <c r="B23" s="133">
        <f t="shared" si="8"/>
        <v>2032</v>
      </c>
      <c r="C23" s="467">
        <f t="shared" si="20"/>
        <v>209.82130491324455</v>
      </c>
      <c r="D23" s="467">
        <f>IF(A23&gt;$P$4,0,(SUMIF(Financials!$C$4:$AF$4,B23,Financials!$C$113:$AF$113)-SUMIF(Financials!$C$4:$AF$4,B23-1,Financials!$C$113:$AF$113)+SUMIF(Financials!$C$4:$AF$4,B23,Financials!$C$118:$AF$118)-SUMIF(Financials!$C$4:$AF$4,B23-1,Financials!$C$118:$AF$118))/1000000)</f>
        <v>2.7295E-2</v>
      </c>
      <c r="E23" s="468">
        <f>SUMIF(Book!$C$1:$AF$1,A23,Book!$C$369:$AF$369)/1000000</f>
        <v>6.1218848892565205</v>
      </c>
      <c r="F23" s="468">
        <f>IF(A23&gt;$P$4,0,SUMIF(Tax!$C$2:$AF$2,B23,Tax!$C$396:$AF$396)/1000000)-SUM($F$13:F22)</f>
        <v>0.28273750982746115</v>
      </c>
      <c r="G23" s="469">
        <f t="shared" si="9"/>
        <v>203.44397751416059</v>
      </c>
      <c r="H23" s="131"/>
      <c r="I23" s="469">
        <f t="shared" si="10"/>
        <v>206.63264121370258</v>
      </c>
      <c r="J23" s="471">
        <f t="shared" si="2"/>
        <v>6.1218848892565205</v>
      </c>
      <c r="K23" s="469">
        <f t="shared" si="11"/>
        <v>15.834465928847241</v>
      </c>
      <c r="L23" s="468">
        <f>SUMIF(Financials!$C$3:$AG$3,A23,Financials!$C$18:$AG$18)/1000000</f>
        <v>2.1895746643064324</v>
      </c>
      <c r="M23" s="468">
        <f>SUMIF(Financials!$C$3:$AG$3,A23,Financials!$C$16:$AG$16)/1000000</f>
        <v>3.1673</v>
      </c>
      <c r="N23" s="468">
        <f>SUMIF(Financials!$C$3:$AG$3,A23,Financials!$C$15:$AG$15)/1000000</f>
        <v>0</v>
      </c>
      <c r="O23" s="469">
        <f t="shared" si="12"/>
        <v>3.8639033471193618</v>
      </c>
      <c r="P23" s="469">
        <f>+SUMIF('Rev Req'!$C$4:$AF$4,B23,'Rev Req'!$C$14:$AF$14)/1000000</f>
        <v>0</v>
      </c>
      <c r="Q23" s="477">
        <f t="shared" si="13"/>
        <v>31.177128829529554</v>
      </c>
      <c r="R23" s="478">
        <f t="shared" si="3"/>
        <v>15.676769445061851</v>
      </c>
      <c r="S23" s="479">
        <f t="shared" si="21"/>
        <v>207.06987983936386</v>
      </c>
      <c r="T23" s="480">
        <f t="shared" si="14"/>
        <v>25.839713785420884</v>
      </c>
      <c r="U23" s="481">
        <f t="shared" si="4"/>
        <v>12.99296153136312</v>
      </c>
      <c r="V23" s="18"/>
      <c r="W23" s="407">
        <f>IF(A23&gt;$P$4,0,IF(B23='Input Data'!$C$17,'Input Data'!$C$72*'Input Data'!$C$73*8760*'Input Data'!$C$75,W22*(1-'Input Data'!$C$74)))</f>
        <v>0</v>
      </c>
      <c r="X23" s="408">
        <f t="shared" si="5"/>
        <v>0</v>
      </c>
      <c r="Y23" s="413">
        <f t="shared" si="15"/>
        <v>0</v>
      </c>
      <c r="Z23" s="414">
        <f t="shared" si="22"/>
        <v>0</v>
      </c>
      <c r="AA23" s="484">
        <f t="shared" si="16"/>
        <v>0</v>
      </c>
      <c r="AB23" s="485">
        <f t="shared" si="6"/>
        <v>0</v>
      </c>
      <c r="AD23" s="514">
        <f>IF(SUMIF('Input Data'!$C$40:$M$40,B23,'Input Data'!$C$50:$M$50)=0,'Input Data'!$M$50,SUMIF('Input Data'!$C$40:$M$40,B23,'Input Data'!$C$50:$M$50))</f>
        <v>0.25345000000000001</v>
      </c>
      <c r="AE23" s="306"/>
      <c r="AF23" s="433">
        <f t="shared" si="17"/>
        <v>31177128.829529554</v>
      </c>
      <c r="AG23" s="433">
        <f>SUMIF('Rev Req'!$C$4:$AF$4,B23,'Rev Req'!$C$15:$AF$15)</f>
        <v>31177128.796588216</v>
      </c>
      <c r="AH23" s="434">
        <f t="shared" si="18"/>
        <v>3.2941337674856186E-2</v>
      </c>
      <c r="AI23" s="433"/>
      <c r="AJ23" s="433">
        <f t="shared" si="19"/>
        <v>206632641.21370259</v>
      </c>
      <c r="AK23" s="433">
        <f>SUMIF('Rev Req'!$C$4:$AF$4,B23,'Rev Req'!$C$20:$AF$20)+SUMIF('Rev Req'!$C$4:$AF$4,B23,'Rev Req'!$C$25:$AF$25)+SUMIF('Rev Req'!$C$4:$AF$4,B23,'Rev Req'!$C$32:$AF$32)</f>
        <v>206632641</v>
      </c>
      <c r="AL23" s="434">
        <f t="shared" si="23"/>
        <v>0.21370258927345276</v>
      </c>
      <c r="AQ23" s="252"/>
    </row>
    <row r="24" spans="1:43">
      <c r="A24" s="132">
        <f t="shared" si="7"/>
        <v>12</v>
      </c>
      <c r="B24" s="133">
        <f t="shared" si="8"/>
        <v>2033</v>
      </c>
      <c r="C24" s="467">
        <f t="shared" si="20"/>
        <v>203.44397751416059</v>
      </c>
      <c r="D24" s="467">
        <f>IF(A24&gt;$P$4,0,(SUMIF(Financials!$C$4:$AF$4,B24,Financials!$C$113:$AF$113)-SUMIF(Financials!$C$4:$AF$4,B24-1,Financials!$C$113:$AF$113)+SUMIF(Financials!$C$4:$AF$4,B24,Financials!$C$118:$AF$118)-SUMIF(Financials!$C$4:$AF$4,B24-1,Financials!$C$118:$AF$118))/1000000)</f>
        <v>2.836472309088707E-2</v>
      </c>
      <c r="E24" s="468">
        <f>SUMIF(Book!$C$1:$AF$1,A24,Book!$C$369:$AF$369)/1000000</f>
        <v>3.7360825612344803</v>
      </c>
      <c r="F24" s="468">
        <f>IF(A24&gt;$P$4,0,SUMIF(Tax!$C$2:$AF$2,B24,Tax!$C$396:$AF$396)/1000000)-SUM($F$13:F23)</f>
        <v>0.50996684993785113</v>
      </c>
      <c r="G24" s="469">
        <f t="shared" si="9"/>
        <v>199.22629282607915</v>
      </c>
      <c r="H24" s="131"/>
      <c r="I24" s="469">
        <f t="shared" si="10"/>
        <v>201.33513517011988</v>
      </c>
      <c r="J24" s="471">
        <f t="shared" si="2"/>
        <v>3.7360825612344803</v>
      </c>
      <c r="K24" s="469">
        <f t="shared" si="11"/>
        <v>15.428512743221455</v>
      </c>
      <c r="L24" s="468">
        <f>SUMIF(Financials!$C$3:$AG$3,A24,Financials!$C$18:$AG$18)/1000000</f>
        <v>2.1274098474360161</v>
      </c>
      <c r="M24" s="468">
        <f>SUMIF(Financials!$C$3:$AG$3,A24,Financials!$C$16:$AG$16)/1000000</f>
        <v>3.2148089999999998</v>
      </c>
      <c r="N24" s="468">
        <f>SUMIF(Financials!$C$3:$AG$3,A24,Financials!$C$15:$AG$15)/1000000</f>
        <v>0</v>
      </c>
      <c r="O24" s="469">
        <f t="shared" si="12"/>
        <v>3.7648432411605222</v>
      </c>
      <c r="P24" s="469">
        <f>+SUMIF('Rev Req'!$C$4:$AF$4,B24,'Rev Req'!$C$14:$AF$14)/1000000</f>
        <v>0</v>
      </c>
      <c r="Q24" s="477">
        <f t="shared" si="13"/>
        <v>28.271657393052475</v>
      </c>
      <c r="R24" s="478">
        <f t="shared" si="3"/>
        <v>13.271309222135018</v>
      </c>
      <c r="S24" s="479">
        <f t="shared" si="21"/>
        <v>220.34118906149888</v>
      </c>
      <c r="T24" s="480">
        <f t="shared" si="14"/>
        <v>25.839713785420884</v>
      </c>
      <c r="U24" s="481">
        <f t="shared" si="4"/>
        <v>12.129703861721843</v>
      </c>
      <c r="V24" s="18"/>
      <c r="W24" s="407">
        <f>IF(A24&gt;$P$4,0,IF(B24='Input Data'!$C$17,'Input Data'!$C$72*'Input Data'!$C$73*8760*'Input Data'!$C$75,W23*(1-'Input Data'!$C$74)))</f>
        <v>0</v>
      </c>
      <c r="X24" s="408">
        <f t="shared" si="5"/>
        <v>0</v>
      </c>
      <c r="Y24" s="413">
        <f t="shared" si="15"/>
        <v>0</v>
      </c>
      <c r="Z24" s="414">
        <f t="shared" si="22"/>
        <v>0</v>
      </c>
      <c r="AA24" s="484">
        <f t="shared" si="16"/>
        <v>0</v>
      </c>
      <c r="AB24" s="485">
        <f t="shared" si="6"/>
        <v>0</v>
      </c>
      <c r="AD24" s="514">
        <f>IF(SUMIF('Input Data'!$C$40:$M$40,B24,'Input Data'!$C$50:$M$50)=0,'Input Data'!$M$50,SUMIF('Input Data'!$C$40:$M$40,B24,'Input Data'!$C$50:$M$50))</f>
        <v>0.25345000000000001</v>
      </c>
      <c r="AE24" s="306"/>
      <c r="AF24" s="433">
        <f t="shared" si="17"/>
        <v>28271657.393052474</v>
      </c>
      <c r="AG24" s="433">
        <f>SUMIF('Rev Req'!$C$4:$AF$4,B24,'Rev Req'!$C$15:$AF$15)</f>
        <v>28271657.38581273</v>
      </c>
      <c r="AH24" s="434">
        <f t="shared" si="18"/>
        <v>7.2397440671920776E-3</v>
      </c>
      <c r="AI24" s="433"/>
      <c r="AJ24" s="433">
        <f t="shared" si="19"/>
        <v>201335135.17011988</v>
      </c>
      <c r="AK24" s="433">
        <f>SUMIF('Rev Req'!$C$4:$AF$4,B24,'Rev Req'!$C$20:$AF$20)+SUMIF('Rev Req'!$C$4:$AF$4,B24,'Rev Req'!$C$25:$AF$25)+SUMIF('Rev Req'!$C$4:$AF$4,B24,'Rev Req'!$C$32:$AF$32)</f>
        <v>201335135</v>
      </c>
      <c r="AL24" s="434">
        <f t="shared" si="23"/>
        <v>0.17011988162994385</v>
      </c>
      <c r="AQ24" s="252"/>
    </row>
    <row r="25" spans="1:43">
      <c r="A25" s="132">
        <f t="shared" si="7"/>
        <v>13</v>
      </c>
      <c r="B25" s="133">
        <f t="shared" si="8"/>
        <v>2034</v>
      </c>
      <c r="C25" s="467">
        <f t="shared" si="20"/>
        <v>199.22629282607915</v>
      </c>
      <c r="D25" s="467">
        <f>IF(A25&gt;$P$4,0,(SUMIF(Financials!$C$4:$AF$4,B25,Financials!$C$113:$AF$113)-SUMIF(Financials!$C$4:$AF$4,B25-1,Financials!$C$113:$AF$113)+SUMIF(Financials!$C$4:$AF$4,B25,Financials!$C$118:$AF$118)-SUMIF(Financials!$C$4:$AF$4,B25-1,Financials!$C$118:$AF$118))/1000000)</f>
        <v>2.9215671818196773E-2</v>
      </c>
      <c r="E25" s="468">
        <f>SUMIF(Book!$C$1:$AF$1,A25,Book!$C$369:$AF$369)/1000000</f>
        <v>3.736562397858723</v>
      </c>
      <c r="F25" s="468">
        <f>IF(A25&gt;$P$4,0,SUMIF(Tax!$C$2:$AF$2,B25,Tax!$C$396:$AF$396)/1000000)-SUM($F$13:F24)</f>
        <v>0.51003509975626482</v>
      </c>
      <c r="G25" s="469">
        <f t="shared" si="9"/>
        <v>195.00891100028235</v>
      </c>
      <c r="H25" s="131"/>
      <c r="I25" s="469">
        <f t="shared" si="10"/>
        <v>197.11760191318075</v>
      </c>
      <c r="J25" s="471">
        <f t="shared" si="2"/>
        <v>3.736562397858723</v>
      </c>
      <c r="K25" s="469">
        <f t="shared" si="11"/>
        <v>15.105318952208952</v>
      </c>
      <c r="L25" s="468">
        <f>SUMIF(Financials!$C$3:$AG$3,A25,Financials!$C$18:$AG$18)/1000000</f>
        <v>2.089591125486951</v>
      </c>
      <c r="M25" s="468">
        <f>SUMIF(Financials!$C$3:$AG$3,A25,Financials!$C$16:$AG$16)/1000000</f>
        <v>3.2630309999999998</v>
      </c>
      <c r="N25" s="468">
        <f>SUMIF(Financials!$C$3:$AG$3,A25,Financials!$C$15:$AG$15)/1000000</f>
        <v>0</v>
      </c>
      <c r="O25" s="469">
        <f t="shared" si="12"/>
        <v>3.6859779623141824</v>
      </c>
      <c r="P25" s="469">
        <f>+SUMIF('Rev Req'!$C$4:$AF$4,B25,'Rev Req'!$C$14:$AF$14)/1000000</f>
        <v>0</v>
      </c>
      <c r="Q25" s="477">
        <f t="shared" si="13"/>
        <v>27.880481437868809</v>
      </c>
      <c r="R25" s="478">
        <f t="shared" si="3"/>
        <v>12.218132016425947</v>
      </c>
      <c r="S25" s="479">
        <f t="shared" si="21"/>
        <v>232.55932107792484</v>
      </c>
      <c r="T25" s="480">
        <f t="shared" si="14"/>
        <v>25.839713785420884</v>
      </c>
      <c r="U25" s="481">
        <f t="shared" si="4"/>
        <v>11.323801384150954</v>
      </c>
      <c r="V25" s="18"/>
      <c r="W25" s="407">
        <f>IF(A25&gt;$P$4,0,IF(B25='Input Data'!$C$17,'Input Data'!$C$72*'Input Data'!$C$73*8760*'Input Data'!$C$75,W24*(1-'Input Data'!$C$74)))</f>
        <v>0</v>
      </c>
      <c r="X25" s="408">
        <f t="shared" si="5"/>
        <v>0</v>
      </c>
      <c r="Y25" s="413">
        <f t="shared" si="15"/>
        <v>0</v>
      </c>
      <c r="Z25" s="414">
        <f t="shared" si="22"/>
        <v>0</v>
      </c>
      <c r="AA25" s="484">
        <f t="shared" si="16"/>
        <v>0</v>
      </c>
      <c r="AB25" s="485">
        <f t="shared" si="6"/>
        <v>0</v>
      </c>
      <c r="AD25" s="514">
        <f>IF(SUMIF('Input Data'!$C$40:$M$40,B25,'Input Data'!$C$50:$M$50)=0,'Input Data'!$M$50,SUMIF('Input Data'!$C$40:$M$40,B25,'Input Data'!$C$50:$M$50))</f>
        <v>0.25345000000000001</v>
      </c>
      <c r="AE25" s="306"/>
      <c r="AF25" s="433">
        <f t="shared" si="17"/>
        <v>27880481.437868807</v>
      </c>
      <c r="AG25" s="433">
        <f>SUMIF('Rev Req'!$C$4:$AF$4,B25,'Rev Req'!$C$15:$AF$15)</f>
        <v>27880481.438963041</v>
      </c>
      <c r="AH25" s="434">
        <f t="shared" si="18"/>
        <v>-1.0942332446575165E-3</v>
      </c>
      <c r="AI25" s="433"/>
      <c r="AJ25" s="433">
        <f t="shared" si="19"/>
        <v>197117601.91318074</v>
      </c>
      <c r="AK25" s="433">
        <f>SUMIF('Rev Req'!$C$4:$AF$4,B25,'Rev Req'!$C$20:$AF$20)+SUMIF('Rev Req'!$C$4:$AF$4,B25,'Rev Req'!$C$25:$AF$25)+SUMIF('Rev Req'!$C$4:$AF$4,B25,'Rev Req'!$C$32:$AF$32)</f>
        <v>197117602</v>
      </c>
      <c r="AL25" s="434">
        <f t="shared" si="23"/>
        <v>-8.6819261312484741E-2</v>
      </c>
      <c r="AQ25" s="252"/>
    </row>
    <row r="26" spans="1:43">
      <c r="A26" s="132">
        <f t="shared" si="7"/>
        <v>14</v>
      </c>
      <c r="B26" s="133">
        <f t="shared" si="8"/>
        <v>2035</v>
      </c>
      <c r="C26" s="467">
        <f t="shared" si="20"/>
        <v>195.00891100028235</v>
      </c>
      <c r="D26" s="467">
        <f>IF(A26&gt;$P$4,0,(SUMIF(Financials!$C$4:$AF$4,B26,Financials!$C$113:$AF$113)-SUMIF(Financials!$C$4:$AF$4,B26-1,Financials!$C$113:$AF$113)+SUMIF(Financials!$C$4:$AF$4,B26,Financials!$C$118:$AF$118)-SUMIF(Financials!$C$4:$AF$4,B26-1,Financials!$C$118:$AF$118))/1000000)</f>
        <v>3.0092137636363505E-2</v>
      </c>
      <c r="E26" s="468">
        <f>SUMIF(Book!$C$1:$AF$1,A26,Book!$C$369:$AF$369)/1000000</f>
        <v>3.7370566296041776</v>
      </c>
      <c r="F26" s="468">
        <f>IF(A26&gt;$P$4,0,SUMIF(Tax!$C$2:$AF$2,B26,Tax!$C$396:$AF$396)/1000000)-SUM($F$13:F25)</f>
        <v>0.51010539703535152</v>
      </c>
      <c r="G26" s="469">
        <f t="shared" si="9"/>
        <v>190.79184111127918</v>
      </c>
      <c r="H26" s="131"/>
      <c r="I26" s="469">
        <f t="shared" si="10"/>
        <v>192.90037605578078</v>
      </c>
      <c r="J26" s="471">
        <f t="shared" si="2"/>
        <v>3.7370566296041776</v>
      </c>
      <c r="K26" s="469">
        <f t="shared" si="11"/>
        <v>14.782148717530536</v>
      </c>
      <c r="L26" s="468">
        <f>SUMIF(Financials!$C$3:$AG$3,A26,Financials!$C$18:$AG$18)/1000000</f>
        <v>2.0517761888813379</v>
      </c>
      <c r="M26" s="468">
        <f>SUMIF(Financials!$C$3:$AG$3,A26,Financials!$C$16:$AG$16)/1000000</f>
        <v>3.3282910000000001</v>
      </c>
      <c r="N26" s="468">
        <f>SUMIF(Financials!$C$3:$AG$3,A26,Financials!$C$15:$AG$15)/1000000</f>
        <v>0</v>
      </c>
      <c r="O26" s="469">
        <f t="shared" si="12"/>
        <v>3.6071184316502269</v>
      </c>
      <c r="P26" s="469">
        <f>+SUMIF('Rev Req'!$C$4:$AF$4,B26,'Rev Req'!$C$14:$AF$14)/1000000</f>
        <v>0</v>
      </c>
      <c r="Q26" s="477">
        <f t="shared" si="13"/>
        <v>27.506390967666281</v>
      </c>
      <c r="R26" s="478">
        <f t="shared" si="3"/>
        <v>11.253307895166968</v>
      </c>
      <c r="S26" s="479">
        <f t="shared" si="21"/>
        <v>243.81262897309179</v>
      </c>
      <c r="T26" s="480">
        <f t="shared" si="14"/>
        <v>25.839713785420884</v>
      </c>
      <c r="U26" s="481">
        <f t="shared" si="4"/>
        <v>10.571443396269094</v>
      </c>
      <c r="V26" s="18"/>
      <c r="W26" s="407">
        <f>IF(A26&gt;$P$4,0,IF(B26='Input Data'!$C$17,'Input Data'!$C$72*'Input Data'!$C$73*8760*'Input Data'!$C$75,W25*(1-'Input Data'!$C$74)))</f>
        <v>0</v>
      </c>
      <c r="X26" s="408">
        <f t="shared" si="5"/>
        <v>0</v>
      </c>
      <c r="Y26" s="413">
        <f t="shared" si="15"/>
        <v>0</v>
      </c>
      <c r="Z26" s="414">
        <f t="shared" si="22"/>
        <v>0</v>
      </c>
      <c r="AA26" s="484">
        <f t="shared" si="16"/>
        <v>0</v>
      </c>
      <c r="AB26" s="485">
        <f t="shared" si="6"/>
        <v>0</v>
      </c>
      <c r="AD26" s="514">
        <f>IF(SUMIF('Input Data'!$C$40:$M$40,B26,'Input Data'!$C$50:$M$50)=0,'Input Data'!$M$50,SUMIF('Input Data'!$C$40:$M$40,B26,'Input Data'!$C$50:$M$50))</f>
        <v>0.25345000000000001</v>
      </c>
      <c r="AE26" s="306"/>
      <c r="AF26" s="433">
        <f t="shared" si="17"/>
        <v>27506390.96766628</v>
      </c>
      <c r="AG26" s="433">
        <f>SUMIF('Rev Req'!$C$4:$AF$4,B26,'Rev Req'!$C$15:$AF$15)</f>
        <v>27506390.958757535</v>
      </c>
      <c r="AH26" s="434">
        <f t="shared" si="18"/>
        <v>8.9087449014186859E-3</v>
      </c>
      <c r="AI26" s="433"/>
      <c r="AJ26" s="433">
        <f t="shared" si="19"/>
        <v>192900376.05578077</v>
      </c>
      <c r="AK26" s="433">
        <f>SUMIF('Rev Req'!$C$4:$AF$4,B26,'Rev Req'!$C$20:$AF$20)+SUMIF('Rev Req'!$C$4:$AF$4,B26,'Rev Req'!$C$25:$AF$25)+SUMIF('Rev Req'!$C$4:$AF$4,B26,'Rev Req'!$C$32:$AF$32)</f>
        <v>192900376</v>
      </c>
      <c r="AL26" s="434">
        <f t="shared" si="23"/>
        <v>5.5780768394470215E-2</v>
      </c>
      <c r="AQ26" s="252"/>
    </row>
    <row r="27" spans="1:43">
      <c r="A27" s="132">
        <f t="shared" si="7"/>
        <v>15</v>
      </c>
      <c r="B27" s="133">
        <f t="shared" si="8"/>
        <v>2036</v>
      </c>
      <c r="C27" s="467">
        <f t="shared" si="20"/>
        <v>190.79184111127918</v>
      </c>
      <c r="D27" s="467">
        <f>IF(A27&gt;$P$4,0,(SUMIF(Financials!$C$4:$AF$4,B27,Financials!$C$113:$AF$113)-SUMIF(Financials!$C$4:$AF$4,B27-1,Financials!$C$113:$AF$113)+SUMIF(Financials!$C$4:$AF$4,B27,Financials!$C$118:$AF$118)-SUMIF(Financials!$C$4:$AF$4,B27-1,Financials!$C$118:$AF$118))/1000000)</f>
        <v>3.0994901090919971E-2</v>
      </c>
      <c r="E27" s="468">
        <f>SUMIF(Book!$C$1:$AF$1,A27,Book!$C$369:$AF$369)/1000000</f>
        <v>3.7375656882602382</v>
      </c>
      <c r="F27" s="468">
        <f>IF(A27&gt;$P$4,0,SUMIF(Tax!$C$2:$AF$2,B27,Tax!$C$396:$AF$396)/1000000)-SUM($F$13:F26)</f>
        <v>0.51017780323901185</v>
      </c>
      <c r="G27" s="469">
        <f t="shared" si="9"/>
        <v>186.57509252087084</v>
      </c>
      <c r="H27" s="131"/>
      <c r="I27" s="469">
        <f t="shared" si="10"/>
        <v>188.683466816075</v>
      </c>
      <c r="J27" s="471">
        <f t="shared" si="2"/>
        <v>3.7375656882602382</v>
      </c>
      <c r="K27" s="469">
        <f t="shared" si="11"/>
        <v>14.459002745582641</v>
      </c>
      <c r="L27" s="468">
        <f>SUMIF(Financials!$C$3:$AG$3,A27,Financials!$C$18:$AG$18)/1000000</f>
        <v>2.0139651510632661</v>
      </c>
      <c r="M27" s="468">
        <f>SUMIF(Financials!$C$3:$AG$3,A27,Financials!$C$16:$AG$16)/1000000</f>
        <v>3.3948559999999999</v>
      </c>
      <c r="N27" s="468">
        <f>SUMIF(Financials!$C$3:$AG$3,A27,Financials!$C$15:$AG$15)/1000000</f>
        <v>0</v>
      </c>
      <c r="O27" s="469">
        <f t="shared" si="12"/>
        <v>3.5282648215424874</v>
      </c>
      <c r="P27" s="469">
        <f>+SUMIF('Rev Req'!$C$4:$AF$4,B27,'Rev Req'!$C$14:$AF$14)/1000000</f>
        <v>0</v>
      </c>
      <c r="Q27" s="477">
        <f t="shared" si="13"/>
        <v>27.133654406448635</v>
      </c>
      <c r="R27" s="478">
        <f t="shared" si="3"/>
        <v>10.363272654778418</v>
      </c>
      <c r="S27" s="479">
        <f t="shared" si="21"/>
        <v>254.17590162787022</v>
      </c>
      <c r="T27" s="480">
        <f t="shared" si="14"/>
        <v>25.839713785420884</v>
      </c>
      <c r="U27" s="481">
        <f t="shared" si="4"/>
        <v>9.8690723803171583</v>
      </c>
      <c r="V27" s="18"/>
      <c r="W27" s="407">
        <f>IF(A27&gt;$P$4,0,IF(B27='Input Data'!$C$17,'Input Data'!$C$72*'Input Data'!$C$73*8760*'Input Data'!$C$75,W26*(1-'Input Data'!$C$74)))</f>
        <v>0</v>
      </c>
      <c r="X27" s="408">
        <f t="shared" si="5"/>
        <v>0</v>
      </c>
      <c r="Y27" s="413">
        <f t="shared" si="15"/>
        <v>0</v>
      </c>
      <c r="Z27" s="414">
        <f t="shared" si="22"/>
        <v>0</v>
      </c>
      <c r="AA27" s="484">
        <f t="shared" si="16"/>
        <v>0</v>
      </c>
      <c r="AB27" s="485">
        <f t="shared" si="6"/>
        <v>0</v>
      </c>
      <c r="AD27" s="514">
        <f>IF(SUMIF('Input Data'!$C$40:$M$40,B27,'Input Data'!$C$50:$M$50)=0,'Input Data'!$M$50,SUMIF('Input Data'!$C$40:$M$40,B27,'Input Data'!$C$50:$M$50))</f>
        <v>0.25345000000000001</v>
      </c>
      <c r="AE27" s="306"/>
      <c r="AF27" s="433">
        <f t="shared" si="17"/>
        <v>27133654.406448636</v>
      </c>
      <c r="AG27" s="433">
        <f>SUMIF('Rev Req'!$C$4:$AF$4,B27,'Rev Req'!$C$15:$AF$15)</f>
        <v>27133654.407822143</v>
      </c>
      <c r="AH27" s="434">
        <f t="shared" si="18"/>
        <v>-1.3735070824623108E-3</v>
      </c>
      <c r="AI27" s="433"/>
      <c r="AJ27" s="433">
        <f t="shared" si="19"/>
        <v>188683466.816075</v>
      </c>
      <c r="AK27" s="433">
        <f>SUMIF('Rev Req'!$C$4:$AF$4,B27,'Rev Req'!$C$20:$AF$20)+SUMIF('Rev Req'!$C$4:$AF$4,B27,'Rev Req'!$C$25:$AF$25)+SUMIF('Rev Req'!$C$4:$AF$4,B27,'Rev Req'!$C$32:$AF$32)</f>
        <v>188683467</v>
      </c>
      <c r="AL27" s="434">
        <f t="shared" si="23"/>
        <v>-0.18392500281333923</v>
      </c>
      <c r="AQ27" s="252"/>
    </row>
    <row r="28" spans="1:43">
      <c r="A28" s="132">
        <f t="shared" si="7"/>
        <v>16</v>
      </c>
      <c r="B28" s="133">
        <f t="shared" si="8"/>
        <v>2037</v>
      </c>
      <c r="C28" s="467">
        <f t="shared" si="20"/>
        <v>186.57509252087084</v>
      </c>
      <c r="D28" s="467">
        <f>IF(A28&gt;$P$4,0,(SUMIF(Financials!$C$4:$AF$4,B28,Financials!$C$113:$AF$113)-SUMIF(Financials!$C$4:$AF$4,B28-1,Financials!$C$113:$AF$113)+SUMIF(Financials!$C$4:$AF$4,B28,Financials!$C$118:$AF$118)-SUMIF(Financials!$C$4:$AF$4,B28-1,Financials!$C$118:$AF$118))/1000000)</f>
        <v>6.6841190909087661E-2</v>
      </c>
      <c r="E28" s="468">
        <f>SUMIF(Book!$C$1:$AF$1,A28,Book!$C$369:$AF$369)/1000000</f>
        <v>3.7383809890269046</v>
      </c>
      <c r="F28" s="468">
        <f>IF(A28&gt;$P$4,0,SUMIF(Tax!$C$2:$AF$2,B28,Tax!$C$396:$AF$396)/1000000)-SUM($F$13:F27)</f>
        <v>0.51040554730677368</v>
      </c>
      <c r="G28" s="469">
        <f t="shared" si="9"/>
        <v>182.39314717544627</v>
      </c>
      <c r="H28" s="131"/>
      <c r="I28" s="469">
        <f t="shared" si="10"/>
        <v>184.48411984815857</v>
      </c>
      <c r="J28" s="471">
        <f t="shared" si="2"/>
        <v>3.7383809890269046</v>
      </c>
      <c r="K28" s="469">
        <f t="shared" si="11"/>
        <v>14.137202588084238</v>
      </c>
      <c r="L28" s="468">
        <f>SUMIF(Financials!$C$3:$AG$3,A28,Financials!$C$18:$AG$18)/1000000</f>
        <v>1.976158129034139</v>
      </c>
      <c r="M28" s="468">
        <f>SUMIF(Financials!$C$3:$AG$3,A28,Financials!$C$16:$AG$16)/1000000</f>
        <v>3.4627530000000002</v>
      </c>
      <c r="N28" s="468">
        <f>SUMIF(Financials!$C$3:$AG$3,A28,Financials!$C$15:$AG$15)/1000000</f>
        <v>0</v>
      </c>
      <c r="O28" s="469">
        <f t="shared" si="12"/>
        <v>3.4497396151194288</v>
      </c>
      <c r="P28" s="469">
        <f>+SUMIF('Rev Req'!$C$4:$AF$4,B28,'Rev Req'!$C$14:$AF$14)/1000000</f>
        <v>0</v>
      </c>
      <c r="Q28" s="477">
        <f t="shared" si="13"/>
        <v>26.764234321264713</v>
      </c>
      <c r="R28" s="478">
        <f t="shared" si="3"/>
        <v>9.5430127508535136</v>
      </c>
      <c r="S28" s="479">
        <f t="shared" si="21"/>
        <v>263.71891437872375</v>
      </c>
      <c r="T28" s="480">
        <f t="shared" si="14"/>
        <v>25.839713785420884</v>
      </c>
      <c r="U28" s="481">
        <f t="shared" si="4"/>
        <v>9.2133671814686355</v>
      </c>
      <c r="V28" s="18"/>
      <c r="W28" s="407">
        <f>IF(A28&gt;$P$4,0,IF(B28='Input Data'!$C$17,'Input Data'!$C$72*'Input Data'!$C$73*8760*'Input Data'!$C$75,W27*(1-'Input Data'!$C$74)))</f>
        <v>0</v>
      </c>
      <c r="X28" s="408">
        <f t="shared" si="5"/>
        <v>0</v>
      </c>
      <c r="Y28" s="413">
        <f t="shared" si="15"/>
        <v>0</v>
      </c>
      <c r="Z28" s="414">
        <f t="shared" si="22"/>
        <v>0</v>
      </c>
      <c r="AA28" s="484">
        <f t="shared" si="16"/>
        <v>0</v>
      </c>
      <c r="AB28" s="485">
        <f t="shared" si="6"/>
        <v>0</v>
      </c>
      <c r="AD28" s="514">
        <f>IF(SUMIF('Input Data'!$C$40:$M$40,B28,'Input Data'!$C$50:$M$50)=0,'Input Data'!$M$50,SUMIF('Input Data'!$C$40:$M$40,B28,'Input Data'!$C$50:$M$50))</f>
        <v>0.25345000000000001</v>
      </c>
      <c r="AE28" s="306"/>
      <c r="AF28" s="433">
        <f t="shared" si="17"/>
        <v>26764234.321264714</v>
      </c>
      <c r="AG28" s="433">
        <f>SUMIF('Rev Req'!$C$4:$AF$4,B28,'Rev Req'!$C$15:$AF$15)</f>
        <v>26764234.353695512</v>
      </c>
      <c r="AH28" s="434">
        <f t="shared" si="18"/>
        <v>-3.2430797815322876E-2</v>
      </c>
      <c r="AI28" s="433"/>
      <c r="AJ28" s="433">
        <f t="shared" si="19"/>
        <v>184484119.84815857</v>
      </c>
      <c r="AK28" s="433">
        <f>SUMIF('Rev Req'!$C$4:$AF$4,B28,'Rev Req'!$C$20:$AF$20)+SUMIF('Rev Req'!$C$4:$AF$4,B28,'Rev Req'!$C$25:$AF$25)+SUMIF('Rev Req'!$C$4:$AF$4,B28,'Rev Req'!$C$32:$AF$32)</f>
        <v>184484120</v>
      </c>
      <c r="AL28" s="434">
        <f t="shared" si="23"/>
        <v>-0.1518414318561554</v>
      </c>
      <c r="AQ28" s="252"/>
    </row>
    <row r="29" spans="1:43">
      <c r="A29" s="132">
        <f t="shared" si="7"/>
        <v>17</v>
      </c>
      <c r="B29" s="133">
        <f t="shared" si="8"/>
        <v>2038</v>
      </c>
      <c r="C29" s="467">
        <f t="shared" si="20"/>
        <v>182.39314717544627</v>
      </c>
      <c r="D29" s="467">
        <f>IF(A29&gt;$P$4,0,(SUMIF(Financials!$C$4:$AF$4,B29,Financials!$C$113:$AF$113)-SUMIF(Financials!$C$4:$AF$4,B29-1,Financials!$C$113:$AF$113)+SUMIF(Financials!$C$4:$AF$4,B29,Financials!$C$118:$AF$118)-SUMIF(Financials!$C$4:$AF$4,B29-1,Financials!$C$118:$AF$118))/1000000)</f>
        <v>6.8846431454539295E-2</v>
      </c>
      <c r="E29" s="468">
        <f>SUMIF(Book!$C$1:$AF$1,A29,Book!$C$369:$AF$369)/1000000</f>
        <v>3.7395117192132683</v>
      </c>
      <c r="F29" s="468">
        <f>IF(A29&gt;$P$4,0,SUMIF(Tax!$C$2:$AF$2,B29,Tax!$C$396:$AF$396)/1000000)-SUM($F$13:F28)</f>
        <v>0.51056637728083931</v>
      </c>
      <c r="G29" s="469">
        <f t="shared" si="9"/>
        <v>178.21191551040673</v>
      </c>
      <c r="H29" s="131"/>
      <c r="I29" s="469">
        <f t="shared" si="10"/>
        <v>180.3025313429265</v>
      </c>
      <c r="J29" s="471">
        <f t="shared" si="2"/>
        <v>3.7395117192132683</v>
      </c>
      <c r="K29" s="469">
        <f t="shared" si="11"/>
        <v>13.816763279339799</v>
      </c>
      <c r="L29" s="468">
        <f>SUMIF(Financials!$C$3:$AG$3,A29,Financials!$C$18:$AG$18)/1000000</f>
        <v>1.9387084230933371</v>
      </c>
      <c r="M29" s="468">
        <f>SUMIF(Financials!$C$3:$AG$3,A29,Financials!$C$16:$AG$16)/1000000</f>
        <v>3.5320079999999998</v>
      </c>
      <c r="N29" s="468">
        <f>SUMIF(Financials!$C$3:$AG$3,A29,Financials!$C$15:$AG$15)/1000000</f>
        <v>0</v>
      </c>
      <c r="O29" s="469">
        <f t="shared" si="12"/>
        <v>3.3715464810301636</v>
      </c>
      <c r="P29" s="469">
        <f>+SUMIF('Rev Req'!$C$4:$AF$4,B29,'Rev Req'!$C$14:$AF$14)/1000000</f>
        <v>0</v>
      </c>
      <c r="Q29" s="477">
        <f t="shared" si="13"/>
        <v>26.398537902676573</v>
      </c>
      <c r="R29" s="478">
        <f t="shared" si="3"/>
        <v>8.7872422610376812</v>
      </c>
      <c r="S29" s="479">
        <f t="shared" si="21"/>
        <v>272.50615663976146</v>
      </c>
      <c r="T29" s="480">
        <f t="shared" si="14"/>
        <v>25.839713785420884</v>
      </c>
      <c r="U29" s="481">
        <f t="shared" si="4"/>
        <v>8.6012273037798241</v>
      </c>
      <c r="V29" s="18"/>
      <c r="W29" s="407">
        <f>IF(A29&gt;$P$4,0,IF(B29='Input Data'!$C$17,'Input Data'!$C$72*'Input Data'!$C$73*8760*'Input Data'!$C$75,W28*(1-'Input Data'!$C$74)))</f>
        <v>0</v>
      </c>
      <c r="X29" s="408">
        <f t="shared" si="5"/>
        <v>0</v>
      </c>
      <c r="Y29" s="413">
        <f t="shared" si="15"/>
        <v>0</v>
      </c>
      <c r="Z29" s="414">
        <f t="shared" si="22"/>
        <v>0</v>
      </c>
      <c r="AA29" s="484">
        <f t="shared" si="16"/>
        <v>0</v>
      </c>
      <c r="AB29" s="485">
        <f t="shared" si="6"/>
        <v>0</v>
      </c>
      <c r="AD29" s="514">
        <f>IF(SUMIF('Input Data'!$C$40:$M$40,B29,'Input Data'!$C$50:$M$50)=0,'Input Data'!$M$50,SUMIF('Input Data'!$C$40:$M$40,B29,'Input Data'!$C$50:$M$50))</f>
        <v>0.25345000000000001</v>
      </c>
      <c r="AE29" s="306"/>
      <c r="AF29" s="433">
        <f t="shared" si="17"/>
        <v>26398537.902676571</v>
      </c>
      <c r="AG29" s="433">
        <f>SUMIF('Rev Req'!$C$4:$AF$4,B29,'Rev Req'!$C$15:$AF$15)</f>
        <v>26398537.893327657</v>
      </c>
      <c r="AH29" s="434">
        <f t="shared" si="18"/>
        <v>9.3489140272140503E-3</v>
      </c>
      <c r="AI29" s="433"/>
      <c r="AJ29" s="433">
        <f t="shared" si="19"/>
        <v>180302531.3429265</v>
      </c>
      <c r="AK29" s="433">
        <f>SUMIF('Rev Req'!$C$4:$AF$4,B29,'Rev Req'!$C$20:$AF$20)+SUMIF('Rev Req'!$C$4:$AF$4,B29,'Rev Req'!$C$25:$AF$25)+SUMIF('Rev Req'!$C$4:$AF$4,B29,'Rev Req'!$C$32:$AF$32)</f>
        <v>180302531</v>
      </c>
      <c r="AL29" s="434">
        <f t="shared" si="23"/>
        <v>0.3429265022277832</v>
      </c>
      <c r="AQ29" s="252"/>
    </row>
    <row r="30" spans="1:43">
      <c r="A30" s="132">
        <f t="shared" si="7"/>
        <v>18</v>
      </c>
      <c r="B30" s="133">
        <f t="shared" si="8"/>
        <v>2039</v>
      </c>
      <c r="C30" s="467">
        <f t="shared" si="20"/>
        <v>178.21191551040673</v>
      </c>
      <c r="D30" s="467">
        <f>IF(A30&gt;$P$4,0,(SUMIF(Financials!$C$4:$AF$4,B30,Financials!$C$113:$AF$113)-SUMIF(Financials!$C$4:$AF$4,B30-1,Financials!$C$113:$AF$113)+SUMIF(Financials!$C$4:$AF$4,B30,Financials!$C$118:$AF$118)-SUMIF(Financials!$C$4:$AF$4,B30-1,Financials!$C$118:$AF$118))/1000000)</f>
        <v>7.0911822181820863E-2</v>
      </c>
      <c r="E30" s="468">
        <f>SUMIF(Book!$C$1:$AF$1,A30,Book!$C$369:$AF$369)/1000000</f>
        <v>3.7406763713269049</v>
      </c>
      <c r="F30" s="468">
        <f>IF(A30&gt;$P$4,0,SUMIF(Tax!$C$2:$AF$2,B30,Tax!$C$396:$AF$396)/1000000)-SUM($F$13:F29)</f>
        <v>0.51073203213422858</v>
      </c>
      <c r="G30" s="469">
        <f t="shared" si="9"/>
        <v>174.0314189291274</v>
      </c>
      <c r="H30" s="131"/>
      <c r="I30" s="469">
        <f t="shared" si="10"/>
        <v>176.12166721976706</v>
      </c>
      <c r="J30" s="471">
        <f t="shared" si="2"/>
        <v>3.7406763713269049</v>
      </c>
      <c r="K30" s="469">
        <f t="shared" si="11"/>
        <v>13.496379480717968</v>
      </c>
      <c r="L30" s="468">
        <f>SUMIF(Financials!$C$3:$AG$3,A30,Financials!$C$18:$AG$18)/1000000</f>
        <v>1.901267637158198</v>
      </c>
      <c r="M30" s="468">
        <f>SUMIF(Financials!$C$3:$AG$3,A30,Financials!$C$16:$AG$16)/1000000</f>
        <v>3.6026479999999999</v>
      </c>
      <c r="N30" s="468">
        <f>SUMIF(Financials!$C$3:$AG$3,A30,Financials!$C$15:$AG$15)/1000000</f>
        <v>0</v>
      </c>
      <c r="O30" s="469">
        <f t="shared" si="12"/>
        <v>3.2933668924402868</v>
      </c>
      <c r="P30" s="469">
        <f>+SUMIF('Rev Req'!$C$4:$AF$4,B30,'Rev Req'!$C$14:$AF$14)/1000000</f>
        <v>0</v>
      </c>
      <c r="Q30" s="477">
        <f t="shared" si="13"/>
        <v>26.034338381643355</v>
      </c>
      <c r="R30" s="478">
        <f t="shared" si="3"/>
        <v>8.09023834887976</v>
      </c>
      <c r="S30" s="479">
        <f t="shared" si="21"/>
        <v>280.59639498864124</v>
      </c>
      <c r="T30" s="480">
        <f t="shared" si="14"/>
        <v>25.839713785420884</v>
      </c>
      <c r="U30" s="481">
        <f t="shared" si="4"/>
        <v>8.029758249523578</v>
      </c>
      <c r="V30" s="18"/>
      <c r="W30" s="407">
        <f>IF(A30&gt;$P$4,0,IF(B30='Input Data'!$C$17,'Input Data'!$C$72*'Input Data'!$C$73*8760*'Input Data'!$C$75,W29*(1-'Input Data'!$C$74)))</f>
        <v>0</v>
      </c>
      <c r="X30" s="408">
        <f t="shared" si="5"/>
        <v>0</v>
      </c>
      <c r="Y30" s="413">
        <f t="shared" si="15"/>
        <v>0</v>
      </c>
      <c r="Z30" s="414">
        <f t="shared" si="22"/>
        <v>0</v>
      </c>
      <c r="AA30" s="484">
        <f t="shared" si="16"/>
        <v>0</v>
      </c>
      <c r="AB30" s="485">
        <f t="shared" si="6"/>
        <v>0</v>
      </c>
      <c r="AD30" s="514">
        <f>IF(SUMIF('Input Data'!$C$40:$M$40,B30,'Input Data'!$C$50:$M$50)=0,'Input Data'!$M$50,SUMIF('Input Data'!$C$40:$M$40,B30,'Input Data'!$C$50:$M$50))</f>
        <v>0.25345000000000001</v>
      </c>
      <c r="AE30" s="306"/>
      <c r="AF30" s="433">
        <f t="shared" si="17"/>
        <v>26034338.381643355</v>
      </c>
      <c r="AG30" s="433">
        <f>SUMIF('Rev Req'!$C$4:$AF$4,B30,'Rev Req'!$C$15:$AF$15)</f>
        <v>26034338.344532751</v>
      </c>
      <c r="AH30" s="434">
        <f t="shared" si="18"/>
        <v>3.7110604345798492E-2</v>
      </c>
      <c r="AI30" s="433"/>
      <c r="AJ30" s="433">
        <f t="shared" si="19"/>
        <v>176121667.21976706</v>
      </c>
      <c r="AK30" s="433">
        <f>SUMIF('Rev Req'!$C$4:$AF$4,B30,'Rev Req'!$C$20:$AF$20)+SUMIF('Rev Req'!$C$4:$AF$4,B30,'Rev Req'!$C$25:$AF$25)+SUMIF('Rev Req'!$C$4:$AF$4,B30,'Rev Req'!$C$32:$AF$32)</f>
        <v>176121667</v>
      </c>
      <c r="AL30" s="434">
        <f t="shared" si="23"/>
        <v>0.21976706385612488</v>
      </c>
      <c r="AQ30" s="252"/>
    </row>
    <row r="31" spans="1:43">
      <c r="A31" s="132">
        <f t="shared" si="7"/>
        <v>19</v>
      </c>
      <c r="B31" s="133">
        <f t="shared" si="8"/>
        <v>2040</v>
      </c>
      <c r="C31" s="467">
        <f t="shared" si="20"/>
        <v>174.0314189291274</v>
      </c>
      <c r="D31" s="467">
        <f>IF(A31&gt;$P$4,0,(SUMIF(Financials!$C$4:$AF$4,B31,Financials!$C$113:$AF$113)-SUMIF(Financials!$C$4:$AF$4,B31-1,Financials!$C$113:$AF$113)+SUMIF(Financials!$C$4:$AF$4,B31,Financials!$C$118:$AF$118)-SUMIF(Financials!$C$4:$AF$4,B31-1,Financials!$C$118:$AF$118))/1000000)</f>
        <v>7.3039174727261069E-2</v>
      </c>
      <c r="E31" s="468">
        <f>SUMIF(Book!$C$1:$AF$1,A31,Book!$C$369:$AF$369)/1000000</f>
        <v>3.7418759629678138</v>
      </c>
      <c r="F31" s="468">
        <f>IF(A31&gt;$P$4,0,SUMIF(Tax!$C$2:$AF$2,B31,Tax!$C$396:$AF$396)/1000000)-SUM($F$13:F30)</f>
        <v>0.51090265662860013</v>
      </c>
      <c r="G31" s="469">
        <f t="shared" si="9"/>
        <v>169.85167948425826</v>
      </c>
      <c r="H31" s="131"/>
      <c r="I31" s="469">
        <f t="shared" si="10"/>
        <v>171.94154920669283</v>
      </c>
      <c r="J31" s="471">
        <f t="shared" si="2"/>
        <v>3.7418759629678138</v>
      </c>
      <c r="K31" s="469">
        <f t="shared" si="11"/>
        <v>13.176052857258076</v>
      </c>
      <c r="L31" s="468">
        <f>SUMIF(Financials!$C$3:$AG$3,A31,Financials!$C$18:$AG$18)/1000000</f>
        <v>1.8638360387569182</v>
      </c>
      <c r="M31" s="468">
        <f>SUMIF(Financials!$C$3:$AG$3,A31,Financials!$C$16:$AG$16)/1000000</f>
        <v>3.6747010000000002</v>
      </c>
      <c r="N31" s="468">
        <f>SUMIF(Financials!$C$3:$AG$3,A31,Financials!$C$15:$AG$15)/1000000</f>
        <v>0</v>
      </c>
      <c r="O31" s="469">
        <f t="shared" si="12"/>
        <v>3.2152012556502729</v>
      </c>
      <c r="P31" s="469">
        <f>+SUMIF('Rev Req'!$C$4:$AF$4,B31,'Rev Req'!$C$14:$AF$14)/1000000</f>
        <v>0</v>
      </c>
      <c r="Q31" s="477">
        <f t="shared" si="13"/>
        <v>25.671667114633081</v>
      </c>
      <c r="R31" s="478">
        <f t="shared" si="3"/>
        <v>7.4475064732383638</v>
      </c>
      <c r="S31" s="479">
        <f t="shared" si="21"/>
        <v>288.04390146187961</v>
      </c>
      <c r="T31" s="480">
        <f t="shared" si="14"/>
        <v>25.839713785420884</v>
      </c>
      <c r="U31" s="481">
        <f t="shared" si="4"/>
        <v>7.4962578325836606</v>
      </c>
      <c r="V31" s="18"/>
      <c r="W31" s="407">
        <f>IF(A31&gt;$P$4,0,IF(B31='Input Data'!$C$17,'Input Data'!$C$72*'Input Data'!$C$73*8760*'Input Data'!$C$75,W30*(1-'Input Data'!$C$74)))</f>
        <v>0</v>
      </c>
      <c r="X31" s="408">
        <f t="shared" si="5"/>
        <v>0</v>
      </c>
      <c r="Y31" s="413">
        <f t="shared" si="15"/>
        <v>0</v>
      </c>
      <c r="Z31" s="414">
        <f t="shared" si="22"/>
        <v>0</v>
      </c>
      <c r="AA31" s="484">
        <f t="shared" si="16"/>
        <v>0</v>
      </c>
      <c r="AB31" s="485">
        <f t="shared" si="6"/>
        <v>0</v>
      </c>
      <c r="AD31" s="514">
        <f>IF(SUMIF('Input Data'!$C$40:$M$40,B31,'Input Data'!$C$50:$M$50)=0,'Input Data'!$M$50,SUMIF('Input Data'!$C$40:$M$40,B31,'Input Data'!$C$50:$M$50))</f>
        <v>0.25345000000000001</v>
      </c>
      <c r="AE31" s="306"/>
      <c r="AF31" s="433">
        <f t="shared" si="17"/>
        <v>25671667.11463308</v>
      </c>
      <c r="AG31" s="433">
        <f>SUMIF('Rev Req'!$C$4:$AF$4,B31,'Rev Req'!$C$15:$AF$15)</f>
        <v>25671667.19025936</v>
      </c>
      <c r="AH31" s="434">
        <f t="shared" si="18"/>
        <v>-7.5626280158758163E-2</v>
      </c>
      <c r="AI31" s="433"/>
      <c r="AJ31" s="433">
        <f t="shared" si="19"/>
        <v>171941549.20669281</v>
      </c>
      <c r="AK31" s="433">
        <f>SUMIF('Rev Req'!$C$4:$AF$4,B31,'Rev Req'!$C$20:$AF$20)+SUMIF('Rev Req'!$C$4:$AF$4,B31,'Rev Req'!$C$25:$AF$25)+SUMIF('Rev Req'!$C$4:$AF$4,B31,'Rev Req'!$C$32:$AF$32)</f>
        <v>171941550</v>
      </c>
      <c r="AL31" s="434">
        <f t="shared" si="23"/>
        <v>-0.79330718517303467</v>
      </c>
      <c r="AQ31" s="252"/>
    </row>
    <row r="32" spans="1:43">
      <c r="A32" s="132">
        <f t="shared" si="7"/>
        <v>20</v>
      </c>
      <c r="B32" s="133">
        <f t="shared" si="8"/>
        <v>2041</v>
      </c>
      <c r="C32" s="467">
        <f t="shared" si="20"/>
        <v>169.85167948425826</v>
      </c>
      <c r="D32" s="467">
        <f>IF(A32&gt;$P$4,0,(SUMIF(Financials!$C$4:$AF$4,B32,Financials!$C$113:$AF$113)-SUMIF(Financials!$C$4:$AF$4,B32-1,Financials!$C$113:$AF$113)+SUMIF(Financials!$C$4:$AF$4,B32,Financials!$C$118:$AF$118)-SUMIF(Financials!$C$4:$AF$4,B32-1,Financials!$C$118:$AF$118))/1000000)</f>
        <v>7.5230348909080022E-2</v>
      </c>
      <c r="E32" s="468">
        <f>SUMIF(Book!$C$1:$AF$1,A32,Book!$C$369:$AF$369)/1000000</f>
        <v>3.7431115423314503</v>
      </c>
      <c r="F32" s="468">
        <f>IF(A32&gt;$P$4,0,SUMIF(Tax!$C$2:$AF$2,B32,Tax!$C$396:$AF$396)/1000000)-SUM($F$13:F31)</f>
        <v>0.51107839985762915</v>
      </c>
      <c r="G32" s="469">
        <f t="shared" si="9"/>
        <v>165.67271989097824</v>
      </c>
      <c r="H32" s="131"/>
      <c r="I32" s="469">
        <f t="shared" si="10"/>
        <v>167.76219968761825</v>
      </c>
      <c r="J32" s="471">
        <f t="shared" si="2"/>
        <v>3.7431115423314503</v>
      </c>
      <c r="K32" s="469">
        <f t="shared" si="11"/>
        <v>12.855785124261873</v>
      </c>
      <c r="L32" s="468">
        <f>SUMIF(Financials!$C$3:$AG$3,A32,Financials!$C$18:$AG$18)/1000000</f>
        <v>1.8264139035168647</v>
      </c>
      <c r="M32" s="468">
        <f>SUMIF(Financials!$C$3:$AG$3,A32,Financials!$C$16:$AG$16)/1000000</f>
        <v>3.7481949999999999</v>
      </c>
      <c r="N32" s="468">
        <f>SUMIF(Financials!$C$3:$AG$3,A32,Financials!$C$15:$AG$15)/1000000</f>
        <v>0</v>
      </c>
      <c r="O32" s="469">
        <f t="shared" si="12"/>
        <v>3.1370499892255612</v>
      </c>
      <c r="P32" s="469">
        <f>+SUMIF('Rev Req'!$C$4:$AF$4,B32,'Rev Req'!$C$14:$AF$14)/1000000</f>
        <v>0</v>
      </c>
      <c r="Q32" s="477">
        <f t="shared" si="13"/>
        <v>25.310555559335747</v>
      </c>
      <c r="R32" s="478">
        <f t="shared" si="3"/>
        <v>6.854890788355446</v>
      </c>
      <c r="S32" s="479">
        <f t="shared" si="21"/>
        <v>294.89879225023503</v>
      </c>
      <c r="T32" s="480">
        <f t="shared" si="14"/>
        <v>25.839713785420884</v>
      </c>
      <c r="U32" s="481">
        <f t="shared" si="4"/>
        <v>6.9982034011928036</v>
      </c>
      <c r="V32" s="18"/>
      <c r="W32" s="407">
        <f>IF(A32&gt;$P$4,0,IF(B32='Input Data'!$C$17,'Input Data'!$C$72*'Input Data'!$C$73*8760*'Input Data'!$C$75,W31*(1-'Input Data'!$C$74)))</f>
        <v>0</v>
      </c>
      <c r="X32" s="408">
        <f t="shared" si="5"/>
        <v>0</v>
      </c>
      <c r="Y32" s="413">
        <f t="shared" si="15"/>
        <v>0</v>
      </c>
      <c r="Z32" s="414">
        <f t="shared" si="22"/>
        <v>0</v>
      </c>
      <c r="AA32" s="484">
        <f t="shared" si="16"/>
        <v>0</v>
      </c>
      <c r="AB32" s="485">
        <f t="shared" si="6"/>
        <v>0</v>
      </c>
      <c r="AD32" s="514">
        <f>IF(SUMIF('Input Data'!$C$40:$M$40,B32,'Input Data'!$C$50:$M$50)=0,'Input Data'!$M$50,SUMIF('Input Data'!$C$40:$M$40,B32,'Input Data'!$C$50:$M$50))</f>
        <v>0.25345000000000001</v>
      </c>
      <c r="AE32" s="306"/>
      <c r="AF32" s="433">
        <f t="shared" si="17"/>
        <v>25310555.559335746</v>
      </c>
      <c r="AG32" s="433">
        <f>SUMIF('Rev Req'!$C$4:$AF$4,B32,'Rev Req'!$C$15:$AF$15)</f>
        <v>25310555.589115221</v>
      </c>
      <c r="AH32" s="434">
        <f t="shared" si="18"/>
        <v>-2.9779475182294846E-2</v>
      </c>
      <c r="AI32" s="433"/>
      <c r="AJ32" s="433">
        <f t="shared" si="19"/>
        <v>167762199.68761826</v>
      </c>
      <c r="AK32" s="433">
        <f>SUMIF('Rev Req'!$C$4:$AF$4,B32,'Rev Req'!$C$20:$AF$20)+SUMIF('Rev Req'!$C$4:$AF$4,B32,'Rev Req'!$C$25:$AF$25)+SUMIF('Rev Req'!$C$4:$AF$4,B32,'Rev Req'!$C$32:$AF$32)</f>
        <v>167762200</v>
      </c>
      <c r="AL32" s="434">
        <f t="shared" si="23"/>
        <v>-0.31238174438476563</v>
      </c>
      <c r="AQ32" s="252"/>
    </row>
    <row r="33" spans="1:43">
      <c r="A33" s="132">
        <f t="shared" si="7"/>
        <v>21</v>
      </c>
      <c r="B33" s="133">
        <f t="shared" si="8"/>
        <v>2042</v>
      </c>
      <c r="C33" s="467">
        <f t="shared" si="20"/>
        <v>165.67271989097824</v>
      </c>
      <c r="D33" s="467">
        <f>IF(A33&gt;$P$4,0,(SUMIF(Financials!$C$4:$AF$4,B33,Financials!$C$113:$AF$113)-SUMIF(Financials!$C$4:$AF$4,B33-1,Financials!$C$113:$AF$113)+SUMIF(Financials!$C$4:$AF$4,B33,Financials!$C$118:$AF$118)-SUMIF(Financials!$C$4:$AF$4,B33-1,Financials!$C$118:$AF$118))/1000000)</f>
        <v>7.7487262363612655E-2</v>
      </c>
      <c r="E33" s="468">
        <f>SUMIF(Book!$C$1:$AF$1,A33,Book!$C$369:$AF$369)/1000000</f>
        <v>3.7443841890920564</v>
      </c>
      <c r="F33" s="468">
        <f>IF(A33&gt;$P$4,0,SUMIF(Tax!$C$2:$AF$2,B33,Tax!$C$396:$AF$396)/1000000)-SUM($F$13:F32)</f>
        <v>0.51125941539887343</v>
      </c>
      <c r="G33" s="469">
        <f t="shared" si="9"/>
        <v>161.49456354885092</v>
      </c>
      <c r="H33" s="131"/>
      <c r="I33" s="469">
        <f t="shared" si="10"/>
        <v>163.58364171991457</v>
      </c>
      <c r="J33" s="471">
        <f t="shared" si="2"/>
        <v>3.7443841890920564</v>
      </c>
      <c r="K33" s="469">
        <f t="shared" si="11"/>
        <v>12.535578048638772</v>
      </c>
      <c r="L33" s="468">
        <f>SUMIF(Financials!$C$3:$AG$3,A33,Financials!$C$18:$AG$18)/1000000</f>
        <v>1.7890015153439565</v>
      </c>
      <c r="M33" s="468">
        <f>SUMIF(Financials!$C$3:$AG$3,A33,Financials!$C$16:$AG$16)/1000000</f>
        <v>3.823159</v>
      </c>
      <c r="N33" s="468">
        <f>SUMIF(Financials!$C$3:$AG$3,A33,Financials!$C$15:$AG$15)/1000000</f>
        <v>0</v>
      </c>
      <c r="O33" s="469">
        <f t="shared" si="12"/>
        <v>3.0589135243248173</v>
      </c>
      <c r="P33" s="469">
        <f>+SUMIF('Rev Req'!$C$4:$AF$4,B33,'Rev Req'!$C$14:$AF$14)/1000000</f>
        <v>0</v>
      </c>
      <c r="Q33" s="477">
        <f t="shared" si="13"/>
        <v>24.951036277399602</v>
      </c>
      <c r="R33" s="478">
        <f t="shared" si="3"/>
        <v>6.3085492102195371</v>
      </c>
      <c r="S33" s="479">
        <f t="shared" ref="S33:S37" si="24">R33+S32</f>
        <v>301.20734146045459</v>
      </c>
      <c r="T33" s="480">
        <f t="shared" si="14"/>
        <v>25.839713785420884</v>
      </c>
      <c r="U33" s="481">
        <f t="shared" si="4"/>
        <v>6.5332399095972464</v>
      </c>
      <c r="V33" s="18"/>
      <c r="W33" s="407">
        <f>IF(A33&gt;$P$4,0,IF(B33='Input Data'!$C$17,'Input Data'!$C$72*'Input Data'!$C$73*8760*'Input Data'!$C$75,W32*(1-'Input Data'!$C$74)))</f>
        <v>0</v>
      </c>
      <c r="X33" s="408">
        <f t="shared" si="5"/>
        <v>0</v>
      </c>
      <c r="Y33" s="413">
        <f t="shared" si="15"/>
        <v>0</v>
      </c>
      <c r="Z33" s="414">
        <f t="shared" si="22"/>
        <v>0</v>
      </c>
      <c r="AA33" s="484">
        <f t="shared" si="16"/>
        <v>0</v>
      </c>
      <c r="AB33" s="485">
        <f t="shared" si="6"/>
        <v>0</v>
      </c>
      <c r="AD33" s="514">
        <f>IF(SUMIF('Input Data'!$C$40:$M$40,B33,'Input Data'!$C$50:$M$50)=0,'Input Data'!$M$50,SUMIF('Input Data'!$C$40:$M$40,B33,'Input Data'!$C$50:$M$50))</f>
        <v>0.25345000000000001</v>
      </c>
      <c r="AE33" s="306"/>
      <c r="AF33" s="433">
        <f t="shared" si="17"/>
        <v>24951036.277399603</v>
      </c>
      <c r="AG33" s="433">
        <f>SUMIF('Rev Req'!$C$4:$AF$4,B33,'Rev Req'!$C$15:$AF$15)</f>
        <v>24951036.332829371</v>
      </c>
      <c r="AH33" s="434">
        <f t="shared" si="18"/>
        <v>-5.5429767817258835E-2</v>
      </c>
      <c r="AI33" s="433"/>
      <c r="AJ33" s="433">
        <f t="shared" si="19"/>
        <v>163583641.71991456</v>
      </c>
      <c r="AK33" s="433">
        <f>SUMIF('Rev Req'!$C$4:$AF$4,B33,'Rev Req'!$C$20:$AF$20)+SUMIF('Rev Req'!$C$4:$AF$4,B33,'Rev Req'!$C$25:$AF$25)+SUMIF('Rev Req'!$C$4:$AF$4,B33,'Rev Req'!$C$32:$AF$32)</f>
        <v>163583642</v>
      </c>
      <c r="AL33" s="434">
        <f t="shared" si="23"/>
        <v>-0.28008544445037842</v>
      </c>
      <c r="AQ33" s="252"/>
    </row>
    <row r="34" spans="1:43">
      <c r="A34" s="132">
        <f t="shared" si="7"/>
        <v>22</v>
      </c>
      <c r="B34" s="133">
        <f t="shared" si="8"/>
        <v>2043</v>
      </c>
      <c r="C34" s="467">
        <f t="shared" si="20"/>
        <v>161.49456354885092</v>
      </c>
      <c r="D34" s="467">
        <f>IF(A34&gt;$P$4,0,(SUMIF(Financials!$C$4:$AF$4,B34,Financials!$C$113:$AF$113)-SUMIF(Financials!$C$4:$AF$4,B34-1,Financials!$C$113:$AF$113)+SUMIF(Financials!$C$4:$AF$4,B34,Financials!$C$118:$AF$118)-SUMIF(Financials!$C$4:$AF$4,B34-1,Financials!$C$118:$AF$118))/1000000)</f>
        <v>7.9811880909085267E-2</v>
      </c>
      <c r="E34" s="468">
        <f>SUMIF(Book!$C$1:$AF$1,A34,Book!$C$369:$AF$369)/1000000</f>
        <v>3.7456950152859956</v>
      </c>
      <c r="F34" s="468">
        <f>IF(A34&gt;$P$4,0,SUMIF(Tax!$C$2:$AF$2,B34,Tax!$C$396:$AF$396)/1000000)-SUM($F$13:F33)</f>
        <v>0.51144586140300241</v>
      </c>
      <c r="G34" s="469">
        <f t="shared" si="9"/>
        <v>157.31723455307102</v>
      </c>
      <c r="H34" s="131"/>
      <c r="I34" s="469">
        <f t="shared" si="10"/>
        <v>159.40589905096095</v>
      </c>
      <c r="J34" s="471">
        <f t="shared" si="2"/>
        <v>3.7456950152859956</v>
      </c>
      <c r="K34" s="469">
        <f t="shared" si="11"/>
        <v>12.215433450174187</v>
      </c>
      <c r="L34" s="468">
        <f>SUMIF(Financials!$C$3:$AG$3,A34,Financials!$C$18:$AG$18)/1000000</f>
        <v>1.751599166691326</v>
      </c>
      <c r="M34" s="468">
        <f>SUMIF(Financials!$C$3:$AG$3,A34,Financials!$C$16:$AG$16)/1000000</f>
        <v>3.8996230000000001</v>
      </c>
      <c r="N34" s="468">
        <f>SUMIF(Financials!$C$3:$AG$3,A34,Financials!$C$15:$AG$15)/1000000</f>
        <v>0</v>
      </c>
      <c r="O34" s="469">
        <f t="shared" si="12"/>
        <v>2.9807923050094307</v>
      </c>
      <c r="P34" s="469">
        <f>+SUMIF('Rev Req'!$C$4:$AF$4,B34,'Rev Req'!$C$14:$AF$14)/1000000</f>
        <v>0</v>
      </c>
      <c r="Q34" s="477">
        <f t="shared" si="13"/>
        <v>24.593142937160941</v>
      </c>
      <c r="R34" s="478">
        <f t="shared" si="3"/>
        <v>5.804929996718692</v>
      </c>
      <c r="S34" s="479">
        <f t="shared" si="24"/>
        <v>307.01227145717326</v>
      </c>
      <c r="T34" s="480">
        <f t="shared" si="14"/>
        <v>25.839713785420884</v>
      </c>
      <c r="U34" s="481">
        <f t="shared" si="4"/>
        <v>6.0991687822447584</v>
      </c>
      <c r="V34" s="18"/>
      <c r="W34" s="407">
        <f>IF(A34&gt;$P$4,0,IF(B34='Input Data'!$C$17,'Input Data'!$C$72*'Input Data'!$C$73*8760*'Input Data'!$C$75,W33*(1-'Input Data'!$C$74)))</f>
        <v>0</v>
      </c>
      <c r="X34" s="408">
        <f t="shared" si="5"/>
        <v>0</v>
      </c>
      <c r="Y34" s="413">
        <f t="shared" si="15"/>
        <v>0</v>
      </c>
      <c r="Z34" s="414">
        <f t="shared" si="22"/>
        <v>0</v>
      </c>
      <c r="AA34" s="484">
        <f t="shared" si="16"/>
        <v>0</v>
      </c>
      <c r="AB34" s="485">
        <f t="shared" si="6"/>
        <v>0</v>
      </c>
      <c r="AD34" s="514">
        <f>IF(SUMIF('Input Data'!$C$40:$M$40,B34,'Input Data'!$C$50:$M$50)=0,'Input Data'!$M$50,SUMIF('Input Data'!$C$40:$M$40,B34,'Input Data'!$C$50:$M$50))</f>
        <v>0.25345000000000001</v>
      </c>
      <c r="AE34" s="306"/>
      <c r="AF34" s="433">
        <f t="shared" si="17"/>
        <v>24593142.937160943</v>
      </c>
      <c r="AG34" s="433">
        <f>SUMIF('Rev Req'!$C$4:$AF$4,B34,'Rev Req'!$C$15:$AF$15)</f>
        <v>24593142.891004704</v>
      </c>
      <c r="AH34" s="434">
        <f t="shared" si="18"/>
        <v>4.615623876452446E-2</v>
      </c>
      <c r="AI34" s="433"/>
      <c r="AJ34" s="433">
        <f t="shared" si="19"/>
        <v>159405899.05096096</v>
      </c>
      <c r="AK34" s="433">
        <f>SUMIF('Rev Req'!$C$4:$AF$4,B34,'Rev Req'!$C$20:$AF$20)+SUMIF('Rev Req'!$C$4:$AF$4,B34,'Rev Req'!$C$25:$AF$25)+SUMIF('Rev Req'!$C$4:$AF$4,B34,'Rev Req'!$C$32:$AF$32)</f>
        <v>159405899</v>
      </c>
      <c r="AL34" s="434">
        <f t="shared" si="23"/>
        <v>5.0960958003997803E-2</v>
      </c>
    </row>
    <row r="35" spans="1:43">
      <c r="A35" s="132">
        <f t="shared" si="7"/>
        <v>23</v>
      </c>
      <c r="B35" s="133">
        <f t="shared" si="8"/>
        <v>2044</v>
      </c>
      <c r="C35" s="467">
        <f t="shared" si="20"/>
        <v>157.31723455307102</v>
      </c>
      <c r="D35" s="467">
        <f>IF(A35&gt;$P$4,0,(SUMIF(Financials!$C$4:$AF$4,B35,Financials!$C$113:$AF$113)-SUMIF(Financials!$C$4:$AF$4,B35-1,Financials!$C$113:$AF$113)+SUMIF(Financials!$C$4:$AF$4,B35,Financials!$C$118:$AF$118)-SUMIF(Financials!$C$4:$AF$4,B35-1,Financials!$C$118:$AF$118))/1000000)</f>
        <v>8.220623781818151E-2</v>
      </c>
      <c r="E35" s="468">
        <f>SUMIF(Book!$C$1:$AF$1,A35,Book!$C$369:$AF$369)/1000000</f>
        <v>3.7470451662753894</v>
      </c>
      <c r="F35" s="468">
        <f>IF(A35&gt;$P$4,0,SUMIF(Tax!$C$2:$AF$2,B35,Tax!$C$396:$AF$396)/1000000)-SUM($F$13:F34)</f>
        <v>0.51163790078794769</v>
      </c>
      <c r="G35" s="469">
        <f t="shared" si="9"/>
        <v>153.14075772382586</v>
      </c>
      <c r="H35" s="131"/>
      <c r="I35" s="469">
        <f t="shared" si="10"/>
        <v>155.22899613844845</v>
      </c>
      <c r="J35" s="471">
        <f t="shared" si="2"/>
        <v>3.7470451662753894</v>
      </c>
      <c r="K35" s="469">
        <f t="shared" si="11"/>
        <v>11.895353203085442</v>
      </c>
      <c r="L35" s="468">
        <f>SUMIF(Financials!$C$3:$AG$3,A35,Financials!$C$18:$AG$18)/1000000</f>
        <v>1.714207158720682</v>
      </c>
      <c r="M35" s="468">
        <f>SUMIF(Financials!$C$3:$AG$3,A35,Financials!$C$16:$AG$16)/1000000</f>
        <v>3.9776150000000001</v>
      </c>
      <c r="N35" s="468">
        <f>SUMIF(Financials!$C$3:$AG$3,A35,Financials!$C$15:$AG$15)/1000000</f>
        <v>0</v>
      </c>
      <c r="O35" s="469">
        <f t="shared" si="12"/>
        <v>2.9026867886231864</v>
      </c>
      <c r="P35" s="469">
        <f>+SUMIF('Rev Req'!$C$4:$AF$4,B35,'Rev Req'!$C$14:$AF$14)/1000000</f>
        <v>0</v>
      </c>
      <c r="Q35" s="477">
        <f t="shared" si="13"/>
        <v>24.236907316704698</v>
      </c>
      <c r="R35" s="478">
        <f t="shared" si="3"/>
        <v>5.3407493996652766</v>
      </c>
      <c r="S35" s="479">
        <f t="shared" si="24"/>
        <v>312.35302085683855</v>
      </c>
      <c r="T35" s="480">
        <f t="shared" si="14"/>
        <v>25.839713785420884</v>
      </c>
      <c r="U35" s="481">
        <f t="shared" si="4"/>
        <v>5.6939375178405562</v>
      </c>
      <c r="V35" s="18"/>
      <c r="W35" s="407">
        <f>IF(A35&gt;$P$4,0,IF(B35='Input Data'!$C$17,'Input Data'!$C$72*'Input Data'!$C$73*8760*'Input Data'!$C$75,W34*(1-'Input Data'!$C$74)))</f>
        <v>0</v>
      </c>
      <c r="X35" s="408">
        <f t="shared" si="5"/>
        <v>0</v>
      </c>
      <c r="Y35" s="413">
        <f t="shared" si="15"/>
        <v>0</v>
      </c>
      <c r="Z35" s="414">
        <f t="shared" si="22"/>
        <v>0</v>
      </c>
      <c r="AA35" s="484">
        <f t="shared" si="16"/>
        <v>0</v>
      </c>
      <c r="AB35" s="485">
        <f t="shared" si="6"/>
        <v>0</v>
      </c>
      <c r="AD35" s="514">
        <f>IF(SUMIF('Input Data'!$C$40:$M$40,B35,'Input Data'!$C$50:$M$50)=0,'Input Data'!$M$50,SUMIF('Input Data'!$C$40:$M$40,B35,'Input Data'!$C$50:$M$50))</f>
        <v>0.25345000000000001</v>
      </c>
      <c r="AE35" s="306"/>
      <c r="AF35" s="433">
        <f t="shared" si="17"/>
        <v>24236907.316704698</v>
      </c>
      <c r="AG35" s="433">
        <f>SUMIF('Rev Req'!$C$4:$AF$4,B35,'Rev Req'!$C$15:$AF$15)</f>
        <v>24236907.317870911</v>
      </c>
      <c r="AH35" s="434">
        <f t="shared" si="18"/>
        <v>-1.1662133038043976E-3</v>
      </c>
      <c r="AI35" s="433"/>
      <c r="AJ35" s="433">
        <f t="shared" si="19"/>
        <v>155228996.13844845</v>
      </c>
      <c r="AK35" s="433">
        <f>SUMIF('Rev Req'!$C$4:$AF$4,B35,'Rev Req'!$C$20:$AF$20)+SUMIF('Rev Req'!$C$4:$AF$4,B35,'Rev Req'!$C$25:$AF$25)+SUMIF('Rev Req'!$C$4:$AF$4,B35,'Rev Req'!$C$32:$AF$32)</f>
        <v>155228996</v>
      </c>
      <c r="AL35" s="434">
        <f t="shared" si="23"/>
        <v>0.13844844698905945</v>
      </c>
    </row>
    <row r="36" spans="1:43">
      <c r="A36" s="132">
        <f t="shared" si="7"/>
        <v>24</v>
      </c>
      <c r="B36" s="133">
        <f t="shared" si="8"/>
        <v>2045</v>
      </c>
      <c r="C36" s="467">
        <f t="shared" si="20"/>
        <v>153.14075772382586</v>
      </c>
      <c r="D36" s="467">
        <f>IF(A36&gt;$P$4,0,(SUMIF(Financials!$C$4:$AF$4,B36,Financials!$C$113:$AF$113)-SUMIF(Financials!$C$4:$AF$4,B36-1,Financials!$C$113:$AF$113)+SUMIF(Financials!$C$4:$AF$4,B36,Financials!$C$118:$AF$118)-SUMIF(Financials!$C$4:$AF$4,B36-1,Financials!$C$118:$AF$118))/1000000)</f>
        <v>8.4672424181818959E-2</v>
      </c>
      <c r="E36" s="468">
        <f>SUMIF(Book!$C$1:$AF$1,A36,Book!$C$369:$AF$369)/1000000</f>
        <v>3.7484358217920564</v>
      </c>
      <c r="F36" s="468">
        <f>IF(A36&gt;$P$4,0,SUMIF(Tax!$C$2:$AF$2,B36,Tax!$C$396:$AF$396)/1000000)-SUM($F$13:F35)</f>
        <v>0.51183570135004075</v>
      </c>
      <c r="G36" s="469">
        <f t="shared" si="9"/>
        <v>148.96515862486561</v>
      </c>
      <c r="H36" s="131"/>
      <c r="I36" s="469">
        <f t="shared" si="10"/>
        <v>151.05295817434575</v>
      </c>
      <c r="J36" s="471">
        <f t="shared" si="2"/>
        <v>3.7484358217920564</v>
      </c>
      <c r="K36" s="469">
        <f t="shared" si="11"/>
        <v>11.575339237858287</v>
      </c>
      <c r="L36" s="468">
        <f>SUMIF(Financials!$C$3:$AG$3,A36,Financials!$C$18:$AG$18)/1000000</f>
        <v>1.6768258016504183</v>
      </c>
      <c r="M36" s="468">
        <f>SUMIF(Financials!$C$3:$AG$3,A36,Financials!$C$16:$AG$16)/1000000</f>
        <v>4.0571669999999997</v>
      </c>
      <c r="N36" s="468">
        <f>SUMIF(Financials!$C$3:$AG$3,A36,Financials!$C$15:$AG$15)/1000000</f>
        <v>0</v>
      </c>
      <c r="O36" s="469">
        <f t="shared" si="12"/>
        <v>2.8245974462404115</v>
      </c>
      <c r="P36" s="469">
        <f>+SUMIF('Rev Req'!$C$4:$AF$4,B36,'Rev Req'!$C$14:$AF$14)/1000000</f>
        <v>0</v>
      </c>
      <c r="Q36" s="477">
        <f t="shared" si="13"/>
        <v>23.882365307541175</v>
      </c>
      <c r="R36" s="478">
        <f t="shared" si="3"/>
        <v>4.912973037339003</v>
      </c>
      <c r="S36" s="479">
        <f t="shared" si="24"/>
        <v>317.26599389417754</v>
      </c>
      <c r="T36" s="480">
        <f t="shared" si="14"/>
        <v>25.839713785420884</v>
      </c>
      <c r="U36" s="481">
        <f t="shared" si="4"/>
        <v>5.315629984113996</v>
      </c>
      <c r="V36" s="18"/>
      <c r="W36" s="407">
        <f>IF(A36&gt;$P$4,0,IF(B36='Input Data'!$C$17,'Input Data'!$C$72*'Input Data'!$C$73*8760*'Input Data'!$C$75,W35*(1-'Input Data'!$C$74)))</f>
        <v>0</v>
      </c>
      <c r="X36" s="408">
        <f t="shared" si="5"/>
        <v>0</v>
      </c>
      <c r="Y36" s="413">
        <f t="shared" si="15"/>
        <v>0</v>
      </c>
      <c r="Z36" s="414">
        <f t="shared" si="22"/>
        <v>0</v>
      </c>
      <c r="AA36" s="484">
        <f t="shared" si="16"/>
        <v>0</v>
      </c>
      <c r="AB36" s="485">
        <f t="shared" si="6"/>
        <v>0</v>
      </c>
      <c r="AD36" s="514">
        <f>IF(SUMIF('Input Data'!$C$40:$M$40,B36,'Input Data'!$C$50:$M$50)=0,'Input Data'!$M$50,SUMIF('Input Data'!$C$40:$M$40,B36,'Input Data'!$C$50:$M$50))</f>
        <v>0.25345000000000001</v>
      </c>
      <c r="AE36" s="306"/>
      <c r="AF36" s="433">
        <f t="shared" si="17"/>
        <v>23882365.307541177</v>
      </c>
      <c r="AG36" s="433">
        <f>SUMIF('Rev Req'!$C$4:$AF$4,B36,'Rev Req'!$C$15:$AF$15)</f>
        <v>23882365.262191609</v>
      </c>
      <c r="AH36" s="434">
        <f t="shared" si="18"/>
        <v>4.5349568128585815E-2</v>
      </c>
      <c r="AI36" s="433"/>
      <c r="AJ36" s="433">
        <f t="shared" si="19"/>
        <v>151052958.17434576</v>
      </c>
      <c r="AK36" s="433">
        <f>SUMIF('Rev Req'!$C$4:$AF$4,B36,'Rev Req'!$C$20:$AF$20)+SUMIF('Rev Req'!$C$4:$AF$4,B36,'Rev Req'!$C$25:$AF$25)+SUMIF('Rev Req'!$C$4:$AF$4,B36,'Rev Req'!$C$32:$AF$32)</f>
        <v>151052958</v>
      </c>
      <c r="AL36" s="434">
        <f t="shared" si="23"/>
        <v>0.17434576153755188</v>
      </c>
    </row>
    <row r="37" spans="1:43">
      <c r="A37" s="132">
        <f t="shared" si="7"/>
        <v>25</v>
      </c>
      <c r="B37" s="133">
        <f t="shared" si="8"/>
        <v>2046</v>
      </c>
      <c r="C37" s="467">
        <f t="shared" si="20"/>
        <v>148.96515862486561</v>
      </c>
      <c r="D37" s="467">
        <f>IF(A37&gt;$P$4,0,(SUMIF(Financials!$C$4:$AF$4,B37,Financials!$C$113:$AF$113)-SUMIF(Financials!$C$4:$AF$4,B37-1,Financials!$C$113:$AF$113)+SUMIF(Financials!$C$4:$AF$4,B37,Financials!$C$118:$AF$118)-SUMIF(Financials!$C$4:$AF$4,B37-1,Financials!$C$118:$AF$118))/1000000)</f>
        <v>8.7212588909089561E-2</v>
      </c>
      <c r="E37" s="468">
        <f>SUMIF(Book!$C$1:$AF$1,A37,Book!$C$369:$AF$369)/1000000</f>
        <v>3.7498681969011471</v>
      </c>
      <c r="F37" s="468">
        <f>IF(A37&gt;$P$4,0,SUMIF(Tax!$C$2:$AF$2,B37,Tax!$C$396:$AF$396)/1000000)-SUM($F$13:F36)</f>
        <v>0.51203943589553802</v>
      </c>
      <c r="G37" s="469">
        <f t="shared" si="9"/>
        <v>144.79046358097804</v>
      </c>
      <c r="H37" s="131"/>
      <c r="I37" s="469">
        <f t="shared" si="10"/>
        <v>146.87781110292184</v>
      </c>
      <c r="J37" s="471">
        <f t="shared" si="2"/>
        <v>3.7498681969011471</v>
      </c>
      <c r="K37" s="469">
        <f t="shared" si="11"/>
        <v>11.255393542628003</v>
      </c>
      <c r="L37" s="468">
        <f>SUMIF(Financials!$C$3:$AG$3,A37,Financials!$C$18:$AG$18)/1000000</f>
        <v>1.6394554149947942</v>
      </c>
      <c r="M37" s="468">
        <f>SUMIF(Financials!$C$3:$AG$3,A37,Financials!$C$16:$AG$16)/1000000</f>
        <v>4.1383099999999997</v>
      </c>
      <c r="N37" s="468">
        <f>SUMIF(Financials!$C$3:$AG$3,A37,Financials!$C$15:$AG$15)/1000000</f>
        <v>0</v>
      </c>
      <c r="O37" s="469">
        <f t="shared" si="12"/>
        <v>2.7465247630029834</v>
      </c>
      <c r="P37" s="469">
        <f>+SUMIF('Rev Req'!$C$4:$AF$4,B37,'Rev Req'!$C$14:$AF$14)/1000000</f>
        <v>0</v>
      </c>
      <c r="Q37" s="477">
        <f t="shared" si="13"/>
        <v>23.529551917526931</v>
      </c>
      <c r="R37" s="478">
        <f t="shared" si="3"/>
        <v>4.5187961058397059</v>
      </c>
      <c r="S37" s="479">
        <f t="shared" si="24"/>
        <v>321.78479000001727</v>
      </c>
      <c r="T37" s="480">
        <f t="shared" si="14"/>
        <v>25.839713785420884</v>
      </c>
      <c r="U37" s="481">
        <f t="shared" si="4"/>
        <v>4.9624573574049151</v>
      </c>
      <c r="V37" s="18"/>
      <c r="W37" s="407">
        <f>IF(A37&gt;$P$4,0,IF(B37='Input Data'!$C$17,'Input Data'!$C$72*'Input Data'!$C$73*8760*'Input Data'!$C$75,W36*(1-'Input Data'!$C$74)))</f>
        <v>0</v>
      </c>
      <c r="X37" s="408">
        <f t="shared" si="5"/>
        <v>0</v>
      </c>
      <c r="Y37" s="413">
        <f t="shared" si="15"/>
        <v>0</v>
      </c>
      <c r="Z37" s="414">
        <f t="shared" si="22"/>
        <v>0</v>
      </c>
      <c r="AA37" s="484">
        <f t="shared" si="16"/>
        <v>0</v>
      </c>
      <c r="AB37" s="485">
        <f t="shared" si="6"/>
        <v>0</v>
      </c>
      <c r="AD37" s="514">
        <f>IF(SUMIF('Input Data'!$C$40:$M$40,B37,'Input Data'!$C$50:$M$50)=0,'Input Data'!$M$50,SUMIF('Input Data'!$C$40:$M$40,B37,'Input Data'!$C$50:$M$50))</f>
        <v>0.25345000000000001</v>
      </c>
      <c r="AE37" s="306"/>
      <c r="AF37" s="433">
        <f t="shared" si="17"/>
        <v>23529551.917526931</v>
      </c>
      <c r="AG37" s="433">
        <f>SUMIF('Rev Req'!$C$4:$AF$4,B37,'Rev Req'!$C$15:$AF$15)</f>
        <v>23529551.913102057</v>
      </c>
      <c r="AH37" s="434">
        <f t="shared" si="18"/>
        <v>4.4248737394809723E-3</v>
      </c>
      <c r="AI37" s="433"/>
      <c r="AJ37" s="433">
        <f t="shared" si="19"/>
        <v>146877811.10292184</v>
      </c>
      <c r="AK37" s="433">
        <f>SUMIF('Rev Req'!$C$4:$AF$4,B37,'Rev Req'!$C$20:$AF$20)+SUMIF('Rev Req'!$C$4:$AF$4,B37,'Rev Req'!$C$25:$AF$25)+SUMIF('Rev Req'!$C$4:$AF$4,B37,'Rev Req'!$C$32:$AF$32)</f>
        <v>146877811</v>
      </c>
      <c r="AL37" s="434">
        <f t="shared" si="23"/>
        <v>0.10292184352874756</v>
      </c>
    </row>
    <row r="38" spans="1:43">
      <c r="A38" s="132">
        <f t="shared" si="7"/>
        <v>26</v>
      </c>
      <c r="B38" s="133">
        <f t="shared" si="8"/>
        <v>2047</v>
      </c>
      <c r="C38" s="467">
        <f t="shared" ref="C38:C42" si="25">+G37</f>
        <v>144.79046358097804</v>
      </c>
      <c r="D38" s="467">
        <f>IF(A38&gt;$P$4,0,(SUMIF(Financials!$C$4:$AF$4,B38,Financials!$C$113:$AF$113)-SUMIF(Financials!$C$4:$AF$4,B38-1,Financials!$C$113:$AF$113)+SUMIF(Financials!$C$4:$AF$4,B38,Financials!$C$118:$AF$118)-SUMIF(Financials!$C$4:$AF$4,B38-1,Financials!$C$118:$AF$118))/1000000)</f>
        <v>8.9828967636346818E-2</v>
      </c>
      <c r="E38" s="468">
        <f>SUMIF(Book!$C$1:$AF$1,A38,Book!$C$369:$AF$369)/1000000</f>
        <v>3.7513435432056923</v>
      </c>
      <c r="F38" s="468">
        <f>IF(A38&gt;$P$4,0,SUMIF(Tax!$C$2:$AF$2,B38,Tax!$C$396:$AF$396)/1000000)-SUM($F$13:F37)</f>
        <v>0.51224928249894575</v>
      </c>
      <c r="G38" s="469">
        <f t="shared" ref="G38:G42" si="26">+C38+D38-E38-F38</f>
        <v>140.61669972290974</v>
      </c>
      <c r="H38" s="131"/>
      <c r="I38" s="469">
        <f t="shared" ref="I38:I42" si="27">IF(A38&gt;$P$4,0,IF(H38&lt;&gt;0,(C38+G38)/2*H38,(C38+G38)/2))</f>
        <v>142.70358165194389</v>
      </c>
      <c r="J38" s="471">
        <f t="shared" ref="J38:J42" si="28">E38</f>
        <v>3.7513435432056923</v>
      </c>
      <c r="K38" s="469">
        <f t="shared" ref="K38:K42" si="29">IF(A38&gt;$P$4,0,I38*$I$8)</f>
        <v>10.935518165570111</v>
      </c>
      <c r="L38" s="468">
        <f>SUMIF(Financials!$C$3:$AG$3,A38,Financials!$C$18:$AG$18)/1000000</f>
        <v>1.6020963277932749</v>
      </c>
      <c r="M38" s="468">
        <f>SUMIF(Financials!$C$3:$AG$3,A38,Financials!$C$16:$AG$16)/1000000</f>
        <v>4.2210760000000001</v>
      </c>
      <c r="N38" s="468">
        <f>SUMIF(Financials!$C$3:$AG$3,A38,Financials!$C$15:$AG$15)/1000000</f>
        <v>0</v>
      </c>
      <c r="O38" s="469">
        <f t="shared" si="12"/>
        <v>2.6684692387037163</v>
      </c>
      <c r="P38" s="469">
        <f>+SUMIF('Rev Req'!$C$4:$AF$4,B38,'Rev Req'!$C$14:$AF$14)/1000000</f>
        <v>0</v>
      </c>
      <c r="Q38" s="477">
        <f t="shared" ref="Q38:Q42" si="30">SUM(J38:P38)</f>
        <v>23.178503275272796</v>
      </c>
      <c r="R38" s="478">
        <f t="shared" ref="R38:R42" si="31">Q38/(1+$J$8)^(A38-1)</f>
        <v>4.1556266511900493</v>
      </c>
      <c r="S38" s="479">
        <f t="shared" ref="S38:S42" si="32">R38+S37</f>
        <v>325.94041665120733</v>
      </c>
      <c r="T38" s="480">
        <f t="shared" ref="T38:T42" si="33">IF(A38&gt;$P$4,0,+T37)</f>
        <v>25.839713785420884</v>
      </c>
      <c r="U38" s="481">
        <f t="shared" ref="U38:U42" si="34">T38/(1+$J$8)^(A38-1)</f>
        <v>4.6327496642275818</v>
      </c>
      <c r="V38" s="18"/>
      <c r="W38" s="407">
        <f>IF(A38&gt;$P$4,0,IF(B38='Input Data'!$C$17,'Input Data'!$C$72*'Input Data'!$C$73*8760*'Input Data'!$C$75,W37*(1-'Input Data'!$C$74)))</f>
        <v>0</v>
      </c>
      <c r="X38" s="408">
        <f t="shared" ref="X38:X42" si="35">W38/(1+$J$8)^(A38-1)</f>
        <v>0</v>
      </c>
      <c r="Y38" s="413">
        <f t="shared" ref="Y38:Y42" si="36">IFERROR(T38/W38*1000,0)</f>
        <v>0</v>
      </c>
      <c r="Z38" s="414">
        <f t="shared" si="22"/>
        <v>0</v>
      </c>
      <c r="AA38" s="484">
        <f t="shared" ref="AA38:AA42" si="37">+Z38*W38/1000</f>
        <v>0</v>
      </c>
      <c r="AB38" s="485">
        <f t="shared" ref="AB38:AB42" si="38">AA38/(1+$J$8)^(A38-1)</f>
        <v>0</v>
      </c>
      <c r="AD38" s="514">
        <f>IF(SUMIF('Input Data'!$C$40:$M$40,B38,'Input Data'!$C$50:$M$50)=0,'Input Data'!$M$50,SUMIF('Input Data'!$C$40:$M$40,B38,'Input Data'!$C$50:$M$50))</f>
        <v>0.25345000000000001</v>
      </c>
      <c r="AE38" s="306"/>
      <c r="AF38" s="433">
        <f t="shared" ref="AF38:AF42" si="39">+Q38*1000000</f>
        <v>23178503.275272794</v>
      </c>
      <c r="AG38" s="433">
        <f>SUMIF('Rev Req'!$C$4:$AF$4,B38,'Rev Req'!$C$15:$AF$15)</f>
        <v>23178503.283315137</v>
      </c>
      <c r="AH38" s="434">
        <f t="shared" ref="AH38:AH42" si="40">AF38-AG38</f>
        <v>-8.0423429608345032E-3</v>
      </c>
      <c r="AI38" s="433"/>
      <c r="AJ38" s="433">
        <f t="shared" ref="AJ38:AJ42" si="41">+I38*1000000</f>
        <v>142703581.65194389</v>
      </c>
      <c r="AK38" s="433">
        <f>SUMIF('Rev Req'!$C$4:$AF$4,B38,'Rev Req'!$C$20:$AF$20)+SUMIF('Rev Req'!$C$4:$AF$4,B38,'Rev Req'!$C$25:$AF$25)+SUMIF('Rev Req'!$C$4:$AF$4,B38,'Rev Req'!$C$32:$AF$32)</f>
        <v>142703582</v>
      </c>
      <c r="AL38" s="434">
        <f t="shared" si="23"/>
        <v>-0.34805610775947571</v>
      </c>
    </row>
    <row r="39" spans="1:43">
      <c r="A39" s="132">
        <f t="shared" si="7"/>
        <v>27</v>
      </c>
      <c r="B39" s="133">
        <f t="shared" si="8"/>
        <v>2048</v>
      </c>
      <c r="C39" s="467">
        <f t="shared" si="25"/>
        <v>140.61669972290974</v>
      </c>
      <c r="D39" s="467">
        <f>IF(A39&gt;$P$4,0,(SUMIF(Financials!$C$4:$AF$4,B39,Financials!$C$113:$AF$113)-SUMIF(Financials!$C$4:$AF$4,B39-1,Financials!$C$113:$AF$113)+SUMIF(Financials!$C$4:$AF$4,B39,Financials!$C$118:$AF$118)-SUMIF(Financials!$C$4:$AF$4,B39-1,Financials!$C$118:$AF$118))/1000000)</f>
        <v>9.2523844181835652E-2</v>
      </c>
      <c r="E39" s="468">
        <f>SUMIF(Book!$C$1:$AF$1,A39,Book!$C$369:$AF$369)/1000000</f>
        <v>3.7528631499708438</v>
      </c>
      <c r="F39" s="468">
        <f>IF(A39&gt;$P$4,0,SUMIF(Tax!$C$2:$AF$2,B39,Tax!$C$396:$AF$396)/1000000)-SUM($F$13:F38)</f>
        <v>0.51246542453118593</v>
      </c>
      <c r="G39" s="469">
        <f t="shared" si="26"/>
        <v>136.44389499258955</v>
      </c>
      <c r="H39" s="131"/>
      <c r="I39" s="469">
        <f t="shared" si="27"/>
        <v>138.53029735774965</v>
      </c>
      <c r="J39" s="471">
        <f t="shared" si="28"/>
        <v>3.7528631499708438</v>
      </c>
      <c r="K39" s="469">
        <f t="shared" si="29"/>
        <v>10.615715216821712</v>
      </c>
      <c r="L39" s="468">
        <f>SUMIF(Financials!$C$3:$AG$3,A39,Financials!$C$18:$AG$18)/1000000</f>
        <v>1.5647488791224675</v>
      </c>
      <c r="M39" s="468">
        <f>SUMIF(Financials!$C$3:$AG$3,A39,Financials!$C$16:$AG$16)/1000000</f>
        <v>4.3054969999999999</v>
      </c>
      <c r="N39" s="468">
        <f>SUMIF(Financials!$C$3:$AG$3,A39,Financials!$C$15:$AG$15)/1000000</f>
        <v>0</v>
      </c>
      <c r="O39" s="469">
        <f t="shared" si="12"/>
        <v>2.5904313882551957</v>
      </c>
      <c r="P39" s="469">
        <f>+SUMIF('Rev Req'!$C$4:$AF$4,B39,'Rev Req'!$C$14:$AF$14)/1000000</f>
        <v>0</v>
      </c>
      <c r="Q39" s="477">
        <f t="shared" si="30"/>
        <v>22.829255634170217</v>
      </c>
      <c r="R39" s="478">
        <f t="shared" si="31"/>
        <v>3.8210694470868662</v>
      </c>
      <c r="S39" s="479">
        <f t="shared" si="32"/>
        <v>329.7614860982942</v>
      </c>
      <c r="T39" s="480">
        <f t="shared" si="33"/>
        <v>25.839713785420884</v>
      </c>
      <c r="U39" s="481">
        <f t="shared" si="34"/>
        <v>4.3249478848165612</v>
      </c>
      <c r="V39" s="18"/>
      <c r="W39" s="407">
        <f>IF(A39&gt;$P$4,0,IF(B39='Input Data'!$C$17,'Input Data'!$C$72*'Input Data'!$C$73*8760*'Input Data'!$C$75,W38*(1-'Input Data'!$C$74)))</f>
        <v>0</v>
      </c>
      <c r="X39" s="408">
        <f t="shared" si="35"/>
        <v>0</v>
      </c>
      <c r="Y39" s="413">
        <f t="shared" si="36"/>
        <v>0</v>
      </c>
      <c r="Z39" s="414">
        <f t="shared" si="22"/>
        <v>0</v>
      </c>
      <c r="AA39" s="484">
        <f t="shared" si="37"/>
        <v>0</v>
      </c>
      <c r="AB39" s="485">
        <f t="shared" si="38"/>
        <v>0</v>
      </c>
      <c r="AD39" s="514">
        <f>IF(SUMIF('Input Data'!$C$40:$M$40,B39,'Input Data'!$C$50:$M$50)=0,'Input Data'!$M$50,SUMIF('Input Data'!$C$40:$M$40,B39,'Input Data'!$C$50:$M$50))</f>
        <v>0.25345000000000001</v>
      </c>
      <c r="AE39" s="306"/>
      <c r="AF39" s="433">
        <f t="shared" si="39"/>
        <v>22829255.634170216</v>
      </c>
      <c r="AG39" s="433">
        <f>SUMIF('Rev Req'!$C$4:$AF$4,B39,'Rev Req'!$C$15:$AF$15)</f>
        <v>22829255.70257847</v>
      </c>
      <c r="AH39" s="434">
        <f t="shared" si="40"/>
        <v>-6.8408254534006119E-2</v>
      </c>
      <c r="AI39" s="433"/>
      <c r="AJ39" s="433">
        <f t="shared" si="41"/>
        <v>138530297.35774964</v>
      </c>
      <c r="AK39" s="433">
        <f>SUMIF('Rev Req'!$C$4:$AF$4,B39,'Rev Req'!$C$20:$AF$20)+SUMIF('Rev Req'!$C$4:$AF$4,B39,'Rev Req'!$C$25:$AF$25)+SUMIF('Rev Req'!$C$4:$AF$4,B39,'Rev Req'!$C$32:$AF$32)</f>
        <v>138530298</v>
      </c>
      <c r="AL39" s="434">
        <f t="shared" si="23"/>
        <v>-0.64225035905838013</v>
      </c>
    </row>
    <row r="40" spans="1:43">
      <c r="A40" s="132">
        <f t="shared" si="7"/>
        <v>28</v>
      </c>
      <c r="B40" s="133">
        <f t="shared" si="8"/>
        <v>2049</v>
      </c>
      <c r="C40" s="467">
        <f t="shared" si="25"/>
        <v>136.44389499258955</v>
      </c>
      <c r="D40" s="467">
        <f>IF(A40&gt;$P$4,0,(SUMIF(Financials!$C$4:$AF$4,B40,Financials!$C$113:$AF$113)-SUMIF(Financials!$C$4:$AF$4,B40-1,Financials!$C$113:$AF$113)+SUMIF(Financials!$C$4:$AF$4,B40,Financials!$C$118:$AF$118)-SUMIF(Financials!$C$4:$AF$4,B40-1,Financials!$C$118:$AF$118))/1000000)</f>
        <v>9.5299560181796555E-2</v>
      </c>
      <c r="E40" s="468">
        <f>SUMIF(Book!$C$1:$AF$1,A40,Book!$C$369:$AF$369)/1000000</f>
        <v>3.7544283450072076</v>
      </c>
      <c r="F40" s="468">
        <f>IF(A40&gt;$P$4,0,SUMIF(Tax!$C$2:$AF$2,B40,Tax!$C$396:$AF$396)/1000000)-SUM($F$13:F39)</f>
        <v>0.51268805081147839</v>
      </c>
      <c r="G40" s="469">
        <f t="shared" si="26"/>
        <v>132.27207815695266</v>
      </c>
      <c r="H40" s="131"/>
      <c r="I40" s="469">
        <f t="shared" si="27"/>
        <v>134.3579865747711</v>
      </c>
      <c r="J40" s="471">
        <f t="shared" si="28"/>
        <v>3.7544283450072076</v>
      </c>
      <c r="K40" s="469">
        <f t="shared" si="29"/>
        <v>10.295986869211283</v>
      </c>
      <c r="L40" s="468">
        <f>SUMIF(Financials!$C$3:$AG$3,A40,Financials!$C$18:$AG$18)/1000000</f>
        <v>1.5274134182034196</v>
      </c>
      <c r="M40" s="468">
        <f>SUMIF(Financials!$C$3:$AG$3,A40,Financials!$C$16:$AG$16)/1000000</f>
        <v>4.3916069999999996</v>
      </c>
      <c r="N40" s="468">
        <f>SUMIF(Financials!$C$3:$AG$3,A40,Financials!$C$15:$AG$15)/1000000</f>
        <v>0</v>
      </c>
      <c r="O40" s="469">
        <f t="shared" si="12"/>
        <v>2.5124117418678664</v>
      </c>
      <c r="P40" s="469">
        <f>+SUMIF('Rev Req'!$C$4:$AF$4,B40,'Rev Req'!$C$14:$AF$14)/1000000</f>
        <v>0</v>
      </c>
      <c r="Q40" s="477">
        <f t="shared" si="30"/>
        <v>22.481847374289774</v>
      </c>
      <c r="R40" s="478">
        <f t="shared" si="31"/>
        <v>3.5129115923614083</v>
      </c>
      <c r="S40" s="479">
        <f t="shared" si="32"/>
        <v>333.27439769065563</v>
      </c>
      <c r="T40" s="480">
        <f t="shared" si="33"/>
        <v>25.839713785420884</v>
      </c>
      <c r="U40" s="481">
        <f t="shared" si="34"/>
        <v>4.0375965813162411</v>
      </c>
      <c r="V40" s="18"/>
      <c r="W40" s="407">
        <f>IF(A40&gt;$P$4,0,IF(B40='Input Data'!$C$17,'Input Data'!$C$72*'Input Data'!$C$73*8760*'Input Data'!$C$75,W39*(1-'Input Data'!$C$74)))</f>
        <v>0</v>
      </c>
      <c r="X40" s="408">
        <f t="shared" si="35"/>
        <v>0</v>
      </c>
      <c r="Y40" s="413">
        <f t="shared" si="36"/>
        <v>0</v>
      </c>
      <c r="Z40" s="414">
        <f t="shared" si="22"/>
        <v>0</v>
      </c>
      <c r="AA40" s="484">
        <f t="shared" si="37"/>
        <v>0</v>
      </c>
      <c r="AB40" s="485">
        <f t="shared" si="38"/>
        <v>0</v>
      </c>
      <c r="AD40" s="514">
        <f>IF(SUMIF('Input Data'!$C$40:$M$40,B40,'Input Data'!$C$50:$M$50)=0,'Input Data'!$M$50,SUMIF('Input Data'!$C$40:$M$40,B40,'Input Data'!$C$50:$M$50))</f>
        <v>0.25345000000000001</v>
      </c>
      <c r="AE40" s="306"/>
      <c r="AF40" s="433">
        <f t="shared" si="39"/>
        <v>22481847.374289773</v>
      </c>
      <c r="AG40" s="433">
        <f>SUMIF('Rev Req'!$C$4:$AF$4,B40,'Rev Req'!$C$15:$AF$15)</f>
        <v>22481847.416622579</v>
      </c>
      <c r="AH40" s="434">
        <f t="shared" si="40"/>
        <v>-4.2332805693149567E-2</v>
      </c>
      <c r="AI40" s="433"/>
      <c r="AJ40" s="433">
        <f t="shared" si="41"/>
        <v>134357986.57477111</v>
      </c>
      <c r="AK40" s="433">
        <f>SUMIF('Rev Req'!$C$4:$AF$4,B40,'Rev Req'!$C$20:$AF$20)+SUMIF('Rev Req'!$C$4:$AF$4,B40,'Rev Req'!$C$25:$AF$25)+SUMIF('Rev Req'!$C$4:$AF$4,B40,'Rev Req'!$C$32:$AF$32)</f>
        <v>134357987</v>
      </c>
      <c r="AL40" s="434">
        <f t="shared" si="23"/>
        <v>-0.42522889375686646</v>
      </c>
    </row>
    <row r="41" spans="1:43">
      <c r="A41" s="132">
        <f t="shared" si="7"/>
        <v>29</v>
      </c>
      <c r="B41" s="133">
        <f t="shared" si="8"/>
        <v>2050</v>
      </c>
      <c r="C41" s="467">
        <f t="shared" si="25"/>
        <v>132.27207815695266</v>
      </c>
      <c r="D41" s="467">
        <f>IF(A41&gt;$P$4,0,(SUMIF(Financials!$C$4:$AF$4,B41,Financials!$C$113:$AF$113)-SUMIF(Financials!$C$4:$AF$4,B41-1,Financials!$C$113:$AF$113)+SUMIF(Financials!$C$4:$AF$4,B41,Financials!$C$118:$AF$118)-SUMIF(Financials!$C$4:$AF$4,B41-1,Financials!$C$118:$AF$118))/1000000)</f>
        <v>9.815854400002956E-2</v>
      </c>
      <c r="E41" s="468">
        <f>SUMIF(Book!$C$1:$AF$1,A41,Book!$C$369:$AF$369)/1000000</f>
        <v>3.7560404958753892</v>
      </c>
      <c r="F41" s="468">
        <f>IF(A41&gt;$P$4,0,SUMIF(Tax!$C$2:$AF$2,B41,Tax!$C$396:$AF$396)/1000000)-SUM($F$13:F40)</f>
        <v>0.51291735586564968</v>
      </c>
      <c r="G41" s="469">
        <f t="shared" si="26"/>
        <v>128.10127884921164</v>
      </c>
      <c r="H41" s="131"/>
      <c r="I41" s="469">
        <f t="shared" si="27"/>
        <v>130.18667850308213</v>
      </c>
      <c r="J41" s="471">
        <f t="shared" si="28"/>
        <v>3.7560404958753892</v>
      </c>
      <c r="K41" s="469">
        <f t="shared" si="29"/>
        <v>9.9763353603696867</v>
      </c>
      <c r="L41" s="468">
        <f>SUMIF(Financials!$C$3:$AG$3,A41,Financials!$C$18:$AG$18)/1000000</f>
        <v>1.4900903045982006</v>
      </c>
      <c r="M41" s="468">
        <f>SUMIF(Financials!$C$3:$AG$3,A41,Financials!$C$16:$AG$16)/1000000</f>
        <v>4.4794390000000002</v>
      </c>
      <c r="N41" s="468">
        <f>SUMIF(Financials!$C$3:$AG$3,A41,Financials!$C$15:$AG$15)/1000000</f>
        <v>0</v>
      </c>
      <c r="O41" s="469">
        <f t="shared" si="12"/>
        <v>2.4344108455651563</v>
      </c>
      <c r="P41" s="469">
        <f>+SUMIF('Rev Req'!$C$4:$AF$4,B41,'Rev Req'!$C$14:$AF$14)/1000000</f>
        <v>0</v>
      </c>
      <c r="Q41" s="477">
        <f t="shared" si="30"/>
        <v>22.136316006408435</v>
      </c>
      <c r="R41" s="478">
        <f t="shared" si="31"/>
        <v>3.2291083410728292</v>
      </c>
      <c r="S41" s="479">
        <f t="shared" si="32"/>
        <v>336.50350603172848</v>
      </c>
      <c r="T41" s="480">
        <f t="shared" si="33"/>
        <v>25.839713785420884</v>
      </c>
      <c r="U41" s="481">
        <f t="shared" si="34"/>
        <v>3.7693370157564425</v>
      </c>
      <c r="V41" s="18"/>
      <c r="W41" s="407">
        <f>IF(A41&gt;$P$4,0,IF(B41='Input Data'!$C$17,'Input Data'!$C$72*'Input Data'!$C$73*8760*'Input Data'!$C$75,W40*(1-'Input Data'!$C$74)))</f>
        <v>0</v>
      </c>
      <c r="X41" s="408">
        <f t="shared" si="35"/>
        <v>0</v>
      </c>
      <c r="Y41" s="413">
        <f t="shared" si="36"/>
        <v>0</v>
      </c>
      <c r="Z41" s="414">
        <f t="shared" si="22"/>
        <v>0</v>
      </c>
      <c r="AA41" s="484">
        <f t="shared" si="37"/>
        <v>0</v>
      </c>
      <c r="AB41" s="485">
        <f t="shared" si="38"/>
        <v>0</v>
      </c>
      <c r="AD41" s="514">
        <f>IF(SUMIF('Input Data'!$C$40:$M$40,B41,'Input Data'!$C$50:$M$50)=0,'Input Data'!$M$50,SUMIF('Input Data'!$C$40:$M$40,B41,'Input Data'!$C$50:$M$50))</f>
        <v>0.25345000000000001</v>
      </c>
      <c r="AE41" s="306"/>
      <c r="AF41" s="433">
        <f t="shared" si="39"/>
        <v>22136316.006408434</v>
      </c>
      <c r="AG41" s="433">
        <f>SUMIF('Rev Req'!$C$4:$AF$4,B41,'Rev Req'!$C$15:$AF$15)</f>
        <v>22136315.947675999</v>
      </c>
      <c r="AH41" s="434">
        <f t="shared" si="40"/>
        <v>5.873243510723114E-2</v>
      </c>
      <c r="AI41" s="433"/>
      <c r="AJ41" s="433">
        <f t="shared" si="41"/>
        <v>130186678.50308214</v>
      </c>
      <c r="AK41" s="433">
        <f>SUMIF('Rev Req'!$C$4:$AF$4,B41,'Rev Req'!$C$20:$AF$20)+SUMIF('Rev Req'!$C$4:$AF$4,B41,'Rev Req'!$C$25:$AF$25)+SUMIF('Rev Req'!$C$4:$AF$4,B41,'Rev Req'!$C$32:$AF$32)</f>
        <v>130186678</v>
      </c>
      <c r="AL41" s="434">
        <f t="shared" si="23"/>
        <v>0.50308214128017426</v>
      </c>
    </row>
    <row r="42" spans="1:43">
      <c r="A42" s="132">
        <f t="shared" si="7"/>
        <v>30</v>
      </c>
      <c r="B42" s="133">
        <f t="shared" si="8"/>
        <v>2051</v>
      </c>
      <c r="C42" s="467">
        <f t="shared" si="25"/>
        <v>128.10127884921164</v>
      </c>
      <c r="D42" s="467">
        <f>IF(A42&gt;$P$4,0,(SUMIF(Financials!$C$4:$AF$4,B42,Financials!$C$113:$AF$113)-SUMIF(Financials!$C$4:$AF$4,B42-1,Financials!$C$113:$AF$113)+SUMIF(Financials!$C$4:$AF$4,B42,Financials!$C$118:$AF$118)-SUMIF(Financials!$C$4:$AF$4,B42-1,Financials!$C$118:$AF$118))/1000000)</f>
        <v>0.10110330109089613</v>
      </c>
      <c r="E42" s="468">
        <f>SUMIF(Book!$C$1:$AF$1,A42,Book!$C$369:$AF$369)/1000000</f>
        <v>3.7577010112511471</v>
      </c>
      <c r="F42" s="468">
        <f>IF(A42&gt;$P$4,0,SUMIF(Tax!$C$2:$AF$2,B42,Tax!$C$396:$AF$396)/1000000)-SUM($F$13:F41)</f>
        <v>0.51315354008113978</v>
      </c>
      <c r="G42" s="469">
        <f t="shared" si="26"/>
        <v>123.93152759897025</v>
      </c>
      <c r="H42" s="131"/>
      <c r="I42" s="469">
        <f t="shared" si="27"/>
        <v>126.01640322409094</v>
      </c>
      <c r="J42" s="471">
        <f t="shared" si="28"/>
        <v>3.7577010112511471</v>
      </c>
      <c r="K42" s="469">
        <f t="shared" si="29"/>
        <v>9.6567629954653107</v>
      </c>
      <c r="L42" s="468">
        <f>SUMIF(Financials!$C$3:$AG$3,A42,Financials!$C$18:$AG$18)/1000000</f>
        <v>1.4527799086890716</v>
      </c>
      <c r="M42" s="468">
        <f>SUMIF(Financials!$C$3:$AG$3,A42,Financials!$C$16:$AG$16)/1000000</f>
        <v>4.5690280000000003</v>
      </c>
      <c r="N42" s="468">
        <f>SUMIF(Financials!$C$3:$AG$3,A42,Financials!$C$15:$AG$15)/1000000</f>
        <v>0</v>
      </c>
      <c r="O42" s="469">
        <f t="shared" si="12"/>
        <v>2.3564292618509053</v>
      </c>
      <c r="P42" s="469">
        <f>+SUMIF('Rev Req'!$C$4:$AF$4,B42,'Rev Req'!$C$14:$AF$14)/1000000</f>
        <v>0</v>
      </c>
      <c r="Q42" s="477">
        <f t="shared" si="30"/>
        <v>21.792701177256436</v>
      </c>
      <c r="R42" s="478">
        <f t="shared" si="31"/>
        <v>2.9677709519198738</v>
      </c>
      <c r="S42" s="479">
        <f t="shared" si="32"/>
        <v>339.47127698364835</v>
      </c>
      <c r="T42" s="480">
        <f t="shared" si="33"/>
        <v>25.839713785420884</v>
      </c>
      <c r="U42" s="481">
        <f t="shared" si="34"/>
        <v>3.5189007252725499</v>
      </c>
      <c r="V42" s="18"/>
      <c r="W42" s="407">
        <f>IF(A42&gt;$P$4,0,IF(B42='Input Data'!$C$17,'Input Data'!$C$72*'Input Data'!$C$73*8760*'Input Data'!$C$75,W41*(1-'Input Data'!$C$74)))</f>
        <v>0</v>
      </c>
      <c r="X42" s="408">
        <f t="shared" si="35"/>
        <v>0</v>
      </c>
      <c r="Y42" s="413">
        <f t="shared" si="36"/>
        <v>0</v>
      </c>
      <c r="Z42" s="414">
        <f t="shared" si="22"/>
        <v>0</v>
      </c>
      <c r="AA42" s="484">
        <f t="shared" si="37"/>
        <v>0</v>
      </c>
      <c r="AB42" s="485">
        <f t="shared" si="38"/>
        <v>0</v>
      </c>
      <c r="AD42" s="514">
        <f>IF(SUMIF('Input Data'!$C$40:$M$40,B42,'Input Data'!$C$50:$M$50)=0,'Input Data'!$M$50,SUMIF('Input Data'!$C$40:$M$40,B42,'Input Data'!$C$50:$M$50))</f>
        <v>0.25345000000000001</v>
      </c>
      <c r="AE42" s="306"/>
      <c r="AF42" s="433">
        <f t="shared" si="39"/>
        <v>21792701.177256435</v>
      </c>
      <c r="AG42" s="433">
        <f>SUMIF('Rev Req'!$C$4:$AF$4,B42,'Rev Req'!$C$15:$AF$15)</f>
        <v>21792701.190009587</v>
      </c>
      <c r="AH42" s="434">
        <f t="shared" si="40"/>
        <v>-1.275315135717392E-2</v>
      </c>
      <c r="AI42" s="433"/>
      <c r="AJ42" s="433">
        <f t="shared" si="41"/>
        <v>126016403.22409093</v>
      </c>
      <c r="AK42" s="433">
        <f>SUMIF('Rev Req'!$C$4:$AF$4,B42,'Rev Req'!$C$20:$AF$20)+SUMIF('Rev Req'!$C$4:$AF$4,B42,'Rev Req'!$C$25:$AF$25)+SUMIF('Rev Req'!$C$4:$AF$4,B42,'Rev Req'!$C$32:$AF$32)</f>
        <v>126016403</v>
      </c>
      <c r="AL42" s="434">
        <f t="shared" si="23"/>
        <v>0.22409093379974365</v>
      </c>
    </row>
    <row r="43" spans="1:43" ht="15" thickBot="1">
      <c r="A43" s="18"/>
      <c r="B43" s="18"/>
      <c r="C43" s="435"/>
      <c r="D43" s="435"/>
      <c r="E43" s="402"/>
      <c r="F43" s="420"/>
      <c r="G43" s="19"/>
      <c r="H43" s="19"/>
      <c r="I43" s="19"/>
      <c r="J43" s="19"/>
      <c r="K43" s="19"/>
      <c r="L43" s="19"/>
      <c r="M43" s="19"/>
      <c r="N43" s="19"/>
      <c r="O43" s="21" t="s">
        <v>421</v>
      </c>
      <c r="P43" s="21"/>
      <c r="Q43" s="486">
        <f>SUM(Q13:Q42)</f>
        <v>783.08853138069378</v>
      </c>
      <c r="R43" s="486">
        <f>SUM(R13:R42)</f>
        <v>339.47127698364835</v>
      </c>
      <c r="S43" s="486"/>
      <c r="T43" s="486">
        <f>SUM(T13:T42)</f>
        <v>775.19141356262594</v>
      </c>
      <c r="U43" s="486">
        <f>SUM(U13:U42)</f>
        <v>339.47127698364847</v>
      </c>
      <c r="V43" s="18"/>
      <c r="W43" s="409">
        <f>SUM(W13:W42)</f>
        <v>0</v>
      </c>
      <c r="X43" s="409">
        <f>SUM(X13:X42)</f>
        <v>0</v>
      </c>
      <c r="Y43" s="19"/>
      <c r="Z43" s="19"/>
      <c r="AA43" s="486">
        <f>SUM(AA13:AA42)</f>
        <v>0</v>
      </c>
      <c r="AB43" s="486">
        <f>SUM(AB13:AB42)</f>
        <v>0</v>
      </c>
    </row>
    <row r="44" spans="1:43" ht="15" thickTop="1">
      <c r="A44" s="18"/>
      <c r="B44" s="18"/>
      <c r="C44" s="435"/>
      <c r="D44" s="25"/>
      <c r="E44" s="404"/>
      <c r="F44" s="402"/>
      <c r="G44" s="19"/>
      <c r="H44" s="19"/>
      <c r="I44" s="19"/>
      <c r="J44" s="19"/>
      <c r="K44" s="19"/>
      <c r="L44" s="19"/>
      <c r="M44" s="19"/>
      <c r="N44" s="19"/>
      <c r="O44" s="19"/>
      <c r="P44" s="19"/>
      <c r="Q44" s="33"/>
      <c r="R44" s="19"/>
      <c r="S44" s="19"/>
      <c r="T44" s="18"/>
      <c r="U44" s="415" t="str">
        <f>IF(ROUND(U43-R43,2)=0,"","ERROR")</f>
        <v/>
      </c>
      <c r="V44" s="18"/>
      <c r="W44" s="18"/>
      <c r="X44" s="18"/>
      <c r="Y44" s="29"/>
      <c r="Z44" s="18"/>
      <c r="AB44" s="415" t="str">
        <f>IF(P9="N/A","",IF(ROUND(AB43-R43,2)=0,"","ERROR"))</f>
        <v/>
      </c>
      <c r="AC44" s="415"/>
    </row>
    <row r="45" spans="1:43">
      <c r="A45" s="18"/>
      <c r="B45" s="18"/>
      <c r="C45" s="25"/>
      <c r="D45" s="25"/>
      <c r="E45" s="403"/>
      <c r="F45" s="18"/>
      <c r="G45" s="19"/>
      <c r="H45" s="19"/>
      <c r="I45" s="19"/>
      <c r="J45" s="19"/>
      <c r="K45" s="19"/>
      <c r="L45" s="19"/>
      <c r="M45" s="19"/>
      <c r="N45" s="19"/>
      <c r="O45" s="19"/>
      <c r="P45" s="19"/>
      <c r="Q45" s="4"/>
      <c r="R45" s="19"/>
      <c r="S45" s="19"/>
      <c r="T45" s="18"/>
      <c r="U45" s="19"/>
      <c r="V45" s="18"/>
      <c r="W45" s="18"/>
      <c r="X45" s="18"/>
      <c r="Y45" s="29"/>
      <c r="Z45" s="18"/>
    </row>
    <row r="46" spans="1:43">
      <c r="A46" s="440" t="s">
        <v>531</v>
      </c>
      <c r="B46" s="421"/>
      <c r="C46" s="422" t="s">
        <v>532</v>
      </c>
      <c r="D46" s="422"/>
      <c r="E46" s="423"/>
      <c r="F46" s="424">
        <f>+T13*1000000</f>
        <v>25839713.785420883</v>
      </c>
      <c r="G46" s="19"/>
      <c r="H46" s="19"/>
      <c r="I46" s="19"/>
      <c r="J46" s="19"/>
      <c r="K46" s="19"/>
      <c r="L46" s="19"/>
      <c r="M46" s="19"/>
      <c r="N46" s="19"/>
      <c r="O46" s="19"/>
      <c r="P46" s="19"/>
      <c r="Q46" s="4"/>
      <c r="R46" s="19"/>
      <c r="S46" s="19"/>
      <c r="T46" s="18"/>
      <c r="U46" s="19"/>
      <c r="V46" s="18"/>
      <c r="W46" s="18"/>
      <c r="X46" s="18"/>
      <c r="Y46" s="29"/>
      <c r="Z46" s="18"/>
    </row>
    <row r="47" spans="1:43">
      <c r="A47" s="421"/>
      <c r="B47" s="421"/>
      <c r="C47" s="422" t="s">
        <v>533</v>
      </c>
      <c r="D47" s="422"/>
      <c r="E47" s="421"/>
      <c r="F47" s="424">
        <f>+'Rev Req'!B17</f>
        <v>24350502.342468087</v>
      </c>
      <c r="G47" s="19"/>
      <c r="H47" s="19"/>
      <c r="I47" s="19"/>
      <c r="J47" s="19"/>
      <c r="K47" s="19"/>
      <c r="L47" s="19"/>
      <c r="M47" s="19"/>
      <c r="N47" s="19"/>
      <c r="O47" s="19"/>
      <c r="P47" s="19"/>
      <c r="Q47" s="4"/>
      <c r="R47" s="19"/>
      <c r="S47" s="19"/>
      <c r="T47" s="19"/>
      <c r="U47" s="19"/>
      <c r="V47" s="18"/>
      <c r="W47" s="18"/>
      <c r="X47" s="18"/>
      <c r="Y47" s="29"/>
      <c r="Z47" s="18"/>
    </row>
    <row r="48" spans="1:43" ht="15" thickBot="1">
      <c r="A48" s="421"/>
      <c r="B48" s="421"/>
      <c r="C48" s="425"/>
      <c r="D48" s="425"/>
      <c r="E48" s="425"/>
      <c r="F48" s="426">
        <f>+F46-F47</f>
        <v>1489211.4429527968</v>
      </c>
      <c r="G48" s="19"/>
      <c r="H48" s="19"/>
      <c r="I48" s="19"/>
      <c r="J48" s="19"/>
      <c r="K48" s="19"/>
      <c r="L48" s="19"/>
      <c r="M48" s="19"/>
      <c r="N48" s="19"/>
      <c r="O48" s="19"/>
      <c r="P48" s="19"/>
      <c r="Q48" s="19"/>
      <c r="R48" s="19"/>
      <c r="S48" s="19"/>
      <c r="T48" s="19"/>
      <c r="U48" s="19"/>
      <c r="V48" s="18"/>
      <c r="W48" s="18"/>
      <c r="X48" s="18"/>
      <c r="Y48" s="29"/>
      <c r="Z48" s="18"/>
    </row>
    <row r="49" spans="1:26" ht="15" thickTop="1">
      <c r="A49" s="18"/>
      <c r="B49" s="18"/>
      <c r="C49" s="18"/>
      <c r="D49" s="18"/>
      <c r="E49" s="18"/>
      <c r="F49" s="430"/>
      <c r="G49" s="19"/>
      <c r="H49" s="19"/>
      <c r="I49" s="19"/>
      <c r="J49" s="19"/>
      <c r="K49" s="19"/>
      <c r="L49" s="19"/>
      <c r="M49" s="19"/>
      <c r="N49" s="19"/>
      <c r="O49" s="19"/>
      <c r="P49" s="19"/>
      <c r="Q49" s="19"/>
      <c r="R49" s="19"/>
      <c r="S49" s="19"/>
      <c r="T49" s="19"/>
      <c r="U49" s="19"/>
      <c r="V49" s="18"/>
      <c r="W49" s="18"/>
      <c r="X49" s="18"/>
      <c r="Y49" s="29"/>
      <c r="Z49" s="18"/>
    </row>
    <row r="50" spans="1:26">
      <c r="A50" s="18"/>
      <c r="B50" s="18"/>
      <c r="C50" s="18"/>
      <c r="D50" s="18"/>
      <c r="E50" s="18"/>
      <c r="F50" s="18"/>
      <c r="G50" s="18"/>
      <c r="H50" s="18"/>
      <c r="I50" s="18"/>
      <c r="J50" s="18"/>
      <c r="K50" s="18"/>
      <c r="L50" s="18"/>
      <c r="M50" s="18"/>
      <c r="N50" s="18"/>
      <c r="O50" s="18"/>
      <c r="P50" s="18"/>
      <c r="Q50" s="19"/>
      <c r="R50" s="19"/>
      <c r="S50" s="19"/>
      <c r="T50" s="19"/>
      <c r="U50" s="19"/>
      <c r="V50" s="18"/>
      <c r="W50" s="18"/>
      <c r="X50" s="18"/>
      <c r="Y50" s="29"/>
      <c r="Z50" s="18"/>
    </row>
    <row r="51" spans="1:26">
      <c r="A51" s="18"/>
      <c r="B51" s="18"/>
      <c r="C51" s="18"/>
      <c r="D51" s="18"/>
      <c r="E51" s="18"/>
      <c r="F51" s="18"/>
      <c r="G51" s="18"/>
      <c r="H51" s="18"/>
      <c r="I51" s="18"/>
      <c r="J51" s="18"/>
      <c r="K51" s="18"/>
      <c r="L51" s="18"/>
      <c r="M51" s="18"/>
      <c r="N51" s="18"/>
      <c r="O51" s="18"/>
      <c r="P51" s="18"/>
      <c r="Q51" s="19"/>
      <c r="R51" s="19"/>
      <c r="S51" s="19"/>
      <c r="T51" s="19"/>
      <c r="U51" s="19"/>
      <c r="V51" s="18"/>
      <c r="W51" s="18"/>
      <c r="X51" s="18"/>
      <c r="Y51" s="29"/>
      <c r="Z51" s="18"/>
    </row>
    <row r="52" spans="1:26">
      <c r="A52" s="18"/>
      <c r="B52" s="18"/>
      <c r="C52" s="18"/>
      <c r="D52" s="18"/>
      <c r="E52" s="18"/>
      <c r="F52" s="428"/>
      <c r="G52" s="428"/>
      <c r="H52" s="428"/>
      <c r="I52" s="428"/>
      <c r="J52" s="428"/>
      <c r="K52" s="428"/>
      <c r="L52" s="428"/>
      <c r="M52" s="428"/>
      <c r="N52" s="428"/>
      <c r="O52" s="428"/>
      <c r="P52" s="428"/>
      <c r="Q52" s="19"/>
      <c r="R52" s="19"/>
      <c r="S52" s="19"/>
      <c r="T52" s="19"/>
      <c r="U52" s="19"/>
      <c r="V52" s="18"/>
      <c r="W52" s="18"/>
      <c r="X52" s="18"/>
      <c r="Y52" s="29"/>
      <c r="Z52" s="18"/>
    </row>
    <row r="53" spans="1:26">
      <c r="A53" s="18"/>
      <c r="B53" s="18"/>
      <c r="C53" s="18"/>
      <c r="D53" s="18"/>
      <c r="E53" s="18"/>
      <c r="F53" s="428"/>
      <c r="G53" s="428"/>
      <c r="H53" s="428"/>
      <c r="I53" s="428"/>
      <c r="J53" s="428"/>
      <c r="K53" s="428"/>
      <c r="L53" s="428"/>
      <c r="M53" s="428"/>
      <c r="N53" s="428"/>
      <c r="O53" s="428"/>
      <c r="P53" s="428"/>
      <c r="Q53" s="19"/>
      <c r="R53" s="19"/>
      <c r="S53" s="19"/>
      <c r="T53" s="19"/>
      <c r="U53" s="19"/>
      <c r="V53" s="18"/>
      <c r="W53" s="18"/>
      <c r="X53" s="18"/>
      <c r="Y53" s="29"/>
      <c r="Z53" s="18"/>
    </row>
    <row r="54" spans="1:26">
      <c r="A54" s="18"/>
      <c r="B54" s="18"/>
      <c r="C54" s="18"/>
      <c r="D54" s="18"/>
      <c r="E54" s="18"/>
      <c r="F54" s="18"/>
      <c r="G54" s="19"/>
      <c r="H54" s="19"/>
      <c r="I54" s="19"/>
      <c r="J54" s="19"/>
      <c r="K54" s="19"/>
      <c r="L54" s="19"/>
      <c r="M54" s="19"/>
      <c r="N54" s="19"/>
      <c r="O54" s="19"/>
      <c r="P54" s="19"/>
      <c r="Q54" s="19"/>
      <c r="R54" s="19"/>
      <c r="S54" s="19"/>
      <c r="T54" s="19"/>
      <c r="U54" s="19"/>
      <c r="V54" s="18"/>
      <c r="W54" s="18"/>
      <c r="X54" s="18"/>
      <c r="Y54" s="29"/>
      <c r="Z54" s="18"/>
    </row>
    <row r="55" spans="1:26">
      <c r="A55" s="18"/>
      <c r="B55" s="18"/>
      <c r="C55" s="18"/>
      <c r="D55" s="18"/>
      <c r="E55" s="18"/>
      <c r="F55" s="18"/>
      <c r="G55" s="19"/>
      <c r="H55" s="19"/>
      <c r="I55" s="19"/>
      <c r="J55" s="19"/>
      <c r="K55" s="19"/>
      <c r="L55" s="19"/>
      <c r="M55" s="19"/>
      <c r="N55" s="19"/>
      <c r="O55" s="19"/>
      <c r="P55" s="19"/>
      <c r="Q55" s="19"/>
      <c r="R55" s="19"/>
      <c r="S55" s="19"/>
      <c r="T55" s="19"/>
      <c r="U55" s="19"/>
      <c r="V55" s="18"/>
      <c r="W55" s="18"/>
      <c r="X55" s="18"/>
      <c r="Y55" s="29"/>
      <c r="Z55" s="18"/>
    </row>
    <row r="56" spans="1:26">
      <c r="A56" s="18"/>
      <c r="B56" s="18"/>
      <c r="C56" s="18"/>
      <c r="D56" s="18"/>
      <c r="E56" s="18"/>
      <c r="F56" s="18"/>
      <c r="G56" s="19"/>
      <c r="H56" s="19"/>
      <c r="I56" s="19"/>
      <c r="J56" s="19"/>
      <c r="K56" s="19"/>
      <c r="L56" s="19"/>
      <c r="M56" s="19"/>
      <c r="N56" s="19"/>
      <c r="O56" s="19"/>
      <c r="P56" s="19"/>
      <c r="Q56" s="19"/>
      <c r="R56" s="19"/>
      <c r="S56" s="19"/>
      <c r="T56" s="19"/>
      <c r="U56" s="19"/>
      <c r="V56" s="18"/>
      <c r="W56" s="18"/>
      <c r="X56" s="18"/>
      <c r="Y56" s="29"/>
      <c r="Z56" s="18"/>
    </row>
    <row r="57" spans="1:26">
      <c r="A57" s="18"/>
      <c r="B57" s="18"/>
      <c r="C57" s="18"/>
      <c r="D57" s="18"/>
      <c r="E57" s="18"/>
      <c r="F57" s="18"/>
      <c r="G57" s="19"/>
      <c r="H57" s="19"/>
      <c r="I57" s="19"/>
      <c r="J57" s="19"/>
      <c r="K57" s="19"/>
      <c r="L57" s="19"/>
      <c r="M57" s="19"/>
      <c r="N57" s="19"/>
      <c r="O57" s="19"/>
      <c r="P57" s="19"/>
      <c r="Q57" s="19"/>
      <c r="R57" s="19"/>
      <c r="S57" s="19"/>
      <c r="T57" s="19"/>
      <c r="U57" s="19"/>
      <c r="V57" s="18"/>
      <c r="W57" s="18"/>
      <c r="X57" s="18"/>
      <c r="Y57" s="29"/>
      <c r="Z57" s="18"/>
    </row>
    <row r="58" spans="1:26">
      <c r="A58" s="18"/>
      <c r="B58" s="18"/>
      <c r="C58" s="18"/>
      <c r="D58" s="18"/>
      <c r="E58" s="18"/>
      <c r="F58" s="18"/>
      <c r="G58" s="19"/>
      <c r="H58" s="19"/>
      <c r="I58" s="19"/>
      <c r="J58" s="19"/>
      <c r="K58" s="19"/>
      <c r="L58" s="19"/>
      <c r="M58" s="19"/>
      <c r="N58" s="19"/>
      <c r="O58" s="19"/>
      <c r="P58" s="19"/>
      <c r="Q58" s="19"/>
      <c r="R58" s="19"/>
      <c r="S58" s="19"/>
      <c r="T58" s="19"/>
      <c r="U58" s="19"/>
      <c r="V58" s="18"/>
      <c r="W58" s="18"/>
      <c r="X58" s="18"/>
      <c r="Y58" s="29"/>
      <c r="Z58" s="18"/>
    </row>
    <row r="59" spans="1:26">
      <c r="A59" s="18"/>
      <c r="B59" s="18"/>
      <c r="C59" s="18"/>
      <c r="D59" s="18"/>
      <c r="E59" s="18"/>
      <c r="F59" s="18"/>
      <c r="G59" s="19"/>
      <c r="H59" s="19"/>
      <c r="I59" s="19"/>
      <c r="J59" s="19"/>
      <c r="K59" s="19"/>
      <c r="L59" s="19"/>
      <c r="M59" s="19"/>
      <c r="N59" s="19"/>
      <c r="O59" s="19"/>
      <c r="P59" s="19"/>
      <c r="Q59" s="19"/>
      <c r="R59" s="19"/>
      <c r="S59" s="19"/>
      <c r="T59" s="19"/>
      <c r="U59" s="19"/>
      <c r="V59" s="18"/>
      <c r="W59" s="18"/>
      <c r="X59" s="18"/>
      <c r="Y59" s="29"/>
      <c r="Z59" s="18"/>
    </row>
    <row r="60" spans="1:26">
      <c r="A60" s="18"/>
      <c r="B60" s="18"/>
      <c r="C60" s="18"/>
      <c r="D60" s="18"/>
      <c r="E60" s="18"/>
      <c r="F60" s="18"/>
      <c r="G60" s="19"/>
      <c r="H60" s="19"/>
      <c r="I60" s="19"/>
      <c r="J60" s="19"/>
      <c r="K60" s="19"/>
      <c r="L60" s="19"/>
      <c r="M60" s="19"/>
      <c r="N60" s="19"/>
      <c r="O60" s="19"/>
      <c r="P60" s="19"/>
      <c r="Q60" s="19"/>
      <c r="R60" s="19"/>
      <c r="S60" s="19"/>
      <c r="T60" s="19"/>
      <c r="U60" s="19"/>
      <c r="V60" s="18"/>
      <c r="W60" s="18"/>
      <c r="X60" s="18"/>
      <c r="Y60" s="29"/>
      <c r="Z60" s="18"/>
    </row>
    <row r="61" spans="1:26">
      <c r="A61" s="18"/>
      <c r="B61" s="18"/>
      <c r="C61" s="18"/>
      <c r="D61" s="18"/>
      <c r="E61" s="18"/>
      <c r="F61" s="18"/>
      <c r="G61" s="19"/>
      <c r="H61" s="19"/>
      <c r="I61" s="19"/>
      <c r="J61" s="19"/>
      <c r="K61" s="19"/>
      <c r="L61" s="19"/>
      <c r="M61" s="19"/>
      <c r="N61" s="19"/>
      <c r="O61" s="19"/>
      <c r="P61" s="19"/>
      <c r="Q61" s="19"/>
      <c r="R61" s="19"/>
      <c r="S61" s="19"/>
      <c r="T61" s="19"/>
      <c r="U61" s="19"/>
      <c r="V61" s="18"/>
      <c r="W61" s="18"/>
      <c r="X61" s="18"/>
      <c r="Y61" s="29"/>
      <c r="Z61" s="18"/>
    </row>
    <row r="62" spans="1:26">
      <c r="A62" s="18"/>
      <c r="B62" s="18"/>
      <c r="C62" s="18"/>
      <c r="D62" s="18"/>
      <c r="E62" s="18"/>
      <c r="F62" s="18"/>
      <c r="G62" s="19"/>
      <c r="H62" s="19"/>
      <c r="I62" s="19"/>
      <c r="J62" s="19"/>
      <c r="K62" s="19"/>
      <c r="L62" s="19"/>
      <c r="M62" s="19"/>
      <c r="N62" s="19"/>
      <c r="O62" s="19"/>
      <c r="P62" s="19"/>
      <c r="Q62" s="19"/>
      <c r="R62" s="19"/>
      <c r="S62" s="19"/>
      <c r="T62" s="19"/>
      <c r="U62" s="19"/>
      <c r="V62" s="18"/>
      <c r="W62" s="18"/>
      <c r="X62" s="18"/>
      <c r="Y62" s="29"/>
      <c r="Z62" s="18"/>
    </row>
    <row r="63" spans="1:26">
      <c r="A63" s="18"/>
      <c r="B63" s="18"/>
      <c r="C63" s="18"/>
      <c r="D63" s="18"/>
      <c r="E63" s="18"/>
      <c r="F63" s="18"/>
      <c r="G63" s="19"/>
      <c r="H63" s="19"/>
      <c r="I63" s="19"/>
      <c r="J63" s="19"/>
      <c r="K63" s="19"/>
      <c r="L63" s="19"/>
      <c r="M63" s="19"/>
      <c r="N63" s="19"/>
      <c r="O63" s="19"/>
      <c r="P63" s="19"/>
      <c r="Q63" s="19"/>
      <c r="R63" s="19"/>
      <c r="S63" s="19"/>
      <c r="T63" s="19"/>
      <c r="U63" s="19"/>
      <c r="V63" s="18"/>
      <c r="W63" s="18"/>
      <c r="X63" s="18"/>
      <c r="Y63" s="29"/>
      <c r="Z63" s="18"/>
    </row>
    <row r="64" spans="1:26">
      <c r="A64" s="18"/>
      <c r="B64" s="18"/>
      <c r="C64" s="18"/>
      <c r="D64" s="18"/>
      <c r="E64" s="18"/>
      <c r="F64" s="18"/>
      <c r="G64" s="19"/>
      <c r="H64" s="19"/>
      <c r="I64" s="19"/>
      <c r="J64" s="19"/>
      <c r="K64" s="19"/>
      <c r="L64" s="19"/>
      <c r="M64" s="19"/>
      <c r="N64" s="19"/>
      <c r="O64" s="19"/>
      <c r="P64" s="19"/>
      <c r="Q64" s="19"/>
      <c r="R64" s="19"/>
      <c r="S64" s="19"/>
      <c r="T64" s="19"/>
      <c r="U64" s="19"/>
      <c r="V64" s="18"/>
      <c r="W64" s="18"/>
      <c r="X64" s="18"/>
      <c r="Y64" s="29"/>
      <c r="Z64" s="18"/>
    </row>
    <row r="65" spans="1:26">
      <c r="A65" s="18"/>
      <c r="B65" s="18"/>
      <c r="C65" s="18"/>
      <c r="D65" s="18"/>
      <c r="E65" s="18"/>
      <c r="F65" s="18"/>
      <c r="G65" s="19"/>
      <c r="H65" s="19"/>
      <c r="I65" s="19"/>
      <c r="J65" s="19"/>
      <c r="K65" s="19"/>
      <c r="L65" s="19"/>
      <c r="M65" s="19"/>
      <c r="N65" s="19"/>
      <c r="O65" s="19"/>
      <c r="P65" s="19"/>
      <c r="Q65" s="19"/>
      <c r="R65" s="19"/>
      <c r="S65" s="19"/>
      <c r="T65" s="19"/>
      <c r="U65" s="19"/>
      <c r="V65" s="18"/>
      <c r="W65" s="18"/>
      <c r="X65" s="18"/>
      <c r="Y65" s="29"/>
      <c r="Z65" s="18"/>
    </row>
    <row r="66" spans="1:26">
      <c r="A66" s="18"/>
      <c r="B66" s="18"/>
      <c r="C66" s="18"/>
      <c r="D66" s="18"/>
      <c r="E66" s="18"/>
      <c r="F66" s="18"/>
      <c r="G66" s="19"/>
      <c r="H66" s="19"/>
      <c r="I66" s="19"/>
      <c r="J66" s="19"/>
      <c r="K66" s="19"/>
      <c r="L66" s="19"/>
      <c r="M66" s="19"/>
      <c r="N66" s="19"/>
      <c r="O66" s="19"/>
      <c r="P66" s="19"/>
      <c r="Q66" s="19"/>
      <c r="R66" s="19"/>
      <c r="S66" s="19"/>
      <c r="T66" s="19"/>
      <c r="U66" s="19"/>
      <c r="V66" s="18"/>
      <c r="W66" s="18"/>
      <c r="X66" s="18"/>
      <c r="Y66" s="29"/>
      <c r="Z66" s="18"/>
    </row>
    <row r="67" spans="1:26">
      <c r="A67" s="18"/>
      <c r="B67" s="18"/>
      <c r="C67" s="18"/>
      <c r="D67" s="18"/>
      <c r="E67" s="18"/>
      <c r="F67" s="18"/>
      <c r="G67" s="19"/>
      <c r="H67" s="19"/>
      <c r="I67" s="19"/>
      <c r="J67" s="19"/>
      <c r="K67" s="19"/>
      <c r="L67" s="19"/>
      <c r="M67" s="19"/>
      <c r="N67" s="19"/>
      <c r="O67" s="19"/>
      <c r="P67" s="19"/>
      <c r="Q67" s="19"/>
      <c r="R67" s="19"/>
      <c r="S67" s="19"/>
      <c r="T67" s="19"/>
      <c r="U67" s="19"/>
      <c r="V67" s="18"/>
      <c r="W67" s="18"/>
      <c r="X67" s="18"/>
      <c r="Y67" s="29"/>
      <c r="Z67" s="18"/>
    </row>
    <row r="68" spans="1:26">
      <c r="A68" s="18"/>
      <c r="B68" s="18"/>
      <c r="C68" s="18"/>
      <c r="D68" s="18"/>
      <c r="E68" s="18"/>
      <c r="F68" s="18"/>
      <c r="G68" s="19"/>
      <c r="H68" s="19"/>
      <c r="I68" s="19"/>
      <c r="J68" s="19"/>
      <c r="K68" s="19"/>
      <c r="L68" s="19"/>
      <c r="M68" s="19"/>
      <c r="N68" s="19"/>
      <c r="O68" s="19"/>
      <c r="P68" s="19"/>
      <c r="Q68" s="19"/>
      <c r="R68" s="19"/>
      <c r="S68" s="19"/>
      <c r="T68" s="19"/>
      <c r="U68" s="19"/>
      <c r="V68" s="18"/>
      <c r="W68" s="18"/>
      <c r="X68" s="18"/>
      <c r="Y68" s="29"/>
      <c r="Z68" s="18"/>
    </row>
    <row r="69" spans="1:26">
      <c r="A69" s="18"/>
      <c r="B69" s="18"/>
      <c r="C69" s="18"/>
      <c r="D69" s="18"/>
      <c r="E69" s="18"/>
      <c r="F69" s="18"/>
      <c r="G69" s="19"/>
      <c r="H69" s="19"/>
      <c r="I69" s="19"/>
      <c r="J69" s="19"/>
      <c r="K69" s="19"/>
      <c r="L69" s="19"/>
      <c r="M69" s="19"/>
      <c r="N69" s="19"/>
      <c r="O69" s="19"/>
      <c r="P69" s="19"/>
      <c r="Q69" s="19"/>
      <c r="R69" s="19"/>
      <c r="S69" s="19"/>
      <c r="T69" s="19"/>
      <c r="U69" s="19"/>
      <c r="V69" s="18"/>
      <c r="W69" s="18"/>
      <c r="X69" s="18"/>
      <c r="Y69" s="29"/>
      <c r="Z69" s="18"/>
    </row>
    <row r="70" spans="1:26">
      <c r="A70" s="18"/>
      <c r="B70" s="18"/>
      <c r="C70" s="18"/>
      <c r="D70" s="18"/>
      <c r="E70" s="18"/>
      <c r="F70" s="18"/>
      <c r="G70" s="19"/>
      <c r="H70" s="19"/>
      <c r="I70" s="19"/>
      <c r="J70" s="19"/>
      <c r="K70" s="19"/>
      <c r="L70" s="19"/>
      <c r="M70" s="19"/>
      <c r="N70" s="19"/>
      <c r="O70" s="19"/>
      <c r="P70" s="19"/>
      <c r="Q70" s="19"/>
      <c r="R70" s="19"/>
      <c r="S70" s="19"/>
      <c r="T70" s="19"/>
      <c r="U70" s="19"/>
      <c r="V70" s="18"/>
      <c r="W70" s="18"/>
      <c r="X70" s="18"/>
      <c r="Y70" s="29"/>
      <c r="Z70" s="18"/>
    </row>
    <row r="71" spans="1:26">
      <c r="A71" s="18"/>
      <c r="B71" s="18"/>
      <c r="C71" s="18"/>
      <c r="D71" s="18"/>
      <c r="E71" s="18"/>
      <c r="F71" s="18"/>
      <c r="G71" s="19"/>
      <c r="H71" s="19"/>
      <c r="I71" s="19"/>
      <c r="J71" s="19"/>
      <c r="K71" s="19"/>
      <c r="L71" s="19"/>
      <c r="M71" s="19"/>
      <c r="N71" s="19"/>
      <c r="O71" s="19"/>
      <c r="P71" s="19"/>
      <c r="Q71" s="19"/>
      <c r="R71" s="19"/>
      <c r="S71" s="19"/>
      <c r="T71" s="19"/>
      <c r="U71" s="19"/>
      <c r="V71" s="18"/>
      <c r="W71" s="18"/>
      <c r="X71" s="18"/>
      <c r="Y71" s="29"/>
      <c r="Z71" s="18"/>
    </row>
    <row r="72" spans="1:26">
      <c r="A72" s="18"/>
      <c r="B72" s="18"/>
      <c r="C72" s="18"/>
      <c r="D72" s="18"/>
      <c r="E72" s="18"/>
      <c r="F72" s="18"/>
      <c r="G72" s="19"/>
      <c r="H72" s="19"/>
      <c r="I72" s="19"/>
      <c r="J72" s="19"/>
      <c r="K72" s="19"/>
      <c r="L72" s="19"/>
      <c r="M72" s="19"/>
      <c r="N72" s="19"/>
      <c r="O72" s="19"/>
      <c r="P72" s="19"/>
      <c r="Q72" s="19"/>
      <c r="R72" s="19"/>
      <c r="S72" s="19"/>
      <c r="T72" s="19"/>
      <c r="U72" s="19"/>
      <c r="V72" s="18"/>
      <c r="W72" s="18"/>
      <c r="X72" s="18"/>
      <c r="Y72" s="29"/>
      <c r="Z72" s="18"/>
    </row>
    <row r="73" spans="1:26">
      <c r="A73" s="18"/>
      <c r="B73" s="18"/>
      <c r="C73" s="18"/>
      <c r="D73" s="18"/>
      <c r="E73" s="18"/>
      <c r="F73" s="18"/>
      <c r="G73" s="19"/>
      <c r="H73" s="19"/>
      <c r="I73" s="19"/>
      <c r="J73" s="19"/>
      <c r="K73" s="19"/>
      <c r="L73" s="19"/>
      <c r="M73" s="19"/>
      <c r="N73" s="19"/>
      <c r="O73" s="19"/>
      <c r="P73" s="19"/>
      <c r="Q73" s="19"/>
      <c r="R73" s="19"/>
      <c r="S73" s="19"/>
      <c r="T73" s="19"/>
      <c r="U73" s="19"/>
      <c r="V73" s="18"/>
      <c r="W73" s="18"/>
      <c r="X73" s="18"/>
      <c r="Y73" s="29"/>
      <c r="Z73" s="18"/>
    </row>
    <row r="74" spans="1:26">
      <c r="A74" s="18"/>
      <c r="B74" s="18"/>
      <c r="C74" s="18"/>
      <c r="D74" s="18"/>
      <c r="E74" s="18"/>
      <c r="F74" s="18"/>
      <c r="G74" s="19"/>
      <c r="H74" s="19"/>
      <c r="I74" s="19"/>
      <c r="J74" s="19"/>
      <c r="K74" s="19"/>
      <c r="L74" s="19"/>
      <c r="M74" s="19"/>
      <c r="N74" s="19"/>
      <c r="O74" s="19"/>
      <c r="P74" s="19"/>
      <c r="Q74" s="19"/>
      <c r="R74" s="19"/>
      <c r="S74" s="19"/>
      <c r="T74" s="19"/>
      <c r="U74" s="19"/>
      <c r="V74" s="18"/>
      <c r="W74" s="18"/>
      <c r="X74" s="18"/>
      <c r="Y74" s="29"/>
      <c r="Z74" s="18"/>
    </row>
    <row r="75" spans="1:26">
      <c r="A75" s="18"/>
      <c r="B75" s="18"/>
      <c r="C75" s="18"/>
      <c r="D75" s="18"/>
      <c r="E75" s="18"/>
      <c r="F75" s="18"/>
      <c r="G75" s="19"/>
      <c r="H75" s="19"/>
      <c r="I75" s="19"/>
      <c r="J75" s="19"/>
      <c r="K75" s="19"/>
      <c r="L75" s="19"/>
      <c r="M75" s="19"/>
      <c r="N75" s="19"/>
      <c r="O75" s="19"/>
      <c r="P75" s="19"/>
      <c r="Q75" s="19"/>
      <c r="R75" s="19"/>
      <c r="S75" s="19"/>
      <c r="T75" s="19"/>
      <c r="U75" s="19"/>
      <c r="V75" s="18"/>
      <c r="W75" s="18"/>
      <c r="X75" s="18"/>
      <c r="Y75" s="29"/>
      <c r="Z75" s="18"/>
    </row>
    <row r="76" spans="1:26">
      <c r="A76" s="18"/>
      <c r="B76" s="18"/>
      <c r="C76" s="18"/>
      <c r="D76" s="18"/>
      <c r="E76" s="18"/>
      <c r="F76" s="18"/>
      <c r="G76" s="19"/>
      <c r="H76" s="19"/>
      <c r="I76" s="19"/>
      <c r="J76" s="19"/>
      <c r="K76" s="19"/>
      <c r="L76" s="19"/>
      <c r="M76" s="19"/>
      <c r="N76" s="19"/>
      <c r="O76" s="19"/>
      <c r="P76" s="19"/>
      <c r="Q76" s="19"/>
      <c r="R76" s="19"/>
      <c r="S76" s="19"/>
      <c r="T76" s="19"/>
      <c r="U76" s="19"/>
      <c r="V76" s="18"/>
      <c r="W76" s="18"/>
      <c r="X76" s="18"/>
      <c r="Y76" s="29"/>
      <c r="Z76" s="18"/>
    </row>
    <row r="77" spans="1:26">
      <c r="A77" s="18"/>
      <c r="B77" s="18"/>
      <c r="C77" s="18"/>
      <c r="D77" s="18"/>
      <c r="E77" s="18"/>
      <c r="F77" s="18"/>
      <c r="G77" s="19"/>
      <c r="H77" s="19"/>
      <c r="I77" s="19"/>
      <c r="J77" s="19"/>
      <c r="K77" s="19"/>
      <c r="L77" s="19"/>
      <c r="M77" s="19"/>
      <c r="N77" s="19"/>
      <c r="O77" s="19"/>
      <c r="P77" s="19"/>
      <c r="Q77" s="19"/>
      <c r="R77" s="19"/>
      <c r="S77" s="19"/>
      <c r="T77" s="19"/>
      <c r="U77" s="19"/>
      <c r="V77" s="18"/>
      <c r="W77" s="18"/>
      <c r="X77" s="18"/>
      <c r="Y77" s="29"/>
      <c r="Z77" s="18"/>
    </row>
    <row r="78" spans="1:26">
      <c r="A78" s="18"/>
      <c r="B78" s="18"/>
      <c r="C78" s="18"/>
      <c r="D78" s="18"/>
      <c r="E78" s="18"/>
      <c r="F78" s="18"/>
      <c r="G78" s="19"/>
      <c r="H78" s="19"/>
      <c r="I78" s="19"/>
      <c r="J78" s="19"/>
      <c r="K78" s="19"/>
      <c r="L78" s="19"/>
      <c r="M78" s="19"/>
      <c r="N78" s="19"/>
      <c r="O78" s="19"/>
      <c r="P78" s="19"/>
      <c r="Q78" s="19"/>
      <c r="R78" s="19"/>
      <c r="S78" s="19"/>
      <c r="T78" s="19"/>
      <c r="U78" s="19"/>
      <c r="V78" s="18"/>
      <c r="W78" s="18"/>
      <c r="X78" s="18"/>
      <c r="Y78" s="29"/>
      <c r="Z78" s="18"/>
    </row>
    <row r="79" spans="1:26">
      <c r="A79" s="18"/>
      <c r="B79" s="18"/>
      <c r="C79" s="18"/>
      <c r="D79" s="18"/>
      <c r="E79" s="18"/>
      <c r="F79" s="18"/>
      <c r="G79" s="19"/>
      <c r="H79" s="19"/>
      <c r="I79" s="19"/>
      <c r="J79" s="19"/>
      <c r="K79" s="19"/>
      <c r="L79" s="19"/>
      <c r="M79" s="19"/>
      <c r="N79" s="19"/>
      <c r="O79" s="19"/>
      <c r="P79" s="19"/>
      <c r="Q79" s="19"/>
      <c r="R79" s="19"/>
      <c r="S79" s="19"/>
      <c r="T79" s="19"/>
      <c r="U79" s="19"/>
      <c r="V79" s="18"/>
      <c r="W79" s="18"/>
      <c r="X79" s="18"/>
      <c r="Y79" s="29"/>
      <c r="Z79" s="18"/>
    </row>
    <row r="80" spans="1:26">
      <c r="A80" s="18"/>
      <c r="B80" s="18"/>
      <c r="C80" s="18"/>
      <c r="D80" s="18"/>
      <c r="E80" s="18"/>
      <c r="F80" s="18"/>
      <c r="G80" s="19"/>
      <c r="H80" s="19"/>
      <c r="I80" s="19"/>
      <c r="J80" s="19"/>
      <c r="K80" s="19"/>
      <c r="L80" s="19"/>
      <c r="M80" s="19"/>
      <c r="N80" s="19"/>
      <c r="O80" s="19"/>
      <c r="P80" s="19"/>
      <c r="Q80" s="19"/>
      <c r="R80" s="19"/>
      <c r="S80" s="19"/>
      <c r="T80" s="19"/>
      <c r="U80" s="19"/>
      <c r="V80" s="18"/>
      <c r="W80" s="18"/>
      <c r="X80" s="18"/>
      <c r="Y80" s="29"/>
      <c r="Z80" s="18"/>
    </row>
    <row r="81" spans="1:26">
      <c r="A81" s="18"/>
      <c r="B81" s="18"/>
      <c r="C81" s="18"/>
      <c r="D81" s="18"/>
      <c r="E81" s="18"/>
      <c r="F81" s="18"/>
      <c r="G81" s="19"/>
      <c r="H81" s="19"/>
      <c r="I81" s="19"/>
      <c r="J81" s="19"/>
      <c r="K81" s="19"/>
      <c r="L81" s="19"/>
      <c r="M81" s="19"/>
      <c r="N81" s="19"/>
      <c r="O81" s="19"/>
      <c r="P81" s="19"/>
      <c r="Q81" s="19"/>
      <c r="R81" s="19"/>
      <c r="S81" s="19"/>
      <c r="T81" s="19"/>
      <c r="U81" s="19"/>
      <c r="V81" s="18"/>
      <c r="W81" s="18"/>
      <c r="X81" s="18"/>
      <c r="Y81" s="29"/>
      <c r="Z81" s="18"/>
    </row>
    <row r="82" spans="1:26">
      <c r="A82" s="18"/>
      <c r="B82" s="18"/>
      <c r="C82" s="18"/>
      <c r="D82" s="18"/>
      <c r="E82" s="18"/>
      <c r="F82" s="18"/>
      <c r="G82" s="19"/>
      <c r="H82" s="19"/>
      <c r="I82" s="19"/>
      <c r="J82" s="19"/>
      <c r="K82" s="19"/>
      <c r="L82" s="19"/>
      <c r="M82" s="19"/>
      <c r="N82" s="19"/>
      <c r="O82" s="19"/>
      <c r="P82" s="19"/>
      <c r="Q82" s="19"/>
      <c r="R82" s="19"/>
      <c r="S82" s="19"/>
      <c r="T82" s="19"/>
      <c r="U82" s="19"/>
      <c r="V82" s="18"/>
      <c r="W82" s="18"/>
      <c r="X82" s="18"/>
      <c r="Y82" s="29"/>
      <c r="Z82" s="18"/>
    </row>
    <row r="83" spans="1:26">
      <c r="A83" s="18"/>
      <c r="B83" s="18"/>
      <c r="C83" s="18"/>
      <c r="D83" s="18"/>
      <c r="E83" s="18"/>
      <c r="F83" s="18"/>
      <c r="G83" s="19"/>
      <c r="H83" s="19"/>
      <c r="I83" s="19"/>
      <c r="J83" s="19"/>
      <c r="K83" s="19"/>
      <c r="L83" s="19"/>
      <c r="M83" s="19"/>
      <c r="N83" s="19"/>
      <c r="O83" s="19"/>
      <c r="P83" s="19"/>
      <c r="Q83" s="19"/>
      <c r="R83" s="19"/>
      <c r="S83" s="19"/>
      <c r="T83" s="19"/>
      <c r="U83" s="19"/>
      <c r="V83" s="18"/>
      <c r="W83" s="18"/>
      <c r="X83" s="18"/>
      <c r="Y83" s="29"/>
      <c r="Z83" s="18"/>
    </row>
    <row r="84" spans="1:26">
      <c r="A84" s="18"/>
      <c r="B84" s="18"/>
      <c r="C84" s="18"/>
      <c r="D84" s="18"/>
      <c r="E84" s="18"/>
      <c r="F84" s="18"/>
      <c r="G84" s="19"/>
      <c r="H84" s="19"/>
      <c r="I84" s="19"/>
      <c r="J84" s="19"/>
      <c r="K84" s="19"/>
      <c r="L84" s="19"/>
      <c r="M84" s="19"/>
      <c r="N84" s="19"/>
      <c r="O84" s="19"/>
      <c r="P84" s="19"/>
      <c r="Q84" s="19"/>
      <c r="R84" s="19"/>
      <c r="S84" s="19"/>
      <c r="T84" s="19"/>
      <c r="U84" s="19"/>
      <c r="V84" s="18"/>
      <c r="W84" s="18"/>
      <c r="X84" s="18"/>
      <c r="Y84" s="29"/>
      <c r="Z84" s="18"/>
    </row>
    <row r="85" spans="1:26">
      <c r="A85" s="18"/>
      <c r="B85" s="18"/>
      <c r="C85" s="18"/>
      <c r="D85" s="18"/>
      <c r="E85" s="18"/>
      <c r="F85" s="18"/>
      <c r="G85" s="19"/>
      <c r="H85" s="19"/>
      <c r="I85" s="19"/>
      <c r="J85" s="19"/>
      <c r="K85" s="19"/>
      <c r="L85" s="19"/>
      <c r="M85" s="19"/>
      <c r="N85" s="19"/>
      <c r="O85" s="19"/>
      <c r="P85" s="19"/>
      <c r="Q85" s="19"/>
      <c r="R85" s="19"/>
      <c r="S85" s="19"/>
      <c r="T85" s="19"/>
      <c r="U85" s="19"/>
      <c r="V85" s="18"/>
      <c r="W85" s="18"/>
      <c r="X85" s="18"/>
      <c r="Y85" s="29"/>
      <c r="Z85" s="18"/>
    </row>
    <row r="86" spans="1:26">
      <c r="A86" s="18"/>
      <c r="B86" s="18"/>
      <c r="C86" s="18"/>
      <c r="D86" s="18"/>
      <c r="E86" s="18"/>
      <c r="F86" s="18"/>
      <c r="G86" s="19"/>
      <c r="H86" s="19"/>
      <c r="I86" s="19"/>
      <c r="J86" s="19"/>
      <c r="K86" s="19"/>
      <c r="L86" s="19"/>
      <c r="M86" s="19"/>
      <c r="N86" s="19"/>
      <c r="O86" s="19"/>
      <c r="P86" s="19"/>
      <c r="Q86" s="19"/>
      <c r="R86" s="19"/>
      <c r="S86" s="19"/>
      <c r="T86" s="19"/>
      <c r="U86" s="19"/>
      <c r="V86" s="18"/>
      <c r="W86" s="18"/>
      <c r="X86" s="18"/>
      <c r="Y86" s="29"/>
      <c r="Z86" s="18"/>
    </row>
    <row r="87" spans="1:26">
      <c r="A87" s="18"/>
      <c r="B87" s="18"/>
      <c r="C87" s="18"/>
      <c r="D87" s="18"/>
      <c r="E87" s="18"/>
      <c r="F87" s="18"/>
      <c r="G87" s="19"/>
      <c r="H87" s="19"/>
      <c r="I87" s="19"/>
      <c r="J87" s="19"/>
      <c r="K87" s="19"/>
      <c r="L87" s="19"/>
      <c r="M87" s="19"/>
      <c r="N87" s="19"/>
      <c r="O87" s="19"/>
      <c r="P87" s="19"/>
      <c r="Q87" s="19"/>
      <c r="R87" s="19"/>
      <c r="S87" s="19"/>
      <c r="T87" s="19"/>
      <c r="U87" s="19"/>
      <c r="V87" s="19"/>
      <c r="W87" s="19"/>
      <c r="X87" s="19"/>
      <c r="Y87" s="19"/>
      <c r="Z87" s="19"/>
    </row>
    <row r="88" spans="1:26">
      <c r="A88" s="18"/>
      <c r="B88" s="18"/>
      <c r="C88" s="18"/>
      <c r="D88" s="18"/>
      <c r="E88" s="18"/>
      <c r="F88" s="18"/>
      <c r="G88" s="19"/>
      <c r="H88" s="19"/>
      <c r="I88" s="19"/>
      <c r="J88" s="19"/>
      <c r="K88" s="19"/>
      <c r="L88" s="19"/>
      <c r="M88" s="19"/>
      <c r="N88" s="19"/>
      <c r="O88" s="19"/>
      <c r="P88" s="19"/>
      <c r="Q88" s="19"/>
      <c r="R88" s="19"/>
      <c r="S88" s="19"/>
      <c r="T88" s="19"/>
      <c r="U88" s="19"/>
      <c r="V88" s="19"/>
      <c r="W88" s="19"/>
      <c r="X88" s="19"/>
      <c r="Y88" s="19"/>
      <c r="Z88" s="19"/>
    </row>
    <row r="89" spans="1:26">
      <c r="A89" s="18"/>
      <c r="B89" s="18"/>
      <c r="C89" s="18"/>
      <c r="D89" s="18"/>
      <c r="E89" s="18"/>
      <c r="F89" s="18"/>
      <c r="G89" s="19"/>
      <c r="H89" s="19"/>
      <c r="I89" s="19"/>
      <c r="J89" s="19"/>
      <c r="K89" s="19"/>
      <c r="L89" s="19"/>
      <c r="M89" s="19"/>
      <c r="N89" s="19"/>
      <c r="O89" s="19"/>
      <c r="P89" s="19"/>
      <c r="Q89" s="19"/>
      <c r="R89" s="19"/>
      <c r="S89" s="19"/>
      <c r="T89" s="19"/>
      <c r="U89" s="19"/>
      <c r="V89" s="19"/>
      <c r="W89" s="19"/>
      <c r="X89" s="19"/>
      <c r="Y89" s="19"/>
      <c r="Z89" s="19"/>
    </row>
    <row r="90" spans="1:26">
      <c r="A90" s="18"/>
      <c r="B90" s="18"/>
      <c r="C90" s="18"/>
      <c r="D90" s="18"/>
      <c r="E90" s="18"/>
      <c r="F90" s="18"/>
      <c r="G90" s="19"/>
      <c r="H90" s="19"/>
      <c r="I90" s="19"/>
      <c r="J90" s="19"/>
      <c r="K90" s="19"/>
      <c r="L90" s="19"/>
      <c r="M90" s="19"/>
      <c r="N90" s="19"/>
      <c r="O90" s="19"/>
      <c r="P90" s="19"/>
      <c r="Q90" s="19"/>
      <c r="R90" s="19"/>
      <c r="S90" s="19"/>
      <c r="T90" s="19"/>
      <c r="U90" s="19"/>
      <c r="V90" s="19"/>
      <c r="W90" s="19"/>
      <c r="X90" s="19"/>
      <c r="Y90" s="19"/>
      <c r="Z90" s="19"/>
    </row>
    <row r="91" spans="1:26">
      <c r="A91" s="18"/>
      <c r="B91" s="18"/>
      <c r="C91" s="18"/>
      <c r="D91" s="18"/>
      <c r="E91" s="18"/>
      <c r="F91" s="18"/>
      <c r="G91" s="19"/>
      <c r="H91" s="19"/>
      <c r="I91" s="19"/>
      <c r="J91" s="19"/>
      <c r="K91" s="19"/>
      <c r="L91" s="19"/>
      <c r="M91" s="19"/>
      <c r="N91" s="19"/>
      <c r="O91" s="19"/>
      <c r="P91" s="19"/>
      <c r="Q91" s="19"/>
      <c r="R91" s="19"/>
      <c r="S91" s="19"/>
      <c r="T91" s="19"/>
      <c r="U91" s="19"/>
      <c r="V91" s="19"/>
      <c r="W91" s="19"/>
      <c r="X91" s="19"/>
      <c r="Y91" s="19"/>
      <c r="Z91" s="19"/>
    </row>
    <row r="92" spans="1:26">
      <c r="A92" s="18"/>
      <c r="B92" s="18"/>
      <c r="C92" s="18"/>
      <c r="D92" s="18"/>
      <c r="E92" s="18"/>
      <c r="F92" s="18"/>
      <c r="G92" s="19"/>
      <c r="H92" s="19"/>
      <c r="I92" s="19"/>
      <c r="J92" s="19"/>
      <c r="K92" s="19"/>
      <c r="L92" s="19"/>
      <c r="M92" s="19"/>
      <c r="N92" s="19"/>
      <c r="O92" s="19"/>
      <c r="P92" s="19"/>
      <c r="Q92" s="19"/>
      <c r="R92" s="19"/>
      <c r="S92" s="19"/>
      <c r="T92" s="19"/>
      <c r="U92" s="19"/>
      <c r="V92" s="19"/>
      <c r="W92" s="19"/>
      <c r="X92" s="19"/>
      <c r="Y92" s="19"/>
      <c r="Z92" s="19"/>
    </row>
    <row r="93" spans="1:26">
      <c r="A93" s="18"/>
      <c r="B93" s="18"/>
      <c r="C93" s="18"/>
      <c r="D93" s="18"/>
      <c r="E93" s="18"/>
      <c r="F93" s="18"/>
      <c r="G93" s="19"/>
      <c r="H93" s="19"/>
      <c r="I93" s="19"/>
      <c r="J93" s="19"/>
      <c r="K93" s="19"/>
      <c r="L93" s="19"/>
      <c r="M93" s="19"/>
      <c r="N93" s="19"/>
      <c r="O93" s="19"/>
      <c r="P93" s="19"/>
      <c r="Q93" s="19"/>
      <c r="R93" s="19"/>
      <c r="S93" s="19"/>
      <c r="T93" s="19"/>
      <c r="U93" s="19"/>
      <c r="V93" s="19"/>
      <c r="W93" s="19"/>
      <c r="X93" s="19"/>
      <c r="Y93" s="19"/>
      <c r="Z93" s="19"/>
    </row>
    <row r="94" spans="1:26">
      <c r="A94" s="18"/>
      <c r="B94" s="18"/>
      <c r="C94" s="18"/>
      <c r="D94" s="18"/>
      <c r="E94" s="18"/>
      <c r="F94" s="18"/>
      <c r="G94" s="19"/>
      <c r="H94" s="19"/>
      <c r="I94" s="19"/>
      <c r="J94" s="19"/>
      <c r="K94" s="19"/>
      <c r="L94" s="19"/>
      <c r="M94" s="19"/>
      <c r="N94" s="19"/>
      <c r="O94" s="19"/>
      <c r="P94" s="19"/>
      <c r="Q94" s="19"/>
      <c r="R94" s="19"/>
      <c r="S94" s="19"/>
      <c r="T94" s="19"/>
      <c r="U94" s="19"/>
      <c r="V94" s="19"/>
      <c r="W94" s="19"/>
      <c r="X94" s="19"/>
      <c r="Y94" s="19"/>
      <c r="Z94" s="19"/>
    </row>
    <row r="95" spans="1:26">
      <c r="A95" s="18"/>
      <c r="B95" s="18"/>
      <c r="C95" s="18"/>
      <c r="D95" s="18"/>
      <c r="E95" s="18"/>
      <c r="F95" s="18"/>
      <c r="G95" s="19"/>
      <c r="H95" s="19"/>
      <c r="I95" s="19"/>
      <c r="J95" s="19"/>
      <c r="K95" s="19"/>
      <c r="L95" s="19"/>
      <c r="M95" s="19"/>
      <c r="N95" s="19"/>
      <c r="O95" s="19"/>
      <c r="P95" s="19"/>
      <c r="Q95" s="19"/>
      <c r="R95" s="19"/>
      <c r="S95" s="19"/>
      <c r="T95" s="19"/>
      <c r="U95" s="19"/>
      <c r="V95" s="19"/>
      <c r="W95" s="19"/>
      <c r="X95" s="19"/>
      <c r="Y95" s="19"/>
      <c r="Z95" s="19"/>
    </row>
    <row r="96" spans="1:26">
      <c r="A96" s="18"/>
      <c r="B96" s="18"/>
      <c r="C96" s="18"/>
      <c r="D96" s="18"/>
      <c r="E96" s="18"/>
      <c r="F96" s="18"/>
      <c r="G96" s="19"/>
      <c r="H96" s="19"/>
      <c r="I96" s="19"/>
      <c r="J96" s="19"/>
      <c r="K96" s="19"/>
      <c r="L96" s="19"/>
      <c r="M96" s="19"/>
      <c r="N96" s="19"/>
      <c r="O96" s="19"/>
      <c r="P96" s="19"/>
      <c r="Q96" s="19"/>
      <c r="R96" s="19"/>
      <c r="S96" s="19"/>
      <c r="T96" s="19"/>
      <c r="U96" s="19"/>
      <c r="V96" s="19"/>
      <c r="W96" s="19"/>
      <c r="X96" s="19"/>
      <c r="Y96" s="19"/>
      <c r="Z96" s="19"/>
    </row>
    <row r="97" spans="1:26">
      <c r="A97" s="18"/>
      <c r="B97" s="18"/>
      <c r="C97" s="18"/>
      <c r="D97" s="18"/>
      <c r="E97" s="18"/>
      <c r="F97" s="18"/>
      <c r="G97" s="19"/>
      <c r="H97" s="19"/>
      <c r="I97" s="19"/>
      <c r="J97" s="19"/>
      <c r="K97" s="19"/>
      <c r="L97" s="19"/>
      <c r="M97" s="19"/>
      <c r="N97" s="19"/>
      <c r="O97" s="19"/>
      <c r="P97" s="19"/>
      <c r="Q97" s="19"/>
      <c r="R97" s="19"/>
      <c r="S97" s="19"/>
      <c r="T97" s="19"/>
      <c r="U97" s="19"/>
      <c r="V97" s="19"/>
      <c r="W97" s="19"/>
      <c r="X97" s="19"/>
      <c r="Y97" s="19"/>
      <c r="Z97" s="19"/>
    </row>
    <row r="98" spans="1:26">
      <c r="A98" s="18"/>
      <c r="B98" s="18"/>
      <c r="C98" s="18"/>
      <c r="D98" s="18"/>
      <c r="E98" s="18"/>
      <c r="F98" s="18"/>
      <c r="G98" s="19"/>
      <c r="H98" s="19"/>
      <c r="I98" s="19"/>
      <c r="J98" s="19"/>
      <c r="K98" s="19"/>
      <c r="L98" s="19"/>
      <c r="M98" s="19"/>
      <c r="N98" s="19"/>
      <c r="O98" s="19"/>
      <c r="P98" s="19"/>
      <c r="Q98" s="19"/>
      <c r="R98" s="19"/>
      <c r="S98" s="19"/>
      <c r="T98" s="19"/>
      <c r="U98" s="19"/>
      <c r="V98" s="19"/>
      <c r="W98" s="19"/>
      <c r="X98" s="19"/>
      <c r="Y98" s="19"/>
      <c r="Z98" s="19"/>
    </row>
    <row r="99" spans="1:26">
      <c r="A99" s="18"/>
      <c r="B99" s="18"/>
      <c r="C99" s="18"/>
      <c r="D99" s="18"/>
      <c r="E99" s="18"/>
      <c r="F99" s="18"/>
      <c r="G99" s="19"/>
      <c r="H99" s="19"/>
      <c r="I99" s="19"/>
      <c r="J99" s="19"/>
      <c r="K99" s="19"/>
      <c r="L99" s="19"/>
      <c r="M99" s="19"/>
      <c r="N99" s="19"/>
      <c r="O99" s="19"/>
      <c r="P99" s="19"/>
      <c r="Q99" s="19"/>
      <c r="R99" s="19"/>
      <c r="S99" s="19"/>
      <c r="T99" s="19"/>
      <c r="U99" s="19"/>
      <c r="V99" s="19"/>
      <c r="W99" s="19"/>
      <c r="X99" s="19"/>
      <c r="Y99" s="19"/>
      <c r="Z99" s="19"/>
    </row>
    <row r="100" spans="1:26">
      <c r="A100" s="18"/>
      <c r="B100" s="18"/>
      <c r="C100" s="18"/>
      <c r="D100" s="18"/>
      <c r="E100" s="18"/>
      <c r="F100" s="18"/>
      <c r="G100" s="19"/>
      <c r="H100" s="19"/>
      <c r="I100" s="19"/>
      <c r="J100" s="19"/>
      <c r="K100" s="19"/>
      <c r="L100" s="19"/>
      <c r="M100" s="19"/>
      <c r="N100" s="19"/>
      <c r="O100" s="19"/>
      <c r="P100" s="19"/>
      <c r="Q100" s="19"/>
      <c r="R100" s="19"/>
      <c r="S100" s="19"/>
      <c r="T100" s="19"/>
      <c r="U100" s="19"/>
      <c r="V100" s="19"/>
      <c r="W100" s="19"/>
      <c r="X100" s="19"/>
      <c r="Y100" s="19"/>
      <c r="Z100" s="19"/>
    </row>
    <row r="101" spans="1:26">
      <c r="A101" s="18"/>
      <c r="B101" s="18"/>
      <c r="C101" s="18"/>
      <c r="D101" s="18"/>
      <c r="E101" s="18"/>
      <c r="F101" s="18"/>
      <c r="G101" s="19"/>
      <c r="H101" s="19"/>
      <c r="I101" s="19"/>
      <c r="J101" s="19"/>
      <c r="K101" s="19"/>
      <c r="L101" s="19"/>
      <c r="M101" s="19"/>
      <c r="N101" s="19"/>
      <c r="O101" s="19"/>
      <c r="P101" s="19"/>
      <c r="Q101" s="19"/>
      <c r="R101" s="19"/>
      <c r="S101" s="19"/>
      <c r="T101" s="19"/>
      <c r="U101" s="19"/>
      <c r="V101" s="19"/>
      <c r="W101" s="19"/>
      <c r="X101" s="19"/>
      <c r="Y101" s="19"/>
      <c r="Z101" s="19"/>
    </row>
    <row r="102" spans="1:26">
      <c r="A102" s="18"/>
      <c r="B102" s="18"/>
      <c r="C102" s="18"/>
      <c r="D102" s="18"/>
      <c r="E102" s="18"/>
      <c r="F102" s="18"/>
      <c r="G102" s="19"/>
      <c r="H102" s="19"/>
      <c r="I102" s="19"/>
      <c r="J102" s="19"/>
      <c r="K102" s="19"/>
      <c r="L102" s="19"/>
      <c r="M102" s="19"/>
      <c r="N102" s="19"/>
      <c r="O102" s="19"/>
      <c r="P102" s="19"/>
      <c r="Q102" s="19"/>
      <c r="R102" s="19"/>
      <c r="S102" s="19"/>
      <c r="T102" s="19"/>
      <c r="U102" s="19"/>
      <c r="V102" s="19"/>
      <c r="W102" s="19"/>
      <c r="X102" s="19"/>
      <c r="Y102" s="19"/>
      <c r="Z102" s="19"/>
    </row>
    <row r="103" spans="1:26">
      <c r="A103" s="18"/>
      <c r="B103" s="18"/>
      <c r="C103" s="18"/>
      <c r="D103" s="18"/>
      <c r="E103" s="18"/>
      <c r="F103" s="18"/>
      <c r="G103" s="19"/>
      <c r="H103" s="19"/>
      <c r="I103" s="19"/>
      <c r="J103" s="19"/>
      <c r="K103" s="19"/>
      <c r="L103" s="19"/>
      <c r="M103" s="19"/>
      <c r="N103" s="19"/>
      <c r="O103" s="19"/>
      <c r="P103" s="19"/>
      <c r="Q103" s="19"/>
      <c r="R103" s="19"/>
      <c r="S103" s="19"/>
      <c r="T103" s="19"/>
      <c r="U103" s="19"/>
      <c r="V103" s="19"/>
      <c r="W103" s="19"/>
      <c r="X103" s="19"/>
      <c r="Y103" s="19"/>
      <c r="Z103" s="19"/>
    </row>
    <row r="104" spans="1:26">
      <c r="A104" s="18"/>
      <c r="B104" s="18"/>
      <c r="C104" s="18"/>
      <c r="D104" s="18"/>
      <c r="E104" s="18"/>
      <c r="F104" s="18"/>
      <c r="G104" s="19"/>
      <c r="H104" s="19"/>
      <c r="I104" s="19"/>
      <c r="J104" s="19"/>
      <c r="K104" s="19"/>
      <c r="L104" s="19"/>
      <c r="M104" s="19"/>
      <c r="N104" s="19"/>
      <c r="O104" s="19"/>
      <c r="P104" s="19"/>
      <c r="Q104" s="19"/>
      <c r="R104" s="19"/>
      <c r="S104" s="19"/>
      <c r="T104" s="19"/>
      <c r="U104" s="19"/>
      <c r="V104" s="19"/>
      <c r="W104" s="19"/>
      <c r="X104" s="19"/>
      <c r="Y104" s="19"/>
      <c r="Z104" s="19"/>
    </row>
    <row r="105" spans="1:26">
      <c r="A105" s="18"/>
      <c r="B105" s="18"/>
      <c r="C105" s="18"/>
      <c r="D105" s="18"/>
      <c r="E105" s="18"/>
      <c r="F105" s="18"/>
      <c r="G105" s="19"/>
      <c r="H105" s="19"/>
      <c r="I105" s="19"/>
      <c r="J105" s="19"/>
      <c r="K105" s="19"/>
      <c r="L105" s="19"/>
      <c r="M105" s="19"/>
      <c r="N105" s="19"/>
      <c r="O105" s="19"/>
      <c r="P105" s="19"/>
      <c r="Q105" s="19"/>
      <c r="R105" s="19"/>
      <c r="S105" s="19"/>
      <c r="T105" s="19"/>
      <c r="U105" s="19"/>
      <c r="V105" s="19"/>
      <c r="W105" s="19"/>
      <c r="X105" s="19"/>
      <c r="Y105" s="19"/>
      <c r="Z105" s="19"/>
    </row>
    <row r="106" spans="1:26">
      <c r="A106" s="18"/>
      <c r="B106" s="18"/>
      <c r="C106" s="18"/>
      <c r="D106" s="18"/>
      <c r="E106" s="18"/>
      <c r="F106" s="18"/>
      <c r="G106" s="19"/>
      <c r="H106" s="19"/>
      <c r="I106" s="19"/>
      <c r="J106" s="19"/>
      <c r="K106" s="19"/>
      <c r="L106" s="19"/>
      <c r="M106" s="19"/>
      <c r="N106" s="19"/>
      <c r="O106" s="19"/>
      <c r="P106" s="19"/>
      <c r="Q106" s="19"/>
      <c r="R106" s="19"/>
      <c r="S106" s="19"/>
      <c r="T106" s="19"/>
      <c r="U106" s="19"/>
      <c r="V106" s="19"/>
      <c r="W106" s="19"/>
      <c r="X106" s="19"/>
      <c r="Y106" s="19"/>
      <c r="Z106" s="19"/>
    </row>
    <row r="107" spans="1:26">
      <c r="A107" s="18"/>
      <c r="B107" s="18"/>
      <c r="C107" s="18"/>
      <c r="D107" s="18"/>
      <c r="E107" s="18"/>
      <c r="F107" s="18"/>
      <c r="G107" s="19"/>
      <c r="H107" s="19"/>
      <c r="I107" s="19"/>
      <c r="J107" s="19"/>
      <c r="K107" s="19"/>
      <c r="L107" s="19"/>
      <c r="M107" s="19"/>
      <c r="N107" s="19"/>
      <c r="O107" s="19"/>
      <c r="P107" s="19"/>
      <c r="Q107" s="19"/>
      <c r="R107" s="19"/>
      <c r="S107" s="19"/>
      <c r="T107" s="19"/>
      <c r="U107" s="19"/>
      <c r="V107" s="19"/>
      <c r="W107" s="19"/>
      <c r="X107" s="19"/>
      <c r="Y107" s="19"/>
      <c r="Z107" s="19"/>
    </row>
    <row r="108" spans="1:26">
      <c r="A108" s="18"/>
      <c r="B108" s="18"/>
      <c r="C108" s="18"/>
      <c r="D108" s="18"/>
      <c r="E108" s="18"/>
      <c r="F108" s="18"/>
      <c r="G108" s="19"/>
      <c r="H108" s="19"/>
      <c r="I108" s="19"/>
      <c r="J108" s="19"/>
      <c r="K108" s="19"/>
      <c r="L108" s="19"/>
      <c r="M108" s="19"/>
      <c r="N108" s="19"/>
      <c r="O108" s="19"/>
      <c r="P108" s="19"/>
      <c r="Q108" s="19"/>
      <c r="R108" s="19"/>
      <c r="S108" s="19"/>
      <c r="T108" s="19"/>
      <c r="U108" s="19"/>
      <c r="V108" s="19"/>
      <c r="W108" s="19"/>
      <c r="X108" s="19"/>
      <c r="Y108" s="19"/>
      <c r="Z108" s="19"/>
    </row>
    <row r="109" spans="1:26">
      <c r="A109" s="18"/>
      <c r="B109" s="18"/>
      <c r="C109" s="18"/>
      <c r="D109" s="18"/>
      <c r="E109" s="18"/>
      <c r="F109" s="18"/>
      <c r="G109" s="19"/>
      <c r="H109" s="19"/>
      <c r="I109" s="19"/>
      <c r="J109" s="19"/>
      <c r="K109" s="19"/>
      <c r="L109" s="19"/>
      <c r="M109" s="19"/>
      <c r="N109" s="19"/>
      <c r="O109" s="19"/>
      <c r="P109" s="19"/>
      <c r="Q109" s="19"/>
      <c r="R109" s="19"/>
      <c r="S109" s="19"/>
      <c r="T109" s="19"/>
      <c r="U109" s="19"/>
      <c r="V109" s="19"/>
      <c r="W109" s="19"/>
      <c r="X109" s="19"/>
      <c r="Y109" s="19"/>
      <c r="Z109" s="19"/>
    </row>
    <row r="110" spans="1:26">
      <c r="A110" s="18"/>
      <c r="B110" s="18"/>
      <c r="C110" s="18"/>
      <c r="D110" s="18"/>
      <c r="E110" s="18"/>
      <c r="F110" s="18"/>
      <c r="G110" s="19"/>
      <c r="H110" s="19"/>
      <c r="I110" s="19"/>
      <c r="J110" s="19"/>
      <c r="K110" s="19"/>
      <c r="L110" s="19"/>
      <c r="M110" s="19"/>
      <c r="N110" s="19"/>
      <c r="O110" s="19"/>
      <c r="P110" s="19"/>
      <c r="Q110" s="19"/>
      <c r="R110" s="19"/>
      <c r="S110" s="19"/>
      <c r="T110" s="19"/>
      <c r="U110" s="19"/>
      <c r="V110" s="19"/>
      <c r="W110" s="19"/>
      <c r="X110" s="19"/>
      <c r="Y110" s="19"/>
      <c r="Z110" s="19"/>
    </row>
    <row r="111" spans="1:26">
      <c r="A111" s="18"/>
      <c r="B111" s="18"/>
      <c r="C111" s="18"/>
      <c r="D111" s="18"/>
      <c r="E111" s="18"/>
      <c r="F111" s="18"/>
      <c r="G111" s="19"/>
      <c r="H111" s="19"/>
      <c r="I111" s="19"/>
      <c r="J111" s="19"/>
      <c r="K111" s="19"/>
      <c r="L111" s="19"/>
      <c r="M111" s="19"/>
      <c r="N111" s="19"/>
      <c r="O111" s="19"/>
      <c r="P111" s="19"/>
      <c r="Q111" s="19"/>
      <c r="R111" s="19"/>
      <c r="S111" s="19"/>
      <c r="T111" s="19"/>
      <c r="U111" s="19"/>
      <c r="V111" s="19"/>
      <c r="W111" s="19"/>
      <c r="X111" s="19"/>
      <c r="Y111" s="19"/>
      <c r="Z111" s="19"/>
    </row>
    <row r="112" spans="1:26">
      <c r="A112" s="18"/>
      <c r="B112" s="18"/>
      <c r="C112" s="18"/>
      <c r="D112" s="18"/>
      <c r="E112" s="18"/>
      <c r="F112" s="31">
        <v>6.5000000000000002E-2</v>
      </c>
      <c r="G112" s="19"/>
      <c r="H112" s="19"/>
      <c r="I112" s="19"/>
      <c r="J112" s="19"/>
      <c r="K112" s="19"/>
      <c r="L112" s="19"/>
      <c r="M112" s="19"/>
      <c r="N112" s="19"/>
      <c r="O112" s="19"/>
      <c r="P112" s="19"/>
      <c r="Q112" s="19"/>
      <c r="R112" s="19"/>
      <c r="S112" s="19"/>
      <c r="T112" s="19"/>
      <c r="U112" s="19"/>
      <c r="V112" s="19"/>
      <c r="W112" s="19"/>
      <c r="X112" s="19"/>
      <c r="Y112" s="19"/>
      <c r="Z112" s="19"/>
    </row>
  </sheetData>
  <pageMargins left="0.7" right="0.7" top="0.75" bottom="0.75" header="0.3" footer="0.3"/>
  <pageSetup paperSize="5" scale="6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67317EDC-62AC-4F09-8F3F-C389F1824FB9}">
            <xm:f>Financials!$D$175&gt;0</xm:f>
            <x14:dxf>
              <fill>
                <patternFill>
                  <bgColor rgb="FFFF0000"/>
                </patternFill>
              </fill>
            </x14:dxf>
          </x14:cfRule>
          <x14:cfRule type="expression" priority="2" id="{00000000-000E-0000-0F00-000001000000}">
            <xm:f>Financials!$D$175=0</xm:f>
            <x14:dxf>
              <font>
                <color theme="1"/>
              </font>
              <fill>
                <patternFill patternType="solid">
                  <bgColor rgb="FF92D050"/>
                </patternFill>
              </fill>
            </x14:dxf>
          </x14:cfRule>
          <xm:sqref>F1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sheetPr>
  <dimension ref="A1"/>
  <sheetViews>
    <sheetView workbookViewId="0">
      <selection activeCell="B6" sqref="B6"/>
    </sheetView>
  </sheetViews>
  <sheetFormatPr defaultRowHeight="15"/>
  <sheetData/>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N94"/>
  <sheetViews>
    <sheetView showGridLines="0" tabSelected="1" zoomScale="85" zoomScaleNormal="85" workbookViewId="0">
      <pane xSplit="3" ySplit="5" topLeftCell="D43" activePane="bottomRight" state="frozen"/>
      <selection pane="topRight" activeCell="B6" sqref="B6"/>
      <selection pane="bottomLeft" activeCell="B6" sqref="B6"/>
      <selection pane="bottomRight" activeCell="H61" sqref="H61:H62"/>
    </sheetView>
  </sheetViews>
  <sheetFormatPr defaultColWidth="7.6328125" defaultRowHeight="15.6"/>
  <cols>
    <col min="1" max="1" width="28.54296875" style="327" customWidth="1"/>
    <col min="2" max="2" width="13" style="327" customWidth="1"/>
    <col min="3" max="3" width="9.453125" style="327" customWidth="1"/>
    <col min="4" max="53" width="10.36328125" style="327" customWidth="1"/>
    <col min="54" max="54" width="7.6328125" style="327" hidden="1" customWidth="1"/>
    <col min="55" max="65" width="10.36328125" style="327" hidden="1" customWidth="1"/>
    <col min="66" max="66" width="9.90625" style="327" hidden="1" customWidth="1"/>
    <col min="67" max="16384" width="7.6328125" style="327"/>
  </cols>
  <sheetData>
    <row r="1" spans="1:65" ht="20.100000000000001" customHeight="1">
      <c r="A1" s="327" t="s">
        <v>534</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C1" s="494" t="s">
        <v>535</v>
      </c>
      <c r="BD1" s="495"/>
      <c r="BE1" s="495"/>
      <c r="BF1" s="495"/>
      <c r="BG1" s="495"/>
      <c r="BH1" s="495"/>
      <c r="BI1" s="495"/>
      <c r="BJ1" s="495"/>
      <c r="BK1" s="495"/>
      <c r="BL1" s="495"/>
      <c r="BM1" s="495"/>
    </row>
    <row r="2" spans="1:65">
      <c r="A2" s="329" t="s">
        <v>536</v>
      </c>
    </row>
    <row r="3" spans="1:65">
      <c r="A3" s="329"/>
      <c r="B3" s="329"/>
      <c r="C3" s="329"/>
    </row>
    <row r="4" spans="1:65">
      <c r="B4" s="329"/>
      <c r="C4" s="329"/>
      <c r="D4" s="448" t="s">
        <v>537</v>
      </c>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C4" s="448" t="s">
        <v>538</v>
      </c>
      <c r="BD4" s="448"/>
      <c r="BE4" s="448"/>
      <c r="BF4" s="448"/>
      <c r="BG4" s="448"/>
      <c r="BH4" s="448"/>
      <c r="BI4" s="448"/>
      <c r="BJ4" s="448"/>
      <c r="BK4" s="448"/>
      <c r="BL4" s="448"/>
      <c r="BM4" s="448"/>
    </row>
    <row r="5" spans="1:65" ht="16.2" thickBot="1">
      <c r="D5" s="385">
        <f>+'Input Data'!C15</f>
        <v>2022</v>
      </c>
      <c r="E5" s="385">
        <f>+D5+1</f>
        <v>2023</v>
      </c>
      <c r="F5" s="385">
        <f t="shared" ref="F5:O5" si="0">+E5+1</f>
        <v>2024</v>
      </c>
      <c r="G5" s="385">
        <f t="shared" si="0"/>
        <v>2025</v>
      </c>
      <c r="H5" s="385">
        <f t="shared" si="0"/>
        <v>2026</v>
      </c>
      <c r="I5" s="385">
        <f t="shared" si="0"/>
        <v>2027</v>
      </c>
      <c r="J5" s="385">
        <f t="shared" si="0"/>
        <v>2028</v>
      </c>
      <c r="K5" s="385">
        <f t="shared" si="0"/>
        <v>2029</v>
      </c>
      <c r="L5" s="385">
        <f t="shared" si="0"/>
        <v>2030</v>
      </c>
      <c r="M5" s="385">
        <f t="shared" si="0"/>
        <v>2031</v>
      </c>
      <c r="N5" s="385">
        <f t="shared" si="0"/>
        <v>2032</v>
      </c>
      <c r="O5" s="385">
        <f t="shared" si="0"/>
        <v>2033</v>
      </c>
      <c r="P5" s="385">
        <f t="shared" ref="P5" si="1">+O5+1</f>
        <v>2034</v>
      </c>
      <c r="Q5" s="385">
        <f t="shared" ref="Q5" si="2">+P5+1</f>
        <v>2035</v>
      </c>
      <c r="R5" s="385">
        <f t="shared" ref="R5" si="3">+Q5+1</f>
        <v>2036</v>
      </c>
      <c r="S5" s="385">
        <f t="shared" ref="S5" si="4">+R5+1</f>
        <v>2037</v>
      </c>
      <c r="T5" s="385">
        <f t="shared" ref="T5" si="5">+S5+1</f>
        <v>2038</v>
      </c>
      <c r="U5" s="385">
        <f t="shared" ref="U5" si="6">+T5+1</f>
        <v>2039</v>
      </c>
      <c r="V5" s="385">
        <f t="shared" ref="V5" si="7">+U5+1</f>
        <v>2040</v>
      </c>
      <c r="W5" s="385">
        <f t="shared" ref="W5" si="8">+V5+1</f>
        <v>2041</v>
      </c>
      <c r="X5" s="385">
        <f t="shared" ref="X5" si="9">+W5+1</f>
        <v>2042</v>
      </c>
      <c r="Y5" s="385">
        <f t="shared" ref="Y5" si="10">+X5+1</f>
        <v>2043</v>
      </c>
      <c r="Z5" s="385">
        <f t="shared" ref="Z5" si="11">+Y5+1</f>
        <v>2044</v>
      </c>
      <c r="AA5" s="385">
        <f t="shared" ref="AA5" si="12">+Z5+1</f>
        <v>2045</v>
      </c>
      <c r="AB5" s="385">
        <f t="shared" ref="AB5" si="13">+AA5+1</f>
        <v>2046</v>
      </c>
      <c r="AC5" s="385">
        <f t="shared" ref="AC5" si="14">+AB5+1</f>
        <v>2047</v>
      </c>
      <c r="AD5" s="385">
        <f t="shared" ref="AD5" si="15">+AC5+1</f>
        <v>2048</v>
      </c>
      <c r="AE5" s="385">
        <f t="shared" ref="AE5" si="16">+AD5+1</f>
        <v>2049</v>
      </c>
      <c r="AF5" s="385">
        <f t="shared" ref="AF5" si="17">+AE5+1</f>
        <v>2050</v>
      </c>
      <c r="AG5" s="385">
        <f t="shared" ref="AG5" si="18">+AF5+1</f>
        <v>2051</v>
      </c>
      <c r="AH5" s="386"/>
      <c r="AI5" s="386"/>
      <c r="AJ5" s="386"/>
      <c r="AK5" s="386"/>
      <c r="AL5" s="386"/>
      <c r="AM5" s="386"/>
      <c r="AN5" s="386"/>
      <c r="AO5" s="386"/>
      <c r="AP5" s="386"/>
      <c r="AQ5" s="386"/>
      <c r="AR5" s="386"/>
      <c r="AS5" s="386"/>
      <c r="AT5" s="386"/>
      <c r="AU5" s="386"/>
      <c r="AV5" s="386"/>
      <c r="AW5" s="386"/>
      <c r="AX5" s="386"/>
      <c r="AY5" s="386"/>
      <c r="AZ5" s="386"/>
      <c r="BA5" s="386"/>
      <c r="BC5" s="385">
        <f>+D5</f>
        <v>2022</v>
      </c>
      <c r="BD5" s="385">
        <f>+BC5+1</f>
        <v>2023</v>
      </c>
      <c r="BE5" s="385">
        <f t="shared" ref="BE5:BM5" si="19">+BD5+1</f>
        <v>2024</v>
      </c>
      <c r="BF5" s="385">
        <f t="shared" si="19"/>
        <v>2025</v>
      </c>
      <c r="BG5" s="385">
        <f t="shared" si="19"/>
        <v>2026</v>
      </c>
      <c r="BH5" s="385">
        <f t="shared" si="19"/>
        <v>2027</v>
      </c>
      <c r="BI5" s="385">
        <f t="shared" si="19"/>
        <v>2028</v>
      </c>
      <c r="BJ5" s="385">
        <f t="shared" si="19"/>
        <v>2029</v>
      </c>
      <c r="BK5" s="385">
        <f t="shared" si="19"/>
        <v>2030</v>
      </c>
      <c r="BL5" s="385">
        <f t="shared" si="19"/>
        <v>2031</v>
      </c>
      <c r="BM5" s="385">
        <f t="shared" si="19"/>
        <v>2032</v>
      </c>
    </row>
    <row r="6" spans="1:65">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C6" s="386"/>
      <c r="BD6" s="386"/>
      <c r="BE6" s="386"/>
      <c r="BF6" s="386"/>
      <c r="BG6" s="386"/>
      <c r="BH6" s="386"/>
      <c r="BI6" s="386"/>
      <c r="BJ6" s="386"/>
      <c r="BK6" s="386"/>
      <c r="BL6" s="386"/>
      <c r="BM6" s="386"/>
    </row>
    <row r="7" spans="1:65">
      <c r="A7" s="329" t="s">
        <v>539</v>
      </c>
      <c r="B7" s="329"/>
      <c r="D7" s="383">
        <v>1000</v>
      </c>
      <c r="E7" s="332">
        <f>+D7</f>
        <v>1000</v>
      </c>
      <c r="F7" s="332">
        <f t="shared" ref="F7:O7" si="20">+E7</f>
        <v>1000</v>
      </c>
      <c r="G7" s="332">
        <f t="shared" si="20"/>
        <v>1000</v>
      </c>
      <c r="H7" s="332">
        <f t="shared" si="20"/>
        <v>1000</v>
      </c>
      <c r="I7" s="332">
        <f t="shared" si="20"/>
        <v>1000</v>
      </c>
      <c r="J7" s="332">
        <f t="shared" si="20"/>
        <v>1000</v>
      </c>
      <c r="K7" s="332">
        <f t="shared" si="20"/>
        <v>1000</v>
      </c>
      <c r="L7" s="332">
        <f t="shared" si="20"/>
        <v>1000</v>
      </c>
      <c r="M7" s="332">
        <f t="shared" si="20"/>
        <v>1000</v>
      </c>
      <c r="N7" s="332">
        <f t="shared" si="20"/>
        <v>1000</v>
      </c>
      <c r="O7" s="332">
        <f t="shared" si="20"/>
        <v>1000</v>
      </c>
      <c r="P7" s="332">
        <f t="shared" ref="P7" si="21">+O7</f>
        <v>1000</v>
      </c>
      <c r="Q7" s="332">
        <f t="shared" ref="Q7" si="22">+P7</f>
        <v>1000</v>
      </c>
      <c r="R7" s="332">
        <f t="shared" ref="R7" si="23">+Q7</f>
        <v>1000</v>
      </c>
      <c r="S7" s="332">
        <f t="shared" ref="S7" si="24">+R7</f>
        <v>1000</v>
      </c>
      <c r="T7" s="332">
        <f t="shared" ref="T7" si="25">+S7</f>
        <v>1000</v>
      </c>
      <c r="U7" s="332">
        <f t="shared" ref="U7" si="26">+T7</f>
        <v>1000</v>
      </c>
      <c r="V7" s="332">
        <f t="shared" ref="V7" si="27">+U7</f>
        <v>1000</v>
      </c>
      <c r="W7" s="332">
        <f t="shared" ref="W7" si="28">+V7</f>
        <v>1000</v>
      </c>
      <c r="X7" s="332">
        <f t="shared" ref="X7" si="29">+W7</f>
        <v>1000</v>
      </c>
      <c r="Y7" s="332">
        <f t="shared" ref="Y7" si="30">+X7</f>
        <v>1000</v>
      </c>
      <c r="Z7" s="332">
        <f t="shared" ref="Z7" si="31">+Y7</f>
        <v>1000</v>
      </c>
      <c r="AA7" s="332">
        <f t="shared" ref="AA7" si="32">+Z7</f>
        <v>1000</v>
      </c>
      <c r="AB7" s="332">
        <f t="shared" ref="AB7" si="33">+AA7</f>
        <v>1000</v>
      </c>
      <c r="AC7" s="332">
        <f t="shared" ref="AC7" si="34">+AB7</f>
        <v>1000</v>
      </c>
      <c r="AD7" s="332">
        <f t="shared" ref="AD7" si="35">+AC7</f>
        <v>1000</v>
      </c>
      <c r="AE7" s="332">
        <f t="shared" ref="AE7" si="36">+AD7</f>
        <v>1000</v>
      </c>
      <c r="AF7" s="332">
        <f t="shared" ref="AF7" si="37">+AE7</f>
        <v>1000</v>
      </c>
      <c r="AG7" s="332">
        <f t="shared" ref="AG7" si="38">+AF7</f>
        <v>1000</v>
      </c>
      <c r="AH7" s="332"/>
      <c r="AI7" s="332"/>
      <c r="AJ7" s="332"/>
      <c r="AK7" s="332"/>
      <c r="AL7" s="332"/>
      <c r="AM7" s="332"/>
      <c r="AN7" s="332"/>
      <c r="AO7" s="332"/>
      <c r="AP7" s="332"/>
      <c r="AQ7" s="332"/>
      <c r="AR7" s="332"/>
      <c r="AS7" s="332"/>
      <c r="AT7" s="332"/>
      <c r="AU7" s="332"/>
      <c r="AV7" s="332"/>
      <c r="AW7" s="332"/>
      <c r="AX7" s="332"/>
      <c r="AY7" s="332"/>
      <c r="AZ7" s="332"/>
      <c r="BA7" s="332"/>
      <c r="BC7" s="383">
        <v>1000</v>
      </c>
      <c r="BD7" s="332">
        <f>+BC7</f>
        <v>1000</v>
      </c>
      <c r="BE7" s="332">
        <f t="shared" ref="BE7:BM7" si="39">+BD7</f>
        <v>1000</v>
      </c>
      <c r="BF7" s="332">
        <f t="shared" si="39"/>
        <v>1000</v>
      </c>
      <c r="BG7" s="332">
        <f t="shared" si="39"/>
        <v>1000</v>
      </c>
      <c r="BH7" s="332">
        <f t="shared" si="39"/>
        <v>1000</v>
      </c>
      <c r="BI7" s="332">
        <f t="shared" si="39"/>
        <v>1000</v>
      </c>
      <c r="BJ7" s="332">
        <f t="shared" si="39"/>
        <v>1000</v>
      </c>
      <c r="BK7" s="332">
        <f t="shared" si="39"/>
        <v>1000</v>
      </c>
      <c r="BL7" s="332">
        <f t="shared" si="39"/>
        <v>1000</v>
      </c>
      <c r="BM7" s="332">
        <f t="shared" si="39"/>
        <v>1000</v>
      </c>
    </row>
    <row r="8" spans="1:65">
      <c r="A8" s="330" t="s">
        <v>540</v>
      </c>
      <c r="B8" s="333" t="s">
        <v>541</v>
      </c>
      <c r="C8" s="382">
        <v>1000</v>
      </c>
      <c r="D8" s="332">
        <f t="shared" ref="D8:BM8" si="40">MIN(D$7,$C8)</f>
        <v>1000</v>
      </c>
      <c r="E8" s="332">
        <f t="shared" si="40"/>
        <v>1000</v>
      </c>
      <c r="F8" s="332">
        <f t="shared" si="40"/>
        <v>1000</v>
      </c>
      <c r="G8" s="332">
        <f t="shared" si="40"/>
        <v>1000</v>
      </c>
      <c r="H8" s="332">
        <f t="shared" si="40"/>
        <v>1000</v>
      </c>
      <c r="I8" s="332">
        <f t="shared" si="40"/>
        <v>1000</v>
      </c>
      <c r="J8" s="332">
        <f t="shared" si="40"/>
        <v>1000</v>
      </c>
      <c r="K8" s="332">
        <f t="shared" si="40"/>
        <v>1000</v>
      </c>
      <c r="L8" s="332">
        <f t="shared" si="40"/>
        <v>1000</v>
      </c>
      <c r="M8" s="332">
        <f t="shared" si="40"/>
        <v>1000</v>
      </c>
      <c r="N8" s="332">
        <f t="shared" si="40"/>
        <v>1000</v>
      </c>
      <c r="O8" s="332">
        <f t="shared" si="40"/>
        <v>1000</v>
      </c>
      <c r="P8" s="332">
        <f t="shared" si="40"/>
        <v>1000</v>
      </c>
      <c r="Q8" s="332">
        <f t="shared" si="40"/>
        <v>1000</v>
      </c>
      <c r="R8" s="332">
        <f t="shared" si="40"/>
        <v>1000</v>
      </c>
      <c r="S8" s="332">
        <f t="shared" si="40"/>
        <v>1000</v>
      </c>
      <c r="T8" s="332">
        <f t="shared" si="40"/>
        <v>1000</v>
      </c>
      <c r="U8" s="332">
        <f t="shared" si="40"/>
        <v>1000</v>
      </c>
      <c r="V8" s="332">
        <f t="shared" si="40"/>
        <v>1000</v>
      </c>
      <c r="W8" s="332">
        <f t="shared" si="40"/>
        <v>1000</v>
      </c>
      <c r="X8" s="332">
        <f t="shared" si="40"/>
        <v>1000</v>
      </c>
      <c r="Y8" s="332">
        <f t="shared" si="40"/>
        <v>1000</v>
      </c>
      <c r="Z8" s="332">
        <f t="shared" si="40"/>
        <v>1000</v>
      </c>
      <c r="AA8" s="332">
        <f t="shared" si="40"/>
        <v>1000</v>
      </c>
      <c r="AB8" s="332">
        <f t="shared" si="40"/>
        <v>1000</v>
      </c>
      <c r="AC8" s="332">
        <f t="shared" si="40"/>
        <v>1000</v>
      </c>
      <c r="AD8" s="332">
        <f t="shared" si="40"/>
        <v>1000</v>
      </c>
      <c r="AE8" s="332">
        <f t="shared" si="40"/>
        <v>1000</v>
      </c>
      <c r="AF8" s="332">
        <f t="shared" si="40"/>
        <v>1000</v>
      </c>
      <c r="AG8" s="332">
        <f t="shared" si="40"/>
        <v>1000</v>
      </c>
      <c r="AH8" s="332"/>
      <c r="AI8" s="332"/>
      <c r="AJ8" s="332"/>
      <c r="AK8" s="332"/>
      <c r="AL8" s="332"/>
      <c r="AM8" s="332"/>
      <c r="AN8" s="332"/>
      <c r="AO8" s="332"/>
      <c r="AP8" s="332"/>
      <c r="AQ8" s="332"/>
      <c r="AR8" s="332"/>
      <c r="AS8" s="332"/>
      <c r="AT8" s="332"/>
      <c r="AU8" s="332"/>
      <c r="AV8" s="332"/>
      <c r="AW8" s="332"/>
      <c r="AX8" s="332"/>
      <c r="AY8" s="332"/>
      <c r="AZ8" s="332"/>
      <c r="BA8" s="332"/>
      <c r="BC8" s="332">
        <f t="shared" si="40"/>
        <v>1000</v>
      </c>
      <c r="BD8" s="332">
        <f t="shared" si="40"/>
        <v>1000</v>
      </c>
      <c r="BE8" s="332">
        <f t="shared" si="40"/>
        <v>1000</v>
      </c>
      <c r="BF8" s="332">
        <f t="shared" si="40"/>
        <v>1000</v>
      </c>
      <c r="BG8" s="332">
        <f t="shared" si="40"/>
        <v>1000</v>
      </c>
      <c r="BH8" s="332">
        <f t="shared" si="40"/>
        <v>1000</v>
      </c>
      <c r="BI8" s="332">
        <f t="shared" si="40"/>
        <v>1000</v>
      </c>
      <c r="BJ8" s="332">
        <f t="shared" si="40"/>
        <v>1000</v>
      </c>
      <c r="BK8" s="332">
        <f t="shared" si="40"/>
        <v>1000</v>
      </c>
      <c r="BL8" s="332">
        <f t="shared" si="40"/>
        <v>1000</v>
      </c>
      <c r="BM8" s="332">
        <f t="shared" si="40"/>
        <v>1000</v>
      </c>
    </row>
    <row r="9" spans="1:65">
      <c r="A9" s="330" t="s">
        <v>542</v>
      </c>
      <c r="D9" s="332">
        <f>D7-D8</f>
        <v>0</v>
      </c>
      <c r="E9" s="332">
        <f t="shared" ref="E9:N9" si="41">E7-E8</f>
        <v>0</v>
      </c>
      <c r="F9" s="332">
        <f t="shared" si="41"/>
        <v>0</v>
      </c>
      <c r="G9" s="332">
        <f t="shared" si="41"/>
        <v>0</v>
      </c>
      <c r="H9" s="332">
        <f t="shared" si="41"/>
        <v>0</v>
      </c>
      <c r="I9" s="332">
        <f t="shared" si="41"/>
        <v>0</v>
      </c>
      <c r="J9" s="332">
        <f t="shared" si="41"/>
        <v>0</v>
      </c>
      <c r="K9" s="332">
        <f t="shared" si="41"/>
        <v>0</v>
      </c>
      <c r="L9" s="332">
        <f t="shared" si="41"/>
        <v>0</v>
      </c>
      <c r="M9" s="332">
        <f t="shared" si="41"/>
        <v>0</v>
      </c>
      <c r="N9" s="332">
        <f t="shared" si="41"/>
        <v>0</v>
      </c>
      <c r="O9" s="332">
        <f t="shared" ref="O9:AG9" si="42">O7-O8</f>
        <v>0</v>
      </c>
      <c r="P9" s="332">
        <f t="shared" si="42"/>
        <v>0</v>
      </c>
      <c r="Q9" s="332">
        <f t="shared" si="42"/>
        <v>0</v>
      </c>
      <c r="R9" s="332">
        <f t="shared" si="42"/>
        <v>0</v>
      </c>
      <c r="S9" s="332">
        <f t="shared" si="42"/>
        <v>0</v>
      </c>
      <c r="T9" s="332">
        <f t="shared" si="42"/>
        <v>0</v>
      </c>
      <c r="U9" s="332">
        <f t="shared" si="42"/>
        <v>0</v>
      </c>
      <c r="V9" s="332">
        <f t="shared" si="42"/>
        <v>0</v>
      </c>
      <c r="W9" s="332">
        <f t="shared" si="42"/>
        <v>0</v>
      </c>
      <c r="X9" s="332">
        <f t="shared" si="42"/>
        <v>0</v>
      </c>
      <c r="Y9" s="332">
        <f t="shared" si="42"/>
        <v>0</v>
      </c>
      <c r="Z9" s="332">
        <f t="shared" si="42"/>
        <v>0</v>
      </c>
      <c r="AA9" s="332">
        <f t="shared" si="42"/>
        <v>0</v>
      </c>
      <c r="AB9" s="332">
        <f t="shared" si="42"/>
        <v>0</v>
      </c>
      <c r="AC9" s="332">
        <f t="shared" si="42"/>
        <v>0</v>
      </c>
      <c r="AD9" s="332">
        <f t="shared" si="42"/>
        <v>0</v>
      </c>
      <c r="AE9" s="332">
        <f t="shared" si="42"/>
        <v>0</v>
      </c>
      <c r="AF9" s="332">
        <f t="shared" si="42"/>
        <v>0</v>
      </c>
      <c r="AG9" s="332">
        <f t="shared" si="42"/>
        <v>0</v>
      </c>
      <c r="AH9" s="332"/>
      <c r="AI9" s="332"/>
      <c r="AJ9" s="332"/>
      <c r="AK9" s="332"/>
      <c r="AL9" s="332"/>
      <c r="AM9" s="332"/>
      <c r="AN9" s="332"/>
      <c r="AO9" s="332"/>
      <c r="AP9" s="332"/>
      <c r="AQ9" s="332"/>
      <c r="AR9" s="332"/>
      <c r="AS9" s="332"/>
      <c r="AT9" s="332"/>
      <c r="AU9" s="332"/>
      <c r="AV9" s="332"/>
      <c r="AW9" s="332"/>
      <c r="AX9" s="332"/>
      <c r="AY9" s="332"/>
      <c r="AZ9" s="332"/>
      <c r="BC9" s="332">
        <f>BC7-BC8</f>
        <v>0</v>
      </c>
      <c r="BD9" s="332">
        <f t="shared" ref="BD9:BM9" si="43">BD7-BD8</f>
        <v>0</v>
      </c>
      <c r="BE9" s="332">
        <f t="shared" si="43"/>
        <v>0</v>
      </c>
      <c r="BF9" s="332">
        <f t="shared" si="43"/>
        <v>0</v>
      </c>
      <c r="BG9" s="332">
        <f t="shared" si="43"/>
        <v>0</v>
      </c>
      <c r="BH9" s="332">
        <f t="shared" si="43"/>
        <v>0</v>
      </c>
      <c r="BI9" s="332">
        <f t="shared" si="43"/>
        <v>0</v>
      </c>
      <c r="BJ9" s="332">
        <f t="shared" si="43"/>
        <v>0</v>
      </c>
      <c r="BK9" s="332">
        <f t="shared" si="43"/>
        <v>0</v>
      </c>
      <c r="BL9" s="332">
        <f t="shared" si="43"/>
        <v>0</v>
      </c>
      <c r="BM9" s="332">
        <f t="shared" si="43"/>
        <v>0</v>
      </c>
    </row>
    <row r="10" spans="1:65">
      <c r="A10" s="330"/>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C10" s="332"/>
      <c r="BD10" s="332"/>
      <c r="BE10" s="332"/>
      <c r="BF10" s="332"/>
      <c r="BG10" s="332"/>
      <c r="BH10" s="332"/>
      <c r="BI10" s="332"/>
      <c r="BJ10" s="332"/>
      <c r="BK10" s="332"/>
      <c r="BL10" s="332"/>
      <c r="BM10" s="332"/>
    </row>
    <row r="11" spans="1:65">
      <c r="A11" s="344" t="s">
        <v>184</v>
      </c>
      <c r="D11" s="394" t="s">
        <v>543</v>
      </c>
      <c r="E11" s="386"/>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C11" s="394" t="s">
        <v>544</v>
      </c>
      <c r="BD11" s="386"/>
      <c r="BE11" s="386"/>
      <c r="BF11" s="386"/>
      <c r="BG11" s="386"/>
      <c r="BH11" s="386"/>
      <c r="BI11" s="386"/>
      <c r="BJ11" s="386"/>
      <c r="BK11" s="386"/>
      <c r="BL11" s="386"/>
      <c r="BM11" s="386"/>
    </row>
    <row r="12" spans="1:65">
      <c r="A12" s="330" t="s">
        <v>545</v>
      </c>
      <c r="B12" s="330"/>
      <c r="C12" s="330"/>
      <c r="D12" s="449">
        <f>IF(SUMIF($D$77:$AL$77,D$5,$D$78:$AL$78)=0,C12,SUMIF($D77:$AL$77,D$5,$D$78:$AL$78))</f>
        <v>21</v>
      </c>
      <c r="E12" s="449">
        <f>IF(SUMIF($D$77:$AL$77,E$5,$D$78:$AL$78)=0,D12,SUMIF($D77:$AL$77,E$5,$D$78:$AL$78))</f>
        <v>22.9</v>
      </c>
      <c r="F12" s="449">
        <f>IF(SUMIF($D$77:$AL$77,F$5,$D$78:$AL$78)=0,E12,SUMIF($D77:$AL$77,F$5,$D$78:$AL$78))</f>
        <v>23.36</v>
      </c>
      <c r="G12" s="449">
        <f>IF(SUMIF($D$77:$AL$77,G$5,$D$78:$AL$78)=0,F12,SUMIF($D77:$AL$77,G$5,$D$78:$AL$78))</f>
        <v>23.36</v>
      </c>
      <c r="H12" s="449">
        <f>IF(SUMIF($D$77:$AL$77,H$5,$D$78:$AL$78)=0,G12,SUMIF($D77:$AL$77,H$5,$D$78:$AL$78))</f>
        <v>23.36</v>
      </c>
      <c r="I12" s="449">
        <f>IF(SUMIF($D$77:$AL$77,I$5,$D$78:$AL$78)=0,H12,SUMIF($D77:$AL$77,I$5,$D$78:$AL$78))</f>
        <v>23.36</v>
      </c>
      <c r="J12" s="449">
        <f>IF(SUMIF($D$77:$AL$77,J$5,$D$78:$AL$78)=0,I12,SUMIF($D77:$AL$77,J$5,$D$78:$AL$78))</f>
        <v>23.36</v>
      </c>
      <c r="K12" s="449">
        <f>IF(SUMIF($D$77:$AL$77,K$5,$D$78:$AL$78)=0,J12,SUMIF($D77:$AL$77,K$5,$D$78:$AL$78))</f>
        <v>23.36</v>
      </c>
      <c r="L12" s="449">
        <f>IF(SUMIF($D$77:$AL$77,L$5,$D$78:$AL$78)=0,K12,SUMIF($D77:$AL$77,L$5,$D$78:$AL$78))</f>
        <v>16.62</v>
      </c>
      <c r="M12" s="449">
        <f>IF(SUMIF($D$77:$AL$77,M$5,$D$78:$AL$78)=0,L12,SUMIF($D77:$AL$77,M$5,$D$78:$AL$78))</f>
        <v>16.62</v>
      </c>
      <c r="N12" s="449">
        <f>IF(SUMIF($D$77:$AL$77,N$5,$D$78:$AL$78)=0,M12,SUMIF($D77:$AL$77,N$5,$D$78:$AL$78))</f>
        <v>15.12</v>
      </c>
      <c r="O12" s="449">
        <f>IF(SUMIF($D$77:$AL$77,O$5,$D$78:$AL$78)=0,N12,SUMIF($D77:$AL$77,O$5,$D$78:$AL$78))</f>
        <v>15.12</v>
      </c>
      <c r="P12" s="449">
        <f>IF(SUMIF($D$77:$AL$77,P$5,$D$78:$AL$78)=0,O12,SUMIF($D77:$AL$77,P$5,$D$78:$AL$78))</f>
        <v>15.12</v>
      </c>
      <c r="Q12" s="449">
        <f>IF(SUMIF($D$77:$AL$77,Q$5,$D$78:$AL$78)=0,P12,SUMIF($D77:$AL$77,Q$5,$D$78:$AL$78))</f>
        <v>15.12</v>
      </c>
      <c r="R12" s="449">
        <f>IF(SUMIF($D$77:$AL$77,R$5,$D$78:$AL$78)=0,Q12,SUMIF($D77:$AL$77,R$5,$D$78:$AL$78))</f>
        <v>15.12</v>
      </c>
      <c r="S12" s="449">
        <f>IF(SUMIF($D$77:$AL$77,S$5,$D$78:$AL$78)=0,R12,SUMIF($D77:$AL$77,S$5,$D$78:$AL$78))</f>
        <v>15.12</v>
      </c>
      <c r="T12" s="449">
        <f>IF(SUMIF($D$77:$AL$77,T$5,$D$78:$AL$78)=0,S12,SUMIF($D77:$AL$77,T$5,$D$78:$AL$78))</f>
        <v>15.12</v>
      </c>
      <c r="U12" s="449">
        <f>IF(SUMIF($D$77:$AL$77,U$5,$D$78:$AL$78)=0,T12,SUMIF($D77:$AL$77,U$5,$D$78:$AL$78))</f>
        <v>15.12</v>
      </c>
      <c r="V12" s="449">
        <f>IF(SUMIF($D$77:$AL$77,V$5,$D$78:$AL$78)=0,U12,SUMIF($D77:$AL$77,V$5,$D$78:$AL$78))</f>
        <v>15.12</v>
      </c>
      <c r="W12" s="449">
        <f>IF(SUMIF($D$77:$AL$77,W$5,$D$78:$AL$78)=0,V12,SUMIF($D77:$AL$77,W$5,$D$78:$AL$78))</f>
        <v>15.12</v>
      </c>
      <c r="X12" s="449">
        <f>IF(SUMIF($D$77:$AL$77,X$5,$D$78:$AL$78)=0,W12,SUMIF($D77:$AL$77,X$5,$D$78:$AL$78))</f>
        <v>15.12</v>
      </c>
      <c r="Y12" s="449">
        <f>IF(SUMIF($D$77:$AL$77,Y$5,$D$78:$AL$78)=0,X12,SUMIF($D77:$AL$77,Y$5,$D$78:$AL$78))</f>
        <v>15.12</v>
      </c>
      <c r="Z12" s="449">
        <f>IF(SUMIF($D$77:$AL$77,Z$5,$D$78:$AL$78)=0,Y12,SUMIF($D77:$AL$77,Z$5,$D$78:$AL$78))</f>
        <v>15.12</v>
      </c>
      <c r="AA12" s="449">
        <f>IF(SUMIF($D$77:$AL$77,AA$5,$D$78:$AL$78)=0,Z12,SUMIF($D77:$AL$77,AA$5,$D$78:$AL$78))</f>
        <v>15.12</v>
      </c>
      <c r="AB12" s="449">
        <f>IF(SUMIF($D$77:$AL$77,AB$5,$D$78:$AL$78)=0,AA12,SUMIF($D77:$AL$77,AB$5,$D$78:$AL$78))</f>
        <v>15.12</v>
      </c>
      <c r="AC12" s="449">
        <f>IF(SUMIF($D$77:$AL$77,AC$5,$D$78:$AL$78)=0,AB12,SUMIF($D77:$AL$77,AC$5,$D$78:$AL$78))</f>
        <v>15.12</v>
      </c>
      <c r="AD12" s="449">
        <f>IF(SUMIF($D$77:$AL$77,AD$5,$D$78:$AL$78)=0,AC12,SUMIF($D77:$AL$77,AD$5,$D$78:$AL$78))</f>
        <v>15.12</v>
      </c>
      <c r="AE12" s="449">
        <f>IF(SUMIF($D$77:$AL$77,AE$5,$D$78:$AL$78)=0,AD12,SUMIF($D77:$AL$77,AE$5,$D$78:$AL$78))</f>
        <v>15.12</v>
      </c>
      <c r="AF12" s="449">
        <f>IF(SUMIF($D$77:$AL$77,AF$5,$D$78:$AL$78)=0,AE12,SUMIF($D77:$AL$77,AF$5,$D$78:$AL$78))</f>
        <v>15.12</v>
      </c>
      <c r="AG12" s="449">
        <f>IF(SUMIF($D$77:$AL$77,AG$5,$D$78:$AL$78)=0,AF12,SUMIF($D77:$AL$77,AG$5,$D$78:$AL$78))</f>
        <v>15.12</v>
      </c>
      <c r="AH12" s="490"/>
      <c r="AI12" s="490"/>
      <c r="AJ12" s="490"/>
      <c r="AK12" s="490"/>
      <c r="AL12" s="490"/>
      <c r="AM12" s="490"/>
      <c r="AN12" s="490"/>
      <c r="AO12" s="490"/>
      <c r="AP12" s="490"/>
      <c r="AQ12" s="490"/>
      <c r="AR12" s="490"/>
      <c r="AS12" s="490"/>
      <c r="AT12" s="490"/>
      <c r="AU12" s="490"/>
      <c r="AV12" s="490"/>
      <c r="AW12" s="490"/>
      <c r="AX12" s="490"/>
      <c r="AY12" s="490"/>
      <c r="AZ12" s="490"/>
      <c r="BC12" s="449">
        <f t="shared" ref="BC12:BM12" si="44">IF(SUMIF($BC$77:$BN$77,BC$5,$BC$78:$BN$78)=0,BB12,SUMIF($BC$77:$BN$77,BC$5,$BC$78:$BN$78))</f>
        <v>0</v>
      </c>
      <c r="BD12" s="449">
        <f t="shared" si="44"/>
        <v>0</v>
      </c>
      <c r="BE12" s="449">
        <f t="shared" si="44"/>
        <v>0</v>
      </c>
      <c r="BF12" s="449">
        <f t="shared" si="44"/>
        <v>0</v>
      </c>
      <c r="BG12" s="449">
        <f t="shared" si="44"/>
        <v>0</v>
      </c>
      <c r="BH12" s="449">
        <f t="shared" si="44"/>
        <v>0</v>
      </c>
      <c r="BI12" s="449">
        <f t="shared" si="44"/>
        <v>0</v>
      </c>
      <c r="BJ12" s="449">
        <f t="shared" si="44"/>
        <v>0</v>
      </c>
      <c r="BK12" s="449">
        <f t="shared" si="44"/>
        <v>0</v>
      </c>
      <c r="BL12" s="449">
        <f t="shared" si="44"/>
        <v>0</v>
      </c>
      <c r="BM12" s="449">
        <f t="shared" si="44"/>
        <v>0</v>
      </c>
    </row>
    <row r="13" spans="1:65">
      <c r="A13" s="330" t="s">
        <v>546</v>
      </c>
      <c r="B13" s="330"/>
      <c r="C13" s="330"/>
      <c r="D13" s="450">
        <f t="shared" ref="D13:AG13" si="45">IF(SUMIF($D$77:$AL$77,D$5,$D$79:$AL$79)=0,C13,SUMIF($D$77:$AL$77,D$5,$D$79:$AL$79))</f>
        <v>5.7689999999999998E-2</v>
      </c>
      <c r="E13" s="450">
        <f t="shared" si="45"/>
        <v>6.2920000000000004E-2</v>
      </c>
      <c r="F13" s="450">
        <f t="shared" si="45"/>
        <v>6.4159999999999995E-2</v>
      </c>
      <c r="G13" s="450">
        <f t="shared" si="45"/>
        <v>6.4159999999999995E-2</v>
      </c>
      <c r="H13" s="450">
        <f t="shared" si="45"/>
        <v>6.4159999999999995E-2</v>
      </c>
      <c r="I13" s="450">
        <f t="shared" si="45"/>
        <v>6.4159999999999995E-2</v>
      </c>
      <c r="J13" s="450">
        <f t="shared" si="45"/>
        <v>6.4159999999999995E-2</v>
      </c>
      <c r="K13" s="450">
        <f t="shared" si="45"/>
        <v>6.4159999999999995E-2</v>
      </c>
      <c r="L13" s="450">
        <f t="shared" si="45"/>
        <v>5.1999999999999998E-2</v>
      </c>
      <c r="M13" s="450">
        <f t="shared" si="45"/>
        <v>5.1999999999999998E-2</v>
      </c>
      <c r="N13" s="450">
        <f t="shared" si="45"/>
        <v>4.7149999999999997E-2</v>
      </c>
      <c r="O13" s="450">
        <f t="shared" si="45"/>
        <v>4.7150000000000004E-2</v>
      </c>
      <c r="P13" s="450">
        <f t="shared" si="45"/>
        <v>4.7150000000000004E-2</v>
      </c>
      <c r="Q13" s="450">
        <f t="shared" si="45"/>
        <v>6.2310040785102834E-2</v>
      </c>
      <c r="R13" s="450">
        <f t="shared" si="45"/>
        <v>6.7785263785783187E-2</v>
      </c>
      <c r="S13" s="450">
        <f t="shared" si="45"/>
        <v>6.7785263785783187E-2</v>
      </c>
      <c r="T13" s="450">
        <f t="shared" si="45"/>
        <v>6.7785263785783187E-2</v>
      </c>
      <c r="U13" s="450">
        <f t="shared" si="45"/>
        <v>6.7785263785783187E-2</v>
      </c>
      <c r="V13" s="450">
        <f t="shared" si="45"/>
        <v>6.7785263785783187E-2</v>
      </c>
      <c r="W13" s="450">
        <f t="shared" si="45"/>
        <v>6.7785263785783187E-2</v>
      </c>
      <c r="X13" s="450">
        <f t="shared" si="45"/>
        <v>6.7785263785783187E-2</v>
      </c>
      <c r="Y13" s="450">
        <f t="shared" si="45"/>
        <v>6.7785263785783187E-2</v>
      </c>
      <c r="Z13" s="450">
        <f t="shared" si="45"/>
        <v>6.7785263785783187E-2</v>
      </c>
      <c r="AA13" s="450">
        <f t="shared" si="45"/>
        <v>6.7785263785783187E-2</v>
      </c>
      <c r="AB13" s="450">
        <f t="shared" si="45"/>
        <v>6.7785263785783187E-2</v>
      </c>
      <c r="AC13" s="450">
        <f t="shared" si="45"/>
        <v>6.7785263785783187E-2</v>
      </c>
      <c r="AD13" s="450">
        <f t="shared" si="45"/>
        <v>6.7785263785783187E-2</v>
      </c>
      <c r="AE13" s="450">
        <f t="shared" si="45"/>
        <v>6.7785263785783187E-2</v>
      </c>
      <c r="AF13" s="450">
        <f t="shared" si="45"/>
        <v>6.7785263785783187E-2</v>
      </c>
      <c r="AG13" s="450">
        <f t="shared" si="45"/>
        <v>6.7785263785783187E-2</v>
      </c>
      <c r="AH13" s="331"/>
      <c r="AI13" s="331"/>
      <c r="AJ13" s="331"/>
      <c r="AK13" s="331"/>
      <c r="AL13" s="331"/>
      <c r="AM13" s="331"/>
      <c r="AN13" s="331"/>
      <c r="AO13" s="331"/>
      <c r="AP13" s="331"/>
      <c r="AQ13" s="331"/>
      <c r="AR13" s="331"/>
      <c r="AS13" s="331"/>
      <c r="AT13" s="331"/>
      <c r="AU13" s="331"/>
      <c r="AV13" s="331"/>
      <c r="AW13" s="331"/>
      <c r="AX13" s="331"/>
      <c r="AY13" s="331"/>
      <c r="AZ13" s="331"/>
      <c r="BC13" s="450">
        <f t="shared" ref="BC13:BM13" si="46">IF(SUMIF($BC$77:$BN$77,BC$5,$BC$79:$BN$79)=0,BB13,SUMIF($BC$77:$BN$77,BC$5,$BC$79:$BN$79))</f>
        <v>0</v>
      </c>
      <c r="BD13" s="450">
        <f t="shared" si="46"/>
        <v>0</v>
      </c>
      <c r="BE13" s="450">
        <f t="shared" si="46"/>
        <v>0</v>
      </c>
      <c r="BF13" s="450">
        <f t="shared" si="46"/>
        <v>0</v>
      </c>
      <c r="BG13" s="450">
        <f t="shared" si="46"/>
        <v>0</v>
      </c>
      <c r="BH13" s="450">
        <f t="shared" si="46"/>
        <v>0</v>
      </c>
      <c r="BI13" s="450">
        <f t="shared" si="46"/>
        <v>0</v>
      </c>
      <c r="BJ13" s="450">
        <f t="shared" si="46"/>
        <v>0</v>
      </c>
      <c r="BK13" s="450">
        <f t="shared" si="46"/>
        <v>0</v>
      </c>
      <c r="BL13" s="450">
        <f t="shared" si="46"/>
        <v>0</v>
      </c>
      <c r="BM13" s="450">
        <f t="shared" si="46"/>
        <v>0</v>
      </c>
    </row>
    <row r="14" spans="1:65">
      <c r="A14" s="330" t="s">
        <v>547</v>
      </c>
      <c r="B14" s="330"/>
      <c r="C14" s="330"/>
      <c r="D14" s="331">
        <f>+D13+0.01</f>
        <v>6.769E-2</v>
      </c>
      <c r="E14" s="331">
        <f t="shared" ref="E14:N14" si="47">+E13+0.01</f>
        <v>7.2919999999999999E-2</v>
      </c>
      <c r="F14" s="331">
        <f t="shared" si="47"/>
        <v>7.415999999999999E-2</v>
      </c>
      <c r="G14" s="331">
        <f t="shared" si="47"/>
        <v>7.415999999999999E-2</v>
      </c>
      <c r="H14" s="331">
        <f t="shared" si="47"/>
        <v>7.415999999999999E-2</v>
      </c>
      <c r="I14" s="331">
        <f t="shared" si="47"/>
        <v>7.415999999999999E-2</v>
      </c>
      <c r="J14" s="331">
        <f t="shared" si="47"/>
        <v>7.415999999999999E-2</v>
      </c>
      <c r="K14" s="331">
        <f t="shared" si="47"/>
        <v>7.415999999999999E-2</v>
      </c>
      <c r="L14" s="331">
        <f t="shared" si="47"/>
        <v>6.2E-2</v>
      </c>
      <c r="M14" s="331">
        <f t="shared" si="47"/>
        <v>6.2E-2</v>
      </c>
      <c r="N14" s="331">
        <f t="shared" si="47"/>
        <v>5.7149999999999999E-2</v>
      </c>
      <c r="O14" s="331">
        <f t="shared" ref="O14:AG14" si="48">+O13+0.01</f>
        <v>5.7150000000000006E-2</v>
      </c>
      <c r="P14" s="331">
        <f t="shared" si="48"/>
        <v>5.7150000000000006E-2</v>
      </c>
      <c r="Q14" s="331">
        <f t="shared" si="48"/>
        <v>7.2310040785102836E-2</v>
      </c>
      <c r="R14" s="331">
        <f t="shared" si="48"/>
        <v>7.7785263785783182E-2</v>
      </c>
      <c r="S14" s="331">
        <f t="shared" si="48"/>
        <v>7.7785263785783182E-2</v>
      </c>
      <c r="T14" s="331">
        <f t="shared" si="48"/>
        <v>7.7785263785783182E-2</v>
      </c>
      <c r="U14" s="331">
        <f t="shared" si="48"/>
        <v>7.7785263785783182E-2</v>
      </c>
      <c r="V14" s="331">
        <f t="shared" si="48"/>
        <v>7.7785263785783182E-2</v>
      </c>
      <c r="W14" s="331">
        <f t="shared" si="48"/>
        <v>7.7785263785783182E-2</v>
      </c>
      <c r="X14" s="331">
        <f t="shared" si="48"/>
        <v>7.7785263785783182E-2</v>
      </c>
      <c r="Y14" s="331">
        <f t="shared" si="48"/>
        <v>7.7785263785783182E-2</v>
      </c>
      <c r="Z14" s="331">
        <f t="shared" si="48"/>
        <v>7.7785263785783182E-2</v>
      </c>
      <c r="AA14" s="331">
        <f t="shared" si="48"/>
        <v>7.7785263785783182E-2</v>
      </c>
      <c r="AB14" s="331">
        <f t="shared" si="48"/>
        <v>7.7785263785783182E-2</v>
      </c>
      <c r="AC14" s="331">
        <f t="shared" si="48"/>
        <v>7.7785263785783182E-2</v>
      </c>
      <c r="AD14" s="331">
        <f t="shared" si="48"/>
        <v>7.7785263785783182E-2</v>
      </c>
      <c r="AE14" s="331">
        <f t="shared" si="48"/>
        <v>7.7785263785783182E-2</v>
      </c>
      <c r="AF14" s="331">
        <f t="shared" si="48"/>
        <v>7.7785263785783182E-2</v>
      </c>
      <c r="AG14" s="331">
        <f t="shared" si="48"/>
        <v>7.7785263785783182E-2</v>
      </c>
      <c r="AH14" s="331"/>
      <c r="AI14" s="331"/>
      <c r="AJ14" s="331"/>
      <c r="AK14" s="331"/>
      <c r="AL14" s="331"/>
      <c r="AM14" s="331"/>
      <c r="AN14" s="331"/>
      <c r="AO14" s="331"/>
      <c r="AP14" s="331"/>
      <c r="AQ14" s="331"/>
      <c r="AR14" s="331"/>
      <c r="AS14" s="331"/>
      <c r="AT14" s="331"/>
      <c r="AU14" s="331"/>
      <c r="AV14" s="331"/>
      <c r="AW14" s="331"/>
      <c r="AX14" s="331"/>
      <c r="AY14" s="331"/>
      <c r="AZ14" s="331"/>
      <c r="BC14" s="331">
        <f>+BC13+0.01</f>
        <v>0.01</v>
      </c>
      <c r="BD14" s="331">
        <f t="shared" ref="BD14:BM14" si="49">+BD13+0.01</f>
        <v>0.01</v>
      </c>
      <c r="BE14" s="331">
        <f t="shared" si="49"/>
        <v>0.01</v>
      </c>
      <c r="BF14" s="331">
        <f t="shared" si="49"/>
        <v>0.01</v>
      </c>
      <c r="BG14" s="331">
        <f t="shared" si="49"/>
        <v>0.01</v>
      </c>
      <c r="BH14" s="331">
        <f t="shared" si="49"/>
        <v>0.01</v>
      </c>
      <c r="BI14" s="331">
        <f t="shared" si="49"/>
        <v>0.01</v>
      </c>
      <c r="BJ14" s="331">
        <f t="shared" si="49"/>
        <v>0.01</v>
      </c>
      <c r="BK14" s="331">
        <f t="shared" si="49"/>
        <v>0.01</v>
      </c>
      <c r="BL14" s="331">
        <f t="shared" si="49"/>
        <v>0.01</v>
      </c>
      <c r="BM14" s="331">
        <f t="shared" si="49"/>
        <v>0.01</v>
      </c>
    </row>
    <row r="15" spans="1:65">
      <c r="A15" s="330" t="s">
        <v>548</v>
      </c>
      <c r="B15" s="330"/>
      <c r="C15" s="330"/>
      <c r="D15" s="450">
        <f t="shared" ref="D15:AG15" si="50">IF(SUMIF($D$77:$AL$77,D$5,$D$80:$AL$80)=0,C15,SUMIF($D$77:$AL$77,D$5,$D$80:$AL$80))</f>
        <v>0</v>
      </c>
      <c r="E15" s="450">
        <f t="shared" si="50"/>
        <v>0</v>
      </c>
      <c r="F15" s="450">
        <f t="shared" si="50"/>
        <v>0</v>
      </c>
      <c r="G15" s="450">
        <f t="shared" si="50"/>
        <v>0</v>
      </c>
      <c r="H15" s="450">
        <f t="shared" si="50"/>
        <v>0</v>
      </c>
      <c r="I15" s="450">
        <f t="shared" si="50"/>
        <v>0</v>
      </c>
      <c r="J15" s="450">
        <f t="shared" si="50"/>
        <v>0</v>
      </c>
      <c r="K15" s="450">
        <f t="shared" si="50"/>
        <v>0</v>
      </c>
      <c r="L15" s="450">
        <f t="shared" si="50"/>
        <v>0</v>
      </c>
      <c r="M15" s="450">
        <f t="shared" si="50"/>
        <v>1.8099999999999991E-3</v>
      </c>
      <c r="N15" s="450">
        <f t="shared" si="50"/>
        <v>4.2599999999999999E-3</v>
      </c>
      <c r="O15" s="450">
        <f t="shared" si="50"/>
        <v>5.6600000000000001E-3</v>
      </c>
      <c r="P15" s="450">
        <f t="shared" si="50"/>
        <v>6.1599999999999997E-3</v>
      </c>
      <c r="Q15" s="450">
        <f t="shared" si="50"/>
        <v>6.1599999999999997E-3</v>
      </c>
      <c r="R15" s="450">
        <f t="shared" si="50"/>
        <v>6.1599999999999997E-3</v>
      </c>
      <c r="S15" s="450">
        <f t="shared" si="50"/>
        <v>6.1599999999999997E-3</v>
      </c>
      <c r="T15" s="450">
        <f t="shared" si="50"/>
        <v>6.1599999999999997E-3</v>
      </c>
      <c r="U15" s="450">
        <f t="shared" si="50"/>
        <v>6.1599999999999997E-3</v>
      </c>
      <c r="V15" s="450">
        <f t="shared" si="50"/>
        <v>6.1599999999999997E-3</v>
      </c>
      <c r="W15" s="450">
        <f t="shared" si="50"/>
        <v>6.1599999999999997E-3</v>
      </c>
      <c r="X15" s="450">
        <f t="shared" si="50"/>
        <v>6.1599999999999997E-3</v>
      </c>
      <c r="Y15" s="450">
        <f t="shared" si="50"/>
        <v>6.1599999999999997E-3</v>
      </c>
      <c r="Z15" s="450">
        <f t="shared" si="50"/>
        <v>6.1599999999999997E-3</v>
      </c>
      <c r="AA15" s="450">
        <f t="shared" si="50"/>
        <v>6.1599999999999997E-3</v>
      </c>
      <c r="AB15" s="450">
        <f t="shared" si="50"/>
        <v>6.1599999999999997E-3</v>
      </c>
      <c r="AC15" s="450">
        <f t="shared" si="50"/>
        <v>6.1599999999999997E-3</v>
      </c>
      <c r="AD15" s="450">
        <f t="shared" si="50"/>
        <v>6.1599999999999997E-3</v>
      </c>
      <c r="AE15" s="450">
        <f t="shared" si="50"/>
        <v>6.1599999999999997E-3</v>
      </c>
      <c r="AF15" s="450">
        <f t="shared" si="50"/>
        <v>6.1599999999999997E-3</v>
      </c>
      <c r="AG15" s="450">
        <f t="shared" si="50"/>
        <v>6.1599999999999997E-3</v>
      </c>
      <c r="AH15" s="331"/>
      <c r="AI15" s="331"/>
      <c r="AJ15" s="331"/>
      <c r="AK15" s="331"/>
      <c r="AL15" s="331"/>
      <c r="AM15" s="331"/>
      <c r="AN15" s="331"/>
      <c r="AO15" s="331"/>
      <c r="AP15" s="331"/>
      <c r="AQ15" s="331"/>
      <c r="AR15" s="331"/>
      <c r="AS15" s="331"/>
      <c r="AT15" s="331"/>
      <c r="AU15" s="331"/>
      <c r="AV15" s="331"/>
      <c r="AW15" s="331"/>
      <c r="AX15" s="331"/>
      <c r="AY15" s="331"/>
      <c r="AZ15" s="331"/>
      <c r="BC15" s="450">
        <f t="shared" ref="BC15:BM15" si="51">IF(SUMIF($BC$77:$BN$77,BC$5,$BC$80:$BN$80)=0,BB15,SUMIF($BC$77:$BN$77,BC$5,$BC$80:$BN$80))</f>
        <v>0</v>
      </c>
      <c r="BD15" s="450">
        <f t="shared" si="51"/>
        <v>0</v>
      </c>
      <c r="BE15" s="450">
        <f t="shared" si="51"/>
        <v>0</v>
      </c>
      <c r="BF15" s="450">
        <f t="shared" si="51"/>
        <v>0</v>
      </c>
      <c r="BG15" s="450">
        <f t="shared" si="51"/>
        <v>0</v>
      </c>
      <c r="BH15" s="450">
        <f t="shared" si="51"/>
        <v>0</v>
      </c>
      <c r="BI15" s="450">
        <f t="shared" si="51"/>
        <v>0</v>
      </c>
      <c r="BJ15" s="450">
        <f t="shared" si="51"/>
        <v>0</v>
      </c>
      <c r="BK15" s="450">
        <f t="shared" si="51"/>
        <v>0</v>
      </c>
      <c r="BL15" s="450">
        <f t="shared" si="51"/>
        <v>0</v>
      </c>
      <c r="BM15" s="450">
        <f t="shared" si="51"/>
        <v>0</v>
      </c>
    </row>
    <row r="16" spans="1:65">
      <c r="A16" s="330" t="s">
        <v>549</v>
      </c>
      <c r="B16" s="330"/>
      <c r="C16" s="330"/>
      <c r="D16" s="450">
        <f t="shared" ref="D16:AG16" si="52">IF(SUMIF($D$77:$AL$77,D$5,$D$81:$AL$81)=0,C16,SUMIF($D$77:$AL$77,D$5,$D$81:$AL$81))</f>
        <v>4.6509999999999996E-2</v>
      </c>
      <c r="E16" s="450">
        <f t="shared" si="52"/>
        <v>3.1170000000000003E-2</v>
      </c>
      <c r="F16" s="450">
        <f t="shared" si="52"/>
        <v>2.9000000000000001E-2</v>
      </c>
      <c r="G16" s="450">
        <f t="shared" si="52"/>
        <v>2.7949999999999999E-2</v>
      </c>
      <c r="H16" s="450">
        <f t="shared" si="52"/>
        <v>2.7989999999999998E-2</v>
      </c>
      <c r="I16" s="450">
        <f t="shared" si="52"/>
        <v>2.8199999999999999E-2</v>
      </c>
      <c r="J16" s="450">
        <f t="shared" si="52"/>
        <v>2.8199999999999999E-2</v>
      </c>
      <c r="K16" s="450">
        <f t="shared" si="52"/>
        <v>2.8199999999999999E-2</v>
      </c>
      <c r="L16" s="450">
        <f t="shared" si="52"/>
        <v>2.6420000000000003E-2</v>
      </c>
      <c r="M16" s="450">
        <f t="shared" si="52"/>
        <v>2.818E-2</v>
      </c>
      <c r="N16" s="450">
        <f t="shared" si="52"/>
        <v>2.913E-2</v>
      </c>
      <c r="O16" s="450">
        <f t="shared" si="52"/>
        <v>2.7948783505154635E-2</v>
      </c>
      <c r="P16" s="450">
        <f t="shared" si="52"/>
        <v>2.9150020618556698E-2</v>
      </c>
      <c r="Q16" s="450">
        <f t="shared" si="52"/>
        <v>2.8609463917525772E-2</v>
      </c>
      <c r="R16" s="450">
        <f t="shared" si="52"/>
        <v>2.8068907216494843E-2</v>
      </c>
      <c r="S16" s="450">
        <f t="shared" si="52"/>
        <v>2.9270144329896903E-2</v>
      </c>
      <c r="T16" s="450">
        <f t="shared" si="52"/>
        <v>2.9270144329896903E-2</v>
      </c>
      <c r="U16" s="450">
        <f t="shared" si="52"/>
        <v>2.9270144329896903E-2</v>
      </c>
      <c r="V16" s="450">
        <f t="shared" si="52"/>
        <v>2.9270144329896903E-2</v>
      </c>
      <c r="W16" s="450">
        <f t="shared" si="52"/>
        <v>2.9270144329896903E-2</v>
      </c>
      <c r="X16" s="450">
        <f t="shared" si="52"/>
        <v>2.9270144329896903E-2</v>
      </c>
      <c r="Y16" s="450">
        <f t="shared" si="52"/>
        <v>2.9270144329896903E-2</v>
      </c>
      <c r="Z16" s="450">
        <f t="shared" si="52"/>
        <v>2.9270144329896903E-2</v>
      </c>
      <c r="AA16" s="450">
        <f t="shared" si="52"/>
        <v>2.9270144329896903E-2</v>
      </c>
      <c r="AB16" s="450">
        <f t="shared" si="52"/>
        <v>2.9270144329896903E-2</v>
      </c>
      <c r="AC16" s="450">
        <f t="shared" si="52"/>
        <v>2.9270144329896903E-2</v>
      </c>
      <c r="AD16" s="450">
        <f t="shared" si="52"/>
        <v>2.9270144329896903E-2</v>
      </c>
      <c r="AE16" s="450">
        <f t="shared" si="52"/>
        <v>2.9270144329896903E-2</v>
      </c>
      <c r="AF16" s="450">
        <f t="shared" si="52"/>
        <v>2.9270144329896903E-2</v>
      </c>
      <c r="AG16" s="450">
        <f t="shared" si="52"/>
        <v>2.9270144329896903E-2</v>
      </c>
      <c r="AH16" s="331"/>
      <c r="AI16" s="331"/>
      <c r="AJ16" s="331"/>
      <c r="AK16" s="331"/>
      <c r="AL16" s="331"/>
      <c r="AM16" s="331"/>
      <c r="AN16" s="331"/>
      <c r="AO16" s="331"/>
      <c r="AP16" s="331"/>
      <c r="AQ16" s="331"/>
      <c r="AR16" s="331"/>
      <c r="AS16" s="331"/>
      <c r="AT16" s="331"/>
      <c r="AU16" s="331"/>
      <c r="AV16" s="331"/>
      <c r="AW16" s="331"/>
      <c r="AX16" s="331"/>
      <c r="AY16" s="331"/>
      <c r="AZ16" s="331"/>
      <c r="BC16" s="450">
        <f t="shared" ref="BC16:BM16" si="53">IF(SUMIF($BC$77:$BN$77,BC$5,$BC$81:$BN$81)=0,BB16,SUMIF($BC$77:$BN$77,BC$5,$BC$81:$BN$81))</f>
        <v>0</v>
      </c>
      <c r="BD16" s="450">
        <f t="shared" si="53"/>
        <v>0</v>
      </c>
      <c r="BE16" s="450">
        <f t="shared" si="53"/>
        <v>0</v>
      </c>
      <c r="BF16" s="450">
        <f t="shared" si="53"/>
        <v>0</v>
      </c>
      <c r="BG16" s="450">
        <f t="shared" si="53"/>
        <v>0</v>
      </c>
      <c r="BH16" s="450">
        <f t="shared" si="53"/>
        <v>0</v>
      </c>
      <c r="BI16" s="450">
        <f t="shared" si="53"/>
        <v>0</v>
      </c>
      <c r="BJ16" s="450">
        <f t="shared" si="53"/>
        <v>0</v>
      </c>
      <c r="BK16" s="450">
        <f t="shared" si="53"/>
        <v>0</v>
      </c>
      <c r="BL16" s="450">
        <f t="shared" si="53"/>
        <v>0</v>
      </c>
      <c r="BM16" s="450">
        <f t="shared" si="53"/>
        <v>0</v>
      </c>
    </row>
    <row r="17" spans="1:65">
      <c r="A17" s="330" t="s">
        <v>550</v>
      </c>
      <c r="B17" s="330"/>
      <c r="C17" s="330"/>
      <c r="D17" s="331">
        <f>+D16+0.01</f>
        <v>5.6509999999999998E-2</v>
      </c>
      <c r="E17" s="331">
        <f t="shared" ref="E17:N17" si="54">+E16+0.01</f>
        <v>4.1170000000000005E-2</v>
      </c>
      <c r="F17" s="331">
        <f t="shared" si="54"/>
        <v>3.9E-2</v>
      </c>
      <c r="G17" s="331">
        <f t="shared" si="54"/>
        <v>3.7949999999999998E-2</v>
      </c>
      <c r="H17" s="331">
        <f t="shared" si="54"/>
        <v>3.7989999999999996E-2</v>
      </c>
      <c r="I17" s="331">
        <f t="shared" si="54"/>
        <v>3.8199999999999998E-2</v>
      </c>
      <c r="J17" s="331">
        <f t="shared" si="54"/>
        <v>3.8199999999999998E-2</v>
      </c>
      <c r="K17" s="331">
        <f t="shared" si="54"/>
        <v>3.8199999999999998E-2</v>
      </c>
      <c r="L17" s="331">
        <f t="shared" si="54"/>
        <v>3.6420000000000001E-2</v>
      </c>
      <c r="M17" s="331">
        <f t="shared" si="54"/>
        <v>3.8179999999999999E-2</v>
      </c>
      <c r="N17" s="331">
        <f t="shared" si="54"/>
        <v>3.9129999999999998E-2</v>
      </c>
      <c r="O17" s="331">
        <f t="shared" ref="O17:AG17" si="55">+O16+0.01</f>
        <v>3.7948783505154633E-2</v>
      </c>
      <c r="P17" s="331">
        <f t="shared" si="55"/>
        <v>3.91500206185567E-2</v>
      </c>
      <c r="Q17" s="331">
        <f t="shared" si="55"/>
        <v>3.8609463917525774E-2</v>
      </c>
      <c r="R17" s="331">
        <f t="shared" si="55"/>
        <v>3.8068907216494842E-2</v>
      </c>
      <c r="S17" s="331">
        <f t="shared" si="55"/>
        <v>3.9270144329896901E-2</v>
      </c>
      <c r="T17" s="331">
        <f t="shared" si="55"/>
        <v>3.9270144329896901E-2</v>
      </c>
      <c r="U17" s="331">
        <f t="shared" si="55"/>
        <v>3.9270144329896901E-2</v>
      </c>
      <c r="V17" s="331">
        <f t="shared" si="55"/>
        <v>3.9270144329896901E-2</v>
      </c>
      <c r="W17" s="331">
        <f t="shared" si="55"/>
        <v>3.9270144329896901E-2</v>
      </c>
      <c r="X17" s="331">
        <f t="shared" si="55"/>
        <v>3.9270144329896901E-2</v>
      </c>
      <c r="Y17" s="331">
        <f t="shared" si="55"/>
        <v>3.9270144329896901E-2</v>
      </c>
      <c r="Z17" s="331">
        <f t="shared" si="55"/>
        <v>3.9270144329896901E-2</v>
      </c>
      <c r="AA17" s="331">
        <f t="shared" si="55"/>
        <v>3.9270144329896901E-2</v>
      </c>
      <c r="AB17" s="331">
        <f t="shared" si="55"/>
        <v>3.9270144329896901E-2</v>
      </c>
      <c r="AC17" s="331">
        <f t="shared" si="55"/>
        <v>3.9270144329896901E-2</v>
      </c>
      <c r="AD17" s="331">
        <f t="shared" si="55"/>
        <v>3.9270144329896901E-2</v>
      </c>
      <c r="AE17" s="331">
        <f t="shared" si="55"/>
        <v>3.9270144329896901E-2</v>
      </c>
      <c r="AF17" s="331">
        <f t="shared" si="55"/>
        <v>3.9270144329896901E-2</v>
      </c>
      <c r="AG17" s="331">
        <f t="shared" si="55"/>
        <v>3.9270144329896901E-2</v>
      </c>
      <c r="AH17" s="331"/>
      <c r="AI17" s="331"/>
      <c r="AJ17" s="331"/>
      <c r="AK17" s="331"/>
      <c r="AL17" s="331"/>
      <c r="AM17" s="331"/>
      <c r="AN17" s="331"/>
      <c r="AO17" s="331"/>
      <c r="AP17" s="331"/>
      <c r="AQ17" s="331"/>
      <c r="AR17" s="331"/>
      <c r="AS17" s="331"/>
      <c r="AT17" s="331"/>
      <c r="AU17" s="331"/>
      <c r="AV17" s="331"/>
      <c r="AW17" s="331"/>
      <c r="AX17" s="331"/>
      <c r="AY17" s="331"/>
      <c r="AZ17" s="331"/>
      <c r="BC17" s="331">
        <f>+BC16+0.01</f>
        <v>0.01</v>
      </c>
      <c r="BD17" s="331">
        <f t="shared" ref="BD17:BM17" si="56">+BD16+0.01</f>
        <v>0.01</v>
      </c>
      <c r="BE17" s="331">
        <f t="shared" si="56"/>
        <v>0.01</v>
      </c>
      <c r="BF17" s="331">
        <f t="shared" si="56"/>
        <v>0.01</v>
      </c>
      <c r="BG17" s="331">
        <f t="shared" si="56"/>
        <v>0.01</v>
      </c>
      <c r="BH17" s="331">
        <f t="shared" si="56"/>
        <v>0.01</v>
      </c>
      <c r="BI17" s="331">
        <f t="shared" si="56"/>
        <v>0.01</v>
      </c>
      <c r="BJ17" s="331">
        <f t="shared" si="56"/>
        <v>0.01</v>
      </c>
      <c r="BK17" s="331">
        <f t="shared" si="56"/>
        <v>0.01</v>
      </c>
      <c r="BL17" s="331">
        <f t="shared" si="56"/>
        <v>0.01</v>
      </c>
      <c r="BM17" s="331">
        <f t="shared" si="56"/>
        <v>0.01</v>
      </c>
    </row>
    <row r="18" spans="1:65">
      <c r="A18" s="330" t="s">
        <v>551</v>
      </c>
      <c r="B18" s="330"/>
      <c r="C18" s="330"/>
      <c r="D18" s="450">
        <f t="shared" ref="D18:AG18" si="57">SUMIF($D$77:$AG$77,D$5,$D$82:$AG$82)</f>
        <v>5.3E-3</v>
      </c>
      <c r="E18" s="450">
        <f t="shared" si="57"/>
        <v>3.1E-4</v>
      </c>
      <c r="F18" s="450">
        <f t="shared" si="57"/>
        <v>3.1E-4</v>
      </c>
      <c r="G18" s="450">
        <f t="shared" si="57"/>
        <v>3.1E-4</v>
      </c>
      <c r="H18" s="450">
        <f t="shared" si="57"/>
        <v>3.1E-4</v>
      </c>
      <c r="I18" s="450">
        <f t="shared" si="57"/>
        <v>3.1E-4</v>
      </c>
      <c r="J18" s="450">
        <f t="shared" si="57"/>
        <v>3.1E-4</v>
      </c>
      <c r="K18" s="450">
        <f t="shared" si="57"/>
        <v>0</v>
      </c>
      <c r="L18" s="450">
        <f t="shared" si="57"/>
        <v>8.8000000000000003E-4</v>
      </c>
      <c r="M18" s="450">
        <f t="shared" si="57"/>
        <v>6.6E-4</v>
      </c>
      <c r="N18" s="450">
        <f t="shared" si="57"/>
        <v>-1E-4</v>
      </c>
      <c r="O18" s="450">
        <f t="shared" si="57"/>
        <v>0</v>
      </c>
      <c r="P18" s="450">
        <f t="shared" si="57"/>
        <v>0</v>
      </c>
      <c r="Q18" s="450">
        <f t="shared" si="57"/>
        <v>0</v>
      </c>
      <c r="R18" s="450">
        <f t="shared" si="57"/>
        <v>0</v>
      </c>
      <c r="S18" s="450">
        <f t="shared" si="57"/>
        <v>0</v>
      </c>
      <c r="T18" s="450">
        <f t="shared" si="57"/>
        <v>0</v>
      </c>
      <c r="U18" s="450">
        <f t="shared" si="57"/>
        <v>0</v>
      </c>
      <c r="V18" s="450">
        <f t="shared" si="57"/>
        <v>0</v>
      </c>
      <c r="W18" s="450">
        <f t="shared" si="57"/>
        <v>0</v>
      </c>
      <c r="X18" s="450">
        <f t="shared" si="57"/>
        <v>0</v>
      </c>
      <c r="Y18" s="450">
        <f t="shared" si="57"/>
        <v>0</v>
      </c>
      <c r="Z18" s="450">
        <f t="shared" si="57"/>
        <v>0</v>
      </c>
      <c r="AA18" s="450">
        <f t="shared" si="57"/>
        <v>0</v>
      </c>
      <c r="AB18" s="450">
        <f t="shared" si="57"/>
        <v>0</v>
      </c>
      <c r="AC18" s="450">
        <f t="shared" si="57"/>
        <v>0</v>
      </c>
      <c r="AD18" s="450">
        <f t="shared" si="57"/>
        <v>0</v>
      </c>
      <c r="AE18" s="450">
        <f t="shared" si="57"/>
        <v>0</v>
      </c>
      <c r="AF18" s="450">
        <f t="shared" si="57"/>
        <v>0</v>
      </c>
      <c r="AG18" s="450">
        <f t="shared" si="57"/>
        <v>0</v>
      </c>
      <c r="AH18" s="331"/>
      <c r="AI18" s="331"/>
      <c r="AJ18" s="331"/>
      <c r="AK18" s="331"/>
      <c r="AL18" s="331"/>
      <c r="AM18" s="331"/>
      <c r="AN18" s="331"/>
      <c r="AO18" s="331"/>
      <c r="AP18" s="331"/>
      <c r="AQ18" s="331"/>
      <c r="AR18" s="331"/>
      <c r="AS18" s="331"/>
      <c r="AT18" s="331"/>
      <c r="AU18" s="331"/>
      <c r="AV18" s="331"/>
      <c r="AW18" s="331"/>
      <c r="AX18" s="331"/>
      <c r="AY18" s="331"/>
      <c r="AZ18" s="331"/>
      <c r="BC18" s="450">
        <f t="shared" ref="BC18:BM18" si="58">SUMIF($BC$77:$BN$77,BC$5,$BC$82:$BN$82)</f>
        <v>0</v>
      </c>
      <c r="BD18" s="450">
        <f t="shared" si="58"/>
        <v>0</v>
      </c>
      <c r="BE18" s="450">
        <f t="shared" si="58"/>
        <v>0</v>
      </c>
      <c r="BF18" s="450">
        <f t="shared" si="58"/>
        <v>0</v>
      </c>
      <c r="BG18" s="450">
        <f t="shared" si="58"/>
        <v>0</v>
      </c>
      <c r="BH18" s="450">
        <f t="shared" si="58"/>
        <v>0</v>
      </c>
      <c r="BI18" s="450">
        <f t="shared" si="58"/>
        <v>0</v>
      </c>
      <c r="BJ18" s="450">
        <f t="shared" si="58"/>
        <v>0</v>
      </c>
      <c r="BK18" s="450">
        <f t="shared" si="58"/>
        <v>0</v>
      </c>
      <c r="BL18" s="450">
        <f t="shared" si="58"/>
        <v>0</v>
      </c>
      <c r="BM18" s="450">
        <f t="shared" si="58"/>
        <v>0</v>
      </c>
    </row>
    <row r="19" spans="1:65">
      <c r="A19" s="330" t="s">
        <v>552</v>
      </c>
      <c r="B19" s="330"/>
      <c r="C19" s="330"/>
      <c r="D19" s="450">
        <f t="shared" ref="D19:AG19" si="59">IF(SUMIF($D$77:$AL$77,D$5,$D$83:$AL$83)=0,C19,SUMIF($D$77:$AL$77,D$5,$D$83:$AL$83))</f>
        <v>1.3799999999999999E-3</v>
      </c>
      <c r="E19" s="450">
        <f t="shared" si="59"/>
        <v>1.41E-3</v>
      </c>
      <c r="F19" s="450">
        <f t="shared" si="59"/>
        <v>1.41E-3</v>
      </c>
      <c r="G19" s="450">
        <f t="shared" si="59"/>
        <v>1.41E-3</v>
      </c>
      <c r="H19" s="450">
        <f t="shared" si="59"/>
        <v>1.41E-3</v>
      </c>
      <c r="I19" s="450">
        <f t="shared" si="59"/>
        <v>1.41E-3</v>
      </c>
      <c r="J19" s="450">
        <f t="shared" si="59"/>
        <v>1.41E-3</v>
      </c>
      <c r="K19" s="450">
        <f t="shared" si="59"/>
        <v>1.41E-3</v>
      </c>
      <c r="L19" s="450">
        <f t="shared" si="59"/>
        <v>3.8899999999999998E-3</v>
      </c>
      <c r="M19" s="450">
        <f t="shared" si="59"/>
        <v>3.4299999999999999E-3</v>
      </c>
      <c r="N19" s="450">
        <f t="shared" si="59"/>
        <v>2.2200000000000002E-3</v>
      </c>
      <c r="O19" s="450">
        <f t="shared" si="59"/>
        <v>2.7765315164460218E-3</v>
      </c>
      <c r="P19" s="450">
        <f t="shared" si="59"/>
        <v>2.7148833680285546E-3</v>
      </c>
      <c r="Q19" s="450">
        <f t="shared" si="59"/>
        <v>2.5477959566451648E-3</v>
      </c>
      <c r="R19" s="450">
        <f t="shared" si="59"/>
        <v>2.5071754792030483E-3</v>
      </c>
      <c r="S19" s="450">
        <f t="shared" si="59"/>
        <v>2.4232287946178007E-3</v>
      </c>
      <c r="T19" s="450">
        <f t="shared" si="59"/>
        <v>2.4232287946178007E-3</v>
      </c>
      <c r="U19" s="450">
        <f t="shared" si="59"/>
        <v>2.4232287946178007E-3</v>
      </c>
      <c r="V19" s="450">
        <f t="shared" si="59"/>
        <v>2.4232287946178007E-3</v>
      </c>
      <c r="W19" s="450">
        <f t="shared" si="59"/>
        <v>2.4232287946178007E-3</v>
      </c>
      <c r="X19" s="450">
        <f t="shared" si="59"/>
        <v>2.4232287946178007E-3</v>
      </c>
      <c r="Y19" s="450">
        <f t="shared" si="59"/>
        <v>2.4232287946178007E-3</v>
      </c>
      <c r="Z19" s="450">
        <f t="shared" si="59"/>
        <v>2.4232287946178007E-3</v>
      </c>
      <c r="AA19" s="450">
        <f t="shared" si="59"/>
        <v>2.4232287946178007E-3</v>
      </c>
      <c r="AB19" s="450">
        <f t="shared" si="59"/>
        <v>2.4232287946178007E-3</v>
      </c>
      <c r="AC19" s="450">
        <f t="shared" si="59"/>
        <v>2.4232287946178007E-3</v>
      </c>
      <c r="AD19" s="450">
        <f t="shared" si="59"/>
        <v>2.4232287946178007E-3</v>
      </c>
      <c r="AE19" s="450">
        <f t="shared" si="59"/>
        <v>2.4232287946178007E-3</v>
      </c>
      <c r="AF19" s="450">
        <f t="shared" si="59"/>
        <v>2.4232287946178007E-3</v>
      </c>
      <c r="AG19" s="450">
        <f t="shared" si="59"/>
        <v>2.4232287946178007E-3</v>
      </c>
      <c r="AH19" s="331"/>
      <c r="AI19" s="331"/>
      <c r="AJ19" s="331"/>
      <c r="AK19" s="331"/>
      <c r="AL19" s="331"/>
      <c r="AM19" s="331"/>
      <c r="AN19" s="331"/>
      <c r="AO19" s="331"/>
      <c r="AP19" s="331"/>
      <c r="AQ19" s="331"/>
      <c r="AR19" s="331"/>
      <c r="AS19" s="331"/>
      <c r="AT19" s="331"/>
      <c r="AU19" s="331"/>
      <c r="AV19" s="331"/>
      <c r="AW19" s="331"/>
      <c r="AX19" s="331"/>
      <c r="AY19" s="331"/>
      <c r="AZ19" s="331"/>
      <c r="BC19" s="450">
        <f t="shared" ref="BC19:BM19" si="60">IF(SUMIF($BC$77:$BN$77,BC$5,$BC$83:$BN$83)=0,BB19,SUMIF($BC$77:$BN$77,BC$5,$BC$83:$BN$83))</f>
        <v>0</v>
      </c>
      <c r="BD19" s="450">
        <f t="shared" si="60"/>
        <v>0</v>
      </c>
      <c r="BE19" s="450">
        <f t="shared" si="60"/>
        <v>0</v>
      </c>
      <c r="BF19" s="450">
        <f t="shared" si="60"/>
        <v>0</v>
      </c>
      <c r="BG19" s="450">
        <f t="shared" si="60"/>
        <v>0</v>
      </c>
      <c r="BH19" s="450">
        <f t="shared" si="60"/>
        <v>0</v>
      </c>
      <c r="BI19" s="450">
        <f t="shared" si="60"/>
        <v>0</v>
      </c>
      <c r="BJ19" s="450">
        <f t="shared" si="60"/>
        <v>0</v>
      </c>
      <c r="BK19" s="450">
        <f t="shared" si="60"/>
        <v>0</v>
      </c>
      <c r="BL19" s="450">
        <f t="shared" si="60"/>
        <v>0</v>
      </c>
      <c r="BM19" s="450">
        <f t="shared" si="60"/>
        <v>0</v>
      </c>
    </row>
    <row r="20" spans="1:65">
      <c r="A20" s="330" t="s">
        <v>553</v>
      </c>
      <c r="B20" s="330"/>
      <c r="C20" s="330"/>
      <c r="D20" s="450">
        <f t="shared" ref="D20:AG20" si="61">IF(SUMIF($D$77:$AL$77,D$5,$D$84:$AL$84)=0,C20,SUMIF($D$77:$AL$77,D$5,$D$84:$AL$84))</f>
        <v>2.3599999999999997E-3</v>
      </c>
      <c r="E20" s="450">
        <f t="shared" si="61"/>
        <v>3.5099999999999997E-3</v>
      </c>
      <c r="F20" s="450">
        <f t="shared" si="61"/>
        <v>3.46E-3</v>
      </c>
      <c r="G20" s="450">
        <f t="shared" si="61"/>
        <v>3.2599999999999999E-3</v>
      </c>
      <c r="H20" s="450">
        <f t="shared" si="61"/>
        <v>3.3799999999999998E-3</v>
      </c>
      <c r="I20" s="450">
        <f t="shared" si="61"/>
        <v>3.47E-3</v>
      </c>
      <c r="J20" s="450">
        <f t="shared" si="61"/>
        <v>3.47E-3</v>
      </c>
      <c r="K20" s="450">
        <f t="shared" si="61"/>
        <v>3.47E-3</v>
      </c>
      <c r="L20" s="450">
        <f t="shared" si="61"/>
        <v>2.2499999999999998E-3</v>
      </c>
      <c r="M20" s="450">
        <f t="shared" si="61"/>
        <v>2.4599999999999999E-3</v>
      </c>
      <c r="N20" s="450">
        <f t="shared" si="61"/>
        <v>3.2100000000000002E-3</v>
      </c>
      <c r="O20" s="450">
        <f t="shared" si="61"/>
        <v>2.3960954915030253E-3</v>
      </c>
      <c r="P20" s="450">
        <f t="shared" si="61"/>
        <v>2.3964476368096514E-3</v>
      </c>
      <c r="Q20" s="450">
        <f t="shared" si="61"/>
        <v>2.1631119541899312E-3</v>
      </c>
      <c r="R20" s="450">
        <f t="shared" si="61"/>
        <v>2.1643502749883648E-3</v>
      </c>
      <c r="S20" s="450">
        <f t="shared" si="61"/>
        <v>1.7528042498411167E-3</v>
      </c>
      <c r="T20" s="450">
        <f t="shared" si="61"/>
        <v>1.7528042498411167E-3</v>
      </c>
      <c r="U20" s="450">
        <f t="shared" si="61"/>
        <v>1.7528042498411167E-3</v>
      </c>
      <c r="V20" s="450">
        <f t="shared" si="61"/>
        <v>1.7528042498411167E-3</v>
      </c>
      <c r="W20" s="450">
        <f t="shared" si="61"/>
        <v>1.7528042498411167E-3</v>
      </c>
      <c r="X20" s="450">
        <f t="shared" si="61"/>
        <v>1.7528042498411167E-3</v>
      </c>
      <c r="Y20" s="450">
        <f t="shared" si="61"/>
        <v>1.7528042498411167E-3</v>
      </c>
      <c r="Z20" s="450">
        <f t="shared" si="61"/>
        <v>1.7528042498411167E-3</v>
      </c>
      <c r="AA20" s="450">
        <f t="shared" si="61"/>
        <v>1.7528042498411167E-3</v>
      </c>
      <c r="AB20" s="450">
        <f t="shared" si="61"/>
        <v>1.7528042498411167E-3</v>
      </c>
      <c r="AC20" s="450">
        <f t="shared" si="61"/>
        <v>1.7528042498411167E-3</v>
      </c>
      <c r="AD20" s="450">
        <f t="shared" si="61"/>
        <v>1.7528042498411167E-3</v>
      </c>
      <c r="AE20" s="450">
        <f t="shared" si="61"/>
        <v>1.7528042498411167E-3</v>
      </c>
      <c r="AF20" s="450">
        <f t="shared" si="61"/>
        <v>1.7528042498411167E-3</v>
      </c>
      <c r="AG20" s="450">
        <f t="shared" si="61"/>
        <v>1.7528042498411167E-3</v>
      </c>
      <c r="AH20" s="331"/>
      <c r="AI20" s="331"/>
      <c r="AJ20" s="331"/>
      <c r="AK20" s="331"/>
      <c r="AL20" s="331"/>
      <c r="AM20" s="331"/>
      <c r="AN20" s="331"/>
      <c r="AO20" s="331"/>
      <c r="AP20" s="331"/>
      <c r="AQ20" s="331"/>
      <c r="AR20" s="331"/>
      <c r="AS20" s="331"/>
      <c r="AT20" s="331"/>
      <c r="AU20" s="331"/>
      <c r="AV20" s="331"/>
      <c r="AW20" s="331"/>
      <c r="AX20" s="331"/>
      <c r="AY20" s="331"/>
      <c r="AZ20" s="331"/>
      <c r="BC20" s="450">
        <f t="shared" ref="BC20:BM20" si="62">IF(SUMIF($BC$77:$BN$77,BC$5,$BC$84:$BN$84)=0,BB20,SUMIF($BC$77:$BN$77,BC$5,$BC$84:$BN$84))</f>
        <v>0</v>
      </c>
      <c r="BD20" s="450">
        <f t="shared" si="62"/>
        <v>0</v>
      </c>
      <c r="BE20" s="450">
        <f t="shared" si="62"/>
        <v>0</v>
      </c>
      <c r="BF20" s="450">
        <f t="shared" si="62"/>
        <v>0</v>
      </c>
      <c r="BG20" s="450">
        <f t="shared" si="62"/>
        <v>0</v>
      </c>
      <c r="BH20" s="450">
        <f t="shared" si="62"/>
        <v>0</v>
      </c>
      <c r="BI20" s="450">
        <f t="shared" si="62"/>
        <v>0</v>
      </c>
      <c r="BJ20" s="450">
        <f t="shared" si="62"/>
        <v>0</v>
      </c>
      <c r="BK20" s="450">
        <f t="shared" si="62"/>
        <v>0</v>
      </c>
      <c r="BL20" s="450">
        <f t="shared" si="62"/>
        <v>0</v>
      </c>
      <c r="BM20" s="450">
        <f t="shared" si="62"/>
        <v>0</v>
      </c>
    </row>
    <row r="21" spans="1:65">
      <c r="A21" s="334" t="s">
        <v>554</v>
      </c>
      <c r="B21" s="334"/>
      <c r="C21" s="334"/>
      <c r="D21" s="450">
        <f t="shared" ref="D21:AG21" si="63">IF(SUMIF($D$77:$AL$77,D$5,$D$85:$AL$85)=0,C21,SUMIF($D$77:$AL$77,D$5,$D$85:$AL$85))</f>
        <v>3.29E-3</v>
      </c>
      <c r="E21" s="450">
        <f t="shared" si="63"/>
        <v>3.8900000000000002E-3</v>
      </c>
      <c r="F21" s="450">
        <f t="shared" si="63"/>
        <v>4.4900000000000001E-3</v>
      </c>
      <c r="G21" s="450">
        <f t="shared" si="63"/>
        <v>5.0899999999999999E-3</v>
      </c>
      <c r="H21" s="450">
        <f t="shared" si="63"/>
        <v>5.6900000000000006E-3</v>
      </c>
      <c r="I21" s="450">
        <f t="shared" si="63"/>
        <v>6.2900000000000005E-3</v>
      </c>
      <c r="J21" s="450">
        <f t="shared" si="63"/>
        <v>6.2900000000000005E-3</v>
      </c>
      <c r="K21" s="450">
        <f t="shared" si="63"/>
        <v>6.2900000000000005E-3</v>
      </c>
      <c r="L21" s="450">
        <f t="shared" si="63"/>
        <v>6.2900000000000005E-3</v>
      </c>
      <c r="M21" s="450">
        <f t="shared" si="63"/>
        <v>6.2900000000000005E-3</v>
      </c>
      <c r="N21" s="450">
        <f t="shared" si="63"/>
        <v>6.2900000000000005E-3</v>
      </c>
      <c r="O21" s="450">
        <f t="shared" si="63"/>
        <v>6.2900000000000005E-3</v>
      </c>
      <c r="P21" s="450">
        <f t="shared" si="63"/>
        <v>6.2900000000000005E-3</v>
      </c>
      <c r="Q21" s="450">
        <f t="shared" si="63"/>
        <v>6.2900000000000005E-3</v>
      </c>
      <c r="R21" s="450">
        <f t="shared" si="63"/>
        <v>6.2900000000000005E-3</v>
      </c>
      <c r="S21" s="450">
        <f t="shared" si="63"/>
        <v>6.2900000000000005E-3</v>
      </c>
      <c r="T21" s="450">
        <f t="shared" si="63"/>
        <v>6.2900000000000005E-3</v>
      </c>
      <c r="U21" s="450">
        <f t="shared" si="63"/>
        <v>6.2900000000000005E-3</v>
      </c>
      <c r="V21" s="450">
        <f t="shared" si="63"/>
        <v>6.2900000000000005E-3</v>
      </c>
      <c r="W21" s="450">
        <f t="shared" si="63"/>
        <v>6.2900000000000005E-3</v>
      </c>
      <c r="X21" s="450">
        <f t="shared" si="63"/>
        <v>6.2900000000000005E-3</v>
      </c>
      <c r="Y21" s="450">
        <f t="shared" si="63"/>
        <v>6.2900000000000005E-3</v>
      </c>
      <c r="Z21" s="450">
        <f t="shared" si="63"/>
        <v>6.2900000000000005E-3</v>
      </c>
      <c r="AA21" s="450">
        <f t="shared" si="63"/>
        <v>6.2900000000000005E-3</v>
      </c>
      <c r="AB21" s="450">
        <f t="shared" si="63"/>
        <v>6.2900000000000005E-3</v>
      </c>
      <c r="AC21" s="450">
        <f t="shared" si="63"/>
        <v>6.2900000000000005E-3</v>
      </c>
      <c r="AD21" s="450">
        <f t="shared" si="63"/>
        <v>6.2900000000000005E-3</v>
      </c>
      <c r="AE21" s="450">
        <f t="shared" si="63"/>
        <v>6.2900000000000005E-3</v>
      </c>
      <c r="AF21" s="450">
        <f t="shared" si="63"/>
        <v>6.2900000000000005E-3</v>
      </c>
      <c r="AG21" s="450">
        <f t="shared" si="63"/>
        <v>6.2900000000000005E-3</v>
      </c>
    </row>
    <row r="22" spans="1:65">
      <c r="A22" s="334" t="s">
        <v>555</v>
      </c>
      <c r="B22" s="334"/>
      <c r="C22" s="334"/>
      <c r="D22" s="450">
        <f t="shared" ref="D22:AG22" si="64">IF(SUMIF($D$77:$AL$77,D$5,$D$86:$AL$86)=0,C22,SUMIF($D$77:$AL$77,D$5,$D$86:$AL$86))</f>
        <v>4.4099999999999999E-3</v>
      </c>
      <c r="E22" s="450">
        <f t="shared" si="64"/>
        <v>4.4099999999999999E-3</v>
      </c>
      <c r="F22" s="450">
        <f t="shared" si="64"/>
        <v>4.4099999999999999E-3</v>
      </c>
      <c r="G22" s="450">
        <f t="shared" si="64"/>
        <v>4.4099999999999999E-3</v>
      </c>
      <c r="H22" s="450">
        <f t="shared" si="64"/>
        <v>4.4099999999999999E-3</v>
      </c>
      <c r="I22" s="450">
        <f t="shared" si="64"/>
        <v>4.4099999999999999E-3</v>
      </c>
      <c r="J22" s="450">
        <f t="shared" si="64"/>
        <v>4.4099999999999999E-3</v>
      </c>
      <c r="K22" s="450">
        <f t="shared" si="64"/>
        <v>4.4099999999999999E-3</v>
      </c>
      <c r="L22" s="450">
        <f t="shared" si="64"/>
        <v>4.4099999999999999E-3</v>
      </c>
      <c r="M22" s="450">
        <f t="shared" si="64"/>
        <v>4.4099999999999999E-3</v>
      </c>
      <c r="N22" s="450">
        <f t="shared" si="64"/>
        <v>4.4099999999999999E-3</v>
      </c>
      <c r="O22" s="450">
        <f t="shared" si="64"/>
        <v>4.4099999999999999E-3</v>
      </c>
      <c r="P22" s="450">
        <f t="shared" si="64"/>
        <v>4.4099999999999999E-3</v>
      </c>
      <c r="Q22" s="450">
        <f t="shared" si="64"/>
        <v>4.4099999999999999E-3</v>
      </c>
      <c r="R22" s="450">
        <f t="shared" si="64"/>
        <v>4.4099999999999999E-3</v>
      </c>
      <c r="S22" s="450">
        <f t="shared" si="64"/>
        <v>4.4099999999999999E-3</v>
      </c>
      <c r="T22" s="450">
        <f t="shared" si="64"/>
        <v>4.4099999999999999E-3</v>
      </c>
      <c r="U22" s="450">
        <f t="shared" si="64"/>
        <v>4.4099999999999999E-3</v>
      </c>
      <c r="V22" s="450">
        <f t="shared" si="64"/>
        <v>4.4099999999999999E-3</v>
      </c>
      <c r="W22" s="450">
        <f t="shared" si="64"/>
        <v>4.4099999999999999E-3</v>
      </c>
      <c r="X22" s="450">
        <f t="shared" si="64"/>
        <v>4.4099999999999999E-3</v>
      </c>
      <c r="Y22" s="450">
        <f t="shared" si="64"/>
        <v>4.4099999999999999E-3</v>
      </c>
      <c r="Z22" s="450">
        <f t="shared" si="64"/>
        <v>4.4099999999999999E-3</v>
      </c>
      <c r="AA22" s="450">
        <f t="shared" si="64"/>
        <v>4.4099999999999999E-3</v>
      </c>
      <c r="AB22" s="450">
        <f t="shared" si="64"/>
        <v>4.4099999999999999E-3</v>
      </c>
      <c r="AC22" s="450">
        <f t="shared" si="64"/>
        <v>4.4099999999999999E-3</v>
      </c>
      <c r="AD22" s="450">
        <f t="shared" si="64"/>
        <v>4.4099999999999999E-3</v>
      </c>
      <c r="AE22" s="450">
        <f t="shared" si="64"/>
        <v>4.4099999999999999E-3</v>
      </c>
      <c r="AF22" s="450">
        <f t="shared" si="64"/>
        <v>4.4099999999999999E-3</v>
      </c>
      <c r="AG22" s="450">
        <f t="shared" si="64"/>
        <v>4.4099999999999999E-3</v>
      </c>
    </row>
    <row r="23" spans="1:65">
      <c r="A23" s="330" t="s">
        <v>556</v>
      </c>
      <c r="B23" s="330"/>
      <c r="C23" s="330"/>
      <c r="D23" s="450">
        <f t="shared" ref="D23:AG23" si="65">IF(SUMIF($D$77:$AL$77,D$5,$D$87:$AL$87)=0,C23,SUMIF($D$77:$AL$77,D$5,$D$87:$AL$87))</f>
        <v>2.5641000000000001E-2</v>
      </c>
      <c r="E23" s="450">
        <f t="shared" si="65"/>
        <v>2.564E-2</v>
      </c>
      <c r="F23" s="450">
        <f t="shared" si="65"/>
        <v>2.564E-2</v>
      </c>
      <c r="G23" s="450">
        <f t="shared" si="65"/>
        <v>2.564E-2</v>
      </c>
      <c r="H23" s="450">
        <f t="shared" si="65"/>
        <v>2.564E-2</v>
      </c>
      <c r="I23" s="450">
        <f t="shared" si="65"/>
        <v>2.564E-2</v>
      </c>
      <c r="J23" s="450">
        <f t="shared" si="65"/>
        <v>2.564E-2</v>
      </c>
      <c r="K23" s="450">
        <f t="shared" si="65"/>
        <v>2.564E-2</v>
      </c>
      <c r="L23" s="450">
        <f t="shared" si="65"/>
        <v>2.564E-2</v>
      </c>
      <c r="M23" s="450">
        <f t="shared" si="65"/>
        <v>2.564E-2</v>
      </c>
      <c r="N23" s="450">
        <f t="shared" si="65"/>
        <v>2.5641000000000001E-2</v>
      </c>
      <c r="O23" s="450">
        <f t="shared" si="65"/>
        <v>2.5641000000000001E-2</v>
      </c>
      <c r="P23" s="450">
        <f t="shared" si="65"/>
        <v>2.5641000000000001E-2</v>
      </c>
      <c r="Q23" s="450">
        <f t="shared" si="65"/>
        <v>2.5641000000000001E-2</v>
      </c>
      <c r="R23" s="450">
        <f t="shared" si="65"/>
        <v>2.5641000000000001E-2</v>
      </c>
      <c r="S23" s="450">
        <f t="shared" si="65"/>
        <v>2.5641000000000001E-2</v>
      </c>
      <c r="T23" s="450">
        <f t="shared" si="65"/>
        <v>2.5641000000000001E-2</v>
      </c>
      <c r="U23" s="450">
        <f t="shared" si="65"/>
        <v>2.5641000000000001E-2</v>
      </c>
      <c r="V23" s="450">
        <f t="shared" si="65"/>
        <v>2.5641000000000001E-2</v>
      </c>
      <c r="W23" s="450">
        <f t="shared" si="65"/>
        <v>2.5641000000000001E-2</v>
      </c>
      <c r="X23" s="450">
        <f t="shared" si="65"/>
        <v>2.5641000000000001E-2</v>
      </c>
      <c r="Y23" s="450">
        <f t="shared" si="65"/>
        <v>2.5641000000000001E-2</v>
      </c>
      <c r="Z23" s="450">
        <f t="shared" si="65"/>
        <v>2.5641000000000001E-2</v>
      </c>
      <c r="AA23" s="450">
        <f t="shared" si="65"/>
        <v>2.5641000000000001E-2</v>
      </c>
      <c r="AB23" s="450">
        <f t="shared" si="65"/>
        <v>2.5641000000000001E-2</v>
      </c>
      <c r="AC23" s="450">
        <f t="shared" si="65"/>
        <v>2.5641000000000001E-2</v>
      </c>
      <c r="AD23" s="450">
        <f t="shared" si="65"/>
        <v>2.5641000000000001E-2</v>
      </c>
      <c r="AE23" s="450">
        <f t="shared" si="65"/>
        <v>2.5641000000000001E-2</v>
      </c>
      <c r="AF23" s="450">
        <f t="shared" si="65"/>
        <v>2.5641000000000001E-2</v>
      </c>
      <c r="AG23" s="450">
        <f t="shared" si="65"/>
        <v>2.5641000000000001E-2</v>
      </c>
      <c r="AH23" s="331"/>
      <c r="AI23" s="331"/>
      <c r="AJ23" s="331"/>
      <c r="AK23" s="331"/>
      <c r="AL23" s="331"/>
      <c r="AM23" s="331"/>
      <c r="AN23" s="331"/>
      <c r="AO23" s="331"/>
      <c r="AP23" s="331"/>
      <c r="AQ23" s="331"/>
      <c r="AR23" s="331"/>
      <c r="AS23" s="331"/>
      <c r="AT23" s="331"/>
      <c r="AU23" s="331"/>
      <c r="AV23" s="331"/>
      <c r="AW23" s="331"/>
      <c r="AX23" s="331"/>
      <c r="AY23" s="331"/>
      <c r="AZ23" s="331"/>
      <c r="BC23" s="450">
        <f t="shared" ref="BC23:BM23" si="66">IF(SUMIF($BC$77:$BN$77,BC$5,$BC$87:$BN$87)=0,BB23,SUMIF($BC$77:$BN$77,BC$5,$BC$87:$BN$87))</f>
        <v>0</v>
      </c>
      <c r="BD23" s="450">
        <f t="shared" si="66"/>
        <v>0</v>
      </c>
      <c r="BE23" s="450">
        <f t="shared" si="66"/>
        <v>0</v>
      </c>
      <c r="BF23" s="450">
        <f t="shared" si="66"/>
        <v>0</v>
      </c>
      <c r="BG23" s="450">
        <f t="shared" si="66"/>
        <v>0</v>
      </c>
      <c r="BH23" s="450">
        <f t="shared" si="66"/>
        <v>0</v>
      </c>
      <c r="BI23" s="450">
        <f t="shared" si="66"/>
        <v>0</v>
      </c>
      <c r="BJ23" s="450">
        <f t="shared" si="66"/>
        <v>0</v>
      </c>
      <c r="BK23" s="450">
        <f t="shared" si="66"/>
        <v>0</v>
      </c>
      <c r="BL23" s="450">
        <f t="shared" si="66"/>
        <v>0</v>
      </c>
      <c r="BM23" s="450">
        <f t="shared" si="66"/>
        <v>0</v>
      </c>
    </row>
    <row r="24" spans="1:65">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C24" s="331"/>
      <c r="BD24" s="331"/>
      <c r="BE24" s="331"/>
      <c r="BF24" s="331"/>
      <c r="BG24" s="331"/>
      <c r="BH24" s="331"/>
      <c r="BI24" s="331"/>
      <c r="BJ24" s="331"/>
      <c r="BK24" s="331"/>
      <c r="BL24" s="331"/>
      <c r="BM24" s="331"/>
    </row>
    <row r="25" spans="1:65">
      <c r="A25" s="344" t="s">
        <v>557</v>
      </c>
    </row>
    <row r="26" spans="1:65">
      <c r="A26" s="334" t="s">
        <v>545</v>
      </c>
      <c r="B26" s="334"/>
      <c r="C26" s="334"/>
      <c r="D26" s="335">
        <f t="shared" ref="D26:N26" si="67">+D12</f>
        <v>21</v>
      </c>
      <c r="E26" s="335">
        <f t="shared" si="67"/>
        <v>22.9</v>
      </c>
      <c r="F26" s="335">
        <f t="shared" si="67"/>
        <v>23.36</v>
      </c>
      <c r="G26" s="335">
        <f t="shared" si="67"/>
        <v>23.36</v>
      </c>
      <c r="H26" s="335">
        <f t="shared" si="67"/>
        <v>23.36</v>
      </c>
      <c r="I26" s="335">
        <f t="shared" si="67"/>
        <v>23.36</v>
      </c>
      <c r="J26" s="335">
        <f t="shared" si="67"/>
        <v>23.36</v>
      </c>
      <c r="K26" s="335">
        <f t="shared" si="67"/>
        <v>23.36</v>
      </c>
      <c r="L26" s="335">
        <f t="shared" si="67"/>
        <v>16.62</v>
      </c>
      <c r="M26" s="335">
        <f t="shared" si="67"/>
        <v>16.62</v>
      </c>
      <c r="N26" s="335">
        <f t="shared" si="67"/>
        <v>15.12</v>
      </c>
      <c r="O26" s="335">
        <f t="shared" ref="O26:AG26" si="68">+O12</f>
        <v>15.12</v>
      </c>
      <c r="P26" s="335">
        <f t="shared" si="68"/>
        <v>15.12</v>
      </c>
      <c r="Q26" s="335">
        <f t="shared" si="68"/>
        <v>15.12</v>
      </c>
      <c r="R26" s="335">
        <f t="shared" si="68"/>
        <v>15.12</v>
      </c>
      <c r="S26" s="335">
        <f t="shared" si="68"/>
        <v>15.12</v>
      </c>
      <c r="T26" s="335">
        <f t="shared" si="68"/>
        <v>15.12</v>
      </c>
      <c r="U26" s="335">
        <f t="shared" si="68"/>
        <v>15.12</v>
      </c>
      <c r="V26" s="335">
        <f t="shared" si="68"/>
        <v>15.12</v>
      </c>
      <c r="W26" s="335">
        <f t="shared" si="68"/>
        <v>15.12</v>
      </c>
      <c r="X26" s="335">
        <f t="shared" si="68"/>
        <v>15.12</v>
      </c>
      <c r="Y26" s="335">
        <f t="shared" si="68"/>
        <v>15.12</v>
      </c>
      <c r="Z26" s="335">
        <f t="shared" si="68"/>
        <v>15.12</v>
      </c>
      <c r="AA26" s="335">
        <f t="shared" si="68"/>
        <v>15.12</v>
      </c>
      <c r="AB26" s="335">
        <f t="shared" si="68"/>
        <v>15.12</v>
      </c>
      <c r="AC26" s="335">
        <f t="shared" si="68"/>
        <v>15.12</v>
      </c>
      <c r="AD26" s="335">
        <f t="shared" si="68"/>
        <v>15.12</v>
      </c>
      <c r="AE26" s="335">
        <f t="shared" si="68"/>
        <v>15.12</v>
      </c>
      <c r="AF26" s="335">
        <f t="shared" si="68"/>
        <v>15.12</v>
      </c>
      <c r="AG26" s="335">
        <f t="shared" si="68"/>
        <v>15.12</v>
      </c>
      <c r="AH26" s="335"/>
      <c r="AI26" s="335"/>
      <c r="AJ26" s="335"/>
      <c r="AK26" s="335"/>
      <c r="AL26" s="335"/>
      <c r="AM26" s="335"/>
      <c r="AN26" s="335"/>
      <c r="AO26" s="335"/>
      <c r="AP26" s="335"/>
      <c r="AQ26" s="335"/>
      <c r="AR26" s="335"/>
      <c r="AS26" s="335"/>
      <c r="AT26" s="335"/>
      <c r="AU26" s="335"/>
      <c r="AV26" s="335"/>
      <c r="AW26" s="335"/>
      <c r="AX26" s="335"/>
      <c r="AY26" s="335"/>
      <c r="AZ26" s="335"/>
      <c r="BC26" s="335">
        <f t="shared" ref="BC26:BM26" si="69">+BC12</f>
        <v>0</v>
      </c>
      <c r="BD26" s="335">
        <f t="shared" si="69"/>
        <v>0</v>
      </c>
      <c r="BE26" s="335">
        <f t="shared" si="69"/>
        <v>0</v>
      </c>
      <c r="BF26" s="335">
        <f t="shared" si="69"/>
        <v>0</v>
      </c>
      <c r="BG26" s="335">
        <f t="shared" si="69"/>
        <v>0</v>
      </c>
      <c r="BH26" s="335">
        <f t="shared" si="69"/>
        <v>0</v>
      </c>
      <c r="BI26" s="335">
        <f t="shared" si="69"/>
        <v>0</v>
      </c>
      <c r="BJ26" s="335">
        <f t="shared" si="69"/>
        <v>0</v>
      </c>
      <c r="BK26" s="335">
        <f t="shared" si="69"/>
        <v>0</v>
      </c>
      <c r="BL26" s="335">
        <f t="shared" si="69"/>
        <v>0</v>
      </c>
      <c r="BM26" s="335">
        <f t="shared" si="69"/>
        <v>0</v>
      </c>
    </row>
    <row r="27" spans="1:65" ht="17.399999999999999">
      <c r="A27" s="334" t="s">
        <v>558</v>
      </c>
      <c r="B27" s="334"/>
      <c r="C27" s="334"/>
      <c r="D27" s="336">
        <f>ROUND(+D13*D7,2)</f>
        <v>57.69</v>
      </c>
      <c r="E27" s="336">
        <f t="shared" ref="E27:N27" si="70">ROUND(+E13*E7,2)</f>
        <v>62.92</v>
      </c>
      <c r="F27" s="336">
        <f t="shared" si="70"/>
        <v>64.16</v>
      </c>
      <c r="G27" s="336">
        <f t="shared" si="70"/>
        <v>64.16</v>
      </c>
      <c r="H27" s="336">
        <f t="shared" si="70"/>
        <v>64.16</v>
      </c>
      <c r="I27" s="336">
        <f t="shared" si="70"/>
        <v>64.16</v>
      </c>
      <c r="J27" s="336">
        <f t="shared" si="70"/>
        <v>64.16</v>
      </c>
      <c r="K27" s="336">
        <f t="shared" si="70"/>
        <v>64.16</v>
      </c>
      <c r="L27" s="336">
        <f t="shared" si="70"/>
        <v>52</v>
      </c>
      <c r="M27" s="336">
        <f t="shared" si="70"/>
        <v>52</v>
      </c>
      <c r="N27" s="336">
        <f t="shared" si="70"/>
        <v>47.15</v>
      </c>
      <c r="O27" s="336">
        <f t="shared" ref="O27:AG27" si="71">ROUND(+O13*O7,2)</f>
        <v>47.15</v>
      </c>
      <c r="P27" s="336">
        <f t="shared" si="71"/>
        <v>47.15</v>
      </c>
      <c r="Q27" s="336">
        <f t="shared" si="71"/>
        <v>62.31</v>
      </c>
      <c r="R27" s="336">
        <f t="shared" si="71"/>
        <v>67.790000000000006</v>
      </c>
      <c r="S27" s="336">
        <f t="shared" si="71"/>
        <v>67.790000000000006</v>
      </c>
      <c r="T27" s="336">
        <f t="shared" si="71"/>
        <v>67.790000000000006</v>
      </c>
      <c r="U27" s="336">
        <f t="shared" si="71"/>
        <v>67.790000000000006</v>
      </c>
      <c r="V27" s="336">
        <f t="shared" si="71"/>
        <v>67.790000000000006</v>
      </c>
      <c r="W27" s="336">
        <f t="shared" si="71"/>
        <v>67.790000000000006</v>
      </c>
      <c r="X27" s="336">
        <f t="shared" si="71"/>
        <v>67.790000000000006</v>
      </c>
      <c r="Y27" s="336">
        <f t="shared" si="71"/>
        <v>67.790000000000006</v>
      </c>
      <c r="Z27" s="336">
        <f t="shared" si="71"/>
        <v>67.790000000000006</v>
      </c>
      <c r="AA27" s="336">
        <f t="shared" si="71"/>
        <v>67.790000000000006</v>
      </c>
      <c r="AB27" s="336">
        <f t="shared" si="71"/>
        <v>67.790000000000006</v>
      </c>
      <c r="AC27" s="336">
        <f t="shared" si="71"/>
        <v>67.790000000000006</v>
      </c>
      <c r="AD27" s="336">
        <f t="shared" si="71"/>
        <v>67.790000000000006</v>
      </c>
      <c r="AE27" s="336">
        <f t="shared" si="71"/>
        <v>67.790000000000006</v>
      </c>
      <c r="AF27" s="336">
        <f t="shared" si="71"/>
        <v>67.790000000000006</v>
      </c>
      <c r="AG27" s="336">
        <f t="shared" si="71"/>
        <v>67.790000000000006</v>
      </c>
      <c r="AH27" s="336"/>
      <c r="AI27" s="336"/>
      <c r="AJ27" s="336"/>
      <c r="AK27" s="336"/>
      <c r="AL27" s="336"/>
      <c r="AM27" s="336"/>
      <c r="AN27" s="336"/>
      <c r="AO27" s="336"/>
      <c r="AP27" s="336"/>
      <c r="AQ27" s="336"/>
      <c r="AR27" s="336"/>
      <c r="AS27" s="336"/>
      <c r="AT27" s="336"/>
      <c r="AU27" s="336"/>
      <c r="AV27" s="336"/>
      <c r="AW27" s="336"/>
      <c r="AX27" s="336"/>
      <c r="AY27" s="336"/>
      <c r="AZ27" s="336"/>
      <c r="BC27" s="336">
        <f t="shared" ref="BC27:BM27" si="72">ROUND(+BC13*BC7,2)</f>
        <v>0</v>
      </c>
      <c r="BD27" s="336">
        <f t="shared" si="72"/>
        <v>0</v>
      </c>
      <c r="BE27" s="336">
        <f t="shared" si="72"/>
        <v>0</v>
      </c>
      <c r="BF27" s="336">
        <f t="shared" si="72"/>
        <v>0</v>
      </c>
      <c r="BG27" s="336">
        <f t="shared" si="72"/>
        <v>0</v>
      </c>
      <c r="BH27" s="336">
        <f t="shared" si="72"/>
        <v>0</v>
      </c>
      <c r="BI27" s="336">
        <f t="shared" si="72"/>
        <v>0</v>
      </c>
      <c r="BJ27" s="336">
        <f t="shared" si="72"/>
        <v>0</v>
      </c>
      <c r="BK27" s="336">
        <f t="shared" si="72"/>
        <v>0</v>
      </c>
      <c r="BL27" s="336">
        <f t="shared" si="72"/>
        <v>0</v>
      </c>
      <c r="BM27" s="336">
        <f t="shared" si="72"/>
        <v>0</v>
      </c>
    </row>
    <row r="28" spans="1:65">
      <c r="A28" s="330" t="s">
        <v>548</v>
      </c>
      <c r="B28" s="330"/>
      <c r="C28" s="330"/>
      <c r="D28" s="336">
        <f t="shared" ref="D28:N28" si="73">ROUND(+D15*D7,2)</f>
        <v>0</v>
      </c>
      <c r="E28" s="336">
        <f t="shared" si="73"/>
        <v>0</v>
      </c>
      <c r="F28" s="336">
        <f t="shared" si="73"/>
        <v>0</v>
      </c>
      <c r="G28" s="336">
        <f t="shared" si="73"/>
        <v>0</v>
      </c>
      <c r="H28" s="336">
        <f t="shared" si="73"/>
        <v>0</v>
      </c>
      <c r="I28" s="336">
        <f t="shared" si="73"/>
        <v>0</v>
      </c>
      <c r="J28" s="336">
        <f t="shared" si="73"/>
        <v>0</v>
      </c>
      <c r="K28" s="336">
        <f t="shared" si="73"/>
        <v>0</v>
      </c>
      <c r="L28" s="336">
        <f t="shared" si="73"/>
        <v>0</v>
      </c>
      <c r="M28" s="336">
        <f t="shared" si="73"/>
        <v>1.81</v>
      </c>
      <c r="N28" s="336">
        <f t="shared" si="73"/>
        <v>4.26</v>
      </c>
      <c r="O28" s="336">
        <f t="shared" ref="O28:AG28" si="74">ROUND(+O15*O7,2)</f>
        <v>5.66</v>
      </c>
      <c r="P28" s="336">
        <f t="shared" si="74"/>
        <v>6.16</v>
      </c>
      <c r="Q28" s="336">
        <f t="shared" si="74"/>
        <v>6.16</v>
      </c>
      <c r="R28" s="336">
        <f t="shared" si="74"/>
        <v>6.16</v>
      </c>
      <c r="S28" s="336">
        <f t="shared" si="74"/>
        <v>6.16</v>
      </c>
      <c r="T28" s="336">
        <f t="shared" si="74"/>
        <v>6.16</v>
      </c>
      <c r="U28" s="336">
        <f t="shared" si="74"/>
        <v>6.16</v>
      </c>
      <c r="V28" s="336">
        <f t="shared" si="74"/>
        <v>6.16</v>
      </c>
      <c r="W28" s="336">
        <f t="shared" si="74"/>
        <v>6.16</v>
      </c>
      <c r="X28" s="336">
        <f t="shared" si="74"/>
        <v>6.16</v>
      </c>
      <c r="Y28" s="336">
        <f t="shared" si="74"/>
        <v>6.16</v>
      </c>
      <c r="Z28" s="336">
        <f t="shared" si="74"/>
        <v>6.16</v>
      </c>
      <c r="AA28" s="336">
        <f t="shared" si="74"/>
        <v>6.16</v>
      </c>
      <c r="AB28" s="336">
        <f t="shared" si="74"/>
        <v>6.16</v>
      </c>
      <c r="AC28" s="336">
        <f t="shared" si="74"/>
        <v>6.16</v>
      </c>
      <c r="AD28" s="336">
        <f t="shared" si="74"/>
        <v>6.16</v>
      </c>
      <c r="AE28" s="336">
        <f t="shared" si="74"/>
        <v>6.16</v>
      </c>
      <c r="AF28" s="336">
        <f t="shared" si="74"/>
        <v>6.16</v>
      </c>
      <c r="AG28" s="336">
        <f t="shared" si="74"/>
        <v>6.16</v>
      </c>
      <c r="AH28" s="336"/>
      <c r="AI28" s="336"/>
      <c r="AJ28" s="336"/>
      <c r="AK28" s="336"/>
      <c r="AL28" s="336"/>
      <c r="AM28" s="336"/>
      <c r="AN28" s="336"/>
      <c r="AO28" s="336"/>
      <c r="AP28" s="336"/>
      <c r="AQ28" s="336"/>
      <c r="AR28" s="336"/>
      <c r="AS28" s="336"/>
      <c r="AT28" s="336"/>
      <c r="AU28" s="336"/>
      <c r="AV28" s="336"/>
      <c r="AW28" s="336"/>
      <c r="AX28" s="336"/>
      <c r="AY28" s="336"/>
      <c r="AZ28" s="336"/>
      <c r="BC28" s="336">
        <f t="shared" ref="BC28:BM28" si="75">ROUND(+BC15*BC7,2)</f>
        <v>0</v>
      </c>
      <c r="BD28" s="336">
        <f t="shared" si="75"/>
        <v>0</v>
      </c>
      <c r="BE28" s="336">
        <f t="shared" si="75"/>
        <v>0</v>
      </c>
      <c r="BF28" s="336">
        <f t="shared" si="75"/>
        <v>0</v>
      </c>
      <c r="BG28" s="336">
        <f t="shared" si="75"/>
        <v>0</v>
      </c>
      <c r="BH28" s="336">
        <f t="shared" si="75"/>
        <v>0</v>
      </c>
      <c r="BI28" s="336">
        <f t="shared" si="75"/>
        <v>0</v>
      </c>
      <c r="BJ28" s="336">
        <f t="shared" si="75"/>
        <v>0</v>
      </c>
      <c r="BK28" s="336">
        <f t="shared" si="75"/>
        <v>0</v>
      </c>
      <c r="BL28" s="336">
        <f t="shared" si="75"/>
        <v>0</v>
      </c>
      <c r="BM28" s="336">
        <f t="shared" si="75"/>
        <v>0</v>
      </c>
    </row>
    <row r="29" spans="1:65" ht="17.399999999999999">
      <c r="A29" s="337" t="s">
        <v>559</v>
      </c>
      <c r="B29" s="337"/>
      <c r="C29" s="337"/>
      <c r="D29" s="336">
        <f t="shared" ref="D29:N29" si="76">ROUND(+D16*D7,2)</f>
        <v>46.51</v>
      </c>
      <c r="E29" s="336">
        <f>ROUND(+E16*E7,2)</f>
        <v>31.17</v>
      </c>
      <c r="F29" s="336">
        <f t="shared" si="76"/>
        <v>29</v>
      </c>
      <c r="G29" s="336">
        <f t="shared" si="76"/>
        <v>27.95</v>
      </c>
      <c r="H29" s="336">
        <f t="shared" si="76"/>
        <v>27.99</v>
      </c>
      <c r="I29" s="336">
        <f t="shared" si="76"/>
        <v>28.2</v>
      </c>
      <c r="J29" s="336">
        <f t="shared" si="76"/>
        <v>28.2</v>
      </c>
      <c r="K29" s="336">
        <f t="shared" si="76"/>
        <v>28.2</v>
      </c>
      <c r="L29" s="336">
        <f t="shared" si="76"/>
        <v>26.42</v>
      </c>
      <c r="M29" s="336">
        <f t="shared" si="76"/>
        <v>28.18</v>
      </c>
      <c r="N29" s="336">
        <f t="shared" si="76"/>
        <v>29.13</v>
      </c>
      <c r="O29" s="336">
        <f t="shared" ref="O29:AG29" si="77">ROUND(+O16*O7,2)</f>
        <v>27.95</v>
      </c>
      <c r="P29" s="336">
        <f t="shared" si="77"/>
        <v>29.15</v>
      </c>
      <c r="Q29" s="336">
        <f t="shared" si="77"/>
        <v>28.61</v>
      </c>
      <c r="R29" s="336">
        <f t="shared" si="77"/>
        <v>28.07</v>
      </c>
      <c r="S29" s="336">
        <f t="shared" si="77"/>
        <v>29.27</v>
      </c>
      <c r="T29" s="336">
        <f t="shared" si="77"/>
        <v>29.27</v>
      </c>
      <c r="U29" s="336">
        <f t="shared" si="77"/>
        <v>29.27</v>
      </c>
      <c r="V29" s="336">
        <f t="shared" si="77"/>
        <v>29.27</v>
      </c>
      <c r="W29" s="336">
        <f t="shared" si="77"/>
        <v>29.27</v>
      </c>
      <c r="X29" s="336">
        <f t="shared" si="77"/>
        <v>29.27</v>
      </c>
      <c r="Y29" s="336">
        <f t="shared" si="77"/>
        <v>29.27</v>
      </c>
      <c r="Z29" s="336">
        <f t="shared" si="77"/>
        <v>29.27</v>
      </c>
      <c r="AA29" s="336">
        <f t="shared" si="77"/>
        <v>29.27</v>
      </c>
      <c r="AB29" s="336">
        <f t="shared" si="77"/>
        <v>29.27</v>
      </c>
      <c r="AC29" s="336">
        <f t="shared" si="77"/>
        <v>29.27</v>
      </c>
      <c r="AD29" s="336">
        <f t="shared" si="77"/>
        <v>29.27</v>
      </c>
      <c r="AE29" s="336">
        <f t="shared" si="77"/>
        <v>29.27</v>
      </c>
      <c r="AF29" s="336">
        <f t="shared" si="77"/>
        <v>29.27</v>
      </c>
      <c r="AG29" s="336">
        <f t="shared" si="77"/>
        <v>29.27</v>
      </c>
      <c r="AH29" s="336"/>
      <c r="AI29" s="336"/>
      <c r="AJ29" s="336"/>
      <c r="AK29" s="336"/>
      <c r="AL29" s="336"/>
      <c r="AM29" s="336"/>
      <c r="AN29" s="336"/>
      <c r="AO29" s="336"/>
      <c r="AP29" s="336"/>
      <c r="AQ29" s="336"/>
      <c r="AR29" s="336"/>
      <c r="AS29" s="336"/>
      <c r="AT29" s="336"/>
      <c r="AU29" s="336"/>
      <c r="AV29" s="336"/>
      <c r="AW29" s="336"/>
      <c r="AX29" s="336"/>
      <c r="AY29" s="336"/>
      <c r="AZ29" s="336"/>
      <c r="BC29" s="336">
        <f t="shared" ref="BC29:BM29" si="78">ROUND(+BC16*BC7,2)</f>
        <v>0</v>
      </c>
      <c r="BD29" s="336">
        <f t="shared" si="78"/>
        <v>0</v>
      </c>
      <c r="BE29" s="336">
        <f t="shared" si="78"/>
        <v>0</v>
      </c>
      <c r="BF29" s="336">
        <f t="shared" si="78"/>
        <v>0</v>
      </c>
      <c r="BG29" s="336">
        <f t="shared" si="78"/>
        <v>0</v>
      </c>
      <c r="BH29" s="336">
        <f t="shared" si="78"/>
        <v>0</v>
      </c>
      <c r="BI29" s="336">
        <f t="shared" si="78"/>
        <v>0</v>
      </c>
      <c r="BJ29" s="336">
        <f t="shared" si="78"/>
        <v>0</v>
      </c>
      <c r="BK29" s="336">
        <f t="shared" si="78"/>
        <v>0</v>
      </c>
      <c r="BL29" s="336">
        <f t="shared" si="78"/>
        <v>0</v>
      </c>
      <c r="BM29" s="336">
        <f t="shared" si="78"/>
        <v>0</v>
      </c>
    </row>
    <row r="30" spans="1:65">
      <c r="A30" s="334" t="s">
        <v>560</v>
      </c>
      <c r="B30" s="334"/>
      <c r="C30" s="334"/>
      <c r="D30" s="336">
        <f t="shared" ref="D30:N30" si="79">ROUND(+D18*D7,2)</f>
        <v>5.3</v>
      </c>
      <c r="E30" s="336">
        <f t="shared" si="79"/>
        <v>0.31</v>
      </c>
      <c r="F30" s="336">
        <f t="shared" si="79"/>
        <v>0.31</v>
      </c>
      <c r="G30" s="336">
        <f t="shared" si="79"/>
        <v>0.31</v>
      </c>
      <c r="H30" s="336">
        <f t="shared" si="79"/>
        <v>0.31</v>
      </c>
      <c r="I30" s="336">
        <f t="shared" si="79"/>
        <v>0.31</v>
      </c>
      <c r="J30" s="336">
        <f t="shared" si="79"/>
        <v>0.31</v>
      </c>
      <c r="K30" s="336">
        <f t="shared" si="79"/>
        <v>0</v>
      </c>
      <c r="L30" s="336">
        <f t="shared" si="79"/>
        <v>0.88</v>
      </c>
      <c r="M30" s="336">
        <f t="shared" si="79"/>
        <v>0.66</v>
      </c>
      <c r="N30" s="336">
        <f t="shared" si="79"/>
        <v>-0.1</v>
      </c>
      <c r="O30" s="336">
        <f t="shared" ref="O30:AG30" si="80">ROUND(+O18*O7,2)</f>
        <v>0</v>
      </c>
      <c r="P30" s="336">
        <f t="shared" si="80"/>
        <v>0</v>
      </c>
      <c r="Q30" s="336">
        <f t="shared" si="80"/>
        <v>0</v>
      </c>
      <c r="R30" s="336">
        <f t="shared" si="80"/>
        <v>0</v>
      </c>
      <c r="S30" s="336">
        <f t="shared" si="80"/>
        <v>0</v>
      </c>
      <c r="T30" s="336">
        <f t="shared" si="80"/>
        <v>0</v>
      </c>
      <c r="U30" s="336">
        <f t="shared" si="80"/>
        <v>0</v>
      </c>
      <c r="V30" s="336">
        <f t="shared" si="80"/>
        <v>0</v>
      </c>
      <c r="W30" s="336">
        <f t="shared" si="80"/>
        <v>0</v>
      </c>
      <c r="X30" s="336">
        <f t="shared" si="80"/>
        <v>0</v>
      </c>
      <c r="Y30" s="336">
        <f t="shared" si="80"/>
        <v>0</v>
      </c>
      <c r="Z30" s="336">
        <f t="shared" si="80"/>
        <v>0</v>
      </c>
      <c r="AA30" s="336">
        <f t="shared" si="80"/>
        <v>0</v>
      </c>
      <c r="AB30" s="336">
        <f t="shared" si="80"/>
        <v>0</v>
      </c>
      <c r="AC30" s="336">
        <f t="shared" si="80"/>
        <v>0</v>
      </c>
      <c r="AD30" s="336">
        <f t="shared" si="80"/>
        <v>0</v>
      </c>
      <c r="AE30" s="336">
        <f t="shared" si="80"/>
        <v>0</v>
      </c>
      <c r="AF30" s="336">
        <f t="shared" si="80"/>
        <v>0</v>
      </c>
      <c r="AG30" s="336">
        <f t="shared" si="80"/>
        <v>0</v>
      </c>
      <c r="AH30" s="336"/>
      <c r="AI30" s="336"/>
      <c r="AJ30" s="336"/>
      <c r="AK30" s="336"/>
      <c r="AL30" s="336"/>
      <c r="AM30" s="336"/>
      <c r="AN30" s="336"/>
      <c r="AO30" s="336"/>
      <c r="AP30" s="336"/>
      <c r="AQ30" s="336"/>
      <c r="AR30" s="336"/>
      <c r="AS30" s="336"/>
      <c r="AT30" s="336"/>
      <c r="AU30" s="336"/>
      <c r="AV30" s="336"/>
      <c r="AW30" s="336"/>
      <c r="AX30" s="336"/>
      <c r="AY30" s="336"/>
      <c r="AZ30" s="336"/>
      <c r="BC30" s="336">
        <f t="shared" ref="BC30:BM30" si="81">ROUND(+BC18*BC7,2)</f>
        <v>0</v>
      </c>
      <c r="BD30" s="336">
        <f t="shared" si="81"/>
        <v>0</v>
      </c>
      <c r="BE30" s="336">
        <f t="shared" si="81"/>
        <v>0</v>
      </c>
      <c r="BF30" s="336">
        <f t="shared" si="81"/>
        <v>0</v>
      </c>
      <c r="BG30" s="336">
        <f t="shared" si="81"/>
        <v>0</v>
      </c>
      <c r="BH30" s="336">
        <f t="shared" si="81"/>
        <v>0</v>
      </c>
      <c r="BI30" s="336">
        <f t="shared" si="81"/>
        <v>0</v>
      </c>
      <c r="BJ30" s="336">
        <f t="shared" si="81"/>
        <v>0</v>
      </c>
      <c r="BK30" s="336">
        <f t="shared" si="81"/>
        <v>0</v>
      </c>
      <c r="BL30" s="336">
        <f t="shared" si="81"/>
        <v>0</v>
      </c>
      <c r="BM30" s="336">
        <f t="shared" si="81"/>
        <v>0</v>
      </c>
    </row>
    <row r="31" spans="1:65">
      <c r="A31" s="337" t="s">
        <v>552</v>
      </c>
      <c r="B31" s="337"/>
      <c r="C31" s="337"/>
      <c r="D31" s="336">
        <f t="shared" ref="D31:N31" si="82">ROUND(+D19*D7,2)</f>
        <v>1.38</v>
      </c>
      <c r="E31" s="336">
        <f t="shared" si="82"/>
        <v>1.41</v>
      </c>
      <c r="F31" s="336">
        <f t="shared" si="82"/>
        <v>1.41</v>
      </c>
      <c r="G31" s="336">
        <f t="shared" si="82"/>
        <v>1.41</v>
      </c>
      <c r="H31" s="336">
        <f t="shared" si="82"/>
        <v>1.41</v>
      </c>
      <c r="I31" s="336">
        <f t="shared" si="82"/>
        <v>1.41</v>
      </c>
      <c r="J31" s="336">
        <f t="shared" si="82"/>
        <v>1.41</v>
      </c>
      <c r="K31" s="336">
        <f t="shared" si="82"/>
        <v>1.41</v>
      </c>
      <c r="L31" s="336">
        <f t="shared" si="82"/>
        <v>3.89</v>
      </c>
      <c r="M31" s="336">
        <f t="shared" si="82"/>
        <v>3.43</v>
      </c>
      <c r="N31" s="336">
        <f t="shared" si="82"/>
        <v>2.2200000000000002</v>
      </c>
      <c r="O31" s="336">
        <f t="shared" ref="O31:AG31" si="83">ROUND(+O19*O7,2)</f>
        <v>2.78</v>
      </c>
      <c r="P31" s="336">
        <f t="shared" si="83"/>
        <v>2.71</v>
      </c>
      <c r="Q31" s="336">
        <f t="shared" si="83"/>
        <v>2.5499999999999998</v>
      </c>
      <c r="R31" s="336">
        <f t="shared" si="83"/>
        <v>2.5099999999999998</v>
      </c>
      <c r="S31" s="336">
        <f t="shared" si="83"/>
        <v>2.42</v>
      </c>
      <c r="T31" s="336">
        <f t="shared" si="83"/>
        <v>2.42</v>
      </c>
      <c r="U31" s="336">
        <f t="shared" si="83"/>
        <v>2.42</v>
      </c>
      <c r="V31" s="336">
        <f t="shared" si="83"/>
        <v>2.42</v>
      </c>
      <c r="W31" s="336">
        <f t="shared" si="83"/>
        <v>2.42</v>
      </c>
      <c r="X31" s="336">
        <f t="shared" si="83"/>
        <v>2.42</v>
      </c>
      <c r="Y31" s="336">
        <f t="shared" si="83"/>
        <v>2.42</v>
      </c>
      <c r="Z31" s="336">
        <f t="shared" si="83"/>
        <v>2.42</v>
      </c>
      <c r="AA31" s="336">
        <f t="shared" si="83"/>
        <v>2.42</v>
      </c>
      <c r="AB31" s="336">
        <f t="shared" si="83"/>
        <v>2.42</v>
      </c>
      <c r="AC31" s="336">
        <f t="shared" si="83"/>
        <v>2.42</v>
      </c>
      <c r="AD31" s="336">
        <f t="shared" si="83"/>
        <v>2.42</v>
      </c>
      <c r="AE31" s="336">
        <f t="shared" si="83"/>
        <v>2.42</v>
      </c>
      <c r="AF31" s="336">
        <f t="shared" si="83"/>
        <v>2.42</v>
      </c>
      <c r="AG31" s="336">
        <f t="shared" si="83"/>
        <v>2.42</v>
      </c>
      <c r="AH31" s="336"/>
      <c r="AI31" s="336"/>
      <c r="AJ31" s="336"/>
      <c r="AK31" s="336"/>
      <c r="AL31" s="336"/>
      <c r="AM31" s="336"/>
      <c r="AN31" s="336"/>
      <c r="AO31" s="336"/>
      <c r="AP31" s="336"/>
      <c r="AQ31" s="336"/>
      <c r="AR31" s="336"/>
      <c r="AS31" s="336"/>
      <c r="AT31" s="336"/>
      <c r="AU31" s="336"/>
      <c r="AV31" s="336"/>
      <c r="AW31" s="336"/>
      <c r="AX31" s="336"/>
      <c r="AY31" s="336"/>
      <c r="AZ31" s="336"/>
      <c r="BC31" s="336">
        <f t="shared" ref="BC31:BM31" si="84">ROUND(+BC19*BC7,2)</f>
        <v>0</v>
      </c>
      <c r="BD31" s="336">
        <f t="shared" si="84"/>
        <v>0</v>
      </c>
      <c r="BE31" s="336">
        <f t="shared" si="84"/>
        <v>0</v>
      </c>
      <c r="BF31" s="336">
        <f t="shared" si="84"/>
        <v>0</v>
      </c>
      <c r="BG31" s="336">
        <f t="shared" si="84"/>
        <v>0</v>
      </c>
      <c r="BH31" s="336">
        <f t="shared" si="84"/>
        <v>0</v>
      </c>
      <c r="BI31" s="336">
        <f t="shared" si="84"/>
        <v>0</v>
      </c>
      <c r="BJ31" s="336">
        <f t="shared" si="84"/>
        <v>0</v>
      </c>
      <c r="BK31" s="336">
        <f t="shared" si="84"/>
        <v>0</v>
      </c>
      <c r="BL31" s="336">
        <f t="shared" si="84"/>
        <v>0</v>
      </c>
      <c r="BM31" s="336">
        <f t="shared" si="84"/>
        <v>0</v>
      </c>
    </row>
    <row r="32" spans="1:65">
      <c r="A32" s="334" t="s">
        <v>553</v>
      </c>
      <c r="B32" s="334"/>
      <c r="C32" s="334"/>
      <c r="D32" s="336">
        <f t="shared" ref="D32:K32" si="85">ROUND(+D20*D7,2)</f>
        <v>2.36</v>
      </c>
      <c r="E32" s="336">
        <f t="shared" si="85"/>
        <v>3.51</v>
      </c>
      <c r="F32" s="336">
        <f t="shared" si="85"/>
        <v>3.46</v>
      </c>
      <c r="G32" s="336">
        <f t="shared" si="85"/>
        <v>3.26</v>
      </c>
      <c r="H32" s="336">
        <f t="shared" si="85"/>
        <v>3.38</v>
      </c>
      <c r="I32" s="336">
        <f t="shared" si="85"/>
        <v>3.47</v>
      </c>
      <c r="J32" s="336">
        <f t="shared" si="85"/>
        <v>3.47</v>
      </c>
      <c r="K32" s="336">
        <f t="shared" si="85"/>
        <v>3.47</v>
      </c>
      <c r="L32" s="336">
        <f t="shared" ref="L32:AG32" si="86">ROUND(+L20*L7,2)</f>
        <v>2.25</v>
      </c>
      <c r="M32" s="336">
        <f t="shared" si="86"/>
        <v>2.46</v>
      </c>
      <c r="N32" s="336">
        <f t="shared" si="86"/>
        <v>3.21</v>
      </c>
      <c r="O32" s="336">
        <f t="shared" si="86"/>
        <v>2.4</v>
      </c>
      <c r="P32" s="336">
        <f t="shared" si="86"/>
        <v>2.4</v>
      </c>
      <c r="Q32" s="336">
        <f t="shared" si="86"/>
        <v>2.16</v>
      </c>
      <c r="R32" s="336">
        <f t="shared" si="86"/>
        <v>2.16</v>
      </c>
      <c r="S32" s="336">
        <f t="shared" si="86"/>
        <v>1.75</v>
      </c>
      <c r="T32" s="336">
        <f t="shared" si="86"/>
        <v>1.75</v>
      </c>
      <c r="U32" s="336">
        <f t="shared" si="86"/>
        <v>1.75</v>
      </c>
      <c r="V32" s="336">
        <f t="shared" si="86"/>
        <v>1.75</v>
      </c>
      <c r="W32" s="336">
        <f t="shared" si="86"/>
        <v>1.75</v>
      </c>
      <c r="X32" s="336">
        <f t="shared" si="86"/>
        <v>1.75</v>
      </c>
      <c r="Y32" s="336">
        <f t="shared" si="86"/>
        <v>1.75</v>
      </c>
      <c r="Z32" s="336">
        <f t="shared" si="86"/>
        <v>1.75</v>
      </c>
      <c r="AA32" s="336">
        <f t="shared" si="86"/>
        <v>1.75</v>
      </c>
      <c r="AB32" s="336">
        <f t="shared" si="86"/>
        <v>1.75</v>
      </c>
      <c r="AC32" s="336">
        <f t="shared" si="86"/>
        <v>1.75</v>
      </c>
      <c r="AD32" s="336">
        <f t="shared" si="86"/>
        <v>1.75</v>
      </c>
      <c r="AE32" s="336">
        <f t="shared" si="86"/>
        <v>1.75</v>
      </c>
      <c r="AF32" s="336">
        <f t="shared" si="86"/>
        <v>1.75</v>
      </c>
      <c r="AG32" s="336">
        <f t="shared" si="86"/>
        <v>1.75</v>
      </c>
      <c r="AH32" s="336"/>
      <c r="AI32" s="336"/>
      <c r="AJ32" s="336"/>
      <c r="AK32" s="336"/>
      <c r="AL32" s="336"/>
      <c r="AM32" s="336"/>
      <c r="AN32" s="336"/>
      <c r="AO32" s="336"/>
      <c r="AP32" s="336"/>
      <c r="AQ32" s="336"/>
      <c r="AR32" s="336"/>
      <c r="AS32" s="336"/>
      <c r="AT32" s="336"/>
      <c r="AU32" s="336"/>
      <c r="AV32" s="336"/>
      <c r="AW32" s="336"/>
      <c r="AX32" s="336"/>
      <c r="AY32" s="336"/>
      <c r="AZ32" s="336"/>
      <c r="BC32" s="336">
        <f t="shared" ref="BC32:BM32" si="87">ROUND(+BC20*BC7,2)</f>
        <v>0</v>
      </c>
      <c r="BD32" s="336">
        <f t="shared" si="87"/>
        <v>0</v>
      </c>
      <c r="BE32" s="336">
        <f t="shared" si="87"/>
        <v>0</v>
      </c>
      <c r="BF32" s="336">
        <f t="shared" si="87"/>
        <v>0</v>
      </c>
      <c r="BG32" s="336">
        <f t="shared" si="87"/>
        <v>0</v>
      </c>
      <c r="BH32" s="336">
        <f t="shared" si="87"/>
        <v>0</v>
      </c>
      <c r="BI32" s="336">
        <f t="shared" si="87"/>
        <v>0</v>
      </c>
      <c r="BJ32" s="336">
        <f t="shared" si="87"/>
        <v>0</v>
      </c>
      <c r="BK32" s="336">
        <f t="shared" si="87"/>
        <v>0</v>
      </c>
      <c r="BL32" s="336">
        <f t="shared" si="87"/>
        <v>0</v>
      </c>
      <c r="BM32" s="336">
        <f t="shared" si="87"/>
        <v>0</v>
      </c>
    </row>
    <row r="33" spans="1:65">
      <c r="A33" s="334" t="s">
        <v>554</v>
      </c>
      <c r="B33" s="334"/>
      <c r="C33" s="334"/>
      <c r="D33" s="336">
        <f t="shared" ref="D33:J33" si="88">ROUND(+D21*D7,2)</f>
        <v>3.29</v>
      </c>
      <c r="E33" s="336">
        <f t="shared" si="88"/>
        <v>3.89</v>
      </c>
      <c r="F33" s="336">
        <f t="shared" si="88"/>
        <v>4.49</v>
      </c>
      <c r="G33" s="336">
        <f t="shared" si="88"/>
        <v>5.09</v>
      </c>
      <c r="H33" s="336">
        <f t="shared" si="88"/>
        <v>5.69</v>
      </c>
      <c r="I33" s="336">
        <f t="shared" si="88"/>
        <v>6.29</v>
      </c>
      <c r="J33" s="336">
        <f t="shared" si="88"/>
        <v>6.29</v>
      </c>
      <c r="K33" s="336">
        <f>ROUND(+K21*K7,2)</f>
        <v>6.29</v>
      </c>
      <c r="L33" s="336">
        <f t="shared" ref="L33:AG33" si="89">ROUND(+L21*L7,2)</f>
        <v>6.29</v>
      </c>
      <c r="M33" s="336">
        <f t="shared" si="89"/>
        <v>6.29</v>
      </c>
      <c r="N33" s="336">
        <f t="shared" si="89"/>
        <v>6.29</v>
      </c>
      <c r="O33" s="336">
        <f t="shared" si="89"/>
        <v>6.29</v>
      </c>
      <c r="P33" s="336">
        <f t="shared" si="89"/>
        <v>6.29</v>
      </c>
      <c r="Q33" s="336">
        <f t="shared" si="89"/>
        <v>6.29</v>
      </c>
      <c r="R33" s="336">
        <f t="shared" si="89"/>
        <v>6.29</v>
      </c>
      <c r="S33" s="336">
        <f t="shared" si="89"/>
        <v>6.29</v>
      </c>
      <c r="T33" s="336">
        <f t="shared" si="89"/>
        <v>6.29</v>
      </c>
      <c r="U33" s="336">
        <f t="shared" si="89"/>
        <v>6.29</v>
      </c>
      <c r="V33" s="336">
        <f t="shared" si="89"/>
        <v>6.29</v>
      </c>
      <c r="W33" s="336">
        <f t="shared" si="89"/>
        <v>6.29</v>
      </c>
      <c r="X33" s="336">
        <f t="shared" si="89"/>
        <v>6.29</v>
      </c>
      <c r="Y33" s="336">
        <f t="shared" si="89"/>
        <v>6.29</v>
      </c>
      <c r="Z33" s="336">
        <f t="shared" si="89"/>
        <v>6.29</v>
      </c>
      <c r="AA33" s="336">
        <f t="shared" si="89"/>
        <v>6.29</v>
      </c>
      <c r="AB33" s="336">
        <f t="shared" si="89"/>
        <v>6.29</v>
      </c>
      <c r="AC33" s="336">
        <f t="shared" si="89"/>
        <v>6.29</v>
      </c>
      <c r="AD33" s="336">
        <f t="shared" si="89"/>
        <v>6.29</v>
      </c>
      <c r="AE33" s="336">
        <f t="shared" si="89"/>
        <v>6.29</v>
      </c>
      <c r="AF33" s="336">
        <f t="shared" si="89"/>
        <v>6.29</v>
      </c>
      <c r="AG33" s="336">
        <f t="shared" si="89"/>
        <v>6.29</v>
      </c>
      <c r="AH33" s="336"/>
      <c r="AI33" s="336"/>
      <c r="AJ33" s="336"/>
      <c r="AK33" s="336"/>
      <c r="AL33" s="336"/>
      <c r="AM33" s="336"/>
      <c r="AN33" s="336"/>
      <c r="AO33" s="336"/>
      <c r="AP33" s="336"/>
      <c r="AQ33" s="336"/>
      <c r="AR33" s="336"/>
      <c r="AS33" s="336"/>
      <c r="AT33" s="336"/>
      <c r="AU33" s="336"/>
      <c r="AV33" s="336"/>
      <c r="AW33" s="336"/>
      <c r="AX33" s="336"/>
      <c r="AY33" s="336"/>
      <c r="AZ33" s="336"/>
      <c r="BC33" s="336"/>
      <c r="BD33" s="336"/>
      <c r="BE33" s="336"/>
      <c r="BF33" s="336"/>
      <c r="BG33" s="336"/>
      <c r="BH33" s="336"/>
      <c r="BI33" s="336"/>
      <c r="BJ33" s="336"/>
      <c r="BK33" s="336"/>
      <c r="BL33" s="336"/>
      <c r="BM33" s="336"/>
    </row>
    <row r="34" spans="1:65">
      <c r="A34" s="334" t="s">
        <v>555</v>
      </c>
      <c r="B34" s="334"/>
      <c r="C34" s="334"/>
      <c r="D34" s="336">
        <f t="shared" ref="D34:J34" si="90">ROUND(+D22*D7,2)</f>
        <v>4.41</v>
      </c>
      <c r="E34" s="336">
        <f t="shared" si="90"/>
        <v>4.41</v>
      </c>
      <c r="F34" s="336">
        <f t="shared" si="90"/>
        <v>4.41</v>
      </c>
      <c r="G34" s="336">
        <f t="shared" si="90"/>
        <v>4.41</v>
      </c>
      <c r="H34" s="336">
        <f t="shared" si="90"/>
        <v>4.41</v>
      </c>
      <c r="I34" s="336">
        <f t="shared" si="90"/>
        <v>4.41</v>
      </c>
      <c r="J34" s="336">
        <f t="shared" si="90"/>
        <v>4.41</v>
      </c>
      <c r="K34" s="336">
        <f>ROUND(+K22*K7,2)</f>
        <v>4.41</v>
      </c>
      <c r="L34" s="336">
        <f t="shared" ref="L34:AG34" si="91">ROUND(+L22*L7,2)</f>
        <v>4.41</v>
      </c>
      <c r="M34" s="336">
        <f t="shared" si="91"/>
        <v>4.41</v>
      </c>
      <c r="N34" s="336">
        <f t="shared" si="91"/>
        <v>4.41</v>
      </c>
      <c r="O34" s="336">
        <f t="shared" si="91"/>
        <v>4.41</v>
      </c>
      <c r="P34" s="336">
        <f t="shared" si="91"/>
        <v>4.41</v>
      </c>
      <c r="Q34" s="336">
        <f t="shared" si="91"/>
        <v>4.41</v>
      </c>
      <c r="R34" s="336">
        <f t="shared" si="91"/>
        <v>4.41</v>
      </c>
      <c r="S34" s="336">
        <f t="shared" si="91"/>
        <v>4.41</v>
      </c>
      <c r="T34" s="336">
        <f t="shared" si="91"/>
        <v>4.41</v>
      </c>
      <c r="U34" s="336">
        <f t="shared" si="91"/>
        <v>4.41</v>
      </c>
      <c r="V34" s="336">
        <f t="shared" si="91"/>
        <v>4.41</v>
      </c>
      <c r="W34" s="336">
        <f t="shared" si="91"/>
        <v>4.41</v>
      </c>
      <c r="X34" s="336">
        <f t="shared" si="91"/>
        <v>4.41</v>
      </c>
      <c r="Y34" s="336">
        <f t="shared" si="91"/>
        <v>4.41</v>
      </c>
      <c r="Z34" s="336">
        <f t="shared" si="91"/>
        <v>4.41</v>
      </c>
      <c r="AA34" s="336">
        <f t="shared" si="91"/>
        <v>4.41</v>
      </c>
      <c r="AB34" s="336">
        <f t="shared" si="91"/>
        <v>4.41</v>
      </c>
      <c r="AC34" s="336">
        <f t="shared" si="91"/>
        <v>4.41</v>
      </c>
      <c r="AD34" s="336">
        <f t="shared" si="91"/>
        <v>4.41</v>
      </c>
      <c r="AE34" s="336">
        <f t="shared" si="91"/>
        <v>4.41</v>
      </c>
      <c r="AF34" s="336">
        <f t="shared" si="91"/>
        <v>4.41</v>
      </c>
      <c r="AG34" s="336">
        <f t="shared" si="91"/>
        <v>4.41</v>
      </c>
      <c r="AH34" s="336"/>
      <c r="AI34" s="336"/>
      <c r="AJ34" s="336"/>
      <c r="AK34" s="336"/>
      <c r="AL34" s="336"/>
      <c r="AM34" s="336"/>
      <c r="AN34" s="336"/>
      <c r="AO34" s="336"/>
      <c r="AP34" s="336"/>
      <c r="AQ34" s="336"/>
      <c r="AR34" s="336"/>
      <c r="AS34" s="336"/>
      <c r="AT34" s="336"/>
      <c r="AU34" s="336"/>
      <c r="AV34" s="336"/>
      <c r="AW34" s="336"/>
      <c r="AX34" s="336"/>
      <c r="AY34" s="336"/>
      <c r="AZ34" s="336"/>
      <c r="BC34" s="336"/>
      <c r="BD34" s="336"/>
      <c r="BE34" s="336"/>
      <c r="BF34" s="336"/>
      <c r="BG34" s="336"/>
      <c r="BH34" s="336"/>
      <c r="BI34" s="336"/>
      <c r="BJ34" s="336"/>
      <c r="BK34" s="336"/>
      <c r="BL34" s="336"/>
      <c r="BM34" s="336"/>
    </row>
    <row r="35" spans="1:65">
      <c r="A35" s="338" t="s">
        <v>556</v>
      </c>
      <c r="B35" s="338"/>
      <c r="C35" s="338"/>
      <c r="D35" s="339">
        <f>ROUND(SUM(D26:D34)*D23,2)</f>
        <v>3.64</v>
      </c>
      <c r="E35" s="339">
        <f t="shared" ref="E35:AG35" si="92">ROUND(SUM(E26:E34)*E23,2)</f>
        <v>3.35</v>
      </c>
      <c r="F35" s="339">
        <f t="shared" si="92"/>
        <v>3.35</v>
      </c>
      <c r="G35" s="339">
        <f t="shared" si="92"/>
        <v>3.33</v>
      </c>
      <c r="H35" s="339">
        <f t="shared" si="92"/>
        <v>3.35</v>
      </c>
      <c r="I35" s="339">
        <f t="shared" si="92"/>
        <v>3.37</v>
      </c>
      <c r="J35" s="339">
        <f t="shared" si="92"/>
        <v>3.37</v>
      </c>
      <c r="K35" s="339">
        <f t="shared" si="92"/>
        <v>3.37</v>
      </c>
      <c r="L35" s="339">
        <f t="shared" si="92"/>
        <v>2.89</v>
      </c>
      <c r="M35" s="339">
        <f t="shared" si="92"/>
        <v>2.97</v>
      </c>
      <c r="N35" s="339">
        <f t="shared" si="92"/>
        <v>2.86</v>
      </c>
      <c r="O35" s="339">
        <f t="shared" si="92"/>
        <v>2.87</v>
      </c>
      <c r="P35" s="339">
        <f t="shared" si="92"/>
        <v>2.91</v>
      </c>
      <c r="Q35" s="339">
        <f t="shared" si="92"/>
        <v>3.27</v>
      </c>
      <c r="R35" s="339">
        <f t="shared" si="92"/>
        <v>3.4</v>
      </c>
      <c r="S35" s="339">
        <f t="shared" si="92"/>
        <v>3.42</v>
      </c>
      <c r="T35" s="339">
        <f t="shared" si="92"/>
        <v>3.42</v>
      </c>
      <c r="U35" s="339">
        <f t="shared" si="92"/>
        <v>3.42</v>
      </c>
      <c r="V35" s="339">
        <f t="shared" si="92"/>
        <v>3.42</v>
      </c>
      <c r="W35" s="339">
        <f t="shared" si="92"/>
        <v>3.42</v>
      </c>
      <c r="X35" s="339">
        <f t="shared" si="92"/>
        <v>3.42</v>
      </c>
      <c r="Y35" s="339">
        <f t="shared" si="92"/>
        <v>3.42</v>
      </c>
      <c r="Z35" s="339">
        <f t="shared" si="92"/>
        <v>3.42</v>
      </c>
      <c r="AA35" s="339">
        <f t="shared" si="92"/>
        <v>3.42</v>
      </c>
      <c r="AB35" s="339">
        <f t="shared" si="92"/>
        <v>3.42</v>
      </c>
      <c r="AC35" s="339">
        <f t="shared" si="92"/>
        <v>3.42</v>
      </c>
      <c r="AD35" s="339">
        <f t="shared" si="92"/>
        <v>3.42</v>
      </c>
      <c r="AE35" s="339">
        <f t="shared" si="92"/>
        <v>3.42</v>
      </c>
      <c r="AF35" s="339">
        <f t="shared" si="92"/>
        <v>3.42</v>
      </c>
      <c r="AG35" s="339">
        <f t="shared" si="92"/>
        <v>3.42</v>
      </c>
      <c r="AH35" s="571"/>
      <c r="AI35" s="571"/>
      <c r="AJ35" s="571"/>
      <c r="AK35" s="571"/>
      <c r="AL35" s="571"/>
      <c r="AM35" s="571"/>
      <c r="AN35" s="571"/>
      <c r="AO35" s="571"/>
      <c r="AP35" s="571"/>
      <c r="AQ35" s="571"/>
      <c r="AR35" s="571"/>
      <c r="AS35" s="571"/>
      <c r="AT35" s="571"/>
      <c r="AU35" s="571"/>
      <c r="AV35" s="571"/>
      <c r="AW35" s="571"/>
      <c r="AX35" s="571"/>
      <c r="AY35" s="571"/>
      <c r="AZ35" s="571"/>
      <c r="BC35" s="339">
        <f t="shared" ref="BC35:BM35" si="93">ROUND(SUM(BC26:BC32)*BC23,2)</f>
        <v>0</v>
      </c>
      <c r="BD35" s="339">
        <f t="shared" si="93"/>
        <v>0</v>
      </c>
      <c r="BE35" s="339">
        <f t="shared" si="93"/>
        <v>0</v>
      </c>
      <c r="BF35" s="339">
        <f t="shared" si="93"/>
        <v>0</v>
      </c>
      <c r="BG35" s="339">
        <f t="shared" si="93"/>
        <v>0</v>
      </c>
      <c r="BH35" s="339">
        <f t="shared" si="93"/>
        <v>0</v>
      </c>
      <c r="BI35" s="339">
        <f t="shared" si="93"/>
        <v>0</v>
      </c>
      <c r="BJ35" s="339">
        <f t="shared" si="93"/>
        <v>0</v>
      </c>
      <c r="BK35" s="339">
        <f t="shared" si="93"/>
        <v>0</v>
      </c>
      <c r="BL35" s="339">
        <f t="shared" si="93"/>
        <v>0</v>
      </c>
      <c r="BM35" s="339">
        <f t="shared" si="93"/>
        <v>0</v>
      </c>
    </row>
    <row r="36" spans="1:65" ht="16.2" thickBot="1">
      <c r="A36" s="340" t="s">
        <v>191</v>
      </c>
      <c r="B36" s="340"/>
      <c r="C36" s="340"/>
      <c r="D36" s="341">
        <f t="shared" ref="D36:AG36" si="94">SUM(D26:D35)</f>
        <v>145.57999999999998</v>
      </c>
      <c r="E36" s="341">
        <f t="shared" si="94"/>
        <v>133.87</v>
      </c>
      <c r="F36" s="341">
        <f t="shared" si="94"/>
        <v>133.94999999999999</v>
      </c>
      <c r="G36" s="341">
        <f t="shared" si="94"/>
        <v>133.28000000000003</v>
      </c>
      <c r="H36" s="341">
        <f t="shared" si="94"/>
        <v>134.05999999999997</v>
      </c>
      <c r="I36" s="341">
        <f t="shared" si="94"/>
        <v>134.98000000000002</v>
      </c>
      <c r="J36" s="341">
        <f t="shared" si="94"/>
        <v>134.98000000000002</v>
      </c>
      <c r="K36" s="341">
        <f t="shared" si="94"/>
        <v>134.67000000000002</v>
      </c>
      <c r="L36" s="341">
        <f t="shared" si="94"/>
        <v>115.65</v>
      </c>
      <c r="M36" s="341">
        <f t="shared" si="94"/>
        <v>118.83000000000001</v>
      </c>
      <c r="N36" s="341">
        <f t="shared" si="94"/>
        <v>114.55</v>
      </c>
      <c r="O36" s="341">
        <f t="shared" si="94"/>
        <v>114.63000000000001</v>
      </c>
      <c r="P36" s="341">
        <f t="shared" si="94"/>
        <v>116.29999999999998</v>
      </c>
      <c r="Q36" s="341">
        <f t="shared" si="94"/>
        <v>130.88</v>
      </c>
      <c r="R36" s="341">
        <f t="shared" si="94"/>
        <v>135.91000000000003</v>
      </c>
      <c r="S36" s="341">
        <f t="shared" si="94"/>
        <v>136.63</v>
      </c>
      <c r="T36" s="341">
        <f t="shared" si="94"/>
        <v>136.63</v>
      </c>
      <c r="U36" s="341">
        <f t="shared" si="94"/>
        <v>136.63</v>
      </c>
      <c r="V36" s="341">
        <f t="shared" si="94"/>
        <v>136.63</v>
      </c>
      <c r="W36" s="341">
        <f t="shared" si="94"/>
        <v>136.63</v>
      </c>
      <c r="X36" s="341">
        <f t="shared" si="94"/>
        <v>136.63</v>
      </c>
      <c r="Y36" s="341">
        <f t="shared" si="94"/>
        <v>136.63</v>
      </c>
      <c r="Z36" s="341">
        <f t="shared" si="94"/>
        <v>136.63</v>
      </c>
      <c r="AA36" s="341">
        <f t="shared" si="94"/>
        <v>136.63</v>
      </c>
      <c r="AB36" s="341">
        <f t="shared" si="94"/>
        <v>136.63</v>
      </c>
      <c r="AC36" s="341">
        <f t="shared" si="94"/>
        <v>136.63</v>
      </c>
      <c r="AD36" s="341">
        <f t="shared" si="94"/>
        <v>136.63</v>
      </c>
      <c r="AE36" s="341">
        <f t="shared" si="94"/>
        <v>136.63</v>
      </c>
      <c r="AF36" s="341">
        <f t="shared" si="94"/>
        <v>136.63</v>
      </c>
      <c r="AG36" s="341">
        <f t="shared" si="94"/>
        <v>136.63</v>
      </c>
      <c r="AH36" s="572"/>
      <c r="AI36" s="572"/>
      <c r="AJ36" s="572"/>
      <c r="AK36" s="572"/>
      <c r="AL36" s="572"/>
      <c r="AM36" s="572"/>
      <c r="AN36" s="572"/>
      <c r="AO36" s="572"/>
      <c r="AP36" s="572"/>
      <c r="AQ36" s="572"/>
      <c r="AR36" s="572"/>
      <c r="AS36" s="572"/>
      <c r="AT36" s="572"/>
      <c r="AU36" s="572"/>
      <c r="AV36" s="572"/>
      <c r="AW36" s="572"/>
      <c r="AX36" s="572"/>
      <c r="AY36" s="572"/>
      <c r="AZ36" s="572"/>
      <c r="BC36" s="341">
        <f t="shared" ref="BC36:BM36" si="95">SUM(BC26:BC35)</f>
        <v>0</v>
      </c>
      <c r="BD36" s="341">
        <f t="shared" si="95"/>
        <v>0</v>
      </c>
      <c r="BE36" s="341">
        <f t="shared" si="95"/>
        <v>0</v>
      </c>
      <c r="BF36" s="341">
        <f t="shared" si="95"/>
        <v>0</v>
      </c>
      <c r="BG36" s="341">
        <f t="shared" si="95"/>
        <v>0</v>
      </c>
      <c r="BH36" s="341">
        <f t="shared" si="95"/>
        <v>0</v>
      </c>
      <c r="BI36" s="341">
        <f t="shared" si="95"/>
        <v>0</v>
      </c>
      <c r="BJ36" s="341">
        <f t="shared" si="95"/>
        <v>0</v>
      </c>
      <c r="BK36" s="341">
        <f t="shared" si="95"/>
        <v>0</v>
      </c>
      <c r="BL36" s="341">
        <f t="shared" si="95"/>
        <v>0</v>
      </c>
      <c r="BM36" s="341">
        <f t="shared" si="95"/>
        <v>0</v>
      </c>
    </row>
    <row r="37" spans="1:65" ht="16.2" thickTop="1">
      <c r="A37" s="345"/>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C37" s="331"/>
      <c r="BD37" s="331"/>
      <c r="BE37" s="331"/>
      <c r="BF37" s="331"/>
      <c r="BG37" s="331"/>
      <c r="BH37" s="331"/>
      <c r="BI37" s="331"/>
      <c r="BJ37" s="331"/>
      <c r="BK37" s="331"/>
      <c r="BL37" s="331"/>
      <c r="BM37" s="331"/>
    </row>
    <row r="38" spans="1:65">
      <c r="A38" s="344" t="s">
        <v>561</v>
      </c>
    </row>
    <row r="39" spans="1:65">
      <c r="A39" s="334" t="s">
        <v>545</v>
      </c>
      <c r="B39" s="334"/>
      <c r="C39" s="334"/>
      <c r="D39" s="335">
        <f t="shared" ref="D39:N39" si="96">+D12</f>
        <v>21</v>
      </c>
      <c r="E39" s="335">
        <f t="shared" si="96"/>
        <v>22.9</v>
      </c>
      <c r="F39" s="335">
        <f t="shared" si="96"/>
        <v>23.36</v>
      </c>
      <c r="G39" s="335">
        <f t="shared" si="96"/>
        <v>23.36</v>
      </c>
      <c r="H39" s="335">
        <f t="shared" si="96"/>
        <v>23.36</v>
      </c>
      <c r="I39" s="335">
        <f t="shared" si="96"/>
        <v>23.36</v>
      </c>
      <c r="J39" s="335">
        <f t="shared" si="96"/>
        <v>23.36</v>
      </c>
      <c r="K39" s="335">
        <f t="shared" si="96"/>
        <v>23.36</v>
      </c>
      <c r="L39" s="335">
        <f t="shared" si="96"/>
        <v>16.62</v>
      </c>
      <c r="M39" s="335">
        <f t="shared" si="96"/>
        <v>16.62</v>
      </c>
      <c r="N39" s="335">
        <f t="shared" si="96"/>
        <v>15.12</v>
      </c>
      <c r="O39" s="335">
        <f t="shared" ref="O39:AG39" si="97">+O12</f>
        <v>15.12</v>
      </c>
      <c r="P39" s="335">
        <f t="shared" si="97"/>
        <v>15.12</v>
      </c>
      <c r="Q39" s="335">
        <f t="shared" si="97"/>
        <v>15.12</v>
      </c>
      <c r="R39" s="335">
        <f t="shared" si="97"/>
        <v>15.12</v>
      </c>
      <c r="S39" s="335">
        <f t="shared" si="97"/>
        <v>15.12</v>
      </c>
      <c r="T39" s="335">
        <f t="shared" si="97"/>
        <v>15.12</v>
      </c>
      <c r="U39" s="335">
        <f t="shared" si="97"/>
        <v>15.12</v>
      </c>
      <c r="V39" s="335">
        <f t="shared" si="97"/>
        <v>15.12</v>
      </c>
      <c r="W39" s="335">
        <f t="shared" si="97"/>
        <v>15.12</v>
      </c>
      <c r="X39" s="335">
        <f t="shared" si="97"/>
        <v>15.12</v>
      </c>
      <c r="Y39" s="335">
        <f t="shared" si="97"/>
        <v>15.12</v>
      </c>
      <c r="Z39" s="335">
        <f t="shared" si="97"/>
        <v>15.12</v>
      </c>
      <c r="AA39" s="335">
        <f t="shared" si="97"/>
        <v>15.12</v>
      </c>
      <c r="AB39" s="335">
        <f t="shared" si="97"/>
        <v>15.12</v>
      </c>
      <c r="AC39" s="335">
        <f t="shared" si="97"/>
        <v>15.12</v>
      </c>
      <c r="AD39" s="335">
        <f t="shared" si="97"/>
        <v>15.12</v>
      </c>
      <c r="AE39" s="335">
        <f t="shared" si="97"/>
        <v>15.12</v>
      </c>
      <c r="AF39" s="335">
        <f t="shared" si="97"/>
        <v>15.12</v>
      </c>
      <c r="AG39" s="335">
        <f t="shared" si="97"/>
        <v>15.12</v>
      </c>
      <c r="AH39" s="335"/>
      <c r="AI39" s="335"/>
      <c r="AJ39" s="335"/>
      <c r="AK39" s="335"/>
      <c r="AL39" s="335"/>
      <c r="AM39" s="335"/>
      <c r="AN39" s="335"/>
      <c r="AO39" s="335"/>
      <c r="AP39" s="335"/>
      <c r="AQ39" s="335"/>
      <c r="AR39" s="335"/>
      <c r="AS39" s="335"/>
      <c r="AT39" s="335"/>
      <c r="AU39" s="335"/>
      <c r="AV39" s="335"/>
      <c r="AW39" s="335"/>
      <c r="AX39" s="335"/>
      <c r="AY39" s="335"/>
      <c r="AZ39" s="335"/>
      <c r="BC39" s="335">
        <f t="shared" ref="BC39:BM39" si="98">+BC12</f>
        <v>0</v>
      </c>
      <c r="BD39" s="335">
        <f t="shared" si="98"/>
        <v>0</v>
      </c>
      <c r="BE39" s="335">
        <f t="shared" si="98"/>
        <v>0</v>
      </c>
      <c r="BF39" s="335">
        <f t="shared" si="98"/>
        <v>0</v>
      </c>
      <c r="BG39" s="335">
        <f t="shared" si="98"/>
        <v>0</v>
      </c>
      <c r="BH39" s="335">
        <f t="shared" si="98"/>
        <v>0</v>
      </c>
      <c r="BI39" s="335">
        <f t="shared" si="98"/>
        <v>0</v>
      </c>
      <c r="BJ39" s="335">
        <f t="shared" si="98"/>
        <v>0</v>
      </c>
      <c r="BK39" s="335">
        <f t="shared" si="98"/>
        <v>0</v>
      </c>
      <c r="BL39" s="335">
        <f t="shared" si="98"/>
        <v>0</v>
      </c>
      <c r="BM39" s="335">
        <f t="shared" si="98"/>
        <v>0</v>
      </c>
    </row>
    <row r="40" spans="1:65" ht="17.399999999999999">
      <c r="A40" s="334" t="s">
        <v>558</v>
      </c>
      <c r="B40" s="334"/>
      <c r="C40" s="334"/>
      <c r="D40" s="336">
        <f t="shared" ref="D40:N40" si="99">ROUND(+(D13*D$8)+(D14*D$9),2)</f>
        <v>57.69</v>
      </c>
      <c r="E40" s="336">
        <f t="shared" si="99"/>
        <v>62.92</v>
      </c>
      <c r="F40" s="336">
        <f t="shared" si="99"/>
        <v>64.16</v>
      </c>
      <c r="G40" s="336">
        <f t="shared" si="99"/>
        <v>64.16</v>
      </c>
      <c r="H40" s="336">
        <f t="shared" si="99"/>
        <v>64.16</v>
      </c>
      <c r="I40" s="336">
        <f t="shared" si="99"/>
        <v>64.16</v>
      </c>
      <c r="J40" s="336">
        <f t="shared" si="99"/>
        <v>64.16</v>
      </c>
      <c r="K40" s="336">
        <f t="shared" si="99"/>
        <v>64.16</v>
      </c>
      <c r="L40" s="336">
        <f t="shared" si="99"/>
        <v>52</v>
      </c>
      <c r="M40" s="336">
        <f t="shared" si="99"/>
        <v>52</v>
      </c>
      <c r="N40" s="336">
        <f t="shared" si="99"/>
        <v>47.15</v>
      </c>
      <c r="O40" s="336">
        <f t="shared" ref="O40:AG40" si="100">ROUND(+(O13*O$8)+(O14*O$9),2)</f>
        <v>47.15</v>
      </c>
      <c r="P40" s="336">
        <f t="shared" si="100"/>
        <v>47.15</v>
      </c>
      <c r="Q40" s="336">
        <f t="shared" si="100"/>
        <v>62.31</v>
      </c>
      <c r="R40" s="336">
        <f t="shared" si="100"/>
        <v>67.790000000000006</v>
      </c>
      <c r="S40" s="336">
        <f t="shared" si="100"/>
        <v>67.790000000000006</v>
      </c>
      <c r="T40" s="336">
        <f t="shared" si="100"/>
        <v>67.790000000000006</v>
      </c>
      <c r="U40" s="336">
        <f t="shared" si="100"/>
        <v>67.790000000000006</v>
      </c>
      <c r="V40" s="336">
        <f t="shared" si="100"/>
        <v>67.790000000000006</v>
      </c>
      <c r="W40" s="336">
        <f t="shared" si="100"/>
        <v>67.790000000000006</v>
      </c>
      <c r="X40" s="336">
        <f t="shared" si="100"/>
        <v>67.790000000000006</v>
      </c>
      <c r="Y40" s="336">
        <f t="shared" si="100"/>
        <v>67.790000000000006</v>
      </c>
      <c r="Z40" s="336">
        <f t="shared" si="100"/>
        <v>67.790000000000006</v>
      </c>
      <c r="AA40" s="336">
        <f t="shared" si="100"/>
        <v>67.790000000000006</v>
      </c>
      <c r="AB40" s="336">
        <f t="shared" si="100"/>
        <v>67.790000000000006</v>
      </c>
      <c r="AC40" s="336">
        <f t="shared" si="100"/>
        <v>67.790000000000006</v>
      </c>
      <c r="AD40" s="336">
        <f t="shared" si="100"/>
        <v>67.790000000000006</v>
      </c>
      <c r="AE40" s="336">
        <f t="shared" si="100"/>
        <v>67.790000000000006</v>
      </c>
      <c r="AF40" s="336">
        <f t="shared" si="100"/>
        <v>67.790000000000006</v>
      </c>
      <c r="AG40" s="336">
        <f t="shared" si="100"/>
        <v>67.790000000000006</v>
      </c>
      <c r="AH40" s="336"/>
      <c r="AI40" s="336"/>
      <c r="AJ40" s="336"/>
      <c r="AK40" s="336"/>
      <c r="AL40" s="336"/>
      <c r="AM40" s="336"/>
      <c r="AN40" s="336"/>
      <c r="AO40" s="336"/>
      <c r="AP40" s="336"/>
      <c r="AQ40" s="336"/>
      <c r="AR40" s="336"/>
      <c r="AS40" s="336"/>
      <c r="AT40" s="336"/>
      <c r="AU40" s="336"/>
      <c r="AV40" s="336"/>
      <c r="AW40" s="336"/>
      <c r="AX40" s="336"/>
      <c r="AY40" s="336"/>
      <c r="AZ40" s="336"/>
      <c r="BC40" s="336">
        <f t="shared" ref="BC40:BM40" si="101">ROUND(+(BC13*BC$8)+(BC14*BC$9),2)</f>
        <v>0</v>
      </c>
      <c r="BD40" s="336">
        <f t="shared" si="101"/>
        <v>0</v>
      </c>
      <c r="BE40" s="336">
        <f t="shared" si="101"/>
        <v>0</v>
      </c>
      <c r="BF40" s="336">
        <f t="shared" si="101"/>
        <v>0</v>
      </c>
      <c r="BG40" s="336">
        <f t="shared" si="101"/>
        <v>0</v>
      </c>
      <c r="BH40" s="336">
        <f t="shared" si="101"/>
        <v>0</v>
      </c>
      <c r="BI40" s="336">
        <f t="shared" si="101"/>
        <v>0</v>
      </c>
      <c r="BJ40" s="336">
        <f t="shared" si="101"/>
        <v>0</v>
      </c>
      <c r="BK40" s="336">
        <f t="shared" si="101"/>
        <v>0</v>
      </c>
      <c r="BL40" s="336">
        <f t="shared" si="101"/>
        <v>0</v>
      </c>
      <c r="BM40" s="336">
        <f t="shared" si="101"/>
        <v>0</v>
      </c>
    </row>
    <row r="41" spans="1:65">
      <c r="A41" s="330" t="s">
        <v>548</v>
      </c>
      <c r="B41" s="330"/>
      <c r="C41" s="330"/>
      <c r="D41" s="336">
        <f t="shared" ref="D41:N41" si="102">ROUND(+D15*D8,2)</f>
        <v>0</v>
      </c>
      <c r="E41" s="336">
        <f t="shared" si="102"/>
        <v>0</v>
      </c>
      <c r="F41" s="336">
        <f t="shared" si="102"/>
        <v>0</v>
      </c>
      <c r="G41" s="336">
        <f t="shared" si="102"/>
        <v>0</v>
      </c>
      <c r="H41" s="336">
        <f t="shared" si="102"/>
        <v>0</v>
      </c>
      <c r="I41" s="336">
        <f t="shared" si="102"/>
        <v>0</v>
      </c>
      <c r="J41" s="336">
        <f t="shared" si="102"/>
        <v>0</v>
      </c>
      <c r="K41" s="336">
        <f t="shared" si="102"/>
        <v>0</v>
      </c>
      <c r="L41" s="336">
        <f t="shared" si="102"/>
        <v>0</v>
      </c>
      <c r="M41" s="336">
        <f t="shared" si="102"/>
        <v>1.81</v>
      </c>
      <c r="N41" s="336">
        <f t="shared" si="102"/>
        <v>4.26</v>
      </c>
      <c r="O41" s="336">
        <f t="shared" ref="O41:AG41" si="103">ROUND(+O15*O8,2)</f>
        <v>5.66</v>
      </c>
      <c r="P41" s="336">
        <f t="shared" si="103"/>
        <v>6.16</v>
      </c>
      <c r="Q41" s="336">
        <f t="shared" si="103"/>
        <v>6.16</v>
      </c>
      <c r="R41" s="336">
        <f t="shared" si="103"/>
        <v>6.16</v>
      </c>
      <c r="S41" s="336">
        <f t="shared" si="103"/>
        <v>6.16</v>
      </c>
      <c r="T41" s="336">
        <f t="shared" si="103"/>
        <v>6.16</v>
      </c>
      <c r="U41" s="336">
        <f t="shared" si="103"/>
        <v>6.16</v>
      </c>
      <c r="V41" s="336">
        <f t="shared" si="103"/>
        <v>6.16</v>
      </c>
      <c r="W41" s="336">
        <f t="shared" si="103"/>
        <v>6.16</v>
      </c>
      <c r="X41" s="336">
        <f t="shared" si="103"/>
        <v>6.16</v>
      </c>
      <c r="Y41" s="336">
        <f t="shared" si="103"/>
        <v>6.16</v>
      </c>
      <c r="Z41" s="336">
        <f t="shared" si="103"/>
        <v>6.16</v>
      </c>
      <c r="AA41" s="336">
        <f t="shared" si="103"/>
        <v>6.16</v>
      </c>
      <c r="AB41" s="336">
        <f t="shared" si="103"/>
        <v>6.16</v>
      </c>
      <c r="AC41" s="336">
        <f t="shared" si="103"/>
        <v>6.16</v>
      </c>
      <c r="AD41" s="336">
        <f t="shared" si="103"/>
        <v>6.16</v>
      </c>
      <c r="AE41" s="336">
        <f t="shared" si="103"/>
        <v>6.16</v>
      </c>
      <c r="AF41" s="336">
        <f t="shared" si="103"/>
        <v>6.16</v>
      </c>
      <c r="AG41" s="336">
        <f t="shared" si="103"/>
        <v>6.16</v>
      </c>
      <c r="AH41" s="336"/>
      <c r="AI41" s="336"/>
      <c r="AJ41" s="336"/>
      <c r="AK41" s="336"/>
      <c r="AL41" s="336"/>
      <c r="AM41" s="336"/>
      <c r="AN41" s="336"/>
      <c r="AO41" s="336"/>
      <c r="AP41" s="336"/>
      <c r="AQ41" s="336"/>
      <c r="AR41" s="336"/>
      <c r="AS41" s="336"/>
      <c r="AT41" s="336"/>
      <c r="AU41" s="336"/>
      <c r="AV41" s="336"/>
      <c r="AW41" s="336"/>
      <c r="AX41" s="336"/>
      <c r="AY41" s="336"/>
      <c r="AZ41" s="336"/>
      <c r="BC41" s="336">
        <f t="shared" ref="BC41:BM41" si="104">ROUND(+BC15*BC8,2)</f>
        <v>0</v>
      </c>
      <c r="BD41" s="336">
        <f t="shared" si="104"/>
        <v>0</v>
      </c>
      <c r="BE41" s="336">
        <f t="shared" si="104"/>
        <v>0</v>
      </c>
      <c r="BF41" s="336">
        <f t="shared" si="104"/>
        <v>0</v>
      </c>
      <c r="BG41" s="336">
        <f t="shared" si="104"/>
        <v>0</v>
      </c>
      <c r="BH41" s="336">
        <f t="shared" si="104"/>
        <v>0</v>
      </c>
      <c r="BI41" s="336">
        <f t="shared" si="104"/>
        <v>0</v>
      </c>
      <c r="BJ41" s="336">
        <f t="shared" si="104"/>
        <v>0</v>
      </c>
      <c r="BK41" s="336">
        <f t="shared" si="104"/>
        <v>0</v>
      </c>
      <c r="BL41" s="336">
        <f t="shared" si="104"/>
        <v>0</v>
      </c>
      <c r="BM41" s="336">
        <f t="shared" si="104"/>
        <v>0</v>
      </c>
    </row>
    <row r="42" spans="1:65">
      <c r="A42" s="390" t="s">
        <v>562</v>
      </c>
      <c r="B42" s="377"/>
      <c r="C42" s="377"/>
      <c r="D42" s="378">
        <f>ROUND(D67,2)</f>
        <v>0</v>
      </c>
      <c r="E42" s="378">
        <f t="shared" ref="E42:AG42" si="105">ROUND(E67,2)</f>
        <v>0</v>
      </c>
      <c r="F42" s="378">
        <f t="shared" si="105"/>
        <v>0</v>
      </c>
      <c r="G42" s="378">
        <f t="shared" si="105"/>
        <v>1.31</v>
      </c>
      <c r="H42" s="378">
        <f t="shared" si="105"/>
        <v>1.71</v>
      </c>
      <c r="I42" s="378">
        <f t="shared" si="105"/>
        <v>1.67</v>
      </c>
      <c r="J42" s="378">
        <f t="shared" si="105"/>
        <v>1.67</v>
      </c>
      <c r="K42" s="378">
        <f t="shared" si="105"/>
        <v>1.67</v>
      </c>
      <c r="L42" s="378">
        <f t="shared" si="105"/>
        <v>1.55</v>
      </c>
      <c r="M42" s="378">
        <f t="shared" si="105"/>
        <v>1.55</v>
      </c>
      <c r="N42" s="378">
        <f t="shared" si="105"/>
        <v>1.55</v>
      </c>
      <c r="O42" s="378">
        <f t="shared" si="105"/>
        <v>1.55</v>
      </c>
      <c r="P42" s="378">
        <f t="shared" si="105"/>
        <v>1.55</v>
      </c>
      <c r="Q42" s="378">
        <f t="shared" si="105"/>
        <v>1.22</v>
      </c>
      <c r="R42" s="378">
        <f t="shared" si="105"/>
        <v>1.22</v>
      </c>
      <c r="S42" s="378">
        <f t="shared" si="105"/>
        <v>1.22</v>
      </c>
      <c r="T42" s="378">
        <f t="shared" si="105"/>
        <v>1.22</v>
      </c>
      <c r="U42" s="378">
        <f t="shared" si="105"/>
        <v>1.22</v>
      </c>
      <c r="V42" s="378">
        <f t="shared" si="105"/>
        <v>1.1399999999999999</v>
      </c>
      <c r="W42" s="378">
        <f t="shared" si="105"/>
        <v>1.1399999999999999</v>
      </c>
      <c r="X42" s="378">
        <f t="shared" si="105"/>
        <v>1.1399999999999999</v>
      </c>
      <c r="Y42" s="378">
        <f t="shared" si="105"/>
        <v>1.1399999999999999</v>
      </c>
      <c r="Z42" s="378">
        <f t="shared" si="105"/>
        <v>1.1399999999999999</v>
      </c>
      <c r="AA42" s="378">
        <f t="shared" si="105"/>
        <v>1.06</v>
      </c>
      <c r="AB42" s="378">
        <f t="shared" si="105"/>
        <v>1.06</v>
      </c>
      <c r="AC42" s="378">
        <f t="shared" si="105"/>
        <v>1.06</v>
      </c>
      <c r="AD42" s="378">
        <f t="shared" si="105"/>
        <v>1.06</v>
      </c>
      <c r="AE42" s="378">
        <f t="shared" si="105"/>
        <v>1.06</v>
      </c>
      <c r="AF42" s="378">
        <f t="shared" si="105"/>
        <v>1.06</v>
      </c>
      <c r="AG42" s="378">
        <f t="shared" si="105"/>
        <v>1.06</v>
      </c>
      <c r="AH42" s="378"/>
      <c r="AI42" s="378"/>
      <c r="AJ42" s="378"/>
      <c r="AK42" s="378"/>
      <c r="AL42" s="378"/>
      <c r="AM42" s="378"/>
      <c r="AN42" s="378"/>
      <c r="AO42" s="378"/>
      <c r="AP42" s="378"/>
      <c r="AQ42" s="378"/>
      <c r="AR42" s="378"/>
      <c r="AS42" s="378"/>
      <c r="AT42" s="378"/>
      <c r="AU42" s="378"/>
      <c r="AV42" s="378"/>
      <c r="AW42" s="378"/>
      <c r="AX42" s="378"/>
      <c r="AY42" s="378"/>
      <c r="AZ42" s="378"/>
      <c r="BC42" s="378" t="e">
        <f>IF(BC5&gt;'Input Data'!C58,ROUND(+(BC39+BC40)*(BC67),2),ROUND(+(BC39+BC40)*(BC67),2))</f>
        <v>#DIV/0!</v>
      </c>
      <c r="BD42" s="378" t="e">
        <f t="shared" ref="BD42:BM42" si="106">ROUND(+(BD39+BD40)*(BD67),2)</f>
        <v>#DIV/0!</v>
      </c>
      <c r="BE42" s="378" t="e">
        <f t="shared" si="106"/>
        <v>#DIV/0!</v>
      </c>
      <c r="BF42" s="378" t="e">
        <f t="shared" si="106"/>
        <v>#DIV/0!</v>
      </c>
      <c r="BG42" s="378" t="e">
        <f t="shared" si="106"/>
        <v>#DIV/0!</v>
      </c>
      <c r="BH42" s="378" t="e">
        <f t="shared" si="106"/>
        <v>#DIV/0!</v>
      </c>
      <c r="BI42" s="378" t="e">
        <f t="shared" si="106"/>
        <v>#DIV/0!</v>
      </c>
      <c r="BJ42" s="378" t="e">
        <f t="shared" si="106"/>
        <v>#DIV/0!</v>
      </c>
      <c r="BK42" s="378" t="e">
        <f t="shared" si="106"/>
        <v>#DIV/0!</v>
      </c>
      <c r="BL42" s="378" t="e">
        <f t="shared" si="106"/>
        <v>#DIV/0!</v>
      </c>
      <c r="BM42" s="378" t="e">
        <f t="shared" si="106"/>
        <v>#DIV/0!</v>
      </c>
    </row>
    <row r="43" spans="1:65" ht="17.399999999999999">
      <c r="A43" s="337" t="s">
        <v>559</v>
      </c>
      <c r="B43" s="337"/>
      <c r="C43" s="337"/>
      <c r="D43" s="336">
        <f t="shared" ref="D43:N43" si="107">ROUND(+(D16*D$8)+(D17*D$9),2)</f>
        <v>46.51</v>
      </c>
      <c r="E43" s="336">
        <f t="shared" si="107"/>
        <v>31.17</v>
      </c>
      <c r="F43" s="336">
        <f t="shared" si="107"/>
        <v>29</v>
      </c>
      <c r="G43" s="336">
        <f t="shared" si="107"/>
        <v>27.95</v>
      </c>
      <c r="H43" s="336">
        <f t="shared" si="107"/>
        <v>27.99</v>
      </c>
      <c r="I43" s="336">
        <f t="shared" si="107"/>
        <v>28.2</v>
      </c>
      <c r="J43" s="336">
        <f t="shared" si="107"/>
        <v>28.2</v>
      </c>
      <c r="K43" s="336">
        <f t="shared" si="107"/>
        <v>28.2</v>
      </c>
      <c r="L43" s="336">
        <f t="shared" si="107"/>
        <v>26.42</v>
      </c>
      <c r="M43" s="336">
        <f t="shared" si="107"/>
        <v>28.18</v>
      </c>
      <c r="N43" s="336">
        <f t="shared" si="107"/>
        <v>29.13</v>
      </c>
      <c r="O43" s="336">
        <f t="shared" ref="O43:AG43" si="108">ROUND(+(O16*O$8)+(O17*O$9),2)</f>
        <v>27.95</v>
      </c>
      <c r="P43" s="336">
        <f t="shared" si="108"/>
        <v>29.15</v>
      </c>
      <c r="Q43" s="336">
        <f t="shared" si="108"/>
        <v>28.61</v>
      </c>
      <c r="R43" s="336">
        <f t="shared" si="108"/>
        <v>28.07</v>
      </c>
      <c r="S43" s="336">
        <f t="shared" si="108"/>
        <v>29.27</v>
      </c>
      <c r="T43" s="336">
        <f t="shared" si="108"/>
        <v>29.27</v>
      </c>
      <c r="U43" s="336">
        <f t="shared" si="108"/>
        <v>29.27</v>
      </c>
      <c r="V43" s="336">
        <f t="shared" si="108"/>
        <v>29.27</v>
      </c>
      <c r="W43" s="336">
        <f t="shared" si="108"/>
        <v>29.27</v>
      </c>
      <c r="X43" s="336">
        <f t="shared" si="108"/>
        <v>29.27</v>
      </c>
      <c r="Y43" s="336">
        <f t="shared" si="108"/>
        <v>29.27</v>
      </c>
      <c r="Z43" s="336">
        <f t="shared" si="108"/>
        <v>29.27</v>
      </c>
      <c r="AA43" s="336">
        <f t="shared" si="108"/>
        <v>29.27</v>
      </c>
      <c r="AB43" s="336">
        <f t="shared" si="108"/>
        <v>29.27</v>
      </c>
      <c r="AC43" s="336">
        <f t="shared" si="108"/>
        <v>29.27</v>
      </c>
      <c r="AD43" s="336">
        <f t="shared" si="108"/>
        <v>29.27</v>
      </c>
      <c r="AE43" s="336">
        <f t="shared" si="108"/>
        <v>29.27</v>
      </c>
      <c r="AF43" s="336">
        <f t="shared" si="108"/>
        <v>29.27</v>
      </c>
      <c r="AG43" s="336">
        <f t="shared" si="108"/>
        <v>29.27</v>
      </c>
      <c r="AH43" s="336"/>
      <c r="AI43" s="336"/>
      <c r="AJ43" s="336"/>
      <c r="AK43" s="336"/>
      <c r="AL43" s="336"/>
      <c r="AM43" s="336"/>
      <c r="AN43" s="336"/>
      <c r="AO43" s="336"/>
      <c r="AP43" s="336"/>
      <c r="AQ43" s="336"/>
      <c r="AR43" s="336"/>
      <c r="AS43" s="336"/>
      <c r="AT43" s="336"/>
      <c r="AU43" s="336"/>
      <c r="AV43" s="336"/>
      <c r="AW43" s="336"/>
      <c r="AX43" s="336"/>
      <c r="AY43" s="336"/>
      <c r="AZ43" s="336"/>
      <c r="BC43" s="336">
        <f t="shared" ref="BC43:BM43" si="109">ROUND(+(BC16*BC$8)+(BC17*BC$9),2)</f>
        <v>0</v>
      </c>
      <c r="BD43" s="336">
        <f t="shared" si="109"/>
        <v>0</v>
      </c>
      <c r="BE43" s="336">
        <f t="shared" si="109"/>
        <v>0</v>
      </c>
      <c r="BF43" s="336">
        <f t="shared" si="109"/>
        <v>0</v>
      </c>
      <c r="BG43" s="336">
        <f t="shared" si="109"/>
        <v>0</v>
      </c>
      <c r="BH43" s="336">
        <f t="shared" si="109"/>
        <v>0</v>
      </c>
      <c r="BI43" s="336">
        <f t="shared" si="109"/>
        <v>0</v>
      </c>
      <c r="BJ43" s="336">
        <f t="shared" si="109"/>
        <v>0</v>
      </c>
      <c r="BK43" s="336">
        <f t="shared" si="109"/>
        <v>0</v>
      </c>
      <c r="BL43" s="336">
        <f t="shared" si="109"/>
        <v>0</v>
      </c>
      <c r="BM43" s="336">
        <f t="shared" si="109"/>
        <v>0</v>
      </c>
    </row>
    <row r="44" spans="1:65">
      <c r="A44" s="388" t="s">
        <v>563</v>
      </c>
      <c r="B44" s="337"/>
      <c r="C44" s="337"/>
      <c r="D44" s="336">
        <f>+D73</f>
        <v>0</v>
      </c>
      <c r="E44" s="336">
        <f t="shared" ref="E44:N44" si="110">+E73</f>
        <v>0</v>
      </c>
      <c r="F44" s="336">
        <f t="shared" si="110"/>
        <v>0</v>
      </c>
      <c r="G44" s="336">
        <f t="shared" si="110"/>
        <v>0</v>
      </c>
      <c r="H44" s="336">
        <f t="shared" si="110"/>
        <v>0</v>
      </c>
      <c r="I44" s="336">
        <f t="shared" si="110"/>
        <v>0</v>
      </c>
      <c r="J44" s="336">
        <f t="shared" si="110"/>
        <v>0</v>
      </c>
      <c r="K44" s="336">
        <f t="shared" si="110"/>
        <v>0</v>
      </c>
      <c r="L44" s="336">
        <f t="shared" si="110"/>
        <v>0</v>
      </c>
      <c r="M44" s="336">
        <f t="shared" si="110"/>
        <v>0</v>
      </c>
      <c r="N44" s="336">
        <f t="shared" si="110"/>
        <v>0</v>
      </c>
      <c r="O44" s="336">
        <f t="shared" ref="O44:AG44" si="111">+O73</f>
        <v>0</v>
      </c>
      <c r="P44" s="336">
        <f t="shared" si="111"/>
        <v>0</v>
      </c>
      <c r="Q44" s="336">
        <f t="shared" si="111"/>
        <v>0</v>
      </c>
      <c r="R44" s="336">
        <f t="shared" si="111"/>
        <v>0</v>
      </c>
      <c r="S44" s="336">
        <f t="shared" si="111"/>
        <v>0</v>
      </c>
      <c r="T44" s="336">
        <f t="shared" si="111"/>
        <v>0</v>
      </c>
      <c r="U44" s="336">
        <f t="shared" si="111"/>
        <v>0</v>
      </c>
      <c r="V44" s="336">
        <f t="shared" si="111"/>
        <v>0</v>
      </c>
      <c r="W44" s="336">
        <f t="shared" si="111"/>
        <v>0</v>
      </c>
      <c r="X44" s="336">
        <f t="shared" si="111"/>
        <v>0</v>
      </c>
      <c r="Y44" s="336">
        <f t="shared" si="111"/>
        <v>0</v>
      </c>
      <c r="Z44" s="336">
        <f t="shared" si="111"/>
        <v>0</v>
      </c>
      <c r="AA44" s="336">
        <f t="shared" si="111"/>
        <v>0</v>
      </c>
      <c r="AB44" s="336">
        <f t="shared" si="111"/>
        <v>0</v>
      </c>
      <c r="AC44" s="336">
        <f t="shared" si="111"/>
        <v>0</v>
      </c>
      <c r="AD44" s="336">
        <f t="shared" si="111"/>
        <v>0</v>
      </c>
      <c r="AE44" s="336">
        <f t="shared" si="111"/>
        <v>0</v>
      </c>
      <c r="AF44" s="336">
        <f t="shared" si="111"/>
        <v>0</v>
      </c>
      <c r="AG44" s="336">
        <f t="shared" si="111"/>
        <v>0</v>
      </c>
      <c r="AH44" s="336"/>
      <c r="AI44" s="336"/>
      <c r="AJ44" s="336"/>
      <c r="AK44" s="336"/>
      <c r="AL44" s="336"/>
      <c r="AM44" s="336"/>
      <c r="AN44" s="336"/>
      <c r="AO44" s="336"/>
      <c r="AP44" s="336"/>
      <c r="AQ44" s="336"/>
      <c r="AR44" s="336"/>
      <c r="AS44" s="336"/>
      <c r="AT44" s="336"/>
      <c r="AU44" s="336"/>
      <c r="AV44" s="336"/>
      <c r="AW44" s="336"/>
      <c r="AX44" s="336"/>
      <c r="AY44" s="336"/>
      <c r="AZ44" s="336"/>
      <c r="BC44" s="336">
        <f>+BC73</f>
        <v>0</v>
      </c>
      <c r="BD44" s="336">
        <f t="shared" ref="BD44:BM44" si="112">+BD73</f>
        <v>0</v>
      </c>
      <c r="BE44" s="336">
        <f t="shared" si="112"/>
        <v>0</v>
      </c>
      <c r="BF44" s="336">
        <f t="shared" si="112"/>
        <v>0</v>
      </c>
      <c r="BG44" s="336">
        <f t="shared" si="112"/>
        <v>0</v>
      </c>
      <c r="BH44" s="336">
        <f t="shared" si="112"/>
        <v>0</v>
      </c>
      <c r="BI44" s="336">
        <f t="shared" si="112"/>
        <v>0</v>
      </c>
      <c r="BJ44" s="336">
        <f t="shared" si="112"/>
        <v>0</v>
      </c>
      <c r="BK44" s="336">
        <f t="shared" si="112"/>
        <v>0</v>
      </c>
      <c r="BL44" s="336">
        <f t="shared" si="112"/>
        <v>0</v>
      </c>
      <c r="BM44" s="336">
        <f t="shared" si="112"/>
        <v>0</v>
      </c>
    </row>
    <row r="45" spans="1:65">
      <c r="A45" s="334" t="s">
        <v>560</v>
      </c>
      <c r="B45" s="334"/>
      <c r="C45" s="334"/>
      <c r="D45" s="336">
        <f t="shared" ref="D45:N45" si="113">ROUND(+D18*D7,2)</f>
        <v>5.3</v>
      </c>
      <c r="E45" s="336">
        <f t="shared" si="113"/>
        <v>0.31</v>
      </c>
      <c r="F45" s="336">
        <f t="shared" si="113"/>
        <v>0.31</v>
      </c>
      <c r="G45" s="336">
        <f t="shared" si="113"/>
        <v>0.31</v>
      </c>
      <c r="H45" s="336">
        <f t="shared" si="113"/>
        <v>0.31</v>
      </c>
      <c r="I45" s="336">
        <f t="shared" si="113"/>
        <v>0.31</v>
      </c>
      <c r="J45" s="336">
        <f t="shared" si="113"/>
        <v>0.31</v>
      </c>
      <c r="K45" s="336">
        <f t="shared" si="113"/>
        <v>0</v>
      </c>
      <c r="L45" s="336">
        <f t="shared" si="113"/>
        <v>0.88</v>
      </c>
      <c r="M45" s="336">
        <f t="shared" si="113"/>
        <v>0.66</v>
      </c>
      <c r="N45" s="336">
        <f t="shared" si="113"/>
        <v>-0.1</v>
      </c>
      <c r="O45" s="336">
        <f t="shared" ref="O45:AG45" si="114">ROUND(+O18*O7,2)</f>
        <v>0</v>
      </c>
      <c r="P45" s="336">
        <f t="shared" si="114"/>
        <v>0</v>
      </c>
      <c r="Q45" s="336">
        <f t="shared" si="114"/>
        <v>0</v>
      </c>
      <c r="R45" s="336">
        <f t="shared" si="114"/>
        <v>0</v>
      </c>
      <c r="S45" s="336">
        <f t="shared" si="114"/>
        <v>0</v>
      </c>
      <c r="T45" s="336">
        <f t="shared" si="114"/>
        <v>0</v>
      </c>
      <c r="U45" s="336">
        <f t="shared" si="114"/>
        <v>0</v>
      </c>
      <c r="V45" s="336">
        <f t="shared" si="114"/>
        <v>0</v>
      </c>
      <c r="W45" s="336">
        <f t="shared" si="114"/>
        <v>0</v>
      </c>
      <c r="X45" s="336">
        <f t="shared" si="114"/>
        <v>0</v>
      </c>
      <c r="Y45" s="336">
        <f t="shared" si="114"/>
        <v>0</v>
      </c>
      <c r="Z45" s="336">
        <f t="shared" si="114"/>
        <v>0</v>
      </c>
      <c r="AA45" s="336">
        <f t="shared" si="114"/>
        <v>0</v>
      </c>
      <c r="AB45" s="336">
        <f t="shared" si="114"/>
        <v>0</v>
      </c>
      <c r="AC45" s="336">
        <f t="shared" si="114"/>
        <v>0</v>
      </c>
      <c r="AD45" s="336">
        <f t="shared" si="114"/>
        <v>0</v>
      </c>
      <c r="AE45" s="336">
        <f t="shared" si="114"/>
        <v>0</v>
      </c>
      <c r="AF45" s="336">
        <f t="shared" si="114"/>
        <v>0</v>
      </c>
      <c r="AG45" s="336">
        <f t="shared" si="114"/>
        <v>0</v>
      </c>
      <c r="AH45" s="336"/>
      <c r="AI45" s="336"/>
      <c r="AJ45" s="336"/>
      <c r="AK45" s="336"/>
      <c r="AL45" s="336"/>
      <c r="AM45" s="336"/>
      <c r="AN45" s="336"/>
      <c r="AO45" s="336"/>
      <c r="AP45" s="336"/>
      <c r="AQ45" s="336"/>
      <c r="AR45" s="336"/>
      <c r="AS45" s="336"/>
      <c r="AT45" s="336"/>
      <c r="AU45" s="336"/>
      <c r="AV45" s="336"/>
      <c r="AW45" s="336"/>
      <c r="AX45" s="336"/>
      <c r="AY45" s="336"/>
      <c r="AZ45" s="336"/>
      <c r="BC45" s="336">
        <f t="shared" ref="BC45:BM45" si="115">ROUND(+BC18*BC7,2)</f>
        <v>0</v>
      </c>
      <c r="BD45" s="336">
        <f t="shared" si="115"/>
        <v>0</v>
      </c>
      <c r="BE45" s="336">
        <f t="shared" si="115"/>
        <v>0</v>
      </c>
      <c r="BF45" s="336">
        <f t="shared" si="115"/>
        <v>0</v>
      </c>
      <c r="BG45" s="336">
        <f t="shared" si="115"/>
        <v>0</v>
      </c>
      <c r="BH45" s="336">
        <f t="shared" si="115"/>
        <v>0</v>
      </c>
      <c r="BI45" s="336">
        <f t="shared" si="115"/>
        <v>0</v>
      </c>
      <c r="BJ45" s="336">
        <f t="shared" si="115"/>
        <v>0</v>
      </c>
      <c r="BK45" s="336">
        <f t="shared" si="115"/>
        <v>0</v>
      </c>
      <c r="BL45" s="336">
        <f t="shared" si="115"/>
        <v>0</v>
      </c>
      <c r="BM45" s="336">
        <f t="shared" si="115"/>
        <v>0</v>
      </c>
    </row>
    <row r="46" spans="1:65">
      <c r="A46" s="389" t="s">
        <v>564</v>
      </c>
      <c r="B46" s="334"/>
      <c r="C46" s="334"/>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573"/>
      <c r="AI46" s="573"/>
      <c r="AJ46" s="573"/>
      <c r="AK46" s="573"/>
      <c r="AL46" s="573"/>
      <c r="AM46" s="573"/>
      <c r="AN46" s="573"/>
      <c r="AO46" s="573"/>
      <c r="AP46" s="573"/>
      <c r="AQ46" s="573"/>
      <c r="AR46" s="573"/>
      <c r="AS46" s="573"/>
      <c r="AT46" s="573"/>
      <c r="AU46" s="573"/>
      <c r="AV46" s="573"/>
      <c r="AW46" s="573"/>
      <c r="AX46" s="573"/>
      <c r="AY46" s="573"/>
      <c r="AZ46" s="573"/>
      <c r="BC46" s="381"/>
      <c r="BD46" s="381"/>
      <c r="BE46" s="381"/>
      <c r="BF46" s="381"/>
      <c r="BG46" s="381"/>
      <c r="BH46" s="381"/>
      <c r="BI46" s="381"/>
      <c r="BJ46" s="381"/>
      <c r="BK46" s="381"/>
      <c r="BL46" s="381"/>
      <c r="BM46" s="381"/>
    </row>
    <row r="47" spans="1:65">
      <c r="A47" s="337" t="s">
        <v>552</v>
      </c>
      <c r="B47" s="337"/>
      <c r="C47" s="337"/>
      <c r="D47" s="336">
        <f t="shared" ref="D47:N47" si="116">ROUND(+D19*D7,2)</f>
        <v>1.38</v>
      </c>
      <c r="E47" s="336">
        <f t="shared" si="116"/>
        <v>1.41</v>
      </c>
      <c r="F47" s="336">
        <f t="shared" si="116"/>
        <v>1.41</v>
      </c>
      <c r="G47" s="336">
        <f t="shared" si="116"/>
        <v>1.41</v>
      </c>
      <c r="H47" s="336">
        <f t="shared" si="116"/>
        <v>1.41</v>
      </c>
      <c r="I47" s="336">
        <f t="shared" si="116"/>
        <v>1.41</v>
      </c>
      <c r="J47" s="336">
        <f t="shared" si="116"/>
        <v>1.41</v>
      </c>
      <c r="K47" s="336">
        <f t="shared" si="116"/>
        <v>1.41</v>
      </c>
      <c r="L47" s="336">
        <f t="shared" si="116"/>
        <v>3.89</v>
      </c>
      <c r="M47" s="336">
        <f t="shared" si="116"/>
        <v>3.43</v>
      </c>
      <c r="N47" s="336">
        <f t="shared" si="116"/>
        <v>2.2200000000000002</v>
      </c>
      <c r="O47" s="336">
        <f t="shared" ref="O47:AG47" si="117">ROUND(+O19*O7,2)</f>
        <v>2.78</v>
      </c>
      <c r="P47" s="336">
        <f t="shared" si="117"/>
        <v>2.71</v>
      </c>
      <c r="Q47" s="336">
        <f t="shared" si="117"/>
        <v>2.5499999999999998</v>
      </c>
      <c r="R47" s="336">
        <f t="shared" si="117"/>
        <v>2.5099999999999998</v>
      </c>
      <c r="S47" s="336">
        <f t="shared" si="117"/>
        <v>2.42</v>
      </c>
      <c r="T47" s="336">
        <f t="shared" si="117"/>
        <v>2.42</v>
      </c>
      <c r="U47" s="336">
        <f t="shared" si="117"/>
        <v>2.42</v>
      </c>
      <c r="V47" s="336">
        <f t="shared" si="117"/>
        <v>2.42</v>
      </c>
      <c r="W47" s="336">
        <f t="shared" si="117"/>
        <v>2.42</v>
      </c>
      <c r="X47" s="336">
        <f t="shared" si="117"/>
        <v>2.42</v>
      </c>
      <c r="Y47" s="336">
        <f t="shared" si="117"/>
        <v>2.42</v>
      </c>
      <c r="Z47" s="336">
        <f t="shared" si="117"/>
        <v>2.42</v>
      </c>
      <c r="AA47" s="336">
        <f t="shared" si="117"/>
        <v>2.42</v>
      </c>
      <c r="AB47" s="336">
        <f t="shared" si="117"/>
        <v>2.42</v>
      </c>
      <c r="AC47" s="336">
        <f t="shared" si="117"/>
        <v>2.42</v>
      </c>
      <c r="AD47" s="336">
        <f t="shared" si="117"/>
        <v>2.42</v>
      </c>
      <c r="AE47" s="336">
        <f t="shared" si="117"/>
        <v>2.42</v>
      </c>
      <c r="AF47" s="336">
        <f t="shared" si="117"/>
        <v>2.42</v>
      </c>
      <c r="AG47" s="336">
        <f t="shared" si="117"/>
        <v>2.42</v>
      </c>
      <c r="AH47" s="336"/>
      <c r="AI47" s="336"/>
      <c r="AJ47" s="336"/>
      <c r="AK47" s="336"/>
      <c r="AL47" s="336"/>
      <c r="AM47" s="336"/>
      <c r="AN47" s="336"/>
      <c r="AO47" s="336"/>
      <c r="AP47" s="336"/>
      <c r="AQ47" s="336"/>
      <c r="AR47" s="336"/>
      <c r="AS47" s="336"/>
      <c r="AT47" s="336"/>
      <c r="AU47" s="336"/>
      <c r="AV47" s="336"/>
      <c r="AW47" s="336"/>
      <c r="AX47" s="336"/>
      <c r="AY47" s="336"/>
      <c r="AZ47" s="336"/>
      <c r="BC47" s="336">
        <f t="shared" ref="BC47:BM47" si="118">ROUND(+BC19*BC7,2)</f>
        <v>0</v>
      </c>
      <c r="BD47" s="336">
        <f t="shared" si="118"/>
        <v>0</v>
      </c>
      <c r="BE47" s="336">
        <f t="shared" si="118"/>
        <v>0</v>
      </c>
      <c r="BF47" s="336">
        <f t="shared" si="118"/>
        <v>0</v>
      </c>
      <c r="BG47" s="336">
        <f t="shared" si="118"/>
        <v>0</v>
      </c>
      <c r="BH47" s="336">
        <f t="shared" si="118"/>
        <v>0</v>
      </c>
      <c r="BI47" s="336">
        <f t="shared" si="118"/>
        <v>0</v>
      </c>
      <c r="BJ47" s="336">
        <f t="shared" si="118"/>
        <v>0</v>
      </c>
      <c r="BK47" s="336">
        <f t="shared" si="118"/>
        <v>0</v>
      </c>
      <c r="BL47" s="336">
        <f t="shared" si="118"/>
        <v>0</v>
      </c>
      <c r="BM47" s="336">
        <f t="shared" si="118"/>
        <v>0</v>
      </c>
    </row>
    <row r="48" spans="1:65">
      <c r="A48" s="388" t="s">
        <v>565</v>
      </c>
      <c r="B48" s="337"/>
      <c r="C48" s="337"/>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573"/>
      <c r="AI48" s="573"/>
      <c r="AJ48" s="573"/>
      <c r="AK48" s="573"/>
      <c r="AL48" s="573"/>
      <c r="AM48" s="573"/>
      <c r="AN48" s="573"/>
      <c r="AO48" s="573"/>
      <c r="AP48" s="573"/>
      <c r="AQ48" s="573"/>
      <c r="AR48" s="573"/>
      <c r="AS48" s="573"/>
      <c r="AT48" s="573"/>
      <c r="AU48" s="573"/>
      <c r="AV48" s="573"/>
      <c r="AW48" s="573"/>
      <c r="AX48" s="573"/>
      <c r="AY48" s="573"/>
      <c r="AZ48" s="573"/>
      <c r="BC48" s="381"/>
      <c r="BD48" s="381"/>
      <c r="BE48" s="381"/>
      <c r="BF48" s="381"/>
      <c r="BG48" s="381"/>
      <c r="BH48" s="381"/>
      <c r="BI48" s="381"/>
      <c r="BJ48" s="381"/>
      <c r="BK48" s="381"/>
      <c r="BL48" s="381"/>
      <c r="BM48" s="381"/>
    </row>
    <row r="49" spans="1:65">
      <c r="A49" s="334" t="s">
        <v>553</v>
      </c>
      <c r="B49" s="334"/>
      <c r="C49" s="334"/>
      <c r="D49" s="336">
        <f t="shared" ref="D49:N49" si="119">ROUND(+D20*D7,2)</f>
        <v>2.36</v>
      </c>
      <c r="E49" s="336">
        <f t="shared" si="119"/>
        <v>3.51</v>
      </c>
      <c r="F49" s="336">
        <f t="shared" si="119"/>
        <v>3.46</v>
      </c>
      <c r="G49" s="336">
        <f t="shared" si="119"/>
        <v>3.26</v>
      </c>
      <c r="H49" s="336">
        <f t="shared" si="119"/>
        <v>3.38</v>
      </c>
      <c r="I49" s="336">
        <f t="shared" si="119"/>
        <v>3.47</v>
      </c>
      <c r="J49" s="336">
        <f t="shared" si="119"/>
        <v>3.47</v>
      </c>
      <c r="K49" s="336">
        <f t="shared" si="119"/>
        <v>3.47</v>
      </c>
      <c r="L49" s="336">
        <f t="shared" si="119"/>
        <v>2.25</v>
      </c>
      <c r="M49" s="336">
        <f t="shared" si="119"/>
        <v>2.46</v>
      </c>
      <c r="N49" s="336">
        <f t="shared" si="119"/>
        <v>3.21</v>
      </c>
      <c r="O49" s="336">
        <f t="shared" ref="O49:AG49" si="120">ROUND(+O20*O7,2)</f>
        <v>2.4</v>
      </c>
      <c r="P49" s="336">
        <f t="shared" si="120"/>
        <v>2.4</v>
      </c>
      <c r="Q49" s="336">
        <f t="shared" si="120"/>
        <v>2.16</v>
      </c>
      <c r="R49" s="336">
        <f t="shared" si="120"/>
        <v>2.16</v>
      </c>
      <c r="S49" s="336">
        <f t="shared" si="120"/>
        <v>1.75</v>
      </c>
      <c r="T49" s="336">
        <f t="shared" si="120"/>
        <v>1.75</v>
      </c>
      <c r="U49" s="336">
        <f t="shared" si="120"/>
        <v>1.75</v>
      </c>
      <c r="V49" s="336">
        <f t="shared" si="120"/>
        <v>1.75</v>
      </c>
      <c r="W49" s="336">
        <f t="shared" si="120"/>
        <v>1.75</v>
      </c>
      <c r="X49" s="336">
        <f t="shared" si="120"/>
        <v>1.75</v>
      </c>
      <c r="Y49" s="336">
        <f t="shared" si="120"/>
        <v>1.75</v>
      </c>
      <c r="Z49" s="336">
        <f t="shared" si="120"/>
        <v>1.75</v>
      </c>
      <c r="AA49" s="336">
        <f t="shared" si="120"/>
        <v>1.75</v>
      </c>
      <c r="AB49" s="336">
        <f t="shared" si="120"/>
        <v>1.75</v>
      </c>
      <c r="AC49" s="336">
        <f t="shared" si="120"/>
        <v>1.75</v>
      </c>
      <c r="AD49" s="336">
        <f t="shared" si="120"/>
        <v>1.75</v>
      </c>
      <c r="AE49" s="336">
        <f t="shared" si="120"/>
        <v>1.75</v>
      </c>
      <c r="AF49" s="336">
        <f t="shared" si="120"/>
        <v>1.75</v>
      </c>
      <c r="AG49" s="336">
        <f t="shared" si="120"/>
        <v>1.75</v>
      </c>
      <c r="AH49" s="336"/>
      <c r="AI49" s="336"/>
      <c r="AJ49" s="336"/>
      <c r="AK49" s="336"/>
      <c r="AL49" s="336"/>
      <c r="AM49" s="336"/>
      <c r="AN49" s="336"/>
      <c r="AO49" s="336"/>
      <c r="AP49" s="336"/>
      <c r="AQ49" s="336"/>
      <c r="AR49" s="336"/>
      <c r="AS49" s="336"/>
      <c r="AT49" s="336"/>
      <c r="AU49" s="336"/>
      <c r="AV49" s="336"/>
      <c r="AW49" s="336"/>
      <c r="AX49" s="336"/>
      <c r="AY49" s="336"/>
      <c r="AZ49" s="336"/>
      <c r="BC49" s="336">
        <f t="shared" ref="BC49:BM49" si="121">ROUND(+BC20*BC7,2)</f>
        <v>0</v>
      </c>
      <c r="BD49" s="336">
        <f t="shared" si="121"/>
        <v>0</v>
      </c>
      <c r="BE49" s="336">
        <f t="shared" si="121"/>
        <v>0</v>
      </c>
      <c r="BF49" s="336">
        <f t="shared" si="121"/>
        <v>0</v>
      </c>
      <c r="BG49" s="336">
        <f t="shared" si="121"/>
        <v>0</v>
      </c>
      <c r="BH49" s="336">
        <f t="shared" si="121"/>
        <v>0</v>
      </c>
      <c r="BI49" s="336">
        <f t="shared" si="121"/>
        <v>0</v>
      </c>
      <c r="BJ49" s="336">
        <f t="shared" si="121"/>
        <v>0</v>
      </c>
      <c r="BK49" s="336">
        <f t="shared" si="121"/>
        <v>0</v>
      </c>
      <c r="BL49" s="336">
        <f t="shared" si="121"/>
        <v>0</v>
      </c>
      <c r="BM49" s="336">
        <f t="shared" si="121"/>
        <v>0</v>
      </c>
    </row>
    <row r="50" spans="1:65">
      <c r="A50" s="389" t="s">
        <v>566</v>
      </c>
      <c r="B50" s="334"/>
      <c r="C50" s="334"/>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573"/>
      <c r="AI50" s="573"/>
      <c r="AJ50" s="573"/>
      <c r="AK50" s="573"/>
      <c r="AL50" s="573"/>
      <c r="AM50" s="573"/>
      <c r="AN50" s="573"/>
      <c r="AO50" s="573"/>
      <c r="AP50" s="573"/>
      <c r="AQ50" s="573"/>
      <c r="AR50" s="573"/>
      <c r="AS50" s="573"/>
      <c r="AT50" s="573"/>
      <c r="AU50" s="573"/>
      <c r="AV50" s="573"/>
      <c r="AW50" s="573"/>
      <c r="AX50" s="573"/>
      <c r="AY50" s="573"/>
      <c r="AZ50" s="573"/>
      <c r="BC50" s="381"/>
      <c r="BD50" s="381"/>
      <c r="BE50" s="381"/>
      <c r="BF50" s="381"/>
      <c r="BG50" s="381"/>
      <c r="BH50" s="381"/>
      <c r="BI50" s="381"/>
      <c r="BJ50" s="381"/>
      <c r="BK50" s="381"/>
      <c r="BL50" s="381"/>
      <c r="BM50" s="381"/>
    </row>
    <row r="51" spans="1:65">
      <c r="A51" s="334" t="s">
        <v>554</v>
      </c>
      <c r="B51" s="334"/>
      <c r="C51" s="334"/>
      <c r="D51" s="336">
        <f>ROUND(+D21*D7,2)</f>
        <v>3.29</v>
      </c>
      <c r="E51" s="336">
        <f t="shared" ref="E51:AG51" si="122">ROUND(+E21*E7,2)</f>
        <v>3.89</v>
      </c>
      <c r="F51" s="336">
        <f t="shared" si="122"/>
        <v>4.49</v>
      </c>
      <c r="G51" s="336">
        <f t="shared" si="122"/>
        <v>5.09</v>
      </c>
      <c r="H51" s="336">
        <f t="shared" si="122"/>
        <v>5.69</v>
      </c>
      <c r="I51" s="336">
        <f t="shared" si="122"/>
        <v>6.29</v>
      </c>
      <c r="J51" s="336">
        <f t="shared" si="122"/>
        <v>6.29</v>
      </c>
      <c r="K51" s="336">
        <f t="shared" si="122"/>
        <v>6.29</v>
      </c>
      <c r="L51" s="336">
        <f t="shared" si="122"/>
        <v>6.29</v>
      </c>
      <c r="M51" s="336">
        <f t="shared" si="122"/>
        <v>6.29</v>
      </c>
      <c r="N51" s="336">
        <f t="shared" si="122"/>
        <v>6.29</v>
      </c>
      <c r="O51" s="336">
        <f t="shared" si="122"/>
        <v>6.29</v>
      </c>
      <c r="P51" s="336">
        <f t="shared" si="122"/>
        <v>6.29</v>
      </c>
      <c r="Q51" s="336">
        <f t="shared" si="122"/>
        <v>6.29</v>
      </c>
      <c r="R51" s="336">
        <f t="shared" si="122"/>
        <v>6.29</v>
      </c>
      <c r="S51" s="336">
        <f t="shared" si="122"/>
        <v>6.29</v>
      </c>
      <c r="T51" s="336">
        <f t="shared" si="122"/>
        <v>6.29</v>
      </c>
      <c r="U51" s="336">
        <f t="shared" si="122"/>
        <v>6.29</v>
      </c>
      <c r="V51" s="336">
        <f t="shared" si="122"/>
        <v>6.29</v>
      </c>
      <c r="W51" s="336">
        <f t="shared" si="122"/>
        <v>6.29</v>
      </c>
      <c r="X51" s="336">
        <f t="shared" si="122"/>
        <v>6.29</v>
      </c>
      <c r="Y51" s="336">
        <f t="shared" si="122"/>
        <v>6.29</v>
      </c>
      <c r="Z51" s="336">
        <f t="shared" si="122"/>
        <v>6.29</v>
      </c>
      <c r="AA51" s="336">
        <f t="shared" si="122"/>
        <v>6.29</v>
      </c>
      <c r="AB51" s="336">
        <f t="shared" si="122"/>
        <v>6.29</v>
      </c>
      <c r="AC51" s="336">
        <f t="shared" si="122"/>
        <v>6.29</v>
      </c>
      <c r="AD51" s="336">
        <f t="shared" si="122"/>
        <v>6.29</v>
      </c>
      <c r="AE51" s="336">
        <f t="shared" si="122"/>
        <v>6.29</v>
      </c>
      <c r="AF51" s="336">
        <f t="shared" si="122"/>
        <v>6.29</v>
      </c>
      <c r="AG51" s="336">
        <f t="shared" si="122"/>
        <v>6.29</v>
      </c>
      <c r="AH51" s="573"/>
      <c r="AI51" s="573"/>
      <c r="AJ51" s="573"/>
      <c r="AK51" s="573"/>
      <c r="AL51" s="573"/>
      <c r="AM51" s="573"/>
      <c r="AN51" s="573"/>
      <c r="AO51" s="573"/>
      <c r="AP51" s="573"/>
      <c r="AQ51" s="573"/>
      <c r="AR51" s="573"/>
      <c r="AS51" s="573"/>
      <c r="AT51" s="573"/>
      <c r="AU51" s="573"/>
      <c r="AV51" s="573"/>
      <c r="AW51" s="573"/>
      <c r="AX51" s="573"/>
      <c r="AY51" s="573"/>
      <c r="AZ51" s="573"/>
      <c r="BC51" s="573"/>
      <c r="BD51" s="573"/>
      <c r="BE51" s="573"/>
      <c r="BF51" s="573"/>
      <c r="BG51" s="573"/>
      <c r="BH51" s="573"/>
      <c r="BI51" s="573"/>
      <c r="BJ51" s="573"/>
      <c r="BK51" s="573"/>
      <c r="BL51" s="573"/>
      <c r="BM51" s="573"/>
    </row>
    <row r="52" spans="1:65">
      <c r="A52" s="334" t="s">
        <v>555</v>
      </c>
      <c r="B52" s="334"/>
      <c r="C52" s="334"/>
      <c r="D52" s="336">
        <f>ROUND(+D22*D7,2)</f>
        <v>4.41</v>
      </c>
      <c r="E52" s="336">
        <f t="shared" ref="E52:AG52" si="123">ROUND(+E22*E7,2)</f>
        <v>4.41</v>
      </c>
      <c r="F52" s="336">
        <f t="shared" si="123"/>
        <v>4.41</v>
      </c>
      <c r="G52" s="336">
        <f t="shared" si="123"/>
        <v>4.41</v>
      </c>
      <c r="H52" s="336">
        <f t="shared" si="123"/>
        <v>4.41</v>
      </c>
      <c r="I52" s="336">
        <f t="shared" si="123"/>
        <v>4.41</v>
      </c>
      <c r="J52" s="336">
        <f t="shared" si="123"/>
        <v>4.41</v>
      </c>
      <c r="K52" s="336">
        <f t="shared" si="123"/>
        <v>4.41</v>
      </c>
      <c r="L52" s="336">
        <f t="shared" si="123"/>
        <v>4.41</v>
      </c>
      <c r="M52" s="336">
        <f t="shared" si="123"/>
        <v>4.41</v>
      </c>
      <c r="N52" s="336">
        <f t="shared" si="123"/>
        <v>4.41</v>
      </c>
      <c r="O52" s="336">
        <f t="shared" si="123"/>
        <v>4.41</v>
      </c>
      <c r="P52" s="336">
        <f t="shared" si="123"/>
        <v>4.41</v>
      </c>
      <c r="Q52" s="336">
        <f t="shared" si="123"/>
        <v>4.41</v>
      </c>
      <c r="R52" s="336">
        <f t="shared" si="123"/>
        <v>4.41</v>
      </c>
      <c r="S52" s="336">
        <f t="shared" si="123"/>
        <v>4.41</v>
      </c>
      <c r="T52" s="336">
        <f t="shared" si="123"/>
        <v>4.41</v>
      </c>
      <c r="U52" s="336">
        <f t="shared" si="123"/>
        <v>4.41</v>
      </c>
      <c r="V52" s="336">
        <f t="shared" si="123"/>
        <v>4.41</v>
      </c>
      <c r="W52" s="336">
        <f t="shared" si="123"/>
        <v>4.41</v>
      </c>
      <c r="X52" s="336">
        <f t="shared" si="123"/>
        <v>4.41</v>
      </c>
      <c r="Y52" s="336">
        <f t="shared" si="123"/>
        <v>4.41</v>
      </c>
      <c r="Z52" s="336">
        <f t="shared" si="123"/>
        <v>4.41</v>
      </c>
      <c r="AA52" s="336">
        <f t="shared" si="123"/>
        <v>4.41</v>
      </c>
      <c r="AB52" s="336">
        <f t="shared" si="123"/>
        <v>4.41</v>
      </c>
      <c r="AC52" s="336">
        <f t="shared" si="123"/>
        <v>4.41</v>
      </c>
      <c r="AD52" s="336">
        <f t="shared" si="123"/>
        <v>4.41</v>
      </c>
      <c r="AE52" s="336">
        <f t="shared" si="123"/>
        <v>4.41</v>
      </c>
      <c r="AF52" s="336">
        <f t="shared" si="123"/>
        <v>4.41</v>
      </c>
      <c r="AG52" s="336">
        <f t="shared" si="123"/>
        <v>4.41</v>
      </c>
      <c r="AH52" s="573"/>
      <c r="AI52" s="573"/>
      <c r="AJ52" s="573"/>
      <c r="AK52" s="573"/>
      <c r="AL52" s="573"/>
      <c r="AM52" s="573"/>
      <c r="AN52" s="573"/>
      <c r="AO52" s="573"/>
      <c r="AP52" s="573"/>
      <c r="AQ52" s="573"/>
      <c r="AR52" s="573"/>
      <c r="AS52" s="573"/>
      <c r="AT52" s="573"/>
      <c r="AU52" s="573"/>
      <c r="AV52" s="573"/>
      <c r="AW52" s="573"/>
      <c r="AX52" s="573"/>
      <c r="AY52" s="573"/>
      <c r="AZ52" s="573"/>
      <c r="BC52" s="573"/>
      <c r="BD52" s="573"/>
      <c r="BE52" s="573"/>
      <c r="BF52" s="573"/>
      <c r="BG52" s="573"/>
      <c r="BH52" s="573"/>
      <c r="BI52" s="573"/>
      <c r="BJ52" s="573"/>
      <c r="BK52" s="573"/>
      <c r="BL52" s="573"/>
      <c r="BM52" s="573"/>
    </row>
    <row r="53" spans="1:65">
      <c r="A53" s="338" t="s">
        <v>556</v>
      </c>
      <c r="B53" s="338"/>
      <c r="C53" s="338"/>
      <c r="D53" s="339">
        <f>ROUND(SUM(D39:D52)*D23,2)</f>
        <v>3.64</v>
      </c>
      <c r="E53" s="339">
        <f t="shared" ref="E53:AG53" si="124">ROUND(SUM(E39:E52)*E23,2)</f>
        <v>3.35</v>
      </c>
      <c r="F53" s="339">
        <f t="shared" si="124"/>
        <v>3.35</v>
      </c>
      <c r="G53" s="339">
        <f t="shared" si="124"/>
        <v>3.37</v>
      </c>
      <c r="H53" s="339">
        <f t="shared" si="124"/>
        <v>3.4</v>
      </c>
      <c r="I53" s="339">
        <f t="shared" si="124"/>
        <v>3.42</v>
      </c>
      <c r="J53" s="339">
        <f t="shared" si="124"/>
        <v>3.42</v>
      </c>
      <c r="K53" s="339">
        <f t="shared" si="124"/>
        <v>3.41</v>
      </c>
      <c r="L53" s="339">
        <f t="shared" si="124"/>
        <v>2.93</v>
      </c>
      <c r="M53" s="339">
        <f t="shared" si="124"/>
        <v>3.01</v>
      </c>
      <c r="N53" s="339">
        <f t="shared" si="124"/>
        <v>2.9</v>
      </c>
      <c r="O53" s="339">
        <f t="shared" si="124"/>
        <v>2.91</v>
      </c>
      <c r="P53" s="339">
        <f t="shared" si="124"/>
        <v>2.95</v>
      </c>
      <c r="Q53" s="339">
        <f t="shared" si="124"/>
        <v>3.3</v>
      </c>
      <c r="R53" s="339">
        <f t="shared" si="124"/>
        <v>3.43</v>
      </c>
      <c r="S53" s="339">
        <f t="shared" si="124"/>
        <v>3.45</v>
      </c>
      <c r="T53" s="339">
        <f t="shared" si="124"/>
        <v>3.45</v>
      </c>
      <c r="U53" s="339">
        <f t="shared" si="124"/>
        <v>3.45</v>
      </c>
      <c r="V53" s="339">
        <f t="shared" si="124"/>
        <v>3.44</v>
      </c>
      <c r="W53" s="339">
        <f t="shared" si="124"/>
        <v>3.44</v>
      </c>
      <c r="X53" s="339">
        <f t="shared" si="124"/>
        <v>3.44</v>
      </c>
      <c r="Y53" s="339">
        <f t="shared" si="124"/>
        <v>3.44</v>
      </c>
      <c r="Z53" s="339">
        <f t="shared" si="124"/>
        <v>3.44</v>
      </c>
      <c r="AA53" s="339">
        <f t="shared" si="124"/>
        <v>3.44</v>
      </c>
      <c r="AB53" s="339">
        <f t="shared" si="124"/>
        <v>3.44</v>
      </c>
      <c r="AC53" s="339">
        <f t="shared" si="124"/>
        <v>3.44</v>
      </c>
      <c r="AD53" s="339">
        <f t="shared" si="124"/>
        <v>3.44</v>
      </c>
      <c r="AE53" s="339">
        <f t="shared" si="124"/>
        <v>3.44</v>
      </c>
      <c r="AF53" s="339">
        <f t="shared" si="124"/>
        <v>3.44</v>
      </c>
      <c r="AG53" s="339">
        <f t="shared" si="124"/>
        <v>3.44</v>
      </c>
      <c r="AH53" s="571"/>
      <c r="AI53" s="571"/>
      <c r="AJ53" s="571"/>
      <c r="AK53" s="571"/>
      <c r="AL53" s="571"/>
      <c r="AM53" s="571"/>
      <c r="AN53" s="571"/>
      <c r="AO53" s="571"/>
      <c r="AP53" s="571"/>
      <c r="AQ53" s="571"/>
      <c r="AR53" s="571"/>
      <c r="AS53" s="571"/>
      <c r="AT53" s="571"/>
      <c r="AU53" s="571"/>
      <c r="AV53" s="571"/>
      <c r="AW53" s="571"/>
      <c r="AX53" s="571"/>
      <c r="AY53" s="571"/>
      <c r="AZ53" s="571"/>
      <c r="BC53" s="339" t="e">
        <f t="shared" ref="BC53:BM53" si="125">ROUND(SUM(BC39:BC49)*BC23,2)</f>
        <v>#DIV/0!</v>
      </c>
      <c r="BD53" s="339" t="e">
        <f t="shared" si="125"/>
        <v>#DIV/0!</v>
      </c>
      <c r="BE53" s="339" t="e">
        <f t="shared" si="125"/>
        <v>#DIV/0!</v>
      </c>
      <c r="BF53" s="339" t="e">
        <f t="shared" si="125"/>
        <v>#DIV/0!</v>
      </c>
      <c r="BG53" s="339" t="e">
        <f t="shared" si="125"/>
        <v>#DIV/0!</v>
      </c>
      <c r="BH53" s="339" t="e">
        <f t="shared" si="125"/>
        <v>#DIV/0!</v>
      </c>
      <c r="BI53" s="339" t="e">
        <f t="shared" si="125"/>
        <v>#DIV/0!</v>
      </c>
      <c r="BJ53" s="339" t="e">
        <f t="shared" si="125"/>
        <v>#DIV/0!</v>
      </c>
      <c r="BK53" s="339" t="e">
        <f t="shared" si="125"/>
        <v>#DIV/0!</v>
      </c>
      <c r="BL53" s="339" t="e">
        <f t="shared" si="125"/>
        <v>#DIV/0!</v>
      </c>
      <c r="BM53" s="339" t="e">
        <f t="shared" si="125"/>
        <v>#DIV/0!</v>
      </c>
    </row>
    <row r="54" spans="1:65" ht="16.2" thickBot="1">
      <c r="A54" s="340" t="s">
        <v>191</v>
      </c>
      <c r="B54" s="340"/>
      <c r="C54" s="340"/>
      <c r="D54" s="341">
        <f t="shared" ref="D54:AG54" si="126">SUM(D39:D53)</f>
        <v>145.57999999999998</v>
      </c>
      <c r="E54" s="341">
        <f t="shared" si="126"/>
        <v>133.87</v>
      </c>
      <c r="F54" s="341">
        <f t="shared" si="126"/>
        <v>133.94999999999999</v>
      </c>
      <c r="G54" s="341">
        <f t="shared" si="126"/>
        <v>134.63000000000002</v>
      </c>
      <c r="H54" s="341">
        <f t="shared" si="126"/>
        <v>135.82</v>
      </c>
      <c r="I54" s="341">
        <f t="shared" si="126"/>
        <v>136.69999999999999</v>
      </c>
      <c r="J54" s="341">
        <f t="shared" si="126"/>
        <v>136.69999999999999</v>
      </c>
      <c r="K54" s="341">
        <f t="shared" si="126"/>
        <v>136.38</v>
      </c>
      <c r="L54" s="341">
        <f t="shared" si="126"/>
        <v>117.24000000000001</v>
      </c>
      <c r="M54" s="341">
        <f t="shared" si="126"/>
        <v>120.42</v>
      </c>
      <c r="N54" s="341">
        <f t="shared" si="126"/>
        <v>116.14</v>
      </c>
      <c r="O54" s="341">
        <f t="shared" si="126"/>
        <v>116.22</v>
      </c>
      <c r="P54" s="341">
        <f t="shared" si="126"/>
        <v>117.89</v>
      </c>
      <c r="Q54" s="341">
        <f t="shared" si="126"/>
        <v>132.13000000000002</v>
      </c>
      <c r="R54" s="341">
        <f t="shared" si="126"/>
        <v>137.16000000000003</v>
      </c>
      <c r="S54" s="341">
        <f t="shared" si="126"/>
        <v>137.88</v>
      </c>
      <c r="T54" s="341">
        <f t="shared" si="126"/>
        <v>137.88</v>
      </c>
      <c r="U54" s="341">
        <f t="shared" si="126"/>
        <v>137.88</v>
      </c>
      <c r="V54" s="341">
        <f t="shared" si="126"/>
        <v>137.79</v>
      </c>
      <c r="W54" s="341">
        <f t="shared" si="126"/>
        <v>137.79</v>
      </c>
      <c r="X54" s="341">
        <f t="shared" si="126"/>
        <v>137.79</v>
      </c>
      <c r="Y54" s="341">
        <f t="shared" si="126"/>
        <v>137.79</v>
      </c>
      <c r="Z54" s="341">
        <f t="shared" si="126"/>
        <v>137.79</v>
      </c>
      <c r="AA54" s="341">
        <f t="shared" si="126"/>
        <v>137.71</v>
      </c>
      <c r="AB54" s="341">
        <f t="shared" si="126"/>
        <v>137.71</v>
      </c>
      <c r="AC54" s="341">
        <f t="shared" si="126"/>
        <v>137.71</v>
      </c>
      <c r="AD54" s="341">
        <f t="shared" si="126"/>
        <v>137.71</v>
      </c>
      <c r="AE54" s="341">
        <f t="shared" si="126"/>
        <v>137.71</v>
      </c>
      <c r="AF54" s="341">
        <f t="shared" si="126"/>
        <v>137.71</v>
      </c>
      <c r="AG54" s="341">
        <f t="shared" si="126"/>
        <v>137.71</v>
      </c>
      <c r="AH54" s="572"/>
      <c r="AI54" s="572"/>
      <c r="AJ54" s="572"/>
      <c r="AK54" s="572"/>
      <c r="AL54" s="572"/>
      <c r="AM54" s="572"/>
      <c r="AN54" s="572"/>
      <c r="AO54" s="572"/>
      <c r="AP54" s="572"/>
      <c r="AQ54" s="572"/>
      <c r="AR54" s="572"/>
      <c r="AS54" s="572"/>
      <c r="AT54" s="572"/>
      <c r="AU54" s="572"/>
      <c r="AV54" s="572"/>
      <c r="AW54" s="572"/>
      <c r="AX54" s="572"/>
      <c r="AY54" s="572"/>
      <c r="AZ54" s="572"/>
      <c r="BC54" s="341" t="e">
        <f t="shared" ref="BC54:BM54" si="127">SUM(BC39:BC53)</f>
        <v>#DIV/0!</v>
      </c>
      <c r="BD54" s="341" t="e">
        <f t="shared" si="127"/>
        <v>#DIV/0!</v>
      </c>
      <c r="BE54" s="341" t="e">
        <f t="shared" si="127"/>
        <v>#DIV/0!</v>
      </c>
      <c r="BF54" s="341" t="e">
        <f t="shared" si="127"/>
        <v>#DIV/0!</v>
      </c>
      <c r="BG54" s="341" t="e">
        <f t="shared" si="127"/>
        <v>#DIV/0!</v>
      </c>
      <c r="BH54" s="341" t="e">
        <f t="shared" si="127"/>
        <v>#DIV/0!</v>
      </c>
      <c r="BI54" s="341" t="e">
        <f t="shared" si="127"/>
        <v>#DIV/0!</v>
      </c>
      <c r="BJ54" s="341" t="e">
        <f t="shared" si="127"/>
        <v>#DIV/0!</v>
      </c>
      <c r="BK54" s="341" t="e">
        <f t="shared" si="127"/>
        <v>#DIV/0!</v>
      </c>
      <c r="BL54" s="341" t="e">
        <f t="shared" si="127"/>
        <v>#DIV/0!</v>
      </c>
      <c r="BM54" s="341" t="e">
        <f t="shared" si="127"/>
        <v>#DIV/0!</v>
      </c>
    </row>
    <row r="55" spans="1:65" ht="16.2" thickTop="1">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C55" s="328"/>
      <c r="BD55" s="328"/>
      <c r="BE55" s="328"/>
      <c r="BF55" s="328"/>
      <c r="BG55" s="328"/>
      <c r="BH55" s="328"/>
      <c r="BI55" s="328"/>
      <c r="BJ55" s="328"/>
      <c r="BK55" s="328"/>
      <c r="BL55" s="328"/>
      <c r="BM55" s="328"/>
    </row>
    <row r="56" spans="1:65">
      <c r="A56" s="344" t="s">
        <v>567</v>
      </c>
    </row>
    <row r="57" spans="1:65">
      <c r="A57" s="330" t="s">
        <v>568</v>
      </c>
      <c r="D57" s="387">
        <f t="shared" ref="D57:AG57" si="128">+D54-D36</f>
        <v>0</v>
      </c>
      <c r="E57" s="387">
        <f t="shared" si="128"/>
        <v>0</v>
      </c>
      <c r="F57" s="387">
        <f t="shared" si="128"/>
        <v>0</v>
      </c>
      <c r="G57" s="387">
        <f t="shared" si="128"/>
        <v>1.3499999999999943</v>
      </c>
      <c r="H57" s="387">
        <f t="shared" si="128"/>
        <v>1.7600000000000193</v>
      </c>
      <c r="I57" s="387">
        <f t="shared" si="128"/>
        <v>1.7199999999999704</v>
      </c>
      <c r="J57" s="387">
        <f t="shared" si="128"/>
        <v>1.7199999999999704</v>
      </c>
      <c r="K57" s="387">
        <f t="shared" si="128"/>
        <v>1.7099999999999795</v>
      </c>
      <c r="L57" s="387">
        <f t="shared" si="128"/>
        <v>1.5900000000000034</v>
      </c>
      <c r="M57" s="387">
        <f t="shared" si="128"/>
        <v>1.5899999999999892</v>
      </c>
      <c r="N57" s="387">
        <f t="shared" si="128"/>
        <v>1.5900000000000034</v>
      </c>
      <c r="O57" s="387">
        <f t="shared" si="128"/>
        <v>1.5899999999999892</v>
      </c>
      <c r="P57" s="387">
        <f t="shared" si="128"/>
        <v>1.5900000000000176</v>
      </c>
      <c r="Q57" s="387">
        <f t="shared" si="128"/>
        <v>1.2500000000000284</v>
      </c>
      <c r="R57" s="387">
        <f t="shared" si="128"/>
        <v>1.25</v>
      </c>
      <c r="S57" s="387">
        <f t="shared" si="128"/>
        <v>1.25</v>
      </c>
      <c r="T57" s="387">
        <f t="shared" si="128"/>
        <v>1.25</v>
      </c>
      <c r="U57" s="387">
        <f t="shared" si="128"/>
        <v>1.25</v>
      </c>
      <c r="V57" s="387">
        <f t="shared" si="128"/>
        <v>1.1599999999999966</v>
      </c>
      <c r="W57" s="387">
        <f t="shared" si="128"/>
        <v>1.1599999999999966</v>
      </c>
      <c r="X57" s="387">
        <f t="shared" si="128"/>
        <v>1.1599999999999966</v>
      </c>
      <c r="Y57" s="387">
        <f t="shared" si="128"/>
        <v>1.1599999999999966</v>
      </c>
      <c r="Z57" s="387">
        <f t="shared" si="128"/>
        <v>1.1599999999999966</v>
      </c>
      <c r="AA57" s="387">
        <f t="shared" si="128"/>
        <v>1.0800000000000125</v>
      </c>
      <c r="AB57" s="387">
        <f t="shared" si="128"/>
        <v>1.0800000000000125</v>
      </c>
      <c r="AC57" s="387">
        <f t="shared" si="128"/>
        <v>1.0800000000000125</v>
      </c>
      <c r="AD57" s="387">
        <f t="shared" si="128"/>
        <v>1.0800000000000125</v>
      </c>
      <c r="AE57" s="387">
        <f t="shared" si="128"/>
        <v>1.0800000000000125</v>
      </c>
      <c r="AF57" s="387">
        <f t="shared" si="128"/>
        <v>1.0800000000000125</v>
      </c>
      <c r="AG57" s="387">
        <f t="shared" si="128"/>
        <v>1.0800000000000125</v>
      </c>
      <c r="AH57" s="387"/>
      <c r="AI57" s="387"/>
      <c r="AJ57" s="387"/>
      <c r="AK57" s="387"/>
      <c r="AL57" s="387"/>
      <c r="AM57" s="387"/>
      <c r="AN57" s="387"/>
      <c r="AO57" s="387"/>
      <c r="AP57" s="387"/>
      <c r="AQ57" s="387"/>
      <c r="AR57" s="387"/>
      <c r="AS57" s="387"/>
      <c r="AT57" s="387"/>
      <c r="AU57" s="387"/>
      <c r="AV57" s="387"/>
      <c r="AW57" s="387"/>
      <c r="AX57" s="387"/>
      <c r="AY57" s="387"/>
      <c r="AZ57" s="387"/>
      <c r="BC57" s="387" t="e">
        <f t="shared" ref="BC57:BM57" si="129">+BC54-BC36</f>
        <v>#DIV/0!</v>
      </c>
      <c r="BD57" s="387" t="e">
        <f t="shared" si="129"/>
        <v>#DIV/0!</v>
      </c>
      <c r="BE57" s="387" t="e">
        <f t="shared" si="129"/>
        <v>#DIV/0!</v>
      </c>
      <c r="BF57" s="387" t="e">
        <f t="shared" si="129"/>
        <v>#DIV/0!</v>
      </c>
      <c r="BG57" s="387" t="e">
        <f t="shared" si="129"/>
        <v>#DIV/0!</v>
      </c>
      <c r="BH57" s="387" t="e">
        <f t="shared" si="129"/>
        <v>#DIV/0!</v>
      </c>
      <c r="BI57" s="387" t="e">
        <f t="shared" si="129"/>
        <v>#DIV/0!</v>
      </c>
      <c r="BJ57" s="387" t="e">
        <f t="shared" si="129"/>
        <v>#DIV/0!</v>
      </c>
      <c r="BK57" s="387" t="e">
        <f t="shared" si="129"/>
        <v>#DIV/0!</v>
      </c>
      <c r="BL57" s="387" t="e">
        <f t="shared" si="129"/>
        <v>#DIV/0!</v>
      </c>
      <c r="BM57" s="387" t="e">
        <f t="shared" si="129"/>
        <v>#DIV/0!</v>
      </c>
    </row>
    <row r="58" spans="1:65">
      <c r="A58" s="330" t="s">
        <v>569</v>
      </c>
      <c r="D58" s="380">
        <f t="shared" ref="D58:AG58" si="130">+D54/D36-1</f>
        <v>0</v>
      </c>
      <c r="E58" s="380">
        <f t="shared" si="130"/>
        <v>0</v>
      </c>
      <c r="F58" s="380">
        <f t="shared" si="130"/>
        <v>0</v>
      </c>
      <c r="G58" s="380">
        <f t="shared" si="130"/>
        <v>1.0129051620648255E-2</v>
      </c>
      <c r="H58" s="380">
        <f t="shared" si="130"/>
        <v>1.3128449947784615E-2</v>
      </c>
      <c r="I58" s="380">
        <f t="shared" si="130"/>
        <v>1.2742628537560918E-2</v>
      </c>
      <c r="J58" s="380">
        <f t="shared" si="130"/>
        <v>1.2742628537560918E-2</v>
      </c>
      <c r="K58" s="380">
        <f t="shared" si="130"/>
        <v>1.2697705502338952E-2</v>
      </c>
      <c r="L58" s="380">
        <f t="shared" si="130"/>
        <v>1.3748378728923427E-2</v>
      </c>
      <c r="M58" s="380">
        <f t="shared" si="130"/>
        <v>1.3380459479929163E-2</v>
      </c>
      <c r="N58" s="380">
        <f t="shared" si="130"/>
        <v>1.3880401571366274E-2</v>
      </c>
      <c r="O58" s="380">
        <f t="shared" si="130"/>
        <v>1.3870714472651091E-2</v>
      </c>
      <c r="P58" s="380">
        <f t="shared" si="130"/>
        <v>1.3671539122958043E-2</v>
      </c>
      <c r="Q58" s="380">
        <f t="shared" si="130"/>
        <v>9.5507334963327306E-3</v>
      </c>
      <c r="R58" s="380">
        <f t="shared" si="130"/>
        <v>9.1972628945626855E-3</v>
      </c>
      <c r="S58" s="380">
        <f t="shared" si="130"/>
        <v>9.1487960184439832E-3</v>
      </c>
      <c r="T58" s="380">
        <f t="shared" si="130"/>
        <v>9.1487960184439832E-3</v>
      </c>
      <c r="U58" s="380">
        <f t="shared" si="130"/>
        <v>9.1487960184439832E-3</v>
      </c>
      <c r="V58" s="380">
        <f t="shared" si="130"/>
        <v>8.4900827051159755E-3</v>
      </c>
      <c r="W58" s="380">
        <f t="shared" si="130"/>
        <v>8.4900827051159755E-3</v>
      </c>
      <c r="X58" s="380">
        <f t="shared" si="130"/>
        <v>8.4900827051159755E-3</v>
      </c>
      <c r="Y58" s="380">
        <f t="shared" si="130"/>
        <v>8.4900827051159755E-3</v>
      </c>
      <c r="Z58" s="380">
        <f t="shared" si="130"/>
        <v>8.4900827051159755E-3</v>
      </c>
      <c r="AA58" s="380">
        <f t="shared" si="130"/>
        <v>7.9045597599356476E-3</v>
      </c>
      <c r="AB58" s="380">
        <f t="shared" si="130"/>
        <v>7.9045597599356476E-3</v>
      </c>
      <c r="AC58" s="380">
        <f t="shared" si="130"/>
        <v>7.9045597599356476E-3</v>
      </c>
      <c r="AD58" s="380">
        <f t="shared" si="130"/>
        <v>7.9045597599356476E-3</v>
      </c>
      <c r="AE58" s="380">
        <f t="shared" si="130"/>
        <v>7.9045597599356476E-3</v>
      </c>
      <c r="AF58" s="380">
        <f t="shared" si="130"/>
        <v>7.9045597599356476E-3</v>
      </c>
      <c r="AG58" s="380">
        <f t="shared" si="130"/>
        <v>7.9045597599356476E-3</v>
      </c>
      <c r="AH58" s="380"/>
      <c r="AI58" s="380"/>
      <c r="AJ58" s="380"/>
      <c r="AK58" s="380"/>
      <c r="AL58" s="380"/>
      <c r="AM58" s="380"/>
      <c r="AN58" s="380"/>
      <c r="AO58" s="380"/>
      <c r="AP58" s="380"/>
      <c r="AQ58" s="380"/>
      <c r="AR58" s="380"/>
      <c r="AS58" s="380"/>
      <c r="AT58" s="380"/>
      <c r="AU58" s="380"/>
      <c r="AV58" s="380"/>
      <c r="AW58" s="380"/>
      <c r="AX58" s="380"/>
      <c r="AY58" s="380"/>
      <c r="AZ58" s="380"/>
      <c r="BC58" s="380" t="e">
        <f t="shared" ref="BC58:BM58" si="131">+BC54/BC36-1</f>
        <v>#DIV/0!</v>
      </c>
      <c r="BD58" s="380" t="e">
        <f t="shared" si="131"/>
        <v>#DIV/0!</v>
      </c>
      <c r="BE58" s="380" t="e">
        <f t="shared" si="131"/>
        <v>#DIV/0!</v>
      </c>
      <c r="BF58" s="380" t="e">
        <f t="shared" si="131"/>
        <v>#DIV/0!</v>
      </c>
      <c r="BG58" s="380" t="e">
        <f t="shared" si="131"/>
        <v>#DIV/0!</v>
      </c>
      <c r="BH58" s="380" t="e">
        <f t="shared" si="131"/>
        <v>#DIV/0!</v>
      </c>
      <c r="BI58" s="380" t="e">
        <f t="shared" si="131"/>
        <v>#DIV/0!</v>
      </c>
      <c r="BJ58" s="380" t="e">
        <f t="shared" si="131"/>
        <v>#DIV/0!</v>
      </c>
      <c r="BK58" s="380" t="e">
        <f t="shared" si="131"/>
        <v>#DIV/0!</v>
      </c>
      <c r="BL58" s="380" t="e">
        <f t="shared" si="131"/>
        <v>#DIV/0!</v>
      </c>
      <c r="BM58" s="380" t="e">
        <f t="shared" si="131"/>
        <v>#DIV/0!</v>
      </c>
    </row>
    <row r="59" spans="1:65">
      <c r="A59" s="649" t="s">
        <v>570</v>
      </c>
      <c r="B59" s="649"/>
      <c r="C59" s="649"/>
      <c r="D59" s="650">
        <v>0</v>
      </c>
      <c r="E59" s="650">
        <v>0</v>
      </c>
      <c r="F59" s="650">
        <v>0</v>
      </c>
      <c r="G59" s="650">
        <v>1.2299999999999898</v>
      </c>
      <c r="H59" s="650">
        <v>1.6299999999999955</v>
      </c>
      <c r="I59" s="650">
        <v>1.589999999999975</v>
      </c>
      <c r="J59" s="650">
        <v>1.589999999999975</v>
      </c>
      <c r="K59" s="650">
        <v>1.589999999999975</v>
      </c>
      <c r="L59" s="650">
        <v>1.460000000000008</v>
      </c>
    </row>
    <row r="60" spans="1:65">
      <c r="A60" s="649" t="s">
        <v>571</v>
      </c>
      <c r="B60" s="649"/>
      <c r="C60" s="649"/>
      <c r="D60" s="651">
        <v>0</v>
      </c>
      <c r="E60" s="651">
        <v>0</v>
      </c>
      <c r="F60" s="651">
        <v>0</v>
      </c>
      <c r="G60" s="651">
        <v>9.2286914765906669E-3</v>
      </c>
      <c r="H60" s="651">
        <v>1.2158734894823109E-2</v>
      </c>
      <c r="I60" s="651">
        <v>1.1779522892280125E-2</v>
      </c>
      <c r="J60" s="651">
        <v>1.1779522892280125E-2</v>
      </c>
      <c r="K60" s="651">
        <v>1.1806638449543216E-2</v>
      </c>
      <c r="L60" s="651">
        <v>1.262429744920035E-2</v>
      </c>
    </row>
    <row r="62" spans="1:65">
      <c r="A62" s="344" t="s">
        <v>572</v>
      </c>
    </row>
    <row r="63" spans="1:65">
      <c r="A63" s="327" t="s">
        <v>573</v>
      </c>
      <c r="D63" s="379">
        <f>IF(SUMIF('Rev Req'!$C$4:$AA$4,D$5,'Rev Req'!$C$48:$AA$48)=0,0,SUMIF('Rev Req'!$C$4:$AA$4,D$5,'Rev Req'!$C$51:$AA$51)/1000-SUM($C$63:C63))</f>
        <v>0</v>
      </c>
      <c r="E63" s="379">
        <f>IF(SUMIF('Rev Req'!$C$4:$AA$4,E$5,'Rev Req'!$C$48:$AA$48)=0,0,SUMIF('Rev Req'!$C$4:$AA$4,E$5,'Rev Req'!$C$51:$AA$51)/1000-SUM($C$63:D63))</f>
        <v>0</v>
      </c>
      <c r="F63" s="379">
        <f>IF(SUMIF('Rev Req'!$C$4:$AA$4,F$5,'Rev Req'!$C$48:$AA$48)=0,0,SUMIF('Rev Req'!$C$4:$AA$4,F$5,'Rev Req'!$C$51:$AA$51)/1000-SUM($C$63:E63))</f>
        <v>0</v>
      </c>
      <c r="G63" s="379">
        <f>IF(SUMIF('Rev Req'!$C$4:$AA$4,G$5,'Rev Req'!$C$48:$AA$48)=0,0,SUMIF('Rev Req'!$C$4:$AA$4,G$5,'Rev Req'!$C$51:$AA$51)/1000-SUM($C$63:F63))</f>
        <v>29676.195567923136</v>
      </c>
      <c r="H63" s="379">
        <f>IF(SUMIF('Rev Req'!$C$4:$AA$4,H$5,'Rev Req'!$C$48:$AA$48)=0,0,SUMIF('Rev Req'!$C$4:$AA$4,H$5,'Rev Req'!$C$51:$AA$51)/1000-SUM($C$63:G63))</f>
        <v>9088.3856640620761</v>
      </c>
      <c r="I63" s="379">
        <f>IF(SUMIF('Rev Req'!$C$4:$AA$4,I$5,'Rev Req'!$C$48:$AA$48)=0,0,SUMIF('Rev Req'!$C$4:$AA$4,I$5,'Rev Req'!$C$51:$AA$51)/1000-SUM($C$63:H63))</f>
        <v>-957.05536238795321</v>
      </c>
      <c r="J63" s="379">
        <f>IF(SUMIF('Rev Req'!$C$4:$AA$4,J$5,'Rev Req'!$C$48:$AA$48)=0,0,SUMIF('Rev Req'!$C$4:$AA$4,J$5,'Rev Req'!$C$51:$AA$51)/1000-SUM($C$63:I63))</f>
        <v>0</v>
      </c>
      <c r="K63" s="379">
        <f>IF(SUMIF('Rev Req'!$C$4:$AA$4,K$5,'Rev Req'!$C$48:$AA$48)=0,0,SUMIF('Rev Req'!$C$4:$AA$4,K$5,'Rev Req'!$C$51:$AA$51)/1000-SUM($C$63:J63))</f>
        <v>0</v>
      </c>
      <c r="L63" s="379">
        <f>IF(SUMIF('Rev Req'!$C$4:$AA$4,L$5,'Rev Req'!$C$48:$AA$48)=0,0,SUMIF('Rev Req'!$C$4:$AA$4,L$5,'Rev Req'!$C$51:$AA$51)/1000-SUM($C$63:K63))</f>
        <v>-2638.4227775311956</v>
      </c>
      <c r="M63" s="379">
        <f>IF(SUMIF('Rev Req'!$C$4:$AA$4,M$5,'Rev Req'!$C$48:$AA$48)=0,0,SUMIF('Rev Req'!$C$4:$AA$4,M$5,'Rev Req'!$C$51:$AA$51)/1000-SUM($C$63:L63))</f>
        <v>0</v>
      </c>
      <c r="N63" s="379">
        <f>IF(SUMIF('Rev Req'!$C$4:$AA$4,N$5,'Rev Req'!$C$48:$AA$48)=0,0,SUMIF('Rev Req'!$C$4:$AA$4,N$5,'Rev Req'!$C$51:$AA$51)/1000-SUM($C$63:M63))</f>
        <v>0</v>
      </c>
      <c r="O63" s="379">
        <f>IF(SUMIF('Rev Req'!$C$4:$AA$4,O$5,'Rev Req'!$C$48:$AA$48)=0,0,SUMIF('Rev Req'!$C$4:$AA$4,O$5,'Rev Req'!$C$51:$AA$51)/1000-SUM($C$63:N63))</f>
        <v>0</v>
      </c>
      <c r="P63" s="379">
        <f>IF(SUMIF('Rev Req'!$C$4:$AA$4,P$5,'Rev Req'!$C$48:$AA$48)=0,0,SUMIF('Rev Req'!$C$4:$AA$4,P$5,'Rev Req'!$C$51:$AA$51)/1000-SUM($C$63:O63))</f>
        <v>0</v>
      </c>
      <c r="Q63" s="379">
        <f>IF(SUMIF('Rev Req'!$C$4:$AA$4,Q$5,'Rev Req'!$C$48:$AA$48)=0,0,SUMIF('Rev Req'!$C$4:$AA$4,Q$5,'Rev Req'!$C$51:$AA$51)/1000-SUM($C$63:P63))</f>
        <v>-7662.712133308527</v>
      </c>
      <c r="R63" s="379">
        <f>IF(SUMIF('Rev Req'!$C$4:$AA$4,R$5,'Rev Req'!$C$48:$AA$48)=0,0,SUMIF('Rev Req'!$C$4:$AA$4,R$5,'Rev Req'!$C$51:$AA$51)/1000-SUM($C$63:Q63))</f>
        <v>0</v>
      </c>
      <c r="S63" s="379">
        <f>IF(SUMIF('Rev Req'!$C$4:$AA$4,S$5,'Rev Req'!$C$48:$AA$48)=0,0,SUMIF('Rev Req'!$C$4:$AA$4,S$5,'Rev Req'!$C$51:$AA$51)/1000-SUM($C$63:R63))</f>
        <v>0</v>
      </c>
      <c r="T63" s="379">
        <f>IF(SUMIF('Rev Req'!$C$4:$AA$4,T$5,'Rev Req'!$C$48:$AA$48)=0,0,SUMIF('Rev Req'!$C$4:$AA$4,T$5,'Rev Req'!$C$51:$AA$51)/1000-SUM($C$63:S63))</f>
        <v>0</v>
      </c>
      <c r="U63" s="379">
        <f>IF(SUMIF('Rev Req'!$C$4:$AA$4,U$5,'Rev Req'!$C$48:$AA$48)=0,0,SUMIF('Rev Req'!$C$4:$AA$4,U$5,'Rev Req'!$C$51:$AA$51)/1000-SUM($C$63:T63))</f>
        <v>0</v>
      </c>
      <c r="V63" s="379">
        <f>IF(SUMIF('Rev Req'!$C$4:$AA$4,V$5,'Rev Req'!$C$48:$AA$48)=0,0,SUMIF('Rev Req'!$C$4:$AA$4,V$5,'Rev Req'!$C$51:$AA$51)/1000-SUM($C$63:U63))</f>
        <v>-1834.7237684981774</v>
      </c>
      <c r="W63" s="379">
        <f>IF(SUMIF('Rev Req'!$C$4:$AA$4,W$5,'Rev Req'!$C$48:$AA$48)=0,0,SUMIF('Rev Req'!$C$4:$AA$4,W$5,'Rev Req'!$C$51:$AA$51)/1000-SUM($C$63:V63))</f>
        <v>0</v>
      </c>
      <c r="X63" s="379">
        <f>IF(SUMIF('Rev Req'!$C$4:$AA$4,X$5,'Rev Req'!$C$48:$AA$48)=0,0,SUMIF('Rev Req'!$C$4:$AA$4,X$5,'Rev Req'!$C$51:$AA$51)/1000-SUM($C$63:W63))</f>
        <v>0</v>
      </c>
      <c r="Y63" s="379">
        <f>IF(SUMIF('Rev Req'!$C$4:$AA$4,Y$5,'Rev Req'!$C$48:$AA$48)=0,0,SUMIF('Rev Req'!$C$4:$AA$4,Y$5,'Rev Req'!$C$51:$AA$51)/1000-SUM($C$63:X63))</f>
        <v>0</v>
      </c>
      <c r="Z63" s="379">
        <f>IF(SUMIF('Rev Req'!$C$4:$AA$4,Z$5,'Rev Req'!$C$48:$AA$48)=0,0,SUMIF('Rev Req'!$C$4:$AA$4,Z$5,'Rev Req'!$C$51:$AA$51)/1000-SUM($C$63:Y63))</f>
        <v>0</v>
      </c>
      <c r="AA63" s="379">
        <f>IF(SUMIF('Rev Req'!$C$4:$AA$4,AA$5,'Rev Req'!$C$48:$AA$48)=0,0,SUMIF('Rev Req'!$C$4:$AA$4,AA$5,'Rev Req'!$C$51:$AA$51)/1000-SUM($C$63:Z63))</f>
        <v>-1789.3019280677509</v>
      </c>
      <c r="AB63" s="379">
        <f>IF(SUMIF('Rev Req'!$C$4:$AA$4,AB$5,'Rev Req'!$C$48:$AA$48)=0,0,SUMIF('Rev Req'!$C$4:$AA$4,AB$5,'Rev Req'!$C$51:$AA$51)/1000-SUM($C$63:AA63))</f>
        <v>0</v>
      </c>
      <c r="AC63" s="379">
        <f>IF(SUMIF('Rev Req'!$C$4:$AA$4,AC$5,'Rev Req'!$C$48:$AA$48)=0,0,SUMIF('Rev Req'!$C$4:$AA$4,AC$5,'Rev Req'!$C$51:$AA$51)/1000-SUM($C$63:AB63))</f>
        <v>0</v>
      </c>
      <c r="AD63" s="379">
        <f>IF(SUMIF('Rev Req'!$C$4:$AA$4,AD$5,'Rev Req'!$C$48:$AA$48)=0,0,SUMIF('Rev Req'!$C$4:$AA$4,AD$5,'Rev Req'!$C$51:$AA$51)/1000-SUM($C$63:AC63))</f>
        <v>0</v>
      </c>
      <c r="AE63" s="379">
        <f>IF(SUMIF('Rev Req'!$C$4:$AA$4,AE$5,'Rev Req'!$C$48:$AA$48)=0,0,SUMIF('Rev Req'!$C$4:$AA$4,AE$5,'Rev Req'!$C$51:$AA$51)/1000-SUM($C$63:AD63))</f>
        <v>0</v>
      </c>
      <c r="AF63" s="379">
        <f>IF(SUMIF('Rev Req'!$C$4:$AA$4,AF$5,'Rev Req'!$C$48:$AA$48)=0,0,SUMIF('Rev Req'!$C$4:$AA$4,AF$5,'Rev Req'!$C$51:$AA$51)/1000-SUM($C$63:AE63))</f>
        <v>0</v>
      </c>
      <c r="AG63" s="379">
        <f>IF(SUMIF('Rev Req'!$C$4:$AA$4,AG$5,'Rev Req'!$C$48:$AA$48)=0,0,SUMIF('Rev Req'!$C$4:$AA$4,AG$5,'Rev Req'!$C$51:$AA$51)/1000-SUM($C$63:AF63))</f>
        <v>0</v>
      </c>
      <c r="AH63" s="379"/>
      <c r="AI63" s="379"/>
      <c r="AJ63" s="379"/>
      <c r="AK63" s="379"/>
      <c r="AL63" s="379"/>
      <c r="AM63" s="379"/>
      <c r="AN63" s="379"/>
      <c r="AO63" s="379"/>
      <c r="AP63" s="379"/>
      <c r="AQ63" s="379"/>
      <c r="AR63" s="379"/>
      <c r="AS63" s="379"/>
      <c r="AT63" s="379"/>
      <c r="AU63" s="379"/>
      <c r="AV63" s="379"/>
      <c r="AW63" s="379"/>
      <c r="AX63" s="379"/>
      <c r="AY63" s="379"/>
      <c r="AZ63" s="379"/>
      <c r="BC63" s="379">
        <f t="shared" ref="BC63:BM63" si="132">+D63</f>
        <v>0</v>
      </c>
      <c r="BD63" s="379">
        <f t="shared" si="132"/>
        <v>0</v>
      </c>
      <c r="BE63" s="379">
        <f t="shared" si="132"/>
        <v>0</v>
      </c>
      <c r="BF63" s="379">
        <f t="shared" si="132"/>
        <v>29676.195567923136</v>
      </c>
      <c r="BG63" s="379">
        <f t="shared" si="132"/>
        <v>9088.3856640620761</v>
      </c>
      <c r="BH63" s="379">
        <f t="shared" si="132"/>
        <v>-957.05536238795321</v>
      </c>
      <c r="BI63" s="379">
        <f t="shared" si="132"/>
        <v>0</v>
      </c>
      <c r="BJ63" s="379">
        <f t="shared" si="132"/>
        <v>0</v>
      </c>
      <c r="BK63" s="379">
        <f t="shared" si="132"/>
        <v>-2638.4227775311956</v>
      </c>
      <c r="BL63" s="379">
        <f t="shared" si="132"/>
        <v>0</v>
      </c>
      <c r="BM63" s="379">
        <f t="shared" si="132"/>
        <v>0</v>
      </c>
    </row>
    <row r="64" spans="1:65">
      <c r="A64" s="327" t="s">
        <v>574</v>
      </c>
      <c r="B64" s="689">
        <f>60%*0.74</f>
        <v>0.44400000000000001</v>
      </c>
      <c r="D64" s="379">
        <f>+D63*$B$64</f>
        <v>0</v>
      </c>
      <c r="E64" s="379">
        <f t="shared" ref="E64:AG64" si="133">+E63*$B$64</f>
        <v>0</v>
      </c>
      <c r="F64" s="379">
        <f t="shared" si="133"/>
        <v>0</v>
      </c>
      <c r="G64" s="379">
        <f t="shared" si="133"/>
        <v>13176.230832157873</v>
      </c>
      <c r="H64" s="379">
        <f t="shared" si="133"/>
        <v>4035.2432348435618</v>
      </c>
      <c r="I64" s="379">
        <f t="shared" si="133"/>
        <v>-424.93258090025125</v>
      </c>
      <c r="J64" s="379">
        <f t="shared" si="133"/>
        <v>0</v>
      </c>
      <c r="K64" s="379">
        <f t="shared" si="133"/>
        <v>0</v>
      </c>
      <c r="L64" s="379">
        <f t="shared" si="133"/>
        <v>-1171.4597132238509</v>
      </c>
      <c r="M64" s="379">
        <f t="shared" si="133"/>
        <v>0</v>
      </c>
      <c r="N64" s="379">
        <f t="shared" si="133"/>
        <v>0</v>
      </c>
      <c r="O64" s="379">
        <f t="shared" si="133"/>
        <v>0</v>
      </c>
      <c r="P64" s="379">
        <f t="shared" si="133"/>
        <v>0</v>
      </c>
      <c r="Q64" s="379">
        <f t="shared" si="133"/>
        <v>-3402.244187188986</v>
      </c>
      <c r="R64" s="379">
        <f t="shared" si="133"/>
        <v>0</v>
      </c>
      <c r="S64" s="379">
        <f t="shared" si="133"/>
        <v>0</v>
      </c>
      <c r="T64" s="379">
        <f t="shared" si="133"/>
        <v>0</v>
      </c>
      <c r="U64" s="379">
        <f t="shared" si="133"/>
        <v>0</v>
      </c>
      <c r="V64" s="379">
        <f t="shared" si="133"/>
        <v>-814.61735321319077</v>
      </c>
      <c r="W64" s="379">
        <f t="shared" si="133"/>
        <v>0</v>
      </c>
      <c r="X64" s="379">
        <f t="shared" si="133"/>
        <v>0</v>
      </c>
      <c r="Y64" s="379">
        <f t="shared" si="133"/>
        <v>0</v>
      </c>
      <c r="Z64" s="379">
        <f t="shared" si="133"/>
        <v>0</v>
      </c>
      <c r="AA64" s="379">
        <f t="shared" si="133"/>
        <v>-794.45005606208144</v>
      </c>
      <c r="AB64" s="379">
        <f t="shared" si="133"/>
        <v>0</v>
      </c>
      <c r="AC64" s="379">
        <f t="shared" si="133"/>
        <v>0</v>
      </c>
      <c r="AD64" s="379">
        <f t="shared" si="133"/>
        <v>0</v>
      </c>
      <c r="AE64" s="379">
        <f t="shared" si="133"/>
        <v>0</v>
      </c>
      <c r="AF64" s="379">
        <f t="shared" si="133"/>
        <v>0</v>
      </c>
      <c r="AG64" s="379">
        <f t="shared" si="133"/>
        <v>0</v>
      </c>
      <c r="AH64" s="379"/>
      <c r="AI64" s="379"/>
      <c r="AJ64" s="379"/>
      <c r="AK64" s="379"/>
      <c r="AL64" s="379"/>
      <c r="AM64" s="379"/>
      <c r="AN64" s="379"/>
      <c r="AO64" s="379"/>
      <c r="AP64" s="379"/>
      <c r="AQ64" s="379"/>
      <c r="AR64" s="379"/>
      <c r="AS64" s="379"/>
      <c r="AT64" s="379"/>
      <c r="AU64" s="379"/>
      <c r="AV64" s="379"/>
      <c r="AW64" s="379"/>
      <c r="AX64" s="379"/>
      <c r="AY64" s="379"/>
      <c r="AZ64" s="379"/>
      <c r="BC64" s="379"/>
      <c r="BD64" s="379"/>
      <c r="BE64" s="379"/>
      <c r="BF64" s="379"/>
      <c r="BG64" s="379"/>
      <c r="BH64" s="379"/>
      <c r="BI64" s="379"/>
      <c r="BJ64" s="379"/>
      <c r="BK64" s="379"/>
      <c r="BL64" s="379"/>
      <c r="BM64" s="379"/>
    </row>
    <row r="65" spans="1:66">
      <c r="A65" s="327" t="s">
        <v>575</v>
      </c>
      <c r="D65" s="451">
        <f t="shared" ref="D65:AG65" si="134">IF(SUMIF($D$77:$AG$77,D$5,$D$90:$AG$90)=0,C65,SUMIF($D$77:$AG$77,D$5,$D$90:$AG$90))</f>
        <v>0</v>
      </c>
      <c r="E65" s="451">
        <f t="shared" si="134"/>
        <v>9853.328517689999</v>
      </c>
      <c r="F65" s="451">
        <f t="shared" si="134"/>
        <v>9971.2555134100003</v>
      </c>
      <c r="G65" s="451">
        <f t="shared" si="134"/>
        <v>10061.840233360001</v>
      </c>
      <c r="H65" s="451">
        <f t="shared" si="134"/>
        <v>10149.104777900002</v>
      </c>
      <c r="I65" s="451">
        <f t="shared" si="134"/>
        <v>10235.1966827</v>
      </c>
      <c r="J65" s="451">
        <f t="shared" si="134"/>
        <v>10235.1966827</v>
      </c>
      <c r="K65" s="451">
        <f t="shared" si="134"/>
        <v>10235.1966827</v>
      </c>
      <c r="L65" s="451">
        <f t="shared" si="134"/>
        <v>10235.1966827</v>
      </c>
      <c r="M65" s="451">
        <f t="shared" si="134"/>
        <v>10235.1966827</v>
      </c>
      <c r="N65" s="451">
        <f t="shared" si="134"/>
        <v>10235.1966827</v>
      </c>
      <c r="O65" s="451">
        <f t="shared" si="134"/>
        <v>10235.1966827</v>
      </c>
      <c r="P65" s="451">
        <f t="shared" si="134"/>
        <v>10235.1966827</v>
      </c>
      <c r="Q65" s="451">
        <f t="shared" si="134"/>
        <v>10235.1966827</v>
      </c>
      <c r="R65" s="451">
        <f t="shared" si="134"/>
        <v>10235.1966827</v>
      </c>
      <c r="S65" s="451">
        <f t="shared" si="134"/>
        <v>10235.1966827</v>
      </c>
      <c r="T65" s="451">
        <f t="shared" si="134"/>
        <v>10235.1966827</v>
      </c>
      <c r="U65" s="451">
        <f t="shared" si="134"/>
        <v>10235.1966827</v>
      </c>
      <c r="V65" s="451">
        <f t="shared" si="134"/>
        <v>10235.1966827</v>
      </c>
      <c r="W65" s="451">
        <f t="shared" si="134"/>
        <v>10235.1966827</v>
      </c>
      <c r="X65" s="451">
        <f t="shared" si="134"/>
        <v>10235.1966827</v>
      </c>
      <c r="Y65" s="451">
        <f t="shared" si="134"/>
        <v>10235.1966827</v>
      </c>
      <c r="Z65" s="451">
        <f t="shared" si="134"/>
        <v>10235.1966827</v>
      </c>
      <c r="AA65" s="451">
        <f t="shared" si="134"/>
        <v>10235.1966827</v>
      </c>
      <c r="AB65" s="451">
        <f t="shared" si="134"/>
        <v>10235.1966827</v>
      </c>
      <c r="AC65" s="451">
        <f t="shared" si="134"/>
        <v>10235.1966827</v>
      </c>
      <c r="AD65" s="451">
        <f t="shared" si="134"/>
        <v>10235.1966827</v>
      </c>
      <c r="AE65" s="451">
        <f t="shared" si="134"/>
        <v>10235.1966827</v>
      </c>
      <c r="AF65" s="451">
        <f t="shared" si="134"/>
        <v>10235.1966827</v>
      </c>
      <c r="AG65" s="451">
        <f t="shared" si="134"/>
        <v>10235.1966827</v>
      </c>
      <c r="AH65" s="332"/>
      <c r="AI65" s="332"/>
      <c r="AJ65" s="332"/>
      <c r="AK65" s="332"/>
      <c r="AL65" s="332"/>
      <c r="AM65" s="332"/>
      <c r="AN65" s="332"/>
      <c r="AO65" s="332"/>
      <c r="AP65" s="332"/>
      <c r="AQ65" s="332"/>
      <c r="AR65" s="332"/>
      <c r="AS65" s="332"/>
      <c r="AT65" s="332"/>
      <c r="AU65" s="332"/>
      <c r="AV65" s="332"/>
      <c r="AW65" s="332"/>
      <c r="AX65" s="332"/>
      <c r="AY65" s="332"/>
      <c r="AZ65" s="332"/>
      <c r="BC65" s="451">
        <f t="shared" ref="BC65:BM65" si="135">IF(SUMIF($BC$77:$BN$77,BC$5,$BC$90:$BN$90)=0,BB65,SUMIF($BC$77:$BN$77,BC$5,$BC$90:$BN$90))</f>
        <v>0</v>
      </c>
      <c r="BD65" s="451">
        <f t="shared" si="135"/>
        <v>0</v>
      </c>
      <c r="BE65" s="451">
        <f t="shared" si="135"/>
        <v>0</v>
      </c>
      <c r="BF65" s="451">
        <f t="shared" si="135"/>
        <v>0</v>
      </c>
      <c r="BG65" s="451">
        <f t="shared" si="135"/>
        <v>0</v>
      </c>
      <c r="BH65" s="451">
        <f t="shared" si="135"/>
        <v>0</v>
      </c>
      <c r="BI65" s="451">
        <f t="shared" si="135"/>
        <v>0</v>
      </c>
      <c r="BJ65" s="451">
        <f t="shared" si="135"/>
        <v>0</v>
      </c>
      <c r="BK65" s="451">
        <f t="shared" si="135"/>
        <v>0</v>
      </c>
      <c r="BL65" s="451">
        <f t="shared" si="135"/>
        <v>0</v>
      </c>
      <c r="BM65" s="451">
        <f t="shared" si="135"/>
        <v>0</v>
      </c>
    </row>
    <row r="66" spans="1:66">
      <c r="A66" s="327" t="s">
        <v>576</v>
      </c>
      <c r="D66" s="336">
        <f>IFERROR(D64/D65,0)</f>
        <v>0</v>
      </c>
      <c r="E66" s="336">
        <f t="shared" ref="E66:AG66" si="136">IFERROR(E64/E65,0)</f>
        <v>0</v>
      </c>
      <c r="F66" s="336">
        <f t="shared" si="136"/>
        <v>0</v>
      </c>
      <c r="G66" s="336">
        <f t="shared" si="136"/>
        <v>1.3095249503636641</v>
      </c>
      <c r="H66" s="336">
        <f t="shared" si="136"/>
        <v>0.39759597749255993</v>
      </c>
      <c r="I66" s="336">
        <f t="shared" si="136"/>
        <v>-4.1516796801618072E-2</v>
      </c>
      <c r="J66" s="336">
        <f t="shared" si="136"/>
        <v>0</v>
      </c>
      <c r="K66" s="336">
        <f t="shared" si="136"/>
        <v>0</v>
      </c>
      <c r="L66" s="336">
        <f t="shared" si="136"/>
        <v>-0.1144540500334406</v>
      </c>
      <c r="M66" s="336">
        <f t="shared" si="136"/>
        <v>0</v>
      </c>
      <c r="N66" s="336">
        <f t="shared" si="136"/>
        <v>0</v>
      </c>
      <c r="O66" s="336">
        <f t="shared" si="136"/>
        <v>0</v>
      </c>
      <c r="P66" s="336">
        <f t="shared" si="136"/>
        <v>0</v>
      </c>
      <c r="Q66" s="336">
        <f t="shared" si="136"/>
        <v>-0.33240633205804593</v>
      </c>
      <c r="R66" s="336">
        <f t="shared" si="136"/>
        <v>0</v>
      </c>
      <c r="S66" s="336">
        <f t="shared" si="136"/>
        <v>0</v>
      </c>
      <c r="T66" s="336">
        <f t="shared" si="136"/>
        <v>0</v>
      </c>
      <c r="U66" s="336">
        <f t="shared" si="136"/>
        <v>0</v>
      </c>
      <c r="V66" s="336">
        <f t="shared" si="136"/>
        <v>-7.9589809406407835E-2</v>
      </c>
      <c r="W66" s="336">
        <f t="shared" si="136"/>
        <v>0</v>
      </c>
      <c r="X66" s="336">
        <f t="shared" si="136"/>
        <v>0</v>
      </c>
      <c r="Y66" s="336">
        <f t="shared" si="136"/>
        <v>0</v>
      </c>
      <c r="Z66" s="336">
        <f t="shared" si="136"/>
        <v>0</v>
      </c>
      <c r="AA66" s="336">
        <f t="shared" si="136"/>
        <v>-7.7619422536832877E-2</v>
      </c>
      <c r="AB66" s="336">
        <f t="shared" si="136"/>
        <v>0</v>
      </c>
      <c r="AC66" s="336">
        <f t="shared" si="136"/>
        <v>0</v>
      </c>
      <c r="AD66" s="336">
        <f t="shared" si="136"/>
        <v>0</v>
      </c>
      <c r="AE66" s="336">
        <f t="shared" si="136"/>
        <v>0</v>
      </c>
      <c r="AF66" s="336">
        <f t="shared" si="136"/>
        <v>0</v>
      </c>
      <c r="AG66" s="336">
        <f t="shared" si="136"/>
        <v>0</v>
      </c>
      <c r="AH66" s="384"/>
      <c r="AI66" s="384"/>
      <c r="AJ66" s="384"/>
      <c r="AK66" s="384"/>
      <c r="AL66" s="384"/>
      <c r="AM66" s="384"/>
      <c r="AN66" s="384"/>
      <c r="AO66" s="384"/>
      <c r="AP66" s="384"/>
      <c r="AQ66" s="384"/>
      <c r="AR66" s="384"/>
      <c r="AS66" s="384"/>
      <c r="AT66" s="384"/>
      <c r="AU66" s="384"/>
      <c r="AV66" s="384"/>
      <c r="AW66" s="384"/>
      <c r="AX66" s="384"/>
      <c r="AY66" s="384"/>
      <c r="AZ66" s="384"/>
      <c r="BC66" s="343" t="e">
        <f>+BC63/BC65</f>
        <v>#DIV/0!</v>
      </c>
      <c r="BD66" s="343" t="e">
        <f t="shared" ref="BD66:BM66" si="137">+BD63/BD65</f>
        <v>#DIV/0!</v>
      </c>
      <c r="BE66" s="343" t="e">
        <f t="shared" si="137"/>
        <v>#DIV/0!</v>
      </c>
      <c r="BF66" s="343" t="e">
        <f t="shared" si="137"/>
        <v>#DIV/0!</v>
      </c>
      <c r="BG66" s="343" t="e">
        <f t="shared" si="137"/>
        <v>#DIV/0!</v>
      </c>
      <c r="BH66" s="343" t="e">
        <f t="shared" si="137"/>
        <v>#DIV/0!</v>
      </c>
      <c r="BI66" s="343" t="e">
        <f t="shared" si="137"/>
        <v>#DIV/0!</v>
      </c>
      <c r="BJ66" s="343" t="e">
        <f t="shared" si="137"/>
        <v>#DIV/0!</v>
      </c>
      <c r="BK66" s="343" t="e">
        <f t="shared" si="137"/>
        <v>#DIV/0!</v>
      </c>
      <c r="BL66" s="343" t="e">
        <f t="shared" si="137"/>
        <v>#DIV/0!</v>
      </c>
      <c r="BM66" s="343" t="e">
        <f t="shared" si="137"/>
        <v>#DIV/0!</v>
      </c>
    </row>
    <row r="67" spans="1:66">
      <c r="A67" s="327" t="s">
        <v>577</v>
      </c>
      <c r="D67" s="336">
        <f>SUM($D66:D66)</f>
        <v>0</v>
      </c>
      <c r="E67" s="336">
        <f>SUM($D66:E66)</f>
        <v>0</v>
      </c>
      <c r="F67" s="336">
        <f>SUM($D66:F66)</f>
        <v>0</v>
      </c>
      <c r="G67" s="336">
        <f>SUM($D66:G66)</f>
        <v>1.3095249503636641</v>
      </c>
      <c r="H67" s="336">
        <f>SUM($D66:H66)</f>
        <v>1.707120927856224</v>
      </c>
      <c r="I67" s="336">
        <f>SUM($D66:I66)</f>
        <v>1.6656041310546059</v>
      </c>
      <c r="J67" s="336">
        <f>SUM($D66:J66)</f>
        <v>1.6656041310546059</v>
      </c>
      <c r="K67" s="336">
        <f>SUM($D66:K66)</f>
        <v>1.6656041310546059</v>
      </c>
      <c r="L67" s="336">
        <f>SUM($D66:L66)</f>
        <v>1.5511500810211654</v>
      </c>
      <c r="M67" s="336">
        <f>SUM($D66:M66)</f>
        <v>1.5511500810211654</v>
      </c>
      <c r="N67" s="336">
        <f>SUM($D66:N66)</f>
        <v>1.5511500810211654</v>
      </c>
      <c r="O67" s="336">
        <f>SUM($D66:O66)</f>
        <v>1.5511500810211654</v>
      </c>
      <c r="P67" s="336">
        <f>SUM($D66:P66)</f>
        <v>1.5511500810211654</v>
      </c>
      <c r="Q67" s="336">
        <f>SUM($D66:Q66)</f>
        <v>1.2187437489631194</v>
      </c>
      <c r="R67" s="336">
        <f>SUM($D66:R66)</f>
        <v>1.2187437489631194</v>
      </c>
      <c r="S67" s="336">
        <f>SUM($D66:S66)</f>
        <v>1.2187437489631194</v>
      </c>
      <c r="T67" s="336">
        <f>SUM($D66:T66)</f>
        <v>1.2187437489631194</v>
      </c>
      <c r="U67" s="336">
        <f>SUM($D66:U66)</f>
        <v>1.2187437489631194</v>
      </c>
      <c r="V67" s="336">
        <f>SUM($D66:V66)</f>
        <v>1.1391539395567116</v>
      </c>
      <c r="W67" s="336">
        <f>SUM($D66:W66)</f>
        <v>1.1391539395567116</v>
      </c>
      <c r="X67" s="336">
        <f>SUM($D66:X66)</f>
        <v>1.1391539395567116</v>
      </c>
      <c r="Y67" s="336">
        <f>SUM($D66:Y66)</f>
        <v>1.1391539395567116</v>
      </c>
      <c r="Z67" s="336">
        <f>SUM($D66:Z66)</f>
        <v>1.1391539395567116</v>
      </c>
      <c r="AA67" s="336">
        <f>SUM($D66:AA66)</f>
        <v>1.0615345170198787</v>
      </c>
      <c r="AB67" s="336">
        <f>SUM($D66:AB66)</f>
        <v>1.0615345170198787</v>
      </c>
      <c r="AC67" s="336">
        <f>SUM($D66:AC66)</f>
        <v>1.0615345170198787</v>
      </c>
      <c r="AD67" s="336">
        <f>SUM($D66:AD66)</f>
        <v>1.0615345170198787</v>
      </c>
      <c r="AE67" s="336">
        <f>SUM($D66:AE66)</f>
        <v>1.0615345170198787</v>
      </c>
      <c r="AF67" s="336">
        <f>SUM($D66:AF66)</f>
        <v>1.0615345170198787</v>
      </c>
      <c r="AG67" s="336">
        <f>SUM($D66:AG66)</f>
        <v>1.0615345170198787</v>
      </c>
      <c r="AH67" s="384"/>
      <c r="AI67" s="384"/>
      <c r="AJ67" s="384"/>
      <c r="AK67" s="384"/>
      <c r="AL67" s="384"/>
      <c r="AM67" s="384"/>
      <c r="AN67" s="384"/>
      <c r="AO67" s="384"/>
      <c r="AP67" s="384"/>
      <c r="AQ67" s="384"/>
      <c r="AR67" s="384"/>
      <c r="AS67" s="384"/>
      <c r="AT67" s="384"/>
      <c r="AU67" s="384"/>
      <c r="AV67" s="384"/>
      <c r="AW67" s="384"/>
      <c r="AX67" s="384"/>
      <c r="AY67" s="384"/>
      <c r="AZ67" s="384"/>
      <c r="BC67" s="384" t="e">
        <f>SUM($BC66:BC66)</f>
        <v>#DIV/0!</v>
      </c>
      <c r="BD67" s="384" t="e">
        <f>SUM($BC66:BD66)</f>
        <v>#DIV/0!</v>
      </c>
      <c r="BE67" s="384" t="e">
        <f>SUM($BC66:BE66)</f>
        <v>#DIV/0!</v>
      </c>
      <c r="BF67" s="384" t="e">
        <f>SUM($BC66:BF66)</f>
        <v>#DIV/0!</v>
      </c>
      <c r="BG67" s="384" t="e">
        <f>SUM($BC66:BG66)</f>
        <v>#DIV/0!</v>
      </c>
      <c r="BH67" s="384" t="e">
        <f>SUM($BC66:BH66)</f>
        <v>#DIV/0!</v>
      </c>
      <c r="BI67" s="384" t="e">
        <f>SUM($BC66:BI66)</f>
        <v>#DIV/0!</v>
      </c>
      <c r="BJ67" s="384" t="e">
        <f>SUM($BC66:BJ66)</f>
        <v>#DIV/0!</v>
      </c>
      <c r="BK67" s="384" t="e">
        <f>SUM($BC66:BK66)</f>
        <v>#DIV/0!</v>
      </c>
      <c r="BL67" s="384" t="e">
        <f>SUM($BC66:BL66)</f>
        <v>#DIV/0!</v>
      </c>
      <c r="BM67" s="384" t="e">
        <f>SUM($BC66:BM66)</f>
        <v>#DIV/0!</v>
      </c>
    </row>
    <row r="69" spans="1:66">
      <c r="E69" s="342"/>
      <c r="BD69" s="342"/>
    </row>
    <row r="70" spans="1:66">
      <c r="A70" s="344" t="s">
        <v>578</v>
      </c>
    </row>
    <row r="71" spans="1:66">
      <c r="A71" s="327" t="s">
        <v>579</v>
      </c>
      <c r="D71" s="458">
        <f>SUMIF(Financials!$C$4:$AA$4,'Residential Bill Impact'!D5,Financials!$C$15:$AA$15)/1000</f>
        <v>0</v>
      </c>
      <c r="E71" s="458">
        <f>SUMIF(Financials!$C$4:$AA$4,'Residential Bill Impact'!E5,Financials!$C$15:$AA$15)/1000</f>
        <v>0</v>
      </c>
      <c r="F71" s="458">
        <f>SUMIF(Financials!$C$4:$AA$4,'Residential Bill Impact'!F5,Financials!$C$15:$AA$15)/1000</f>
        <v>0</v>
      </c>
      <c r="G71" s="458">
        <f>SUMIF(Financials!$C$4:$AA$4,'Residential Bill Impact'!G5,Financials!$C$15:$AA$15)/1000</f>
        <v>0</v>
      </c>
      <c r="H71" s="458">
        <f>SUMIF(Financials!$C$4:$AA$4,'Residential Bill Impact'!H5,Financials!$C$15:$AA$15)/1000</f>
        <v>0</v>
      </c>
      <c r="I71" s="458">
        <f>SUMIF(Financials!$C$4:$AA$4,'Residential Bill Impact'!I5,Financials!$C$15:$AA$15)/1000</f>
        <v>0</v>
      </c>
      <c r="J71" s="458">
        <f>SUMIF(Financials!$C$4:$AA$4,'Residential Bill Impact'!J5,Financials!$C$15:$AA$15)/1000</f>
        <v>0</v>
      </c>
      <c r="K71" s="458">
        <f>SUMIF(Financials!$C$4:$AA$4,'Residential Bill Impact'!K5,Financials!$C$15:$AA$15)/1000</f>
        <v>0</v>
      </c>
      <c r="L71" s="458">
        <f>SUMIF(Financials!$C$4:$AA$4,'Residential Bill Impact'!L5,Financials!$C$15:$AA$15)/1000</f>
        <v>0</v>
      </c>
      <c r="M71" s="458">
        <f>SUMIF(Financials!$C$4:$AA$4,'Residential Bill Impact'!M5,Financials!$C$15:$AA$15)/1000</f>
        <v>0</v>
      </c>
      <c r="N71" s="458">
        <f>SUMIF(Financials!$C$4:$AA$4,'Residential Bill Impact'!N5,Financials!$C$15:$AA$15)/1000</f>
        <v>0</v>
      </c>
      <c r="O71" s="458">
        <f>SUMIF(Financials!$C$4:$AA$4,'Residential Bill Impact'!O5,Financials!$C$15:$AA$15)/1000</f>
        <v>0</v>
      </c>
      <c r="P71" s="458">
        <f>SUMIF(Financials!$C$4:$AA$4,'Residential Bill Impact'!P5,Financials!$C$15:$AA$15)/1000</f>
        <v>0</v>
      </c>
      <c r="Q71" s="458">
        <f>SUMIF(Financials!$C$4:$AA$4,'Residential Bill Impact'!Q5,Financials!$C$15:$AA$15)/1000</f>
        <v>0</v>
      </c>
      <c r="R71" s="458">
        <f>SUMIF(Financials!$C$4:$AA$4,'Residential Bill Impact'!R5,Financials!$C$15:$AA$15)/1000</f>
        <v>0</v>
      </c>
      <c r="S71" s="458">
        <f>SUMIF(Financials!$C$4:$AA$4,'Residential Bill Impact'!S5,Financials!$C$15:$AA$15)/1000</f>
        <v>0</v>
      </c>
      <c r="T71" s="458">
        <f>SUMIF(Financials!$C$4:$AA$4,'Residential Bill Impact'!T5,Financials!$C$15:$AA$15)/1000</f>
        <v>0</v>
      </c>
      <c r="U71" s="458">
        <f>SUMIF(Financials!$C$4:$AA$4,'Residential Bill Impact'!U5,Financials!$C$15:$AA$15)/1000</f>
        <v>0</v>
      </c>
      <c r="V71" s="458">
        <f>SUMIF(Financials!$C$4:$AA$4,'Residential Bill Impact'!V5,Financials!$C$15:$AA$15)/1000</f>
        <v>0</v>
      </c>
      <c r="W71" s="458">
        <f>SUMIF(Financials!$C$4:$AA$4,'Residential Bill Impact'!W5,Financials!$C$15:$AA$15)/1000</f>
        <v>0</v>
      </c>
      <c r="X71" s="458">
        <f>SUMIF(Financials!$C$4:$AA$4,'Residential Bill Impact'!X5,Financials!$C$15:$AA$15)/1000</f>
        <v>0</v>
      </c>
      <c r="Y71" s="458">
        <f>SUMIF(Financials!$C$4:$AA$4,'Residential Bill Impact'!Y5,Financials!$C$15:$AA$15)/1000</f>
        <v>0</v>
      </c>
      <c r="Z71" s="458">
        <f>SUMIF(Financials!$C$4:$AA$4,'Residential Bill Impact'!Z5,Financials!$C$15:$AA$15)/1000</f>
        <v>0</v>
      </c>
      <c r="AA71" s="458">
        <f>SUMIF(Financials!$C$4:$AA$4,'Residential Bill Impact'!AA5,Financials!$C$15:$AA$15)/1000</f>
        <v>0</v>
      </c>
      <c r="AB71" s="458">
        <f>SUMIF(Financials!$C$4:$AA$4,'Residential Bill Impact'!AB5,Financials!$C$15:$AA$15)/1000</f>
        <v>0</v>
      </c>
      <c r="AC71" s="458">
        <f>SUMIF(Financials!$C$4:$AA$4,'Residential Bill Impact'!AC5,Financials!$C$15:$AA$15)/1000</f>
        <v>0</v>
      </c>
      <c r="AD71" s="458">
        <f>SUMIF(Financials!$C$4:$AA$4,'Residential Bill Impact'!AD5,Financials!$C$15:$AA$15)/1000</f>
        <v>0</v>
      </c>
      <c r="AE71" s="458">
        <f>SUMIF(Financials!$C$4:$AA$4,'Residential Bill Impact'!AE5,Financials!$C$15:$AA$15)/1000</f>
        <v>0</v>
      </c>
      <c r="AF71" s="458">
        <f>SUMIF(Financials!$C$4:$AA$4,'Residential Bill Impact'!AF5,Financials!$C$15:$AA$15)/1000</f>
        <v>0</v>
      </c>
      <c r="AG71" s="458">
        <f>SUMIF(Financials!$C$4:$AA$4,'Residential Bill Impact'!AG5,Financials!$C$15:$AA$15)/1000</f>
        <v>0</v>
      </c>
      <c r="AH71" s="574"/>
      <c r="AI71" s="574"/>
      <c r="AJ71" s="574"/>
      <c r="AK71" s="574"/>
      <c r="AL71" s="574"/>
      <c r="AM71" s="574"/>
      <c r="AN71" s="574"/>
      <c r="AO71" s="574"/>
      <c r="AP71" s="574"/>
      <c r="AQ71" s="574"/>
      <c r="AR71" s="574"/>
      <c r="AS71" s="574"/>
      <c r="AT71" s="574"/>
      <c r="AU71" s="574"/>
      <c r="AV71" s="574"/>
      <c r="AW71" s="574"/>
      <c r="AX71" s="574"/>
      <c r="AY71" s="574"/>
      <c r="AZ71" s="574"/>
      <c r="BB71" s="459"/>
      <c r="BC71" s="460">
        <f t="shared" ref="BC71:BM72" si="138">+D71</f>
        <v>0</v>
      </c>
      <c r="BD71" s="460">
        <f t="shared" si="138"/>
        <v>0</v>
      </c>
      <c r="BE71" s="460">
        <f t="shared" si="138"/>
        <v>0</v>
      </c>
      <c r="BF71" s="460">
        <f t="shared" si="138"/>
        <v>0</v>
      </c>
      <c r="BG71" s="460">
        <f t="shared" si="138"/>
        <v>0</v>
      </c>
      <c r="BH71" s="460">
        <f t="shared" si="138"/>
        <v>0</v>
      </c>
      <c r="BI71" s="460">
        <f t="shared" si="138"/>
        <v>0</v>
      </c>
      <c r="BJ71" s="460">
        <f t="shared" si="138"/>
        <v>0</v>
      </c>
      <c r="BK71" s="460">
        <f t="shared" si="138"/>
        <v>0</v>
      </c>
      <c r="BL71" s="460">
        <f t="shared" si="138"/>
        <v>0</v>
      </c>
      <c r="BM71" s="460">
        <f t="shared" si="138"/>
        <v>0</v>
      </c>
    </row>
    <row r="72" spans="1:66">
      <c r="A72" s="327" t="s">
        <v>580</v>
      </c>
      <c r="D72" s="461">
        <f t="shared" ref="D72:AG72" si="139">IF(SUMIF($D$77:$AG$77,D$5,$D$92:$AG$92)=0,C72,SUMIF($D$77:$AG$77,D$5,$D$92:$AG$92))</f>
        <v>20756.95</v>
      </c>
      <c r="E72" s="461">
        <f t="shared" si="139"/>
        <v>20914.14</v>
      </c>
      <c r="F72" s="461">
        <f t="shared" si="139"/>
        <v>21101.48</v>
      </c>
      <c r="G72" s="461">
        <f t="shared" si="139"/>
        <v>21263.040000000001</v>
      </c>
      <c r="H72" s="461">
        <f t="shared" si="139"/>
        <v>21376.44</v>
      </c>
      <c r="I72" s="461">
        <f t="shared" si="139"/>
        <v>21525</v>
      </c>
      <c r="J72" s="461">
        <f t="shared" si="139"/>
        <v>21674.592448508731</v>
      </c>
      <c r="K72" s="461">
        <f t="shared" si="139"/>
        <v>21674.592448508731</v>
      </c>
      <c r="L72" s="461">
        <f t="shared" si="139"/>
        <v>19114.079000000002</v>
      </c>
      <c r="M72" s="461">
        <f t="shared" si="139"/>
        <v>20499.645519000002</v>
      </c>
      <c r="N72" s="461">
        <f t="shared" si="139"/>
        <v>20353.22</v>
      </c>
      <c r="O72" s="461">
        <f t="shared" si="139"/>
        <v>20450.939999999999</v>
      </c>
      <c r="P72" s="461">
        <f t="shared" si="139"/>
        <v>20659.330000000002</v>
      </c>
      <c r="Q72" s="461">
        <f t="shared" si="139"/>
        <v>20756.95</v>
      </c>
      <c r="R72" s="461">
        <f t="shared" si="139"/>
        <v>20914.14</v>
      </c>
      <c r="S72" s="461">
        <f t="shared" si="139"/>
        <v>21101.48</v>
      </c>
      <c r="T72" s="461">
        <f t="shared" si="139"/>
        <v>21263.040000000001</v>
      </c>
      <c r="U72" s="461">
        <f t="shared" si="139"/>
        <v>21376.44</v>
      </c>
      <c r="V72" s="461">
        <f t="shared" si="139"/>
        <v>21525</v>
      </c>
      <c r="W72" s="461">
        <f t="shared" si="139"/>
        <v>21674.592448508731</v>
      </c>
      <c r="X72" s="461">
        <f t="shared" si="139"/>
        <v>21674.592448508731</v>
      </c>
      <c r="Y72" s="461">
        <f t="shared" si="139"/>
        <v>21674.592448508731</v>
      </c>
      <c r="Z72" s="461">
        <f t="shared" si="139"/>
        <v>21674.592448508731</v>
      </c>
      <c r="AA72" s="461">
        <f t="shared" si="139"/>
        <v>21674.592448508731</v>
      </c>
      <c r="AB72" s="461">
        <f t="shared" si="139"/>
        <v>21674.592448508731</v>
      </c>
      <c r="AC72" s="461">
        <f t="shared" si="139"/>
        <v>21674.592448508731</v>
      </c>
      <c r="AD72" s="461">
        <f t="shared" si="139"/>
        <v>21674.592448508731</v>
      </c>
      <c r="AE72" s="461">
        <f t="shared" si="139"/>
        <v>21674.592448508731</v>
      </c>
      <c r="AF72" s="461">
        <f t="shared" si="139"/>
        <v>21674.592448508731</v>
      </c>
      <c r="AG72" s="461">
        <f t="shared" si="139"/>
        <v>21674.592448508731</v>
      </c>
      <c r="AH72" s="575"/>
      <c r="AI72" s="575"/>
      <c r="AJ72" s="575"/>
      <c r="AK72" s="575"/>
      <c r="AL72" s="575"/>
      <c r="AM72" s="575"/>
      <c r="AN72" s="575"/>
      <c r="AO72" s="575"/>
      <c r="AP72" s="575"/>
      <c r="AQ72" s="575"/>
      <c r="AR72" s="575"/>
      <c r="AS72" s="575"/>
      <c r="AT72" s="575"/>
      <c r="AU72" s="575"/>
      <c r="AV72" s="575"/>
      <c r="AW72" s="575"/>
      <c r="AX72" s="575"/>
      <c r="AY72" s="575"/>
      <c r="AZ72" s="575"/>
      <c r="BB72" s="459"/>
      <c r="BC72" s="461">
        <f t="shared" si="138"/>
        <v>20756.95</v>
      </c>
      <c r="BD72" s="461">
        <f t="shared" si="138"/>
        <v>20914.14</v>
      </c>
      <c r="BE72" s="461">
        <f t="shared" si="138"/>
        <v>21101.48</v>
      </c>
      <c r="BF72" s="461">
        <f t="shared" si="138"/>
        <v>21263.040000000001</v>
      </c>
      <c r="BG72" s="461">
        <f t="shared" si="138"/>
        <v>21376.44</v>
      </c>
      <c r="BH72" s="461">
        <f t="shared" si="138"/>
        <v>21525</v>
      </c>
      <c r="BI72" s="461">
        <f t="shared" si="138"/>
        <v>21674.592448508731</v>
      </c>
      <c r="BJ72" s="461">
        <f t="shared" si="138"/>
        <v>21674.592448508731</v>
      </c>
      <c r="BK72" s="461">
        <f t="shared" si="138"/>
        <v>19114.079000000002</v>
      </c>
      <c r="BL72" s="461">
        <f t="shared" si="138"/>
        <v>20499.645519000002</v>
      </c>
      <c r="BM72" s="461">
        <f t="shared" si="138"/>
        <v>20353.22</v>
      </c>
    </row>
    <row r="73" spans="1:66" ht="16.2" thickBot="1">
      <c r="A73" s="327" t="s">
        <v>186</v>
      </c>
      <c r="D73" s="393">
        <f>ROUND(+D71/D72,2)</f>
        <v>0</v>
      </c>
      <c r="E73" s="393">
        <f t="shared" ref="E73:N73" si="140">ROUND(+E71/E72,2)</f>
        <v>0</v>
      </c>
      <c r="F73" s="393">
        <f t="shared" si="140"/>
        <v>0</v>
      </c>
      <c r="G73" s="393">
        <f t="shared" si="140"/>
        <v>0</v>
      </c>
      <c r="H73" s="393">
        <f t="shared" si="140"/>
        <v>0</v>
      </c>
      <c r="I73" s="393">
        <f t="shared" si="140"/>
        <v>0</v>
      </c>
      <c r="J73" s="393">
        <f t="shared" si="140"/>
        <v>0</v>
      </c>
      <c r="K73" s="393">
        <f t="shared" si="140"/>
        <v>0</v>
      </c>
      <c r="L73" s="393">
        <f t="shared" si="140"/>
        <v>0</v>
      </c>
      <c r="M73" s="393">
        <f t="shared" si="140"/>
        <v>0</v>
      </c>
      <c r="N73" s="393">
        <f t="shared" si="140"/>
        <v>0</v>
      </c>
      <c r="O73" s="393">
        <f t="shared" ref="O73:AG73" si="141">ROUND(+O71/O72,2)</f>
        <v>0</v>
      </c>
      <c r="P73" s="393">
        <f t="shared" si="141"/>
        <v>0</v>
      </c>
      <c r="Q73" s="393">
        <f t="shared" si="141"/>
        <v>0</v>
      </c>
      <c r="R73" s="393">
        <f t="shared" si="141"/>
        <v>0</v>
      </c>
      <c r="S73" s="393">
        <f t="shared" si="141"/>
        <v>0</v>
      </c>
      <c r="T73" s="393">
        <f t="shared" si="141"/>
        <v>0</v>
      </c>
      <c r="U73" s="393">
        <f t="shared" si="141"/>
        <v>0</v>
      </c>
      <c r="V73" s="393">
        <f t="shared" si="141"/>
        <v>0</v>
      </c>
      <c r="W73" s="393">
        <f t="shared" si="141"/>
        <v>0</v>
      </c>
      <c r="X73" s="393">
        <f t="shared" si="141"/>
        <v>0</v>
      </c>
      <c r="Y73" s="393">
        <f t="shared" si="141"/>
        <v>0</v>
      </c>
      <c r="Z73" s="393">
        <f t="shared" si="141"/>
        <v>0</v>
      </c>
      <c r="AA73" s="393">
        <f t="shared" si="141"/>
        <v>0</v>
      </c>
      <c r="AB73" s="393">
        <f t="shared" si="141"/>
        <v>0</v>
      </c>
      <c r="AC73" s="393">
        <f t="shared" si="141"/>
        <v>0</v>
      </c>
      <c r="AD73" s="393">
        <f t="shared" si="141"/>
        <v>0</v>
      </c>
      <c r="AE73" s="393">
        <f t="shared" si="141"/>
        <v>0</v>
      </c>
      <c r="AF73" s="393">
        <f t="shared" si="141"/>
        <v>0</v>
      </c>
      <c r="AG73" s="393">
        <f t="shared" si="141"/>
        <v>0</v>
      </c>
      <c r="AH73" s="576"/>
      <c r="AI73" s="576"/>
      <c r="AJ73" s="576"/>
      <c r="AK73" s="576"/>
      <c r="AL73" s="576"/>
      <c r="AM73" s="576"/>
      <c r="AN73" s="576"/>
      <c r="AO73" s="576"/>
      <c r="AP73" s="576"/>
      <c r="AQ73" s="576"/>
      <c r="AR73" s="576"/>
      <c r="AS73" s="576"/>
      <c r="AT73" s="576"/>
      <c r="AU73" s="576"/>
      <c r="AV73" s="576"/>
      <c r="AW73" s="576"/>
      <c r="AX73" s="576"/>
      <c r="AY73" s="576"/>
      <c r="AZ73" s="576"/>
      <c r="BC73" s="393">
        <f>ROUND(+BC71/BC72,2)</f>
        <v>0</v>
      </c>
      <c r="BD73" s="393">
        <f t="shared" ref="BD73:BM73" si="142">ROUND(+BD71/BD72,2)</f>
        <v>0</v>
      </c>
      <c r="BE73" s="393">
        <f t="shared" si="142"/>
        <v>0</v>
      </c>
      <c r="BF73" s="393">
        <f t="shared" si="142"/>
        <v>0</v>
      </c>
      <c r="BG73" s="393">
        <f t="shared" si="142"/>
        <v>0</v>
      </c>
      <c r="BH73" s="393">
        <f t="shared" si="142"/>
        <v>0</v>
      </c>
      <c r="BI73" s="393">
        <f t="shared" si="142"/>
        <v>0</v>
      </c>
      <c r="BJ73" s="393">
        <f t="shared" si="142"/>
        <v>0</v>
      </c>
      <c r="BK73" s="393">
        <f t="shared" si="142"/>
        <v>0</v>
      </c>
      <c r="BL73" s="393">
        <f t="shared" si="142"/>
        <v>0</v>
      </c>
      <c r="BM73" s="393">
        <f t="shared" si="142"/>
        <v>0</v>
      </c>
    </row>
    <row r="76" spans="1:66">
      <c r="D76" s="394" t="s">
        <v>581</v>
      </c>
      <c r="BC76" s="394" t="s">
        <v>582</v>
      </c>
    </row>
    <row r="77" spans="1:66">
      <c r="D77" s="452">
        <v>2017</v>
      </c>
      <c r="E77" s="452">
        <v>2018</v>
      </c>
      <c r="F77" s="452">
        <f>+E77+1</f>
        <v>2019</v>
      </c>
      <c r="G77" s="452">
        <f t="shared" ref="G77:N77" si="143">+F77+1</f>
        <v>2020</v>
      </c>
      <c r="H77" s="452">
        <f t="shared" si="143"/>
        <v>2021</v>
      </c>
      <c r="I77" s="452">
        <f t="shared" si="143"/>
        <v>2022</v>
      </c>
      <c r="J77" s="452">
        <f t="shared" si="143"/>
        <v>2023</v>
      </c>
      <c r="K77" s="452">
        <f t="shared" si="143"/>
        <v>2024</v>
      </c>
      <c r="L77" s="452">
        <f t="shared" si="143"/>
        <v>2025</v>
      </c>
      <c r="M77" s="452">
        <f t="shared" si="143"/>
        <v>2026</v>
      </c>
      <c r="N77" s="452">
        <f t="shared" si="143"/>
        <v>2027</v>
      </c>
      <c r="O77" s="452">
        <f>+N77+1</f>
        <v>2028</v>
      </c>
      <c r="P77" s="452">
        <f t="shared" ref="P77:AG77" si="144">+O77+1</f>
        <v>2029</v>
      </c>
      <c r="Q77" s="452">
        <f t="shared" si="144"/>
        <v>2030</v>
      </c>
      <c r="R77" s="452">
        <f t="shared" si="144"/>
        <v>2031</v>
      </c>
      <c r="S77" s="452">
        <f t="shared" si="144"/>
        <v>2032</v>
      </c>
      <c r="T77" s="452">
        <f t="shared" si="144"/>
        <v>2033</v>
      </c>
      <c r="U77" s="452">
        <f t="shared" si="144"/>
        <v>2034</v>
      </c>
      <c r="V77" s="452">
        <f t="shared" si="144"/>
        <v>2035</v>
      </c>
      <c r="W77" s="452">
        <f t="shared" si="144"/>
        <v>2036</v>
      </c>
      <c r="X77" s="452">
        <f t="shared" si="144"/>
        <v>2037</v>
      </c>
      <c r="Y77" s="452">
        <f t="shared" si="144"/>
        <v>2038</v>
      </c>
      <c r="Z77" s="452">
        <f t="shared" si="144"/>
        <v>2039</v>
      </c>
      <c r="AA77" s="452">
        <f t="shared" si="144"/>
        <v>2040</v>
      </c>
      <c r="AB77" s="452">
        <f t="shared" si="144"/>
        <v>2041</v>
      </c>
      <c r="AC77" s="452">
        <f t="shared" si="144"/>
        <v>2042</v>
      </c>
      <c r="AD77" s="452">
        <f t="shared" si="144"/>
        <v>2043</v>
      </c>
      <c r="AE77" s="452">
        <f t="shared" si="144"/>
        <v>2044</v>
      </c>
      <c r="AF77" s="452">
        <f t="shared" si="144"/>
        <v>2045</v>
      </c>
      <c r="AG77" s="452">
        <f t="shared" si="144"/>
        <v>2046</v>
      </c>
      <c r="AH77" s="452">
        <f t="shared" ref="AH77:AL77" si="145">+AG77+1</f>
        <v>2047</v>
      </c>
      <c r="AI77" s="452">
        <f t="shared" si="145"/>
        <v>2048</v>
      </c>
      <c r="AJ77" s="452">
        <f t="shared" si="145"/>
        <v>2049</v>
      </c>
      <c r="AK77" s="452">
        <f t="shared" si="145"/>
        <v>2050</v>
      </c>
      <c r="AL77" s="452">
        <f t="shared" si="145"/>
        <v>2051</v>
      </c>
      <c r="AM77" s="577"/>
      <c r="AN77" s="577"/>
      <c r="AO77" s="577"/>
      <c r="AP77" s="577"/>
      <c r="AQ77" s="577"/>
      <c r="AR77" s="577"/>
      <c r="AS77" s="577"/>
      <c r="AT77" s="577"/>
      <c r="AU77" s="577"/>
      <c r="AV77" s="577"/>
      <c r="AW77" s="577"/>
      <c r="AX77" s="577"/>
      <c r="AY77" s="577"/>
      <c r="AZ77" s="577"/>
      <c r="BC77" s="452">
        <v>2017</v>
      </c>
      <c r="BD77" s="452">
        <v>2018</v>
      </c>
      <c r="BE77" s="452">
        <f>+BD77+1</f>
        <v>2019</v>
      </c>
      <c r="BF77" s="452">
        <f t="shared" ref="BF77:BN77" si="146">+BE77+1</f>
        <v>2020</v>
      </c>
      <c r="BG77" s="452">
        <f t="shared" si="146"/>
        <v>2021</v>
      </c>
      <c r="BH77" s="452">
        <f t="shared" si="146"/>
        <v>2022</v>
      </c>
      <c r="BI77" s="452">
        <f t="shared" si="146"/>
        <v>2023</v>
      </c>
      <c r="BJ77" s="452">
        <f t="shared" si="146"/>
        <v>2024</v>
      </c>
      <c r="BK77" s="452">
        <f t="shared" si="146"/>
        <v>2025</v>
      </c>
      <c r="BL77" s="452">
        <f t="shared" si="146"/>
        <v>2026</v>
      </c>
      <c r="BM77" s="452">
        <f t="shared" si="146"/>
        <v>2027</v>
      </c>
      <c r="BN77" s="452">
        <f t="shared" si="146"/>
        <v>2028</v>
      </c>
    </row>
    <row r="78" spans="1:66">
      <c r="A78" s="453" t="s">
        <v>583</v>
      </c>
      <c r="D78" s="454">
        <v>16.62</v>
      </c>
      <c r="E78" s="454">
        <v>16.62</v>
      </c>
      <c r="F78" s="454">
        <v>15.12</v>
      </c>
      <c r="G78" s="454">
        <v>15.05</v>
      </c>
      <c r="H78" s="454">
        <v>15.05</v>
      </c>
      <c r="I78" s="455">
        <v>21</v>
      </c>
      <c r="J78" s="455">
        <v>22.9</v>
      </c>
      <c r="K78" s="455">
        <v>23.36</v>
      </c>
      <c r="L78" s="455">
        <v>23.36</v>
      </c>
      <c r="M78" s="455">
        <v>23.36</v>
      </c>
      <c r="N78" s="455">
        <v>23.36</v>
      </c>
      <c r="O78" s="487">
        <f t="shared" ref="O78:O87" si="147">+N78</f>
        <v>23.36</v>
      </c>
      <c r="Q78" s="490">
        <f t="shared" ref="Q78:R87" si="148">+D78</f>
        <v>16.62</v>
      </c>
      <c r="R78" s="490">
        <f t="shared" si="148"/>
        <v>16.62</v>
      </c>
      <c r="S78" s="455">
        <v>15.12</v>
      </c>
      <c r="T78" s="455">
        <v>15.12</v>
      </c>
      <c r="U78" s="455">
        <v>15.12</v>
      </c>
      <c r="V78" s="455">
        <v>15.12</v>
      </c>
      <c r="W78" s="455">
        <v>15.12</v>
      </c>
      <c r="X78" s="455">
        <v>15.12</v>
      </c>
      <c r="Y78" s="487">
        <f t="shared" ref="Y78:AB84" si="149">+X78</f>
        <v>15.12</v>
      </c>
      <c r="Z78" s="487">
        <f t="shared" si="149"/>
        <v>15.12</v>
      </c>
      <c r="AA78" s="487">
        <f t="shared" si="149"/>
        <v>15.12</v>
      </c>
      <c r="AB78" s="487">
        <f t="shared" si="149"/>
        <v>15.12</v>
      </c>
      <c r="AC78" s="345" t="s">
        <v>584</v>
      </c>
    </row>
    <row r="79" spans="1:66">
      <c r="A79" s="453" t="s">
        <v>585</v>
      </c>
      <c r="D79" s="456">
        <v>5.1999999999999998E-2</v>
      </c>
      <c r="E79" s="456">
        <v>5.1999999999999998E-2</v>
      </c>
      <c r="F79" s="456">
        <v>4.7149999999999997E-2</v>
      </c>
      <c r="G79" s="456">
        <v>4.845E-2</v>
      </c>
      <c r="H79" s="456">
        <f>52.25/1000</f>
        <v>5.2249999999999998E-2</v>
      </c>
      <c r="I79" s="456">
        <v>5.7689999999999998E-2</v>
      </c>
      <c r="J79" s="455">
        <v>6.2920000000000004E-2</v>
      </c>
      <c r="K79" s="455">
        <v>6.4159999999999995E-2</v>
      </c>
      <c r="L79" s="455">
        <v>6.4159999999999995E-2</v>
      </c>
      <c r="M79" s="455">
        <v>6.4159999999999995E-2</v>
      </c>
      <c r="N79" s="455">
        <v>6.4159999999999995E-2</v>
      </c>
      <c r="O79" s="487">
        <f t="shared" si="147"/>
        <v>6.4159999999999995E-2</v>
      </c>
      <c r="Q79" s="488">
        <f t="shared" si="148"/>
        <v>5.1999999999999998E-2</v>
      </c>
      <c r="R79" s="488">
        <f t="shared" si="148"/>
        <v>5.1999999999999998E-2</v>
      </c>
      <c r="S79" s="456">
        <v>4.7149999999999997E-2</v>
      </c>
      <c r="T79" s="456">
        <v>4.7150000000000004E-2</v>
      </c>
      <c r="U79" s="456">
        <v>4.7150000000000004E-2</v>
      </c>
      <c r="V79" s="456">
        <v>6.2310040785102834E-2</v>
      </c>
      <c r="W79" s="456">
        <v>6.7785263785783187E-2</v>
      </c>
      <c r="X79" s="456">
        <v>6.7785263785783187E-2</v>
      </c>
      <c r="Y79" s="488">
        <f t="shared" si="149"/>
        <v>6.7785263785783187E-2</v>
      </c>
      <c r="Z79" s="488">
        <f t="shared" si="149"/>
        <v>6.7785263785783187E-2</v>
      </c>
      <c r="AA79" s="488">
        <f t="shared" si="149"/>
        <v>6.7785263785783187E-2</v>
      </c>
      <c r="AB79" s="488">
        <f t="shared" si="149"/>
        <v>6.7785263785783187E-2</v>
      </c>
      <c r="AC79" s="345" t="s">
        <v>584</v>
      </c>
    </row>
    <row r="80" spans="1:66">
      <c r="A80" s="453" t="s">
        <v>548</v>
      </c>
      <c r="D80" s="454"/>
      <c r="E80" s="454">
        <v>1.8099999999999991E-3</v>
      </c>
      <c r="F80" s="454">
        <v>4.2599999999999999E-3</v>
      </c>
      <c r="G80" s="454">
        <v>4.2599999999999999E-3</v>
      </c>
      <c r="H80" s="454">
        <v>5.6600000000000001E-3</v>
      </c>
      <c r="I80" s="454"/>
      <c r="J80" s="454"/>
      <c r="K80" s="454"/>
      <c r="L80" s="454"/>
      <c r="M80" s="454"/>
      <c r="N80" s="454"/>
      <c r="O80" s="487"/>
      <c r="Q80" s="488">
        <f t="shared" si="148"/>
        <v>0</v>
      </c>
      <c r="R80" s="488">
        <f t="shared" si="148"/>
        <v>1.8099999999999991E-3</v>
      </c>
      <c r="S80" s="456">
        <v>4.2599999999999999E-3</v>
      </c>
      <c r="T80" s="456">
        <v>5.6600000000000001E-3</v>
      </c>
      <c r="U80" s="456">
        <v>6.1599999999999997E-3</v>
      </c>
      <c r="V80" s="456">
        <v>6.1599999999999997E-3</v>
      </c>
      <c r="W80" s="456">
        <v>6.1599999999999997E-3</v>
      </c>
      <c r="X80" s="456">
        <v>6.1599999999999997E-3</v>
      </c>
      <c r="Y80" s="487">
        <f t="shared" si="149"/>
        <v>6.1599999999999997E-3</v>
      </c>
      <c r="Z80" s="487">
        <f t="shared" si="149"/>
        <v>6.1599999999999997E-3</v>
      </c>
      <c r="AA80" s="487">
        <f t="shared" si="149"/>
        <v>6.1599999999999997E-3</v>
      </c>
      <c r="AB80" s="487">
        <f t="shared" si="149"/>
        <v>6.1599999999999997E-3</v>
      </c>
      <c r="AC80" s="345" t="s">
        <v>584</v>
      </c>
    </row>
    <row r="81" spans="1:66">
      <c r="A81" s="453" t="s">
        <v>586</v>
      </c>
      <c r="D81" s="454">
        <v>2.6420000000000003E-2</v>
      </c>
      <c r="E81" s="454">
        <v>2.818E-2</v>
      </c>
      <c r="F81" s="456">
        <v>2.913E-2</v>
      </c>
      <c r="G81" s="456">
        <v>2.7019999999999999E-2</v>
      </c>
      <c r="H81" s="456">
        <f>28.56/1000</f>
        <v>2.8559999999999999E-2</v>
      </c>
      <c r="I81" s="456">
        <v>4.6509999999999996E-2</v>
      </c>
      <c r="J81" s="456">
        <v>3.1170000000000003E-2</v>
      </c>
      <c r="K81" s="456">
        <v>2.9000000000000001E-2</v>
      </c>
      <c r="L81" s="456">
        <v>2.7949999999999999E-2</v>
      </c>
      <c r="M81" s="456">
        <v>2.7989999999999998E-2</v>
      </c>
      <c r="N81" s="456">
        <v>2.8199999999999999E-2</v>
      </c>
      <c r="O81" s="487">
        <f t="shared" si="147"/>
        <v>2.8199999999999999E-2</v>
      </c>
      <c r="Q81" s="488">
        <f t="shared" si="148"/>
        <v>2.6420000000000003E-2</v>
      </c>
      <c r="R81" s="488">
        <f t="shared" si="148"/>
        <v>2.818E-2</v>
      </c>
      <c r="S81" s="456">
        <v>2.913E-2</v>
      </c>
      <c r="T81" s="456">
        <v>2.7948783505154635E-2</v>
      </c>
      <c r="U81" s="456">
        <v>2.9150020618556698E-2</v>
      </c>
      <c r="V81" s="456">
        <v>2.8609463917525772E-2</v>
      </c>
      <c r="W81" s="456">
        <v>2.8068907216494843E-2</v>
      </c>
      <c r="X81" s="456">
        <v>2.9270144329896903E-2</v>
      </c>
      <c r="Y81" s="488">
        <f t="shared" si="149"/>
        <v>2.9270144329896903E-2</v>
      </c>
      <c r="Z81" s="488">
        <f t="shared" si="149"/>
        <v>2.9270144329896903E-2</v>
      </c>
      <c r="AA81" s="488">
        <f t="shared" si="149"/>
        <v>2.9270144329896903E-2</v>
      </c>
      <c r="AB81" s="488">
        <f t="shared" si="149"/>
        <v>2.9270144329896903E-2</v>
      </c>
      <c r="AC81" s="345" t="s">
        <v>584</v>
      </c>
    </row>
    <row r="82" spans="1:66">
      <c r="A82" s="453" t="s">
        <v>587</v>
      </c>
      <c r="D82" s="456">
        <v>8.8000000000000003E-4</v>
      </c>
      <c r="E82" s="456">
        <v>6.6E-4</v>
      </c>
      <c r="F82" s="456">
        <v>-1E-4</v>
      </c>
      <c r="G82" s="456">
        <v>1E-4</v>
      </c>
      <c r="H82" s="456">
        <f>0.02/1000</f>
        <v>2.0000000000000002E-5</v>
      </c>
      <c r="I82" s="456">
        <v>5.3E-3</v>
      </c>
      <c r="J82" s="456">
        <v>3.1E-4</v>
      </c>
      <c r="K82" s="456">
        <v>3.1E-4</v>
      </c>
      <c r="L82" s="456">
        <v>3.1E-4</v>
      </c>
      <c r="M82" s="456">
        <v>3.1E-4</v>
      </c>
      <c r="N82" s="456">
        <v>3.1E-4</v>
      </c>
      <c r="O82" s="487">
        <f t="shared" si="147"/>
        <v>3.1E-4</v>
      </c>
      <c r="Q82" s="488">
        <f t="shared" si="148"/>
        <v>8.8000000000000003E-4</v>
      </c>
      <c r="R82" s="488">
        <f t="shared" si="148"/>
        <v>6.6E-4</v>
      </c>
      <c r="S82" s="456">
        <v>-1E-4</v>
      </c>
      <c r="T82" s="456">
        <v>0</v>
      </c>
      <c r="U82" s="456">
        <v>0</v>
      </c>
      <c r="V82" s="456">
        <v>0</v>
      </c>
      <c r="W82" s="456">
        <v>0</v>
      </c>
      <c r="X82" s="456">
        <v>0</v>
      </c>
      <c r="Y82" s="488">
        <f>+X82</f>
        <v>0</v>
      </c>
      <c r="Z82" s="488">
        <f t="shared" si="149"/>
        <v>0</v>
      </c>
      <c r="AA82" s="488">
        <f t="shared" si="149"/>
        <v>0</v>
      </c>
      <c r="AB82" s="488">
        <f t="shared" si="149"/>
        <v>0</v>
      </c>
      <c r="AC82" s="345" t="s">
        <v>584</v>
      </c>
    </row>
    <row r="83" spans="1:66">
      <c r="A83" s="453" t="s">
        <v>588</v>
      </c>
      <c r="D83" s="456">
        <v>3.8899999999999998E-3</v>
      </c>
      <c r="E83" s="454">
        <v>3.4299999999999999E-3</v>
      </c>
      <c r="F83" s="456">
        <v>2.2200000000000002E-3</v>
      </c>
      <c r="G83" s="456">
        <v>2.4399999999999999E-3</v>
      </c>
      <c r="H83" s="456">
        <f>2.69/1000</f>
        <v>2.6900000000000001E-3</v>
      </c>
      <c r="I83" s="456">
        <v>1.3799999999999999E-3</v>
      </c>
      <c r="J83" s="456">
        <v>1.41E-3</v>
      </c>
      <c r="K83" s="456">
        <v>1.41E-3</v>
      </c>
      <c r="L83" s="456">
        <v>1.41E-3</v>
      </c>
      <c r="M83" s="456">
        <v>1.41E-3</v>
      </c>
      <c r="N83" s="456">
        <v>1.41E-3</v>
      </c>
      <c r="O83" s="487">
        <f t="shared" si="147"/>
        <v>1.41E-3</v>
      </c>
      <c r="Q83" s="488">
        <f t="shared" si="148"/>
        <v>3.8899999999999998E-3</v>
      </c>
      <c r="R83" s="488">
        <f t="shared" si="148"/>
        <v>3.4299999999999999E-3</v>
      </c>
      <c r="S83" s="456">
        <v>2.2200000000000002E-3</v>
      </c>
      <c r="T83" s="456">
        <v>2.7765315164460218E-3</v>
      </c>
      <c r="U83" s="456">
        <v>2.7148833680285546E-3</v>
      </c>
      <c r="V83" s="456">
        <v>2.5477959566451648E-3</v>
      </c>
      <c r="W83" s="456">
        <v>2.5071754792030483E-3</v>
      </c>
      <c r="X83" s="456">
        <v>2.4232287946178007E-3</v>
      </c>
      <c r="Y83" s="488">
        <f>+X83</f>
        <v>2.4232287946178007E-3</v>
      </c>
      <c r="Z83" s="488">
        <f t="shared" si="149"/>
        <v>2.4232287946178007E-3</v>
      </c>
      <c r="AA83" s="488">
        <f t="shared" si="149"/>
        <v>2.4232287946178007E-3</v>
      </c>
      <c r="AB83" s="488">
        <f t="shared" si="149"/>
        <v>2.4232287946178007E-3</v>
      </c>
      <c r="AC83" s="345" t="s">
        <v>584</v>
      </c>
    </row>
    <row r="84" spans="1:66">
      <c r="A84" s="453" t="s">
        <v>589</v>
      </c>
      <c r="D84" s="456">
        <v>2.2499999999999998E-3</v>
      </c>
      <c r="E84" s="454">
        <v>2.4599999999999999E-3</v>
      </c>
      <c r="F84" s="456">
        <v>3.2100000000000002E-3</v>
      </c>
      <c r="G84" s="456">
        <v>2.32E-3</v>
      </c>
      <c r="H84" s="456">
        <f>1.66/1000</f>
        <v>1.66E-3</v>
      </c>
      <c r="I84" s="456">
        <v>2.3599999999999997E-3</v>
      </c>
      <c r="J84" s="456">
        <v>3.5099999999999997E-3</v>
      </c>
      <c r="K84" s="456">
        <v>3.46E-3</v>
      </c>
      <c r="L84" s="456">
        <v>3.2599999999999999E-3</v>
      </c>
      <c r="M84" s="456">
        <v>3.3799999999999998E-3</v>
      </c>
      <c r="N84" s="456">
        <v>3.47E-3</v>
      </c>
      <c r="O84" s="487">
        <f t="shared" si="147"/>
        <v>3.47E-3</v>
      </c>
      <c r="Q84" s="488">
        <f t="shared" si="148"/>
        <v>2.2499999999999998E-3</v>
      </c>
      <c r="R84" s="488">
        <f t="shared" si="148"/>
        <v>2.4599999999999999E-3</v>
      </c>
      <c r="S84" s="456">
        <v>3.2100000000000002E-3</v>
      </c>
      <c r="T84" s="456">
        <v>2.3960954915030253E-3</v>
      </c>
      <c r="U84" s="456">
        <v>2.3964476368096514E-3</v>
      </c>
      <c r="V84" s="456">
        <v>2.1631119541899312E-3</v>
      </c>
      <c r="W84" s="456">
        <v>2.1643502749883648E-3</v>
      </c>
      <c r="X84" s="456">
        <v>1.7528042498411167E-3</v>
      </c>
      <c r="Y84" s="488">
        <f>+X84</f>
        <v>1.7528042498411167E-3</v>
      </c>
      <c r="Z84" s="488">
        <f t="shared" si="149"/>
        <v>1.7528042498411167E-3</v>
      </c>
      <c r="AA84" s="488">
        <f t="shared" si="149"/>
        <v>1.7528042498411167E-3</v>
      </c>
      <c r="AB84" s="488">
        <f t="shared" si="149"/>
        <v>1.7528042498411167E-3</v>
      </c>
      <c r="AC84" s="345" t="s">
        <v>584</v>
      </c>
    </row>
    <row r="85" spans="1:66">
      <c r="A85" s="453" t="s">
        <v>554</v>
      </c>
      <c r="D85" s="454"/>
      <c r="E85" s="454"/>
      <c r="F85" s="454"/>
      <c r="G85" s="454"/>
      <c r="H85" s="454">
        <f>2.39/1000</f>
        <v>2.3900000000000002E-3</v>
      </c>
      <c r="I85" s="687">
        <v>3.29E-3</v>
      </c>
      <c r="J85" s="687">
        <v>3.8900000000000002E-3</v>
      </c>
      <c r="K85" s="687">
        <v>4.4900000000000001E-3</v>
      </c>
      <c r="L85" s="687">
        <v>5.0899999999999999E-3</v>
      </c>
      <c r="M85" s="687">
        <v>5.6900000000000006E-3</v>
      </c>
      <c r="N85" s="687">
        <v>6.2900000000000005E-3</v>
      </c>
      <c r="O85" s="487">
        <f t="shared" si="147"/>
        <v>6.2900000000000005E-3</v>
      </c>
      <c r="Q85" s="488"/>
      <c r="R85" s="488"/>
      <c r="S85" s="456"/>
      <c r="T85" s="456"/>
      <c r="U85" s="456"/>
      <c r="V85" s="456"/>
      <c r="W85" s="456"/>
      <c r="X85" s="456"/>
      <c r="Y85" s="488"/>
      <c r="Z85" s="488"/>
      <c r="AA85" s="488"/>
      <c r="AB85" s="488"/>
      <c r="AC85" s="345" t="s">
        <v>584</v>
      </c>
    </row>
    <row r="86" spans="1:66">
      <c r="A86" s="453" t="s">
        <v>555</v>
      </c>
      <c r="D86" s="454"/>
      <c r="E86" s="454"/>
      <c r="F86" s="454"/>
      <c r="G86" s="454"/>
      <c r="H86" s="454"/>
      <c r="I86" s="687">
        <v>4.4099999999999999E-3</v>
      </c>
      <c r="J86" s="687">
        <v>4.4099999999999999E-3</v>
      </c>
      <c r="K86" s="687">
        <v>4.4099999999999999E-3</v>
      </c>
      <c r="L86" s="687">
        <v>4.4099999999999999E-3</v>
      </c>
      <c r="M86" s="687">
        <v>4.4099999999999999E-3</v>
      </c>
      <c r="N86" s="687">
        <v>4.4099999999999999E-3</v>
      </c>
      <c r="O86" s="487">
        <f t="shared" si="147"/>
        <v>4.4099999999999999E-3</v>
      </c>
      <c r="P86" s="568">
        <f t="shared" ref="P86:AB86" si="150">O86</f>
        <v>4.4099999999999999E-3</v>
      </c>
      <c r="Q86" s="568">
        <f t="shared" si="150"/>
        <v>4.4099999999999999E-3</v>
      </c>
      <c r="R86" s="568">
        <f t="shared" si="150"/>
        <v>4.4099999999999999E-3</v>
      </c>
      <c r="S86" s="568">
        <f t="shared" si="150"/>
        <v>4.4099999999999999E-3</v>
      </c>
      <c r="T86" s="568">
        <f t="shared" si="150"/>
        <v>4.4099999999999999E-3</v>
      </c>
      <c r="U86" s="568">
        <f t="shared" si="150"/>
        <v>4.4099999999999999E-3</v>
      </c>
      <c r="V86" s="568">
        <f t="shared" si="150"/>
        <v>4.4099999999999999E-3</v>
      </c>
      <c r="W86" s="568">
        <f t="shared" si="150"/>
        <v>4.4099999999999999E-3</v>
      </c>
      <c r="X86" s="568">
        <f t="shared" si="150"/>
        <v>4.4099999999999999E-3</v>
      </c>
      <c r="Y86" s="568">
        <f t="shared" si="150"/>
        <v>4.4099999999999999E-3</v>
      </c>
      <c r="Z86" s="568">
        <f t="shared" si="150"/>
        <v>4.4099999999999999E-3</v>
      </c>
      <c r="AA86" s="568">
        <f t="shared" si="150"/>
        <v>4.4099999999999999E-3</v>
      </c>
      <c r="AB86" s="568">
        <f t="shared" si="150"/>
        <v>4.4099999999999999E-3</v>
      </c>
      <c r="AC86" s="345" t="s">
        <v>584</v>
      </c>
    </row>
    <row r="87" spans="1:66">
      <c r="A87" s="453" t="s">
        <v>556</v>
      </c>
      <c r="D87" s="454">
        <v>2.564E-2</v>
      </c>
      <c r="E87" s="454">
        <v>2.564E-2</v>
      </c>
      <c r="F87" s="454">
        <v>2.564E-2</v>
      </c>
      <c r="G87" s="454">
        <v>2.5641000000000001E-2</v>
      </c>
      <c r="H87" s="454">
        <v>2.5641000000000001E-2</v>
      </c>
      <c r="I87" s="687">
        <v>2.5641000000000001E-2</v>
      </c>
      <c r="J87" s="687">
        <v>2.564E-2</v>
      </c>
      <c r="K87" s="687">
        <v>2.564E-2</v>
      </c>
      <c r="L87" s="687">
        <v>2.564E-2</v>
      </c>
      <c r="M87" s="687">
        <v>2.564E-2</v>
      </c>
      <c r="N87" s="687">
        <v>2.564E-2</v>
      </c>
      <c r="O87" s="487">
        <f t="shared" si="147"/>
        <v>2.564E-2</v>
      </c>
      <c r="Q87" s="488">
        <f t="shared" si="148"/>
        <v>2.564E-2</v>
      </c>
      <c r="R87" s="488">
        <f t="shared" si="148"/>
        <v>2.564E-2</v>
      </c>
      <c r="S87" s="456">
        <v>2.5641000000000001E-2</v>
      </c>
      <c r="T87" s="456">
        <v>2.5641000000000001E-2</v>
      </c>
      <c r="U87" s="456">
        <v>2.5641000000000001E-2</v>
      </c>
      <c r="V87" s="456">
        <v>2.5641000000000001E-2</v>
      </c>
      <c r="W87" s="456">
        <v>2.5641000000000001E-2</v>
      </c>
      <c r="X87" s="456">
        <v>2.5641000000000001E-2</v>
      </c>
      <c r="Y87" s="488">
        <f>+X87</f>
        <v>2.5641000000000001E-2</v>
      </c>
      <c r="Z87" s="488">
        <f t="shared" ref="Z87:AB87" si="151">+Y87</f>
        <v>2.5641000000000001E-2</v>
      </c>
      <c r="AA87" s="488">
        <f t="shared" si="151"/>
        <v>2.5641000000000001E-2</v>
      </c>
      <c r="AB87" s="488">
        <f t="shared" si="151"/>
        <v>2.5641000000000001E-2</v>
      </c>
      <c r="AC87" s="345" t="s">
        <v>584</v>
      </c>
    </row>
    <row r="88" spans="1:66">
      <c r="A88" s="453" t="s">
        <v>590</v>
      </c>
    </row>
    <row r="90" spans="1:66">
      <c r="A90" s="453" t="s">
        <v>575</v>
      </c>
      <c r="D90" s="457"/>
      <c r="E90" s="457"/>
      <c r="F90" s="457"/>
      <c r="G90" s="457"/>
      <c r="H90" s="457"/>
      <c r="I90" s="457">
        <v>0</v>
      </c>
      <c r="J90" s="457">
        <v>9853.328517689999</v>
      </c>
      <c r="K90" s="457">
        <v>9971.2555134100003</v>
      </c>
      <c r="L90" s="457">
        <v>10061.840233360001</v>
      </c>
      <c r="M90" s="457">
        <v>10149.104777900002</v>
      </c>
      <c r="N90" s="457">
        <v>10235.1966827</v>
      </c>
      <c r="O90" s="313">
        <f>+N90</f>
        <v>10235.1966827</v>
      </c>
      <c r="AC90" s="345" t="s">
        <v>591</v>
      </c>
    </row>
    <row r="91" spans="1:66">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C91" s="313"/>
      <c r="BD91" s="313"/>
      <c r="BE91" s="457"/>
      <c r="BF91" s="457"/>
      <c r="BG91" s="457"/>
      <c r="BH91" s="457"/>
      <c r="BI91" s="457"/>
      <c r="BJ91" s="457"/>
      <c r="BK91" s="457"/>
      <c r="BL91" s="457"/>
      <c r="BM91" s="457"/>
      <c r="BN91" s="457"/>
    </row>
    <row r="92" spans="1:66">
      <c r="A92" s="453" t="s">
        <v>592</v>
      </c>
      <c r="D92" s="688">
        <v>19114.079000000002</v>
      </c>
      <c r="E92" s="688">
        <v>20499.645519000002</v>
      </c>
      <c r="F92" s="688">
        <v>20353.22</v>
      </c>
      <c r="G92" s="688">
        <v>20450.939999999999</v>
      </c>
      <c r="H92" s="688">
        <v>20659.330000000002</v>
      </c>
      <c r="I92" s="688">
        <v>20756.95</v>
      </c>
      <c r="J92" s="688">
        <v>20914.14</v>
      </c>
      <c r="K92" s="688">
        <v>21101.48</v>
      </c>
      <c r="L92" s="688">
        <v>21263.040000000001</v>
      </c>
      <c r="M92" s="688">
        <v>21376.44</v>
      </c>
      <c r="N92" s="688">
        <v>21525</v>
      </c>
      <c r="O92" s="313">
        <f t="shared" ref="O92" si="152">+N92*(N92/M92)</f>
        <v>21674.592448508731</v>
      </c>
      <c r="Q92" s="313">
        <f t="shared" ref="Q92:AB92" si="153">+D92</f>
        <v>19114.079000000002</v>
      </c>
      <c r="R92" s="313">
        <f t="shared" si="153"/>
        <v>20499.645519000002</v>
      </c>
      <c r="S92" s="313">
        <f t="shared" si="153"/>
        <v>20353.22</v>
      </c>
      <c r="T92" s="313">
        <f t="shared" si="153"/>
        <v>20450.939999999999</v>
      </c>
      <c r="U92" s="313">
        <f t="shared" si="153"/>
        <v>20659.330000000002</v>
      </c>
      <c r="V92" s="313">
        <f t="shared" si="153"/>
        <v>20756.95</v>
      </c>
      <c r="W92" s="313">
        <f t="shared" si="153"/>
        <v>20914.14</v>
      </c>
      <c r="X92" s="313">
        <f t="shared" si="153"/>
        <v>21101.48</v>
      </c>
      <c r="Y92" s="313">
        <f t="shared" si="153"/>
        <v>21263.040000000001</v>
      </c>
      <c r="Z92" s="313">
        <f t="shared" si="153"/>
        <v>21376.44</v>
      </c>
      <c r="AA92" s="313">
        <f t="shared" si="153"/>
        <v>21525</v>
      </c>
      <c r="AB92" s="313">
        <f t="shared" si="153"/>
        <v>21674.592448508731</v>
      </c>
      <c r="AC92" s="345" t="s">
        <v>593</v>
      </c>
    </row>
    <row r="94" spans="1:66">
      <c r="E94" s="459"/>
      <c r="F94" s="459"/>
      <c r="G94" s="459"/>
      <c r="H94" s="459"/>
      <c r="I94" s="459"/>
      <c r="J94" s="459"/>
      <c r="K94" s="45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c r="AS94" s="489"/>
      <c r="AT94" s="489"/>
      <c r="AU94" s="489"/>
      <c r="AV94" s="489"/>
      <c r="AW94" s="489"/>
      <c r="AX94" s="489"/>
      <c r="AY94" s="489"/>
      <c r="AZ94" s="489"/>
      <c r="BA94" s="489"/>
      <c r="BD94" s="459"/>
      <c r="BE94" s="459"/>
      <c r="BF94" s="459"/>
      <c r="BG94" s="459"/>
      <c r="BH94" s="459"/>
      <c r="BI94" s="459"/>
      <c r="BJ94" s="459"/>
    </row>
  </sheetData>
  <pageMargins left="0.7" right="0.7" top="0.75" bottom="0.75" header="0.3" footer="0.3"/>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6600"/>
    <pageSetUpPr fitToPage="1"/>
  </sheetPr>
  <dimension ref="A1:V72"/>
  <sheetViews>
    <sheetView showGridLines="0" topLeftCell="A27" workbookViewId="0">
      <selection activeCell="B6" sqref="B6"/>
    </sheetView>
  </sheetViews>
  <sheetFormatPr defaultColWidth="8.90625" defaultRowHeight="14.4"/>
  <cols>
    <col min="1" max="1" width="31.1796875" style="2" bestFit="1" customWidth="1"/>
    <col min="2" max="7" width="12.90625" style="2" customWidth="1"/>
    <col min="8" max="9" width="8.90625" style="2" customWidth="1"/>
    <col min="10" max="10" width="10.90625" style="2" customWidth="1"/>
    <col min="11" max="12" width="8.90625" style="2" customWidth="1"/>
    <col min="13" max="13" width="9.81640625" style="2" customWidth="1"/>
    <col min="14" max="16358" width="8.90625" style="2" customWidth="1"/>
    <col min="16359" max="16359" width="43" style="2" customWidth="1"/>
    <col min="16360" max="16360" width="28.08984375" style="2" customWidth="1"/>
    <col min="16361" max="16361" width="26.81640625" style="2" customWidth="1"/>
    <col min="16362" max="16362" width="12.54296875" style="2" customWidth="1"/>
    <col min="16363" max="16363" width="1.54296875" style="2" bestFit="1" customWidth="1"/>
    <col min="16364" max="16364" width="4.54296875" style="2" bestFit="1" customWidth="1"/>
    <col min="16365" max="16384" width="110.08984375" style="2" customWidth="1"/>
  </cols>
  <sheetData>
    <row r="1" spans="1:10" s="192" customFormat="1" ht="15.6">
      <c r="A1" s="196" t="s">
        <v>0</v>
      </c>
      <c r="J1" s="565" t="str">
        <f>IF(Financials!D175=0,"All checks OK","Press D&amp;E Macro")</f>
        <v>All checks OK</v>
      </c>
    </row>
    <row r="2" spans="1:10" s="192" customFormat="1" ht="16.2" thickBot="1">
      <c r="A2" s="197" t="str">
        <f>+'Input Data'!C9&amp;" - Results"</f>
        <v>Project Tampa - Midtown (Updated Costs Sept 2022) - Results</v>
      </c>
      <c r="B2" s="195"/>
      <c r="C2" s="195"/>
      <c r="D2" s="195"/>
      <c r="E2" s="195"/>
      <c r="F2" s="195"/>
      <c r="G2" s="195"/>
    </row>
    <row r="3" spans="1:10">
      <c r="A3" s="256" t="s">
        <v>156</v>
      </c>
      <c r="B3" s="256" t="str">
        <f>+'Input Data'!C10</f>
        <v>Project Tampa</v>
      </c>
      <c r="C3" s="97"/>
    </row>
    <row r="5" spans="1:10">
      <c r="A5" s="1" t="s">
        <v>54</v>
      </c>
      <c r="B5" s="36" t="str">
        <f>+'Input Data'!C13</f>
        <v>TEC</v>
      </c>
    </row>
    <row r="6" spans="1:10">
      <c r="A6" s="1" t="s">
        <v>157</v>
      </c>
      <c r="B6" s="500">
        <f>Capex!AK16/1000000</f>
        <v>256.41563601309093</v>
      </c>
    </row>
    <row r="7" spans="1:10">
      <c r="A7" s="1" t="s">
        <v>158</v>
      </c>
      <c r="B7" s="36">
        <f>+'Input Data'!G19</f>
        <v>30</v>
      </c>
    </row>
    <row r="8" spans="1:10">
      <c r="A8" s="1" t="s">
        <v>57</v>
      </c>
      <c r="B8" s="36">
        <f>+'Input Data'!C15</f>
        <v>2022</v>
      </c>
    </row>
    <row r="9" spans="1:10">
      <c r="A9" s="1" t="s">
        <v>159</v>
      </c>
      <c r="B9" s="36">
        <f>+'Input Data'!C17</f>
        <v>2022</v>
      </c>
    </row>
    <row r="10" spans="1:10">
      <c r="A10" s="1" t="s">
        <v>103</v>
      </c>
      <c r="B10" s="306">
        <f>+'Input Data'!E50</f>
        <v>0.25345000000000001</v>
      </c>
    </row>
    <row r="11" spans="1:10">
      <c r="A11" s="1"/>
      <c r="B11" s="306"/>
    </row>
    <row r="12" spans="1:10" ht="15" thickBot="1">
      <c r="A12" s="1" t="s">
        <v>160</v>
      </c>
      <c r="E12" s="187" t="s">
        <v>161</v>
      </c>
      <c r="F12" s="187"/>
    </row>
    <row r="13" spans="1:10">
      <c r="D13" s="3" t="s">
        <v>162</v>
      </c>
      <c r="E13" s="3" t="s">
        <v>162</v>
      </c>
      <c r="F13" s="3" t="s">
        <v>163</v>
      </c>
    </row>
    <row r="14" spans="1:10">
      <c r="A14" s="2" t="s">
        <v>67</v>
      </c>
      <c r="B14" s="176">
        <f>+'Input Data'!C24</f>
        <v>0.54</v>
      </c>
      <c r="C14" s="185">
        <f>+'Input Data'!C27</f>
        <v>0.10199999999999999</v>
      </c>
      <c r="D14" s="186">
        <f>C14/(1-B10)</f>
        <v>0.13662849105887079</v>
      </c>
      <c r="E14" s="186">
        <f>B14*D14</f>
        <v>7.3779385171790224E-2</v>
      </c>
      <c r="F14" s="186">
        <f>C14*B14</f>
        <v>5.5079999999999997E-2</v>
      </c>
    </row>
    <row r="15" spans="1:10">
      <c r="A15" s="2" t="s">
        <v>68</v>
      </c>
      <c r="B15" s="176">
        <f>+'Input Data'!C25</f>
        <v>0.45999999999999996</v>
      </c>
      <c r="C15" s="186">
        <f>+'Input Data'!C29</f>
        <v>4.6849999999999989E-2</v>
      </c>
      <c r="D15" s="186">
        <f>C15</f>
        <v>4.6849999999999989E-2</v>
      </c>
      <c r="E15" s="186">
        <f>D15*B15</f>
        <v>2.1550999999999994E-2</v>
      </c>
      <c r="F15" s="186">
        <f>E15*(1-B10)</f>
        <v>1.6088899049999997E-2</v>
      </c>
    </row>
    <row r="16" spans="1:10" ht="15" thickBot="1">
      <c r="A16" s="1" t="s">
        <v>164</v>
      </c>
      <c r="B16" s="1"/>
      <c r="C16" s="1"/>
      <c r="D16" s="1"/>
      <c r="E16" s="188">
        <f>SUM(E14:E15)</f>
        <v>9.5330385171790211E-2</v>
      </c>
      <c r="F16" s="188">
        <f>SUM(F14:F15)</f>
        <v>7.1168899049999998E-2</v>
      </c>
    </row>
    <row r="17" spans="1:7" ht="15" thickTop="1"/>
    <row r="18" spans="1:7">
      <c r="A18" s="1" t="s">
        <v>165</v>
      </c>
    </row>
    <row r="19" spans="1:7">
      <c r="A19" s="50" t="s">
        <v>166</v>
      </c>
      <c r="B19" s="186">
        <f>+Financials!C33</f>
        <v>7.1329869448496286E-2</v>
      </c>
      <c r="C19" s="270" t="s">
        <v>167</v>
      </c>
      <c r="D19" s="269"/>
      <c r="E19" s="194">
        <f>+Financials!C32/1000000</f>
        <v>0.29226879735103495</v>
      </c>
    </row>
    <row r="20" spans="1:7">
      <c r="A20" s="50" t="s">
        <v>168</v>
      </c>
      <c r="B20" s="186">
        <f>+Financials!C40</f>
        <v>8.5088948022705502E-2</v>
      </c>
      <c r="C20" s="270" t="s">
        <v>169</v>
      </c>
      <c r="D20" s="269"/>
      <c r="E20" s="194">
        <f>+Financials!C39/1000000</f>
        <v>32.711412663458887</v>
      </c>
    </row>
    <row r="21" spans="1:7">
      <c r="A21" s="50"/>
      <c r="B21" s="186"/>
      <c r="C21" s="193"/>
      <c r="D21" s="36"/>
      <c r="E21" s="193"/>
    </row>
    <row r="22" spans="1:7">
      <c r="A22" s="263" t="s">
        <v>170</v>
      </c>
      <c r="B22" s="264"/>
      <c r="C22" s="265"/>
      <c r="D22" s="264"/>
      <c r="E22" s="265"/>
      <c r="F22" s="266"/>
      <c r="G22" s="266"/>
    </row>
    <row r="23" spans="1:7">
      <c r="A23" s="260" t="s">
        <v>171</v>
      </c>
      <c r="B23" s="261">
        <f>SUMIF(Financials!$C$4:$AG$4,B24,Financials!$C$3:$AG$3)</f>
        <v>1</v>
      </c>
      <c r="C23" s="261">
        <f>SUMIF(Financials!$C$4:$AG$4,C24,Financials!$C$3:$AG$3)</f>
        <v>5</v>
      </c>
      <c r="D23" s="261">
        <f>SUMIF(Financials!$C$4:$AG$4,D24,Financials!$C$3:$AG$3)</f>
        <v>10</v>
      </c>
      <c r="E23" s="261">
        <f>SUMIF(Financials!$C$4:$AG$4,E24,Financials!$C$3:$AG$3)</f>
        <v>15</v>
      </c>
      <c r="F23" s="261">
        <f>SUMIF(Financials!$C$4:$AG$4,F24,Financials!$C$3:$AG$3)</f>
        <v>20</v>
      </c>
      <c r="G23" s="261" t="s">
        <v>172</v>
      </c>
    </row>
    <row r="24" spans="1:7">
      <c r="A24" s="260" t="s">
        <v>173</v>
      </c>
      <c r="B24" s="262">
        <f>+'Input Data'!C17</f>
        <v>2022</v>
      </c>
      <c r="C24" s="262">
        <f>+B24+4</f>
        <v>2026</v>
      </c>
      <c r="D24" s="262">
        <f>+C24+5</f>
        <v>2031</v>
      </c>
      <c r="E24" s="262">
        <f>+D24+5</f>
        <v>2036</v>
      </c>
      <c r="F24" s="262">
        <f>+E24+5</f>
        <v>2041</v>
      </c>
      <c r="G24" s="262" t="s">
        <v>174</v>
      </c>
    </row>
    <row r="25" spans="1:7">
      <c r="A25" s="50"/>
      <c r="B25" s="239"/>
      <c r="C25" s="239"/>
      <c r="D25" s="239"/>
      <c r="E25" s="239"/>
      <c r="F25" s="239"/>
      <c r="G25" s="239"/>
    </row>
    <row r="26" spans="1:7">
      <c r="A26" s="50" t="s">
        <v>175</v>
      </c>
      <c r="B26" s="186">
        <f>SUMIF(Financials!$C$4:$AG$4,B$24,Financials!$C$64:$AG$64)</f>
        <v>0</v>
      </c>
      <c r="C26" s="186">
        <f>SUMIF(Financials!$C$4:$AG$4,C$24,Financials!$C$64:$AG$64)</f>
        <v>0.10200000000000001</v>
      </c>
      <c r="D26" s="186">
        <f>SUMIF(Financials!$C$4:$AG$4,D$24,Financials!$C$64:$AG$64)</f>
        <v>0.11093127110614411</v>
      </c>
      <c r="E26" s="186">
        <f>SUMIF(Financials!$C$4:$AG$4,E$24,Financials!$C$64:$AG$64)</f>
        <v>0.10775419819953527</v>
      </c>
      <c r="F26" s="186">
        <f>SUMIF(Financials!$C$4:$AG$4,F$24,Financials!$C$64:$AG$64)</f>
        <v>0.10814919801325788</v>
      </c>
      <c r="G26" s="186">
        <f>IFERROR(AVERAGE(Financials!C64:AG64),0)</f>
        <v>0.10886127397052964</v>
      </c>
    </row>
    <row r="27" spans="1:7">
      <c r="A27" s="50" t="s">
        <v>176</v>
      </c>
      <c r="B27" s="186">
        <f>SUMIF(Financials!$C$4:$AG$4,B$24,Financials!$C$62:$AG$62)</f>
        <v>-1.5326319438920717E-2</v>
      </c>
      <c r="C27" s="186">
        <f>SUMIF(Financials!$C$4:$AG$4,C$24,Financials!$C$62:$AG$62)</f>
        <v>0.10200000000000001</v>
      </c>
      <c r="D27" s="186">
        <f>SUMIF(Financials!$C$4:$AG$4,D$24,Financials!$C$62:$AG$62)</f>
        <v>0.11093127110614411</v>
      </c>
      <c r="E27" s="186">
        <f>SUMIF(Financials!$C$4:$AG$4,E$24,Financials!$C$62:$AG$62)</f>
        <v>0.10775419819953527</v>
      </c>
      <c r="F27" s="186">
        <f>SUMIF(Financials!$C$4:$AG$4,F$24,Financials!$C$62:$AG$62)</f>
        <v>0.10814919801325788</v>
      </c>
      <c r="G27" s="186">
        <f>IFERROR(AVERAGE(Financials!C62:AG62),0)</f>
        <v>0.10893880410984905</v>
      </c>
    </row>
    <row r="28" spans="1:7">
      <c r="A28" s="50" t="s">
        <v>177</v>
      </c>
      <c r="B28" s="194">
        <f>SUMIF(Financials!$C$4:$AG$4,B$24,Financials!$C$68:$AG$68)/1000000</f>
        <v>0</v>
      </c>
      <c r="C28" s="194">
        <f>SUMIF(Financials!$C$4:$AG$4,C$24,Financials!$C$68:$AG$68)/1000000</f>
        <v>38.764581231985211</v>
      </c>
      <c r="D28" s="194">
        <f>SUMIF(Financials!$C$4:$AG$4,D$24,Financials!$C$68:$AG$68)/1000000</f>
        <v>34.313567962550941</v>
      </c>
      <c r="E28" s="194">
        <f>SUMIF(Financials!$C$4:$AG$4,E$24,Financials!$C$68:$AG$68)/1000000</f>
        <v>27.133654407822142</v>
      </c>
      <c r="F28" s="194">
        <f>SUMIF(Financials!$C$4:$AG$4,F$24,Financials!$C$68:$AG$68)/1000000</f>
        <v>25.310555589115221</v>
      </c>
      <c r="G28" s="194">
        <f>IFERROR(AVERAGEIF(Financials!C68:AA68,"&lt;&gt;0")/1000000,0)</f>
        <v>27.035114605025534</v>
      </c>
    </row>
    <row r="29" spans="1:7">
      <c r="A29" s="50"/>
      <c r="B29" s="194"/>
      <c r="C29" s="194"/>
      <c r="D29" s="194"/>
      <c r="E29" s="194"/>
      <c r="F29" s="194"/>
      <c r="G29" s="194"/>
    </row>
    <row r="30" spans="1:7">
      <c r="A30" s="50" t="s">
        <v>178</v>
      </c>
      <c r="B30" s="194">
        <f>SUMIF(Financials!$C$4:$AG$4,B$24,Financials!$C$71:$AG$71)/1000000</f>
        <v>0</v>
      </c>
      <c r="C30" s="194">
        <f>SUMIF(Financials!$C$4:$AG$4,C$24,Financials!$C$71:$AG$71)/1000000</f>
        <v>38.764581231985211</v>
      </c>
      <c r="D30" s="194">
        <f>SUMIF(Financials!$C$4:$AG$4,D$24,Financials!$C$71:$AG$71)/1000000</f>
        <v>34.313567962550941</v>
      </c>
      <c r="E30" s="194">
        <f>SUMIF(Financials!$C$4:$AG$4,E$24,Financials!$C$71:$AG$71)/1000000</f>
        <v>27.133654407822142</v>
      </c>
      <c r="F30" s="194">
        <f>SUMIF(Financials!$C$4:$AG$4,F$24,Financials!$C$71:$AG$71)/1000000</f>
        <v>25.310555589115221</v>
      </c>
      <c r="G30" s="194">
        <f>IFERROR(AVERAGEIF(Financials!C71:AA71,"&lt;&gt;0")/1000000,0)</f>
        <v>27.035114605025534</v>
      </c>
    </row>
    <row r="31" spans="1:7">
      <c r="A31" s="50"/>
    </row>
    <row r="32" spans="1:7">
      <c r="A32" s="50" t="s">
        <v>179</v>
      </c>
      <c r="B32" s="194">
        <f>SUMIF(Financials!$C$4:$AG$4,B$24,Financials!$C$15:$AG$15)/1000000</f>
        <v>0</v>
      </c>
      <c r="C32" s="194">
        <f>SUMIF(Financials!$C$4:$AG$4,C$24,Financials!$C$15:$AG$15)/1000000</f>
        <v>0</v>
      </c>
      <c r="D32" s="194">
        <f>SUMIF(Financials!$C$4:$AG$4,D$24,Financials!$C$15:$AG$15)/1000000</f>
        <v>0</v>
      </c>
      <c r="E32" s="194">
        <f>SUMIF(Financials!$C$4:$AG$4,E$24,Financials!$C$15:$AG$15)/1000000</f>
        <v>0</v>
      </c>
      <c r="F32" s="194">
        <f>SUMIF(Financials!$C$4:$AG$4,F$24,Financials!$C$15:$AG$15)/1000000</f>
        <v>0</v>
      </c>
      <c r="G32" s="194">
        <f>IFERROR(AVERAGEIF(Financials!C15:AA15,"&lt;&gt;0")/1000000,0)</f>
        <v>0</v>
      </c>
    </row>
    <row r="33" spans="1:7">
      <c r="A33" s="50"/>
    </row>
    <row r="34" spans="1:7">
      <c r="A34" s="50" t="s">
        <v>180</v>
      </c>
      <c r="B34" s="194">
        <f>SUMIF(Financials!$C$4:$AG$4,B$24,Financials!$C$59:$AG$59)/1000000</f>
        <v>-0.24569391113238215</v>
      </c>
      <c r="C34" s="194">
        <f>SUMIF(Financials!$C$4:$AG$4,C$24,Financials!$C$59:$AG$59)/1000000</f>
        <v>14.242572426000001</v>
      </c>
      <c r="D34" s="194">
        <f>SUMIF(Financials!$C$4:$AG$4,D$24,Financials!$C$59:$AG$59)/1000000</f>
        <v>12.824614051640243</v>
      </c>
      <c r="E34" s="194">
        <f>SUMIF(Financials!$C$4:$AG$4,E$24,Financials!$C$59:$AG$59)/1000000</f>
        <v>10.978975258654719</v>
      </c>
      <c r="F34" s="194">
        <f>SUMIF(Financials!$C$4:$AG$4,F$24,Financials!$C$59:$AG$59)/1000000</f>
        <v>9.7974075889474772</v>
      </c>
      <c r="G34" s="194">
        <f>IFERROR(AVERAGEIF(Financials!C59:AA59,"&lt;&gt;0")/1000000,0)</f>
        <v>11.12756106681211</v>
      </c>
    </row>
    <row r="35" spans="1:7">
      <c r="A35" s="50" t="s">
        <v>181</v>
      </c>
      <c r="B35" s="194">
        <f>SUMIF(Financials!$C$4:$AG$4,B$24,Financials!$C$60:$AG$60)/1000000</f>
        <v>-0.47762724009723517</v>
      </c>
      <c r="C35" s="194">
        <f>SUMIF(Financials!$C$4:$AG$4,C$24,Financials!$C$60:$AG$60)/1000000</f>
        <v>14.242572426000001</v>
      </c>
      <c r="D35" s="194">
        <f>SUMIF(Financials!$C$4:$AG$4,D$24,Financials!$C$60:$AG$60)/1000000</f>
        <v>12.824614051640243</v>
      </c>
      <c r="E35" s="194">
        <f>SUMIF(Financials!$C$4:$AG$4,E$24,Financials!$C$60:$AG$60)/1000000</f>
        <v>10.978975258654719</v>
      </c>
      <c r="F35" s="194">
        <f>SUMIF(Financials!$C$4:$AG$4,F$24,Financials!$C$60:$AG$60)/1000000</f>
        <v>9.7974075889474772</v>
      </c>
      <c r="G35" s="194">
        <f>IFERROR(AVERAGEIF(Financials!C60:AA60,"&lt;&gt;0")/1000000,0)</f>
        <v>10.53775130988952</v>
      </c>
    </row>
    <row r="36" spans="1:7">
      <c r="A36" s="1"/>
      <c r="B36" s="194"/>
      <c r="C36" s="194"/>
      <c r="D36" s="194"/>
      <c r="E36" s="194"/>
      <c r="F36" s="194"/>
      <c r="G36" s="194"/>
    </row>
    <row r="37" spans="1:7">
      <c r="A37" s="263" t="s">
        <v>182</v>
      </c>
      <c r="B37" s="264"/>
      <c r="C37" s="265"/>
      <c r="D37" s="264"/>
      <c r="E37" s="265"/>
      <c r="F37" s="266"/>
      <c r="G37" s="266"/>
    </row>
    <row r="38" spans="1:7">
      <c r="A38" s="260" t="s">
        <v>171</v>
      </c>
      <c r="B38" s="261">
        <f>SUMIF(Financials!$C$4:$AG$4,B39,Financials!$C$3:$AG$3)</f>
        <v>1</v>
      </c>
      <c r="C38" s="261">
        <f>SUMIF(Financials!$C$4:$AG$4,C39,Financials!$C$3:$AG$3)</f>
        <v>2</v>
      </c>
      <c r="D38" s="261">
        <f>SUMIF(Financials!$C$4:$AG$4,D39,Financials!$C$3:$AG$3)</f>
        <v>3</v>
      </c>
      <c r="E38" s="261">
        <f>SUMIF(Financials!$C$4:$AG$4,E39,Financials!$C$3:$AG$3)</f>
        <v>4</v>
      </c>
      <c r="F38" s="261">
        <f>SUMIF(Financials!$C$4:$AG$4,F39,Financials!$C$3:$AG$3)</f>
        <v>5</v>
      </c>
      <c r="G38" s="261" t="s">
        <v>172</v>
      </c>
    </row>
    <row r="39" spans="1:7">
      <c r="A39" s="260" t="s">
        <v>173</v>
      </c>
      <c r="B39" s="262">
        <f>+'Input Data'!C17</f>
        <v>2022</v>
      </c>
      <c r="C39" s="262">
        <f>+B39+1</f>
        <v>2023</v>
      </c>
      <c r="D39" s="262">
        <f>+C39+1</f>
        <v>2024</v>
      </c>
      <c r="E39" s="262">
        <f>+D39+1</f>
        <v>2025</v>
      </c>
      <c r="F39" s="262">
        <f>+E39+1</f>
        <v>2026</v>
      </c>
      <c r="G39" s="262" t="s">
        <v>183</v>
      </c>
    </row>
    <row r="40" spans="1:7">
      <c r="A40" s="260"/>
      <c r="B40" s="239"/>
      <c r="C40" s="239"/>
      <c r="D40" s="239"/>
      <c r="E40" s="239"/>
      <c r="F40" s="239"/>
      <c r="G40" s="239"/>
    </row>
    <row r="41" spans="1:7" hidden="1">
      <c r="A41" s="50" t="s">
        <v>184</v>
      </c>
      <c r="B41" s="236">
        <f>SUMIF('Residential Bill Impact'!$D$5:$N$5,B39,'Residential Bill Impact'!$D$36:$N$36)</f>
        <v>145.57999999999998</v>
      </c>
      <c r="C41" s="236">
        <f>SUMIF('Residential Bill Impact'!$D$5:$N$5,C39,'Residential Bill Impact'!$D$36:$N$36)</f>
        <v>133.87</v>
      </c>
      <c r="D41" s="236">
        <f>SUMIF('Residential Bill Impact'!$D$5:$N$5,D39,'Residential Bill Impact'!$D$36:$N$36)</f>
        <v>133.94999999999999</v>
      </c>
      <c r="E41" s="236">
        <f>SUMIF('Residential Bill Impact'!$D$5:$N$5,E39,'Residential Bill Impact'!$D$36:$N$36)</f>
        <v>133.28000000000003</v>
      </c>
      <c r="F41" s="236">
        <f>SUMIF('Residential Bill Impact'!$D$5:$N$5,F39,'Residential Bill Impact'!$D$36:$N$36)</f>
        <v>134.05999999999997</v>
      </c>
      <c r="G41" s="236">
        <f>AVERAGE(B41:F41)</f>
        <v>136.148</v>
      </c>
    </row>
    <row r="42" spans="1:7" hidden="1">
      <c r="A42" s="50" t="s">
        <v>185</v>
      </c>
      <c r="B42" s="236">
        <f>SUMIF('Residential Bill Impact'!$D$5:$N$5,B39,'Residential Bill Impact'!$D$54:$N$54)</f>
        <v>145.57999999999998</v>
      </c>
      <c r="C42" s="236">
        <f>SUMIF('Residential Bill Impact'!$D$5:$N$5,C39,'Residential Bill Impact'!$D$54:$N$54)</f>
        <v>133.87</v>
      </c>
      <c r="D42" s="236">
        <f>SUMIF('Residential Bill Impact'!$D$5:$N$5,D39,'Residential Bill Impact'!$D$54:$N$54)</f>
        <v>133.94999999999999</v>
      </c>
      <c r="E42" s="236">
        <f>SUMIF('Residential Bill Impact'!$D$5:$N$5,E39,'Residential Bill Impact'!$D$54:$N$54)</f>
        <v>134.63000000000002</v>
      </c>
      <c r="F42" s="236">
        <f>SUMIF('Residential Bill Impact'!$D$5:$N$5,F39,'Residential Bill Impact'!$D$54:$N$54)</f>
        <v>135.82</v>
      </c>
      <c r="G42" s="237">
        <f>AVERAGE(B42:F42)</f>
        <v>136.76999999999998</v>
      </c>
    </row>
    <row r="43" spans="1:7" ht="15" thickBot="1">
      <c r="A43" s="50" t="s">
        <v>186</v>
      </c>
      <c r="B43" s="238">
        <f t="shared" ref="B43:G43" si="0">+B42-B41</f>
        <v>0</v>
      </c>
      <c r="C43" s="238">
        <f t="shared" si="0"/>
        <v>0</v>
      </c>
      <c r="D43" s="238">
        <f t="shared" si="0"/>
        <v>0</v>
      </c>
      <c r="E43" s="238">
        <f t="shared" si="0"/>
        <v>1.3499999999999943</v>
      </c>
      <c r="F43" s="238">
        <f t="shared" si="0"/>
        <v>1.7600000000000193</v>
      </c>
      <c r="G43" s="238">
        <f t="shared" si="0"/>
        <v>0.62199999999998568</v>
      </c>
    </row>
    <row r="44" spans="1:7" ht="15" thickTop="1">
      <c r="A44" s="1"/>
      <c r="B44" s="236"/>
      <c r="C44" s="236"/>
      <c r="D44" s="236"/>
      <c r="E44" s="236"/>
      <c r="F44" s="236"/>
      <c r="G44" s="236"/>
    </row>
    <row r="45" spans="1:7">
      <c r="A45" s="260" t="s">
        <v>171</v>
      </c>
      <c r="B45" s="261">
        <f>SUMIF(Financials!$C$4:$AG$4,B46,Financials!$C$3:$AG$3)</f>
        <v>6</v>
      </c>
      <c r="C45" s="261">
        <f>SUMIF(Financials!$C$4:$AG$4,C46,Financials!$C$3:$AG$3)</f>
        <v>7</v>
      </c>
      <c r="D45" s="261">
        <f>SUMIF(Financials!$C$4:$AG$4,D46,Financials!$C$3:$AG$3)</f>
        <v>8</v>
      </c>
      <c r="E45" s="261">
        <f>SUMIF(Financials!$C$4:$AG$4,E46,Financials!$C$3:$AG$3)</f>
        <v>9</v>
      </c>
      <c r="F45" s="261">
        <f>SUMIF(Financials!$C$4:$AG$4,F46,Financials!$C$3:$AG$3)</f>
        <v>10</v>
      </c>
      <c r="G45" s="261" t="s">
        <v>172</v>
      </c>
    </row>
    <row r="46" spans="1:7">
      <c r="A46" s="260" t="s">
        <v>173</v>
      </c>
      <c r="B46" s="262">
        <f>+F39+1</f>
        <v>2027</v>
      </c>
      <c r="C46" s="262">
        <f>+B46+1</f>
        <v>2028</v>
      </c>
      <c r="D46" s="262">
        <f>+C46+1</f>
        <v>2029</v>
      </c>
      <c r="E46" s="262">
        <f>+D46+1</f>
        <v>2030</v>
      </c>
      <c r="F46" s="262">
        <f>+E46+1</f>
        <v>2031</v>
      </c>
      <c r="G46" s="262" t="s">
        <v>187</v>
      </c>
    </row>
    <row r="47" spans="1:7">
      <c r="A47" s="260"/>
      <c r="B47" s="239"/>
      <c r="C47" s="239"/>
      <c r="D47" s="239"/>
      <c r="E47" s="239"/>
      <c r="F47" s="239"/>
      <c r="G47" s="239"/>
    </row>
    <row r="48" spans="1:7">
      <c r="A48" s="50" t="s">
        <v>184</v>
      </c>
      <c r="B48" s="236">
        <f>SUMIF('Residential Bill Impact'!$D$5:$N$5,B46,'Residential Bill Impact'!$D$36:$N$36)</f>
        <v>134.98000000000002</v>
      </c>
      <c r="C48" s="236">
        <f>SUMIF('Residential Bill Impact'!$D$5:$N$5,C46,'Residential Bill Impact'!$D$36:$N$36)</f>
        <v>134.98000000000002</v>
      </c>
      <c r="D48" s="236">
        <f>SUMIF('Residential Bill Impact'!$D$5:$N$5,D46,'Residential Bill Impact'!$D$36:$N$36)</f>
        <v>134.67000000000002</v>
      </c>
      <c r="E48" s="236">
        <f>SUMIF('Residential Bill Impact'!$D$5:$N$5,E46,'Residential Bill Impact'!$D$36:$N$36)</f>
        <v>115.65</v>
      </c>
      <c r="F48" s="236">
        <f>SUMIF('Residential Bill Impact'!$D$5:$N$5,F46,'Residential Bill Impact'!$D$36:$N$36)</f>
        <v>118.83000000000001</v>
      </c>
      <c r="G48" s="236">
        <f>AVERAGE(B48:F48,B41:F41)</f>
        <v>131.98499999999999</v>
      </c>
    </row>
    <row r="49" spans="1:13">
      <c r="A49" s="50" t="s">
        <v>185</v>
      </c>
      <c r="B49" s="236">
        <f>SUMIF('Residential Bill Impact'!$D$5:$N$5,B46,'Residential Bill Impact'!$D$54:$N$54)</f>
        <v>136.69999999999999</v>
      </c>
      <c r="C49" s="236">
        <f>SUMIF('Residential Bill Impact'!$D$5:$N$5,C46,'Residential Bill Impact'!$D$54:$N$54)</f>
        <v>136.69999999999999</v>
      </c>
      <c r="D49" s="236">
        <f>SUMIF('Residential Bill Impact'!$D$5:$N$5,D46,'Residential Bill Impact'!$D$54:$N$54)</f>
        <v>136.38</v>
      </c>
      <c r="E49" s="236">
        <f>SUMIF('Residential Bill Impact'!$D$5:$N$5,E46,'Residential Bill Impact'!$D$54:$N$54)</f>
        <v>117.24000000000001</v>
      </c>
      <c r="F49" s="236">
        <f>SUMIF('Residential Bill Impact'!$D$5:$N$5,F46,'Residential Bill Impact'!$D$54:$N$54)</f>
        <v>120.42</v>
      </c>
      <c r="G49" s="236">
        <f>AVERAGE(B49:F49,B42:F42)</f>
        <v>133.12899999999999</v>
      </c>
    </row>
    <row r="50" spans="1:13" ht="15" thickBot="1">
      <c r="A50" s="50" t="s">
        <v>186</v>
      </c>
      <c r="B50" s="238">
        <f t="shared" ref="B50:G50" si="1">+B49-B48</f>
        <v>1.7199999999999704</v>
      </c>
      <c r="C50" s="238">
        <f t="shared" si="1"/>
        <v>1.7199999999999704</v>
      </c>
      <c r="D50" s="238">
        <f t="shared" si="1"/>
        <v>1.7099999999999795</v>
      </c>
      <c r="E50" s="238">
        <f t="shared" si="1"/>
        <v>1.5900000000000034</v>
      </c>
      <c r="F50" s="238">
        <f t="shared" si="1"/>
        <v>1.5899999999999892</v>
      </c>
      <c r="G50" s="238">
        <f t="shared" si="1"/>
        <v>1.1440000000000055</v>
      </c>
    </row>
    <row r="51" spans="1:13" ht="15" thickTop="1"/>
    <row r="54" spans="1:13">
      <c r="A54" s="263" t="s">
        <v>188</v>
      </c>
      <c r="B54" s="264"/>
      <c r="C54" s="265"/>
      <c r="D54" s="264"/>
      <c r="E54" s="265"/>
      <c r="F54" s="266"/>
      <c r="G54" s="266"/>
      <c r="H54" s="266"/>
      <c r="I54" s="266"/>
      <c r="J54" s="266"/>
      <c r="K54" s="266"/>
      <c r="L54" s="266"/>
      <c r="M54" s="266"/>
    </row>
    <row r="55" spans="1:13">
      <c r="A55" s="36"/>
      <c r="B55" s="36"/>
      <c r="C55" s="36"/>
      <c r="D55" s="36"/>
      <c r="E55" s="36"/>
      <c r="F55" s="36"/>
      <c r="G55" s="36"/>
    </row>
    <row r="56" spans="1:13">
      <c r="A56" s="1" t="str">
        <f>+'Input Data'!B29</f>
        <v>Interest Rate on Debt</v>
      </c>
      <c r="B56" s="186">
        <f>+'Input Data'!C29</f>
        <v>4.6849999999999989E-2</v>
      </c>
      <c r="C56" s="36"/>
      <c r="D56" s="36"/>
      <c r="E56" s="36"/>
      <c r="F56" s="36"/>
      <c r="G56" s="36"/>
    </row>
    <row r="57" spans="1:13">
      <c r="A57" s="217" t="str">
        <f>+'Input Data'!E29</f>
        <v>Use Average Debt Rate</v>
      </c>
      <c r="B57" s="36" t="str">
        <f>+'Input Data'!G29</f>
        <v>Y</v>
      </c>
      <c r="C57" s="36"/>
      <c r="D57" s="36"/>
      <c r="E57" s="36"/>
      <c r="F57" s="36"/>
      <c r="G57" s="36"/>
    </row>
    <row r="58" spans="1:13">
      <c r="A58" s="217" t="str">
        <f>+'Input Data'!I29</f>
        <v>Number of Years from Project Start Year</v>
      </c>
      <c r="B58" s="36">
        <f>+'Input Data'!L29</f>
        <v>5</v>
      </c>
      <c r="C58" s="36"/>
      <c r="D58" s="36"/>
      <c r="E58" s="36"/>
      <c r="F58" s="36"/>
      <c r="G58" s="36"/>
    </row>
    <row r="59" spans="1:13">
      <c r="A59" s="1" t="str">
        <f>+'Input Data'!B58</f>
        <v>Assumed Rate Case Years</v>
      </c>
      <c r="B59" s="36">
        <f>+'Input Data'!C58</f>
        <v>2025</v>
      </c>
      <c r="C59" s="36">
        <f>+'Input Data'!D58</f>
        <v>2026</v>
      </c>
      <c r="D59" s="36">
        <f>+'Input Data'!E58</f>
        <v>2027</v>
      </c>
      <c r="E59" s="36"/>
      <c r="F59" s="36"/>
      <c r="G59" s="36"/>
    </row>
    <row r="60" spans="1:13">
      <c r="A60" s="1" t="str">
        <f>+'Input Data'!B31</f>
        <v>Property Tax</v>
      </c>
      <c r="B60" s="36"/>
      <c r="C60" s="36"/>
      <c r="D60" s="36"/>
      <c r="E60" s="36"/>
      <c r="F60" s="36"/>
      <c r="G60" s="36"/>
    </row>
    <row r="61" spans="1:13">
      <c r="A61" s="217" t="str">
        <f>+'Input Data'!B33</f>
        <v>% of NBV subject to Property Tax Rate</v>
      </c>
      <c r="B61" s="498">
        <f>+'Input Data'!C33</f>
        <v>0.6</v>
      </c>
      <c r="C61" s="36"/>
      <c r="D61" s="36"/>
      <c r="E61" s="36"/>
      <c r="F61" s="36"/>
      <c r="G61" s="36"/>
    </row>
    <row r="62" spans="1:13">
      <c r="A62" s="217"/>
      <c r="B62" s="498"/>
      <c r="C62" s="36"/>
      <c r="D62" s="36"/>
      <c r="E62" s="36"/>
      <c r="F62" s="36"/>
      <c r="G62" s="36"/>
    </row>
    <row r="63" spans="1:13">
      <c r="A63" s="1" t="str">
        <f>+'Input Data'!B41</f>
        <v>ITC Rate</v>
      </c>
      <c r="B63" s="229">
        <f>+'Input Data'!C40</f>
        <v>2022</v>
      </c>
      <c r="C63" s="229">
        <f>+'Input Data'!D40</f>
        <v>2023</v>
      </c>
      <c r="D63" s="229">
        <f>+'Input Data'!E40</f>
        <v>2024</v>
      </c>
      <c r="E63" s="229">
        <f>+'Input Data'!F40</f>
        <v>2025</v>
      </c>
      <c r="F63" s="229">
        <f>+'Input Data'!G40</f>
        <v>2026</v>
      </c>
      <c r="G63" s="229">
        <f>+'Input Data'!H40</f>
        <v>2027</v>
      </c>
    </row>
    <row r="64" spans="1:13">
      <c r="B64" s="498">
        <f>+'Input Data'!C41</f>
        <v>0.1</v>
      </c>
      <c r="C64" s="498">
        <f>+'Input Data'!D41</f>
        <v>0.1</v>
      </c>
      <c r="D64" s="498">
        <f>+'Input Data'!E41</f>
        <v>0.1</v>
      </c>
      <c r="E64" s="498">
        <f>+'Input Data'!F41</f>
        <v>0.1</v>
      </c>
      <c r="F64" s="498">
        <f>+'Input Data'!G41</f>
        <v>0.1</v>
      </c>
      <c r="G64" s="498">
        <f>+'Input Data'!H41</f>
        <v>0.1</v>
      </c>
    </row>
    <row r="65" spans="2:22">
      <c r="B65" s="498"/>
      <c r="C65" s="498"/>
      <c r="D65" s="498"/>
      <c r="E65" s="498"/>
      <c r="F65" s="498"/>
      <c r="G65" s="498"/>
    </row>
    <row r="67" spans="2:22">
      <c r="I67" s="496"/>
    </row>
    <row r="68" spans="2:22">
      <c r="G68" s="497"/>
    </row>
    <row r="70" spans="2:22" ht="15.6">
      <c r="J70" s="315"/>
      <c r="K70" s="499"/>
      <c r="L70" s="499"/>
      <c r="M70" s="499"/>
      <c r="N70" s="499"/>
      <c r="O70" s="499"/>
      <c r="P70" s="499"/>
      <c r="Q70" s="499"/>
      <c r="R70" s="499"/>
      <c r="S70" s="499"/>
      <c r="T70" s="499"/>
      <c r="U70" s="499"/>
      <c r="V70" s="499"/>
    </row>
    <row r="71" spans="2:22" ht="15.6">
      <c r="J71" s="315"/>
      <c r="K71" s="499"/>
      <c r="L71" s="499"/>
      <c r="M71" s="499"/>
      <c r="N71" s="499"/>
      <c r="O71" s="499"/>
      <c r="P71" s="499"/>
      <c r="Q71" s="499"/>
      <c r="R71" s="499"/>
      <c r="S71" s="499"/>
      <c r="T71" s="499"/>
      <c r="U71" s="499"/>
      <c r="V71" s="499"/>
    </row>
    <row r="72" spans="2:22">
      <c r="K72" s="499"/>
      <c r="L72" s="499"/>
      <c r="M72" s="499"/>
      <c r="N72" s="499"/>
      <c r="O72" s="499"/>
      <c r="P72" s="499"/>
      <c r="Q72" s="499"/>
      <c r="R72" s="499"/>
      <c r="S72" s="499"/>
      <c r="T72" s="499"/>
      <c r="U72" s="499"/>
      <c r="V72" s="499"/>
    </row>
  </sheetData>
  <pageMargins left="0.7" right="0.7" top="0.75" bottom="0.75" header="0.3" footer="0.3"/>
  <pageSetup scale="63" fitToHeight="0" orientation="landscape" r:id="rId1"/>
  <rowBreaks count="1" manualBreakCount="1">
    <brk id="5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FB53A0E-EA40-43FB-BEC1-E066AD8C5B13}">
            <xm:f>Financials!$D$175=0</xm:f>
            <x14:dxf>
              <font>
                <color theme="1"/>
              </font>
              <fill>
                <patternFill patternType="solid">
                  <bgColor rgb="FF92D050"/>
                </patternFill>
              </fill>
            </x14:dxf>
          </x14:cfRule>
          <xm:sqref>J1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6600"/>
  </sheetPr>
  <dimension ref="A1:AI22672"/>
  <sheetViews>
    <sheetView showGridLines="0" zoomScaleNormal="100" workbookViewId="0">
      <pane xSplit="2" ySplit="4" topLeftCell="C5" activePane="bottomRight" state="frozen"/>
      <selection pane="topRight" activeCell="B6" sqref="B6"/>
      <selection pane="bottomLeft" activeCell="B6" sqref="B6"/>
      <selection pane="bottomRight" activeCell="F7" sqref="F7"/>
    </sheetView>
  </sheetViews>
  <sheetFormatPr defaultColWidth="9.08984375" defaultRowHeight="14.4"/>
  <cols>
    <col min="1" max="1" width="28.453125" style="2" bestFit="1" customWidth="1"/>
    <col min="2" max="2" width="10.90625" style="2" customWidth="1"/>
    <col min="3" max="32" width="11.90625" style="2" customWidth="1"/>
    <col min="33" max="33" width="12.6328125" style="2" customWidth="1"/>
    <col min="34" max="16384" width="9.08984375" style="2"/>
  </cols>
  <sheetData>
    <row r="1" spans="1:35">
      <c r="A1" s="567" t="str">
        <f>+'Input Data'!A1&amp;" - "&amp;'Input Data'!C9</f>
        <v>Financial Template - Project Tampa - Midtown (Updated Costs Sept 2022)</v>
      </c>
      <c r="C1" s="566" t="str">
        <f>IF(Financials!D175=0,"All checks OK","Press D&amp;E Macro")</f>
        <v>All checks OK</v>
      </c>
    </row>
    <row r="2" spans="1:35">
      <c r="A2" s="216" t="s">
        <v>189</v>
      </c>
      <c r="B2" s="271"/>
      <c r="C2" s="503" t="str">
        <f>IF('Rev Req'!C48=1,"Rate Case","")</f>
        <v/>
      </c>
      <c r="D2" s="503" t="str">
        <f>IF('Rev Req'!D48=1,"Rate Case","")</f>
        <v/>
      </c>
      <c r="E2" s="503" t="str">
        <f>IF('Rev Req'!E48=1,"Rate Case","")</f>
        <v/>
      </c>
      <c r="F2" s="503" t="str">
        <f>IF('Rev Req'!F48=1,"Rate Case","")</f>
        <v>Rate Case</v>
      </c>
      <c r="G2" s="503" t="str">
        <f>IF('Rev Req'!G48=1,"Rate Case","")</f>
        <v>Rate Case</v>
      </c>
      <c r="H2" s="503" t="str">
        <f>IF('Rev Req'!H48=1,"Rate Case","")</f>
        <v>Rate Case</v>
      </c>
      <c r="I2" s="503" t="str">
        <f>IF('Rev Req'!I48=1,"Rate Case","")</f>
        <v/>
      </c>
      <c r="J2" s="503" t="str">
        <f>IF('Rev Req'!J48=1,"Rate Case","")</f>
        <v/>
      </c>
      <c r="K2" s="503" t="str">
        <f>IF('Rev Req'!K48=1,"Rate Case","")</f>
        <v>Rate Case</v>
      </c>
      <c r="L2" s="503" t="str">
        <f>IF('Rev Req'!L48=1,"Rate Case","")</f>
        <v/>
      </c>
      <c r="M2" s="503" t="str">
        <f>IF('Rev Req'!M48=1,"Rate Case","")</f>
        <v/>
      </c>
      <c r="N2" s="503" t="str">
        <f>IF('Rev Req'!N48=1,"Rate Case","")</f>
        <v/>
      </c>
      <c r="O2" s="503" t="str">
        <f>IF('Rev Req'!O48=1,"Rate Case","")</f>
        <v/>
      </c>
      <c r="P2" s="503" t="str">
        <f>IF('Rev Req'!P48=1,"Rate Case","")</f>
        <v>Rate Case</v>
      </c>
      <c r="Q2" s="503" t="str">
        <f>IF('Rev Req'!Q48=1,"Rate Case","")</f>
        <v/>
      </c>
      <c r="R2" s="503" t="str">
        <f>IF('Rev Req'!R48=1,"Rate Case","")</f>
        <v/>
      </c>
      <c r="S2" s="503" t="str">
        <f>IF('Rev Req'!S48=1,"Rate Case","")</f>
        <v/>
      </c>
      <c r="T2" s="503" t="str">
        <f>IF('Rev Req'!T48=1,"Rate Case","")</f>
        <v/>
      </c>
      <c r="U2" s="503" t="str">
        <f>IF('Rev Req'!U48=1,"Rate Case","")</f>
        <v>Rate Case</v>
      </c>
      <c r="V2" s="503" t="str">
        <f>IF('Rev Req'!V48=1,"Rate Case","")</f>
        <v/>
      </c>
      <c r="W2" s="503" t="str">
        <f>IF('Rev Req'!W48=1,"Rate Case","")</f>
        <v/>
      </c>
      <c r="X2" s="503" t="str">
        <f>IF('Rev Req'!X48=1,"Rate Case","")</f>
        <v/>
      </c>
      <c r="Y2" s="503" t="str">
        <f>IF('Rev Req'!Y48=1,"Rate Case","")</f>
        <v/>
      </c>
      <c r="Z2" s="503" t="str">
        <f>IF('Rev Req'!Z48=1,"Rate Case","")</f>
        <v>Rate Case</v>
      </c>
      <c r="AA2" s="503" t="str">
        <f>IF('Rev Req'!AA48=1,"Rate Case","")</f>
        <v/>
      </c>
      <c r="AB2" s="503" t="str">
        <f>IF('Rev Req'!AB48=1,"Rate Case","")</f>
        <v/>
      </c>
      <c r="AC2" s="503" t="str">
        <f>IF('Rev Req'!AC48=1,"Rate Case","")</f>
        <v/>
      </c>
      <c r="AD2" s="503" t="str">
        <f>IF('Rev Req'!AD48=1,"Rate Case","")</f>
        <v/>
      </c>
      <c r="AE2" s="503" t="str">
        <f>IF('Rev Req'!AE48=1,"Rate Case","")</f>
        <v>Rate Case</v>
      </c>
      <c r="AF2" s="503" t="str">
        <f>IF('Rev Req'!AF48=1,"Rate Case","")</f>
        <v/>
      </c>
      <c r="AG2" s="272"/>
    </row>
    <row r="3" spans="1:35" ht="15" thickBot="1">
      <c r="A3" s="273"/>
      <c r="B3" s="273"/>
      <c r="C3" s="258">
        <f>1</f>
        <v>1</v>
      </c>
      <c r="D3" s="36">
        <f>C3+1</f>
        <v>2</v>
      </c>
      <c r="E3" s="36">
        <f t="shared" ref="E3:W3" si="0">D3+1</f>
        <v>3</v>
      </c>
      <c r="F3" s="36">
        <f t="shared" si="0"/>
        <v>4</v>
      </c>
      <c r="G3" s="36">
        <f t="shared" si="0"/>
        <v>5</v>
      </c>
      <c r="H3" s="36">
        <f t="shared" si="0"/>
        <v>6</v>
      </c>
      <c r="I3" s="36">
        <f t="shared" si="0"/>
        <v>7</v>
      </c>
      <c r="J3" s="36">
        <f t="shared" si="0"/>
        <v>8</v>
      </c>
      <c r="K3" s="36">
        <f t="shared" si="0"/>
        <v>9</v>
      </c>
      <c r="L3" s="36">
        <f t="shared" si="0"/>
        <v>10</v>
      </c>
      <c r="M3" s="36">
        <f t="shared" si="0"/>
        <v>11</v>
      </c>
      <c r="N3" s="36">
        <f t="shared" si="0"/>
        <v>12</v>
      </c>
      <c r="O3" s="36">
        <f t="shared" si="0"/>
        <v>13</v>
      </c>
      <c r="P3" s="36">
        <f t="shared" si="0"/>
        <v>14</v>
      </c>
      <c r="Q3" s="36">
        <f t="shared" si="0"/>
        <v>15</v>
      </c>
      <c r="R3" s="36">
        <f t="shared" si="0"/>
        <v>16</v>
      </c>
      <c r="S3" s="36">
        <f t="shared" si="0"/>
        <v>17</v>
      </c>
      <c r="T3" s="36">
        <f t="shared" si="0"/>
        <v>18</v>
      </c>
      <c r="U3" s="36">
        <f t="shared" si="0"/>
        <v>19</v>
      </c>
      <c r="V3" s="36">
        <f t="shared" si="0"/>
        <v>20</v>
      </c>
      <c r="W3" s="36">
        <f t="shared" si="0"/>
        <v>21</v>
      </c>
      <c r="X3" s="36">
        <f>W3+1</f>
        <v>22</v>
      </c>
      <c r="Y3" s="36">
        <f>X3+1</f>
        <v>23</v>
      </c>
      <c r="Z3" s="36">
        <f>Y3+1</f>
        <v>24</v>
      </c>
      <c r="AA3" s="36">
        <f>Z3+1</f>
        <v>25</v>
      </c>
      <c r="AB3" s="36">
        <f t="shared" ref="AB3:AF3" si="1">AA3+1</f>
        <v>26</v>
      </c>
      <c r="AC3" s="36">
        <f t="shared" si="1"/>
        <v>27</v>
      </c>
      <c r="AD3" s="36">
        <f t="shared" si="1"/>
        <v>28</v>
      </c>
      <c r="AE3" s="36">
        <f t="shared" si="1"/>
        <v>29</v>
      </c>
      <c r="AF3" s="36">
        <f t="shared" si="1"/>
        <v>30</v>
      </c>
      <c r="AG3" s="274"/>
    </row>
    <row r="4" spans="1:35">
      <c r="A4" s="2" t="s">
        <v>190</v>
      </c>
      <c r="B4" s="366">
        <f>+'Input Data'!C19</f>
        <v>29</v>
      </c>
      <c r="C4" s="38">
        <f>+'Input Data'!C15</f>
        <v>2022</v>
      </c>
      <c r="D4" s="38">
        <f>+C4+1</f>
        <v>2023</v>
      </c>
      <c r="E4" s="38">
        <f t="shared" ref="E4:AA4" si="2">+D4+1</f>
        <v>2024</v>
      </c>
      <c r="F4" s="38">
        <f t="shared" si="2"/>
        <v>2025</v>
      </c>
      <c r="G4" s="38">
        <f t="shared" si="2"/>
        <v>2026</v>
      </c>
      <c r="H4" s="38">
        <f t="shared" si="2"/>
        <v>2027</v>
      </c>
      <c r="I4" s="38">
        <f t="shared" si="2"/>
        <v>2028</v>
      </c>
      <c r="J4" s="38">
        <f t="shared" si="2"/>
        <v>2029</v>
      </c>
      <c r="K4" s="38">
        <f t="shared" si="2"/>
        <v>2030</v>
      </c>
      <c r="L4" s="38">
        <f t="shared" si="2"/>
        <v>2031</v>
      </c>
      <c r="M4" s="38">
        <f t="shared" si="2"/>
        <v>2032</v>
      </c>
      <c r="N4" s="38">
        <f t="shared" si="2"/>
        <v>2033</v>
      </c>
      <c r="O4" s="38">
        <f t="shared" si="2"/>
        <v>2034</v>
      </c>
      <c r="P4" s="38">
        <f t="shared" si="2"/>
        <v>2035</v>
      </c>
      <c r="Q4" s="38">
        <f t="shared" si="2"/>
        <v>2036</v>
      </c>
      <c r="R4" s="38">
        <f t="shared" si="2"/>
        <v>2037</v>
      </c>
      <c r="S4" s="38">
        <f t="shared" si="2"/>
        <v>2038</v>
      </c>
      <c r="T4" s="38">
        <f t="shared" si="2"/>
        <v>2039</v>
      </c>
      <c r="U4" s="38">
        <f t="shared" si="2"/>
        <v>2040</v>
      </c>
      <c r="V4" s="38">
        <f t="shared" si="2"/>
        <v>2041</v>
      </c>
      <c r="W4" s="38">
        <f t="shared" si="2"/>
        <v>2042</v>
      </c>
      <c r="X4" s="38">
        <f t="shared" si="2"/>
        <v>2043</v>
      </c>
      <c r="Y4" s="38">
        <f t="shared" si="2"/>
        <v>2044</v>
      </c>
      <c r="Z4" s="38">
        <f t="shared" si="2"/>
        <v>2045</v>
      </c>
      <c r="AA4" s="38">
        <f t="shared" si="2"/>
        <v>2046</v>
      </c>
      <c r="AB4" s="38">
        <f t="shared" ref="AB4" si="3">+AA4+1</f>
        <v>2047</v>
      </c>
      <c r="AC4" s="38">
        <f t="shared" ref="AC4" si="4">+AB4+1</f>
        <v>2048</v>
      </c>
      <c r="AD4" s="38">
        <f t="shared" ref="AD4" si="5">+AC4+1</f>
        <v>2049</v>
      </c>
      <c r="AE4" s="38">
        <f t="shared" ref="AE4" si="6">+AD4+1</f>
        <v>2050</v>
      </c>
      <c r="AF4" s="38">
        <f t="shared" ref="AF4" si="7">+AE4+1</f>
        <v>2051</v>
      </c>
      <c r="AG4" s="38" t="s">
        <v>191</v>
      </c>
    </row>
    <row r="5" spans="1:35">
      <c r="A5" s="518" t="s">
        <v>192</v>
      </c>
      <c r="B5" s="13"/>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row>
    <row r="6" spans="1:35">
      <c r="A6" s="59" t="s">
        <v>193</v>
      </c>
      <c r="B6" s="275"/>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row>
    <row r="7" spans="1:35">
      <c r="A7" s="6" t="s">
        <v>194</v>
      </c>
      <c r="B7" s="276"/>
      <c r="C7" s="40">
        <f>'Rev Req'!C$51</f>
        <v>0</v>
      </c>
      <c r="D7" s="40">
        <f>'Rev Req'!D$51</f>
        <v>0</v>
      </c>
      <c r="E7" s="40">
        <f>'Rev Req'!E$51</f>
        <v>0</v>
      </c>
      <c r="F7" s="40">
        <f>'Rev Req'!F$51</f>
        <v>29676195.567923136</v>
      </c>
      <c r="G7" s="40">
        <f>'Rev Req'!G$51</f>
        <v>38764581.231985211</v>
      </c>
      <c r="H7" s="40">
        <f>'Rev Req'!H$51</f>
        <v>37807525.869597256</v>
      </c>
      <c r="I7" s="40">
        <f>'Rev Req'!I$51</f>
        <v>38374638.757641211</v>
      </c>
      <c r="J7" s="40">
        <f>'Rev Req'!J$51</f>
        <v>38950258.339005828</v>
      </c>
      <c r="K7" s="40">
        <f>'Rev Req'!K$51</f>
        <v>35169103.092066064</v>
      </c>
      <c r="L7" s="40">
        <f>'Rev Req'!L$51</f>
        <v>35696639.638447054</v>
      </c>
      <c r="M7" s="40">
        <f>'Rev Req'!M$51</f>
        <v>36232089.233023755</v>
      </c>
      <c r="N7" s="40">
        <f>'Rev Req'!N$51</f>
        <v>36775570.571519107</v>
      </c>
      <c r="O7" s="40">
        <f>'Rev Req'!O$51</f>
        <v>37327204.130091891</v>
      </c>
      <c r="P7" s="40">
        <f>'Rev Req'!P$51</f>
        <v>27506390.958757535</v>
      </c>
      <c r="Q7" s="40">
        <f>'Rev Req'!Q$51</f>
        <v>27918986.823138896</v>
      </c>
      <c r="R7" s="40">
        <f>'Rev Req'!R$51</f>
        <v>28337771.625485975</v>
      </c>
      <c r="S7" s="40">
        <f>'Rev Req'!S$51</f>
        <v>28762838.199868262</v>
      </c>
      <c r="T7" s="40">
        <f>'Rev Req'!T$51</f>
        <v>29194280.772866283</v>
      </c>
      <c r="U7" s="40">
        <f>'Rev Req'!U$51</f>
        <v>25671667.19025936</v>
      </c>
      <c r="V7" s="40">
        <f>'Rev Req'!V$51</f>
        <v>26056742.198113248</v>
      </c>
      <c r="W7" s="40">
        <f>'Rev Req'!W$51</f>
        <v>26447593.331084944</v>
      </c>
      <c r="X7" s="40">
        <f>'Rev Req'!X$51</f>
        <v>26844307.231051214</v>
      </c>
      <c r="Y7" s="40">
        <f>'Rev Req'!Y$51</f>
        <v>27246971.839516979</v>
      </c>
      <c r="Z7" s="40">
        <f>'Rev Req'!Z$51</f>
        <v>23882365.262191609</v>
      </c>
      <c r="AA7" s="40">
        <f>'Rev Req'!AA$51</f>
        <v>24240600.741124481</v>
      </c>
      <c r="AB7" s="40">
        <f>'Rev Req'!AB$51</f>
        <v>24604209.752241347</v>
      </c>
      <c r="AC7" s="40">
        <f>'Rev Req'!AC$51</f>
        <v>24973272.898524966</v>
      </c>
      <c r="AD7" s="40">
        <f>'Rev Req'!AD$51</f>
        <v>25347871.992002837</v>
      </c>
      <c r="AE7" s="40">
        <f>'Rev Req'!AE$51</f>
        <v>22136315.947675999</v>
      </c>
      <c r="AF7" s="40">
        <f>'Rev Req'!AF$51</f>
        <v>22468360.686891139</v>
      </c>
      <c r="AG7" s="4">
        <f>SUM(C7:AF7)</f>
        <v>806414353.88209558</v>
      </c>
    </row>
    <row r="8" spans="1:35">
      <c r="A8" s="6" t="s">
        <v>195</v>
      </c>
      <c r="B8" s="276"/>
      <c r="C8" s="40">
        <f>+C15</f>
        <v>0</v>
      </c>
      <c r="D8" s="40">
        <f t="shared" ref="D8:AA8" si="8">+D15</f>
        <v>0</v>
      </c>
      <c r="E8" s="40">
        <f t="shared" si="8"/>
        <v>0</v>
      </c>
      <c r="F8" s="40">
        <f t="shared" si="8"/>
        <v>0</v>
      </c>
      <c r="G8" s="40">
        <f t="shared" si="8"/>
        <v>0</v>
      </c>
      <c r="H8" s="40">
        <f t="shared" si="8"/>
        <v>0</v>
      </c>
      <c r="I8" s="40">
        <f t="shared" si="8"/>
        <v>0</v>
      </c>
      <c r="J8" s="40">
        <f t="shared" si="8"/>
        <v>0</v>
      </c>
      <c r="K8" s="40">
        <f t="shared" si="8"/>
        <v>0</v>
      </c>
      <c r="L8" s="40">
        <f t="shared" si="8"/>
        <v>0</v>
      </c>
      <c r="M8" s="40">
        <f t="shared" si="8"/>
        <v>0</v>
      </c>
      <c r="N8" s="40">
        <f t="shared" si="8"/>
        <v>0</v>
      </c>
      <c r="O8" s="40">
        <f t="shared" si="8"/>
        <v>0</v>
      </c>
      <c r="P8" s="40">
        <f t="shared" si="8"/>
        <v>0</v>
      </c>
      <c r="Q8" s="40">
        <f t="shared" si="8"/>
        <v>0</v>
      </c>
      <c r="R8" s="40">
        <f t="shared" si="8"/>
        <v>0</v>
      </c>
      <c r="S8" s="40">
        <f t="shared" si="8"/>
        <v>0</v>
      </c>
      <c r="T8" s="40">
        <f t="shared" si="8"/>
        <v>0</v>
      </c>
      <c r="U8" s="40">
        <f t="shared" si="8"/>
        <v>0</v>
      </c>
      <c r="V8" s="40">
        <f t="shared" si="8"/>
        <v>0</v>
      </c>
      <c r="W8" s="40">
        <f t="shared" si="8"/>
        <v>0</v>
      </c>
      <c r="X8" s="40">
        <f t="shared" si="8"/>
        <v>0</v>
      </c>
      <c r="Y8" s="40">
        <f t="shared" si="8"/>
        <v>0</v>
      </c>
      <c r="Z8" s="40">
        <f t="shared" si="8"/>
        <v>0</v>
      </c>
      <c r="AA8" s="40">
        <f t="shared" si="8"/>
        <v>0</v>
      </c>
      <c r="AB8" s="40">
        <f t="shared" ref="AB8:AF8" si="9">+AB15</f>
        <v>0</v>
      </c>
      <c r="AC8" s="40">
        <f t="shared" si="9"/>
        <v>0</v>
      </c>
      <c r="AD8" s="40">
        <f t="shared" si="9"/>
        <v>0</v>
      </c>
      <c r="AE8" s="40">
        <f t="shared" si="9"/>
        <v>0</v>
      </c>
      <c r="AF8" s="40">
        <f t="shared" si="9"/>
        <v>0</v>
      </c>
      <c r="AG8" s="4"/>
    </row>
    <row r="9" spans="1:35">
      <c r="A9" s="6" t="s">
        <v>196</v>
      </c>
      <c r="B9" s="276"/>
      <c r="C9" s="40">
        <f>IF(C$4&gt;'Input Data'!$C$15+'Input Data'!$C$19,0,(SUMIF('Input Data'!$E$63:$O$63,C$4,'Input Data'!$E$64:$O$64)+B9)*(IF('Input Data'!$D$64&lt;=C$4,(1+'Input Data'!$C$64),1)))</f>
        <v>0</v>
      </c>
      <c r="D9" s="40">
        <f>IF(D$4&gt;'Input Data'!$C$15+'Input Data'!$C$19,0,(SUMIF('Input Data'!$E$63:$O$63,D$4,'Input Data'!$E$64:$O$64)+C9)*(IF('Input Data'!$D$64&lt;=D$4,(1+'Input Data'!$C$64),1)))</f>
        <v>0</v>
      </c>
      <c r="E9" s="40">
        <f>IF(E$4&gt;'Input Data'!$C$15+'Input Data'!$C$19,0,(SUMIF('Input Data'!$E$63:$O$63,E$4,'Input Data'!$E$64:$O$64)+D9)*(IF('Input Data'!$D$64&lt;=E$4,(1+'Input Data'!$C$64),1)))</f>
        <v>0</v>
      </c>
      <c r="F9" s="40">
        <f>IF(F$4&gt;'Input Data'!$C$15+'Input Data'!$C$19,0,(SUMIF('Input Data'!$E$63:$O$63,F$4,'Input Data'!$E$64:$O$64)+E9)*(IF('Input Data'!$D$64&lt;=F$4,(1+'Input Data'!$C$64),1)))</f>
        <v>0</v>
      </c>
      <c r="G9" s="40">
        <f>IF(G$4&gt;'Input Data'!$C$15+'Input Data'!$C$19,0,(SUMIF('Input Data'!$E$63:$O$63,G$4,'Input Data'!$E$64:$O$64)+F9)*(IF('Input Data'!$D$64&lt;=G$4,(1+'Input Data'!$C$64),1)))</f>
        <v>0</v>
      </c>
      <c r="H9" s="40">
        <f>IF(H$4&gt;'Input Data'!$C$15+'Input Data'!$C$19,0,(SUMIF('Input Data'!$E$63:$O$63,H$4,'Input Data'!$E$64:$O$64)+G9)*(IF('Input Data'!$D$64&lt;=H$4,(1+'Input Data'!$C$64),1)))</f>
        <v>0</v>
      </c>
      <c r="I9" s="40">
        <f>IF(I$4&gt;'Input Data'!$C$15+'Input Data'!$C$19,0,(SUMIF('Input Data'!$E$63:$O$63,I$4,'Input Data'!$E$64:$O$64)+H9)*(IF('Input Data'!$D$64&lt;=I$4,(1+'Input Data'!$C$64),1)))</f>
        <v>0</v>
      </c>
      <c r="J9" s="40">
        <f>IF(J$4&gt;'Input Data'!$C$15+'Input Data'!$C$19,0,(SUMIF('Input Data'!$E$63:$O$63,J$4,'Input Data'!$E$64:$O$64)+I9)*(IF('Input Data'!$D$64&lt;=J$4,(1+'Input Data'!$C$64),1)))</f>
        <v>0</v>
      </c>
      <c r="K9" s="40">
        <f>IF(K$4&gt;'Input Data'!$C$15+'Input Data'!$C$19,0,(SUMIF('Input Data'!$E$63:$O$63,K$4,'Input Data'!$E$64:$O$64)+J9)*(IF('Input Data'!$D$64&lt;=K$4,(1+'Input Data'!$C$64),1)))</f>
        <v>0</v>
      </c>
      <c r="L9" s="40">
        <f>IF(L$4&gt;'Input Data'!$C$15+'Input Data'!$C$19,0,(SUMIF('Input Data'!$E$63:$O$63,L$4,'Input Data'!$E$64:$O$64)+K9)*(IF('Input Data'!$D$64&lt;=L$4,(1+'Input Data'!$C$64),1)))</f>
        <v>0</v>
      </c>
      <c r="M9" s="40">
        <f>IF(M$4&gt;'Input Data'!$C$15+'Input Data'!$C$19,0,(SUMIF('Input Data'!$E$63:$O$63,M$4,'Input Data'!$E$64:$O$64)+L9)*(IF('Input Data'!$D$64&lt;=M$4,(1+'Input Data'!$C$64),1)))</f>
        <v>0</v>
      </c>
      <c r="N9" s="40">
        <f>IF(N$4&gt;'Input Data'!$C$15+'Input Data'!$C$19,0,(SUMIF('Input Data'!$E$63:$O$63,N$4,'Input Data'!$E$64:$O$64)+M9)*(IF('Input Data'!$D$64&lt;=N$4,(1+'Input Data'!$C$64),1)))</f>
        <v>0</v>
      </c>
      <c r="O9" s="40">
        <f>IF(O$4&gt;'Input Data'!$C$15+'Input Data'!$C$19,0,(SUMIF('Input Data'!$E$63:$O$63,O$4,'Input Data'!$E$64:$O$64)+N9)*(IF('Input Data'!$D$64&lt;=O$4,(1+'Input Data'!$C$64),1)))</f>
        <v>0</v>
      </c>
      <c r="P9" s="40">
        <f>IF(P$4&gt;'Input Data'!$C$15+'Input Data'!$C$19,0,(SUMIF('Input Data'!$E$63:$O$63,P$4,'Input Data'!$E$64:$O$64)+O9)*(IF('Input Data'!$D$64&lt;=P$4,(1+'Input Data'!$C$64),1)))</f>
        <v>0</v>
      </c>
      <c r="Q9" s="40">
        <f>IF(Q$4&gt;'Input Data'!$C$15+'Input Data'!$C$19,0,(SUMIF('Input Data'!$E$63:$O$63,Q$4,'Input Data'!$E$64:$O$64)+P9)*(IF('Input Data'!$D$64&lt;=Q$4,(1+'Input Data'!$C$64),1)))</f>
        <v>0</v>
      </c>
      <c r="R9" s="40">
        <f>IF(R$4&gt;'Input Data'!$C$15+'Input Data'!$C$19,0,(SUMIF('Input Data'!$E$63:$O$63,R$4,'Input Data'!$E$64:$O$64)+Q9)*(IF('Input Data'!$D$64&lt;=R$4,(1+'Input Data'!$C$64),1)))</f>
        <v>0</v>
      </c>
      <c r="S9" s="40">
        <f>IF(S$4&gt;'Input Data'!$C$15+'Input Data'!$C$19,0,(SUMIF('Input Data'!$E$63:$O$63,S$4,'Input Data'!$E$64:$O$64)+R9)*(IF('Input Data'!$D$64&lt;=S$4,(1+'Input Data'!$C$64),1)))</f>
        <v>0</v>
      </c>
      <c r="T9" s="40">
        <f>IF(T$4&gt;'Input Data'!$C$15+'Input Data'!$C$19,0,(SUMIF('Input Data'!$E$63:$O$63,T$4,'Input Data'!$E$64:$O$64)+S9)*(IF('Input Data'!$D$64&lt;=T$4,(1+'Input Data'!$C$64),1)))</f>
        <v>0</v>
      </c>
      <c r="U9" s="40">
        <f>IF(U$4&gt;'Input Data'!$C$15+'Input Data'!$C$19,0,(SUMIF('Input Data'!$E$63:$O$63,U$4,'Input Data'!$E$64:$O$64)+T9)*(IF('Input Data'!$D$64&lt;=U$4,(1+'Input Data'!$C$64),1)))</f>
        <v>0</v>
      </c>
      <c r="V9" s="40">
        <f>IF(V$4&gt;'Input Data'!$C$15+'Input Data'!$C$19,0,(SUMIF('Input Data'!$E$63:$O$63,V$4,'Input Data'!$E$64:$O$64)+U9)*(IF('Input Data'!$D$64&lt;=V$4,(1+'Input Data'!$C$64),1)))</f>
        <v>0</v>
      </c>
      <c r="W9" s="40">
        <f>IF(W$4&gt;'Input Data'!$C$15+'Input Data'!$C$19,0,(SUMIF('Input Data'!$E$63:$O$63,W$4,'Input Data'!$E$64:$O$64)+V9)*(IF('Input Data'!$D$64&lt;=W$4,(1+'Input Data'!$C$64),1)))</f>
        <v>0</v>
      </c>
      <c r="X9" s="40">
        <f>IF(X$4&gt;'Input Data'!$C$15+'Input Data'!$C$19,0,(SUMIF('Input Data'!$E$63:$O$63,X$4,'Input Data'!$E$64:$O$64)+W9)*(IF('Input Data'!$D$64&lt;=X$4,(1+'Input Data'!$C$64),1)))</f>
        <v>0</v>
      </c>
      <c r="Y9" s="40">
        <f>IF(Y$4&gt;'Input Data'!$C$15+'Input Data'!$C$19,0,(SUMIF('Input Data'!$E$63:$O$63,Y$4,'Input Data'!$E$64:$O$64)+X9)*(IF('Input Data'!$D$64&lt;=Y$4,(1+'Input Data'!$C$64),1)))</f>
        <v>0</v>
      </c>
      <c r="Z9" s="40">
        <f>IF(Z$4&gt;'Input Data'!$C$15+'Input Data'!$C$19,0,(SUMIF('Input Data'!$E$63:$O$63,Z$4,'Input Data'!$E$64:$O$64)+Y9)*(IF('Input Data'!$D$64&lt;=Z$4,(1+'Input Data'!$C$64),1)))</f>
        <v>0</v>
      </c>
      <c r="AA9" s="40">
        <f>IF(AA$4&gt;'Input Data'!$C$15+'Input Data'!$C$19,0,(SUMIF('Input Data'!$E$63:$O$63,AA$4,'Input Data'!$E$64:$O$64)+Z9)*(IF('Input Data'!$D$64&lt;=AA$4,(1+'Input Data'!$C$64),1)))</f>
        <v>0</v>
      </c>
      <c r="AB9" s="40">
        <f>IF(AB$4&gt;'Input Data'!$C$15+'Input Data'!$C$19,0,(SUMIF('Input Data'!$E$63:$O$63,AB$4,'Input Data'!$E$64:$O$64)+AA9)*(IF('Input Data'!$D$64&lt;=AB$4,(1+'Input Data'!$C$64),1)))</f>
        <v>0</v>
      </c>
      <c r="AC9" s="40">
        <f>IF(AC$4&gt;'Input Data'!$C$15+'Input Data'!$C$19,0,(SUMIF('Input Data'!$E$63:$O$63,AC$4,'Input Data'!$E$64:$O$64)+AB9)*(IF('Input Data'!$D$64&lt;=AC$4,(1+'Input Data'!$C$64),1)))</f>
        <v>0</v>
      </c>
      <c r="AD9" s="40">
        <f>IF(AD$4&gt;'Input Data'!$C$15+'Input Data'!$C$19,0,(SUMIF('Input Data'!$E$63:$O$63,AD$4,'Input Data'!$E$64:$O$64)+AC9)*(IF('Input Data'!$D$64&lt;=AD$4,(1+'Input Data'!$C$64),1)))</f>
        <v>0</v>
      </c>
      <c r="AE9" s="40">
        <f>IF(AE$4&gt;'Input Data'!$C$15+'Input Data'!$C$19,0,(SUMIF('Input Data'!$E$63:$O$63,AE$4,'Input Data'!$E$64:$O$64)+AD9)*(IF('Input Data'!$D$64&lt;=AE$4,(1+'Input Data'!$C$64),1)))</f>
        <v>0</v>
      </c>
      <c r="AF9" s="40">
        <f>IF(AF$4&gt;'Input Data'!$C$15+'Input Data'!$C$19,0,(SUMIF('Input Data'!$E$63:$O$63,AF$4,'Input Data'!$E$64:$O$64)+AE9)*(IF('Input Data'!$D$64&lt;=AF$4,(1+'Input Data'!$C$64),1)))</f>
        <v>0</v>
      </c>
      <c r="AG9" s="4">
        <f>SUM(C9:AF9)</f>
        <v>0</v>
      </c>
    </row>
    <row r="10" spans="1:35">
      <c r="A10" s="6" t="s">
        <v>197</v>
      </c>
      <c r="B10" s="303">
        <f>IF('Input Data'!C55=TRUE,1,0)</f>
        <v>0</v>
      </c>
      <c r="C10" s="40">
        <f>IF(C$4&gt;'Input Data'!$C$15+'Input Data'!$C$19,0,((SUMIF(LFCR!$A$13:$A$42,C3,LFCR!$T$13:$T$42)*1000000)-C7-C9)*$B$10)*IF(C4='Input Data'!$C$17,IF('Input Data'!$C$54=TRUE,0.5,1),1)*IF('Input Data'!$J$55=1,1,0)+IF(C$4&gt;'Input Data'!$C$15+'Input Data'!$C$19,0,((SUMIF(LFCR!$A$13:$A$42,C3,LFCR!$AA$13:$AA$42)*1000000)-C7-C9)*$B$10)*IF(C4='Input Data'!$C$17,IF('Input Data'!$C$54=TRUE,0.5,1),1)*IF('Input Data'!$J$55=2,1,0)</f>
        <v>0</v>
      </c>
      <c r="D10" s="40">
        <f>IF(D$4&gt;'Input Data'!$C$15+'Input Data'!$C$19,0,((SUMIF(LFCR!$A$13:$A$42,D3,LFCR!$T$13:$T$42)*1000000)-D7-D9)*$B$10)*IF(D4='Input Data'!$C$17,IF('Input Data'!$C$54=TRUE,0.5,1),1)*IF('Input Data'!$J$55=1,1,0)+IF(D$4&gt;'Input Data'!$C$15+'Input Data'!$C$19,0,((SUMIF(LFCR!$A$13:$A$42,D3,LFCR!$AA$13:$AA$42)*1000000)-D7-D9)*$B$10)*IF(D4='Input Data'!$C$17,IF('Input Data'!$C$54=TRUE,0.5,1),1)*IF('Input Data'!$J$55=2,1,0)</f>
        <v>0</v>
      </c>
      <c r="E10" s="40">
        <f>IF(E$4&gt;'Input Data'!$C$15+'Input Data'!$C$19,0,((SUMIF(LFCR!$A$13:$A$42,E3,LFCR!$T$13:$T$42)*1000000)-E7-E9)*$B$10)*IF(E4='Input Data'!$C$17,IF('Input Data'!$C$54=TRUE,0.5,1),1)*IF('Input Data'!$J$55=1,1,0)+IF(E$4&gt;'Input Data'!$C$15+'Input Data'!$C$19,0,((SUMIF(LFCR!$A$13:$A$42,E3,LFCR!$AA$13:$AA$42)*1000000)-E7-E9)*$B$10)*IF(E4='Input Data'!$C$17,IF('Input Data'!$C$54=TRUE,0.5,1),1)*IF('Input Data'!$J$55=2,1,0)</f>
        <v>0</v>
      </c>
      <c r="F10" s="40">
        <f>IF(F$4&gt;'Input Data'!$C$15+'Input Data'!$C$19,0,((SUMIF(LFCR!$A$13:$A$42,F3,LFCR!$T$13:$T$42)*1000000)-F7-F9)*$B$10)*IF(F4='Input Data'!$C$17,IF('Input Data'!$C$54=TRUE,0.5,1),1)*IF('Input Data'!$J$55=1,1,0)+IF(F$4&gt;'Input Data'!$C$15+'Input Data'!$C$19,0,((SUMIF(LFCR!$A$13:$A$42,F3,LFCR!$AA$13:$AA$42)*1000000)-F7-F9)*$B$10)*IF(F4='Input Data'!$C$17,IF('Input Data'!$C$54=TRUE,0.5,1),1)*IF('Input Data'!$J$55=2,1,0)</f>
        <v>0</v>
      </c>
      <c r="G10" s="40">
        <f>IF(G$4&gt;'Input Data'!$C$15+'Input Data'!$C$19,0,((SUMIF(LFCR!$A$13:$A$42,G3,LFCR!$T$13:$T$42)*1000000)-G7-G9)*$B$10)*IF(G4='Input Data'!$C$17,IF('Input Data'!$C$54=TRUE,0.5,1),1)*IF('Input Data'!$J$55=1,1,0)+IF(G$4&gt;'Input Data'!$C$15+'Input Data'!$C$19,0,((SUMIF(LFCR!$A$13:$A$42,G3,LFCR!$AA$13:$AA$42)*1000000)-G7-G9)*$B$10)*IF(G4='Input Data'!$C$17,IF('Input Data'!$C$54=TRUE,0.5,1),1)*IF('Input Data'!$J$55=2,1,0)</f>
        <v>0</v>
      </c>
      <c r="H10" s="40">
        <f>IF(H$4&gt;'Input Data'!$C$15+'Input Data'!$C$19,0,((SUMIF(LFCR!$A$13:$A$42,H3,LFCR!$T$13:$T$42)*1000000)-H7-H9)*$B$10)*IF(H4='Input Data'!$C$17,IF('Input Data'!$C$54=TRUE,0.5,1),1)*IF('Input Data'!$J$55=1,1,0)+IF(H$4&gt;'Input Data'!$C$15+'Input Data'!$C$19,0,((SUMIF(LFCR!$A$13:$A$42,H3,LFCR!$AA$13:$AA$42)*1000000)-H7-H9)*$B$10)*IF(H4='Input Data'!$C$17,IF('Input Data'!$C$54=TRUE,0.5,1),1)*IF('Input Data'!$J$55=2,1,0)</f>
        <v>0</v>
      </c>
      <c r="I10" s="40">
        <f>IF(I$4&gt;'Input Data'!$C$15+'Input Data'!$C$19,0,((SUMIF(LFCR!$A$13:$A$42,I3,LFCR!$T$13:$T$42)*1000000)-I7-I9)*$B$10)*IF(I4='Input Data'!$C$17,IF('Input Data'!$C$54=TRUE,0.5,1),1)*IF('Input Data'!$J$55=1,1,0)+IF(I$4&gt;'Input Data'!$C$15+'Input Data'!$C$19,0,((SUMIF(LFCR!$A$13:$A$42,I3,LFCR!$AA$13:$AA$42)*1000000)-I7-I9)*$B$10)*IF(I4='Input Data'!$C$17,IF('Input Data'!$C$54=TRUE,0.5,1),1)*IF('Input Data'!$J$55=2,1,0)</f>
        <v>0</v>
      </c>
      <c r="J10" s="40">
        <f>IF(J$4&gt;'Input Data'!$C$15+'Input Data'!$C$19,0,((SUMIF(LFCR!$A$13:$A$42,J3,LFCR!$T$13:$T$42)*1000000)-J7-J9)*$B$10)*IF(J4='Input Data'!$C$17,IF('Input Data'!$C$54=TRUE,0.5,1),1)*IF('Input Data'!$J$55=1,1,0)+IF(J$4&gt;'Input Data'!$C$15+'Input Data'!$C$19,0,((SUMIF(LFCR!$A$13:$A$42,J3,LFCR!$AA$13:$AA$42)*1000000)-J7-J9)*$B$10)*IF(J4='Input Data'!$C$17,IF('Input Data'!$C$54=TRUE,0.5,1),1)*IF('Input Data'!$J$55=2,1,0)</f>
        <v>0</v>
      </c>
      <c r="K10" s="40">
        <f>IF(K$4&gt;'Input Data'!$C$15+'Input Data'!$C$19,0,((SUMIF(LFCR!$A$13:$A$42,K3,LFCR!$T$13:$T$42)*1000000)-K7-K9)*$B$10)*IF(K4='Input Data'!$C$17,IF('Input Data'!$C$54=TRUE,0.5,1),1)*IF('Input Data'!$J$55=1,1,0)+IF(K$4&gt;'Input Data'!$C$15+'Input Data'!$C$19,0,((SUMIF(LFCR!$A$13:$A$42,K3,LFCR!$AA$13:$AA$42)*1000000)-K7-K9)*$B$10)*IF(K4='Input Data'!$C$17,IF('Input Data'!$C$54=TRUE,0.5,1),1)*IF('Input Data'!$J$55=2,1,0)</f>
        <v>0</v>
      </c>
      <c r="L10" s="40">
        <f>IF(L$4&gt;'Input Data'!$C$15+'Input Data'!$C$19,0,((SUMIF(LFCR!$A$13:$A$42,L3,LFCR!$T$13:$T$42)*1000000)-L7-L9)*$B$10)*IF(L4='Input Data'!$C$17,IF('Input Data'!$C$54=TRUE,0.5,1),1)*IF('Input Data'!$J$55=1,1,0)+IF(L$4&gt;'Input Data'!$C$15+'Input Data'!$C$19,0,((SUMIF(LFCR!$A$13:$A$42,L3,LFCR!$AA$13:$AA$42)*1000000)-L7-L9)*$B$10)*IF(L4='Input Data'!$C$17,IF('Input Data'!$C$54=TRUE,0.5,1),1)*IF('Input Data'!$J$55=2,1,0)</f>
        <v>0</v>
      </c>
      <c r="M10" s="40">
        <f>IF(M$4&gt;'Input Data'!$C$15+'Input Data'!$C$19,0,((SUMIF(LFCR!$A$13:$A$42,M3,LFCR!$T$13:$T$42)*1000000)-M7-M9)*$B$10)*IF(M4='Input Data'!$C$17,IF('Input Data'!$C$54=TRUE,0.5,1),1)*IF('Input Data'!$J$55=1,1,0)+IF(M$4&gt;'Input Data'!$C$15+'Input Data'!$C$19,0,((SUMIF(LFCR!$A$13:$A$42,M3,LFCR!$AA$13:$AA$42)*1000000)-M7-M9)*$B$10)*IF(M4='Input Data'!$C$17,IF('Input Data'!$C$54=TRUE,0.5,1),1)*IF('Input Data'!$J$55=2,1,0)</f>
        <v>0</v>
      </c>
      <c r="N10" s="40">
        <f>IF(N$4&gt;'Input Data'!$C$15+'Input Data'!$C$19,0,((SUMIF(LFCR!$A$13:$A$42,N3,LFCR!$T$13:$T$42)*1000000)-N7-N9)*$B$10)*IF(N4='Input Data'!$C$17,IF('Input Data'!$C$54=TRUE,0.5,1),1)*IF('Input Data'!$J$55=1,1,0)+IF(N$4&gt;'Input Data'!$C$15+'Input Data'!$C$19,0,((SUMIF(LFCR!$A$13:$A$42,N3,LFCR!$AA$13:$AA$42)*1000000)-N7-N9)*$B$10)*IF(N4='Input Data'!$C$17,IF('Input Data'!$C$54=TRUE,0.5,1),1)*IF('Input Data'!$J$55=2,1,0)</f>
        <v>0</v>
      </c>
      <c r="O10" s="40">
        <f>IF(O$4&gt;'Input Data'!$C$15+'Input Data'!$C$19,0,((SUMIF(LFCR!$A$13:$A$42,O3,LFCR!$T$13:$T$42)*1000000)-O7-O9)*$B$10)*IF(O4='Input Data'!$C$17,IF('Input Data'!$C$54=TRUE,0.5,1),1)*IF('Input Data'!$J$55=1,1,0)+IF(O$4&gt;'Input Data'!$C$15+'Input Data'!$C$19,0,((SUMIF(LFCR!$A$13:$A$42,O3,LFCR!$AA$13:$AA$42)*1000000)-O7-O9)*$B$10)*IF(O4='Input Data'!$C$17,IF('Input Data'!$C$54=TRUE,0.5,1),1)*IF('Input Data'!$J$55=2,1,0)</f>
        <v>0</v>
      </c>
      <c r="P10" s="40">
        <f>IF(P$4&gt;'Input Data'!$C$15+'Input Data'!$C$19,0,((SUMIF(LFCR!$A$13:$A$42,P3,LFCR!$T$13:$T$42)*1000000)-P7-P9)*$B$10)*IF(P4='Input Data'!$C$17,IF('Input Data'!$C$54=TRUE,0.5,1),1)*IF('Input Data'!$J$55=1,1,0)+IF(P$4&gt;'Input Data'!$C$15+'Input Data'!$C$19,0,((SUMIF(LFCR!$A$13:$A$42,P3,LFCR!$AA$13:$AA$42)*1000000)-P7-P9)*$B$10)*IF(P4='Input Data'!$C$17,IF('Input Data'!$C$54=TRUE,0.5,1),1)*IF('Input Data'!$J$55=2,1,0)</f>
        <v>0</v>
      </c>
      <c r="Q10" s="40">
        <f>IF(Q$4&gt;'Input Data'!$C$15+'Input Data'!$C$19,0,((SUMIF(LFCR!$A$13:$A$42,Q3,LFCR!$T$13:$T$42)*1000000)-Q7-Q9)*$B$10)*IF(Q4='Input Data'!$C$17,IF('Input Data'!$C$54=TRUE,0.5,1),1)*IF('Input Data'!$J$55=1,1,0)+IF(Q$4&gt;'Input Data'!$C$15+'Input Data'!$C$19,0,((SUMIF(LFCR!$A$13:$A$42,Q3,LFCR!$AA$13:$AA$42)*1000000)-Q7-Q9)*$B$10)*IF(Q4='Input Data'!$C$17,IF('Input Data'!$C$54=TRUE,0.5,1),1)*IF('Input Data'!$J$55=2,1,0)</f>
        <v>0</v>
      </c>
      <c r="R10" s="40">
        <f>IF(R$4&gt;'Input Data'!$C$15+'Input Data'!$C$19,0,((SUMIF(LFCR!$A$13:$A$42,R3,LFCR!$T$13:$T$42)*1000000)-R7-R9)*$B$10)*IF(R4='Input Data'!$C$17,IF('Input Data'!$C$54=TRUE,0.5,1),1)*IF('Input Data'!$J$55=1,1,0)+IF(R$4&gt;'Input Data'!$C$15+'Input Data'!$C$19,0,((SUMIF(LFCR!$A$13:$A$42,R3,LFCR!$AA$13:$AA$42)*1000000)-R7-R9)*$B$10)*IF(R4='Input Data'!$C$17,IF('Input Data'!$C$54=TRUE,0.5,1),1)*IF('Input Data'!$J$55=2,1,0)</f>
        <v>0</v>
      </c>
      <c r="S10" s="40">
        <f>IF(S$4&gt;'Input Data'!$C$15+'Input Data'!$C$19,0,((SUMIF(LFCR!$A$13:$A$42,S3,LFCR!$T$13:$T$42)*1000000)-S7-S9)*$B$10)*IF(S4='Input Data'!$C$17,IF('Input Data'!$C$54=TRUE,0.5,1),1)*IF('Input Data'!$J$55=1,1,0)+IF(S$4&gt;'Input Data'!$C$15+'Input Data'!$C$19,0,((SUMIF(LFCR!$A$13:$A$42,S3,LFCR!$AA$13:$AA$42)*1000000)-S7-S9)*$B$10)*IF(S4='Input Data'!$C$17,IF('Input Data'!$C$54=TRUE,0.5,1),1)*IF('Input Data'!$J$55=2,1,0)</f>
        <v>0</v>
      </c>
      <c r="T10" s="40">
        <f>IF(T$4&gt;'Input Data'!$C$15+'Input Data'!$C$19,0,((SUMIF(LFCR!$A$13:$A$42,T3,LFCR!$T$13:$T$42)*1000000)-T7-T9)*$B$10)*IF(T4='Input Data'!$C$17,IF('Input Data'!$C$54=TRUE,0.5,1),1)*IF('Input Data'!$J$55=1,1,0)+IF(T$4&gt;'Input Data'!$C$15+'Input Data'!$C$19,0,((SUMIF(LFCR!$A$13:$A$42,T3,LFCR!$AA$13:$AA$42)*1000000)-T7-T9)*$B$10)*IF(T4='Input Data'!$C$17,IF('Input Data'!$C$54=TRUE,0.5,1),1)*IF('Input Data'!$J$55=2,1,0)</f>
        <v>0</v>
      </c>
      <c r="U10" s="40">
        <f>IF(U$4&gt;'Input Data'!$C$15+'Input Data'!$C$19,0,((SUMIF(LFCR!$A$13:$A$42,U3,LFCR!$T$13:$T$42)*1000000)-U7-U9)*$B$10)*IF(U4='Input Data'!$C$17,IF('Input Data'!$C$54=TRUE,0.5,1),1)*IF('Input Data'!$J$55=1,1,0)+IF(U$4&gt;'Input Data'!$C$15+'Input Data'!$C$19,0,((SUMIF(LFCR!$A$13:$A$42,U3,LFCR!$AA$13:$AA$42)*1000000)-U7-U9)*$B$10)*IF(U4='Input Data'!$C$17,IF('Input Data'!$C$54=TRUE,0.5,1),1)*IF('Input Data'!$J$55=2,1,0)</f>
        <v>0</v>
      </c>
      <c r="V10" s="40">
        <f>IF(V$4&gt;'Input Data'!$C$15+'Input Data'!$C$19,0,((SUMIF(LFCR!$A$13:$A$42,V3,LFCR!$T$13:$T$42)*1000000)-V7-V9)*$B$10)*IF(V4='Input Data'!$C$17,IF('Input Data'!$C$54=TRUE,0.5,1),1)*IF('Input Data'!$J$55=1,1,0)+IF(V$4&gt;'Input Data'!$C$15+'Input Data'!$C$19,0,((SUMIF(LFCR!$A$13:$A$42,V3,LFCR!$AA$13:$AA$42)*1000000)-V7-V9)*$B$10)*IF(V4='Input Data'!$C$17,IF('Input Data'!$C$54=TRUE,0.5,1),1)*IF('Input Data'!$J$55=2,1,0)</f>
        <v>0</v>
      </c>
      <c r="W10" s="40">
        <f>IF(W$4&gt;'Input Data'!$C$15+'Input Data'!$C$19,0,((SUMIF(LFCR!$A$13:$A$42,W3,LFCR!$T$13:$T$42)*1000000)-W7-W9)*$B$10)*IF(W4='Input Data'!$C$17,IF('Input Data'!$C$54=TRUE,0.5,1),1)*IF('Input Data'!$J$55=1,1,0)+IF(W$4&gt;'Input Data'!$C$15+'Input Data'!$C$19,0,((SUMIF(LFCR!$A$13:$A$42,W3,LFCR!$AA$13:$AA$42)*1000000)-W7-W9)*$B$10)*IF(W4='Input Data'!$C$17,IF('Input Data'!$C$54=TRUE,0.5,1),1)*IF('Input Data'!$J$55=2,1,0)</f>
        <v>0</v>
      </c>
      <c r="X10" s="40">
        <f>IF(X$4&gt;'Input Data'!$C$15+'Input Data'!$C$19,0,((SUMIF(LFCR!$A$13:$A$42,X3,LFCR!$T$13:$T$42)*1000000)-X7-X9)*$B$10)*IF(X4='Input Data'!$C$17,IF('Input Data'!$C$54=TRUE,0.5,1),1)*IF('Input Data'!$J$55=1,1,0)+IF(X$4&gt;'Input Data'!$C$15+'Input Data'!$C$19,0,((SUMIF(LFCR!$A$13:$A$42,X3,LFCR!$AA$13:$AA$42)*1000000)-X7-X9)*$B$10)*IF(X4='Input Data'!$C$17,IF('Input Data'!$C$54=TRUE,0.5,1),1)*IF('Input Data'!$J$55=2,1,0)</f>
        <v>0</v>
      </c>
      <c r="Y10" s="40">
        <f>IF(Y$4&gt;'Input Data'!$C$15+'Input Data'!$C$19,0,((SUMIF(LFCR!$A$13:$A$42,Y3,LFCR!$T$13:$T$42)*1000000)-Y7-Y9)*$B$10)*IF(Y4='Input Data'!$C$17,IF('Input Data'!$C$54=TRUE,0.5,1),1)*IF('Input Data'!$J$55=1,1,0)+IF(Y$4&gt;'Input Data'!$C$15+'Input Data'!$C$19,0,((SUMIF(LFCR!$A$13:$A$42,Y3,LFCR!$AA$13:$AA$42)*1000000)-Y7-Y9)*$B$10)*IF(Y4='Input Data'!$C$17,IF('Input Data'!$C$54=TRUE,0.5,1),1)*IF('Input Data'!$J$55=2,1,0)</f>
        <v>0</v>
      </c>
      <c r="Z10" s="40">
        <f>IF(Z$4&gt;'Input Data'!$C$15+'Input Data'!$C$19,0,((SUMIF(LFCR!$A$13:$A$42,Z3,LFCR!$T$13:$T$42)*1000000)-Z7-Z9)*$B$10)*IF(Z4='Input Data'!$C$17,IF('Input Data'!$C$54=TRUE,0.5,1),1)*IF('Input Data'!$J$55=1,1,0)+IF(Z$4&gt;'Input Data'!$C$15+'Input Data'!$C$19,0,((SUMIF(LFCR!$A$13:$A$42,Z3,LFCR!$AA$13:$AA$42)*1000000)-Z7-Z9)*$B$10)*IF(Z4='Input Data'!$C$17,IF('Input Data'!$C$54=TRUE,0.5,1),1)*IF('Input Data'!$J$55=2,1,0)</f>
        <v>0</v>
      </c>
      <c r="AA10" s="40">
        <f>IF(AA$4&gt;'Input Data'!$C$15+'Input Data'!$C$19,0,((SUMIF(LFCR!$A$13:$A$42,AA3,LFCR!$T$13:$T$42)*1000000)-AA7-AA9)*$B$10)*IF(AA4='Input Data'!$C$17,IF('Input Data'!$C$54=TRUE,0.5,1),1)*IF('Input Data'!$J$55=1,1,0)+IF(AA$4&gt;'Input Data'!$C$15+'Input Data'!$C$19,0,((SUMIF(LFCR!$A$13:$A$42,AA3,LFCR!$AA$13:$AA$42)*1000000)-AA7-AA9)*$B$10)*IF(AA4='Input Data'!$C$17,IF('Input Data'!$C$54=TRUE,0.5,1),1)*IF('Input Data'!$J$55=2,1,0)</f>
        <v>0</v>
      </c>
      <c r="AB10" s="40">
        <f>IF(AB$4&gt;'Input Data'!$C$15+'Input Data'!$C$19,0,((SUMIF(LFCR!$A$13:$A$42,AB3,LFCR!$T$13:$T$42)*1000000)-AB7-AB9)*$B$10)*IF(AB4='Input Data'!$C$17,IF('Input Data'!$C$54=TRUE,0.5,1),1)*IF('Input Data'!$J$55=1,1,0)+IF(AB$4&gt;'Input Data'!$C$15+'Input Data'!$C$19,0,((SUMIF(LFCR!$A$13:$A$42,AB3,LFCR!$AA$13:$AA$42)*1000000)-AB7-AB9)*$B$10)*IF(AB4='Input Data'!$C$17,IF('Input Data'!$C$54=TRUE,0.5,1),1)*IF('Input Data'!$J$55=2,1,0)</f>
        <v>0</v>
      </c>
      <c r="AC10" s="40">
        <f>IF(AC$4&gt;'Input Data'!$C$15+'Input Data'!$C$19,0,((SUMIF(LFCR!$A$13:$A$42,AC3,LFCR!$T$13:$T$42)*1000000)-AC7-AC9)*$B$10)*IF(AC4='Input Data'!$C$17,IF('Input Data'!$C$54=TRUE,0.5,1),1)*IF('Input Data'!$J$55=1,1,0)+IF(AC$4&gt;'Input Data'!$C$15+'Input Data'!$C$19,0,((SUMIF(LFCR!$A$13:$A$42,AC3,LFCR!$AA$13:$AA$42)*1000000)-AC7-AC9)*$B$10)*IF(AC4='Input Data'!$C$17,IF('Input Data'!$C$54=TRUE,0.5,1),1)*IF('Input Data'!$J$55=2,1,0)</f>
        <v>0</v>
      </c>
      <c r="AD10" s="40">
        <f>IF(AD$4&gt;'Input Data'!$C$15+'Input Data'!$C$19,0,((SUMIF(LFCR!$A$13:$A$42,AD3,LFCR!$T$13:$T$42)*1000000)-AD7-AD9)*$B$10)*IF(AD4='Input Data'!$C$17,IF('Input Data'!$C$54=TRUE,0.5,1),1)*IF('Input Data'!$J$55=1,1,0)+IF(AD$4&gt;'Input Data'!$C$15+'Input Data'!$C$19,0,((SUMIF(LFCR!$A$13:$A$42,AD3,LFCR!$AA$13:$AA$42)*1000000)-AD7-AD9)*$B$10)*IF(AD4='Input Data'!$C$17,IF('Input Data'!$C$54=TRUE,0.5,1),1)*IF('Input Data'!$J$55=2,1,0)</f>
        <v>0</v>
      </c>
      <c r="AE10" s="40">
        <f>IF(AE$4&gt;'Input Data'!$C$15+'Input Data'!$C$19,0,((SUMIF(LFCR!$A$13:$A$42,AE3,LFCR!$T$13:$T$42)*1000000)-AE7-AE9)*$B$10)*IF(AE4='Input Data'!$C$17,IF('Input Data'!$C$54=TRUE,0.5,1),1)*IF('Input Data'!$J$55=1,1,0)+IF(AE$4&gt;'Input Data'!$C$15+'Input Data'!$C$19,0,((SUMIF(LFCR!$A$13:$A$42,AE3,LFCR!$AA$13:$AA$42)*1000000)-AE7-AE9)*$B$10)*IF(AE4='Input Data'!$C$17,IF('Input Data'!$C$54=TRUE,0.5,1),1)*IF('Input Data'!$J$55=2,1,0)</f>
        <v>0</v>
      </c>
      <c r="AF10" s="40">
        <f>IF(AF$4&gt;'Input Data'!$C$15+'Input Data'!$C$19,0,((SUMIF(LFCR!$A$13:$A$42,AF3,LFCR!$T$13:$T$42)*1000000)-AF7-AF9)*$B$10)*IF(AF4='Input Data'!$C$17,IF('Input Data'!$C$54=TRUE,0.5,1),1)*IF('Input Data'!$J$55=1,1,0)+IF(AF$4&gt;'Input Data'!$C$15+'Input Data'!$C$19,0,((SUMIF(LFCR!$A$13:$A$42,AF3,LFCR!$AA$13:$AA$42)*1000000)-AF7-AF9)*$B$10)*IF(AF4='Input Data'!$C$17,IF('Input Data'!$C$54=TRUE,0.5,1),1)*IF('Input Data'!$J$55=2,1,0)</f>
        <v>0</v>
      </c>
      <c r="AG10" s="4">
        <f>SUM(C10:AF10)</f>
        <v>0</v>
      </c>
      <c r="AI10" s="5"/>
    </row>
    <row r="11" spans="1:35">
      <c r="A11" s="6" t="s">
        <v>198</v>
      </c>
      <c r="B11" s="303">
        <f>IF('Input Data'!C56=TRUE,1,0)</f>
        <v>0</v>
      </c>
      <c r="C11" s="111">
        <f>IF(C$4&gt;'Input Data'!$C$15+'Input Data'!$C$19,0,(+'Rev Req'!C15-C7-C8-C9-C10)*$B$11)</f>
        <v>0</v>
      </c>
      <c r="D11" s="111">
        <f>IF(D$4&gt;'Input Data'!$C$15+'Input Data'!$C$19,0,(+'Rev Req'!D15-D7-D8-D9-D10)*$B$11)</f>
        <v>0</v>
      </c>
      <c r="E11" s="111">
        <f>IF(E$4&gt;'Input Data'!$C$15+'Input Data'!$C$19,0,(+'Rev Req'!E15-E7-E8-E9-E10)*$B$11)</f>
        <v>0</v>
      </c>
      <c r="F11" s="111">
        <f>IF(F$4&gt;'Input Data'!$C$15+'Input Data'!$C$19,0,(+'Rev Req'!F15-F7-F8-F9-F10)*$B$11)</f>
        <v>0</v>
      </c>
      <c r="G11" s="111">
        <f>IF(G$4&gt;'Input Data'!$C$15+'Input Data'!$C$19,0,(+'Rev Req'!G15-G7-G8-G9-G10)*$B$11)</f>
        <v>0</v>
      </c>
      <c r="H11" s="111">
        <f>IF(H$4&gt;'Input Data'!$C$15+'Input Data'!$C$19,0,(+'Rev Req'!H15-H7-H8-H9-H10)*$B$11)</f>
        <v>0</v>
      </c>
      <c r="I11" s="111">
        <f>IF(I$4&gt;'Input Data'!$C$15+'Input Data'!$C$19,0,(+'Rev Req'!I15-I7-I8-I9-I10)*$B$11)</f>
        <v>0</v>
      </c>
      <c r="J11" s="111">
        <f>IF(J$4&gt;'Input Data'!$C$15+'Input Data'!$C$19,0,(+'Rev Req'!J15-J7-J8-J9-J10)*$B$11)</f>
        <v>0</v>
      </c>
      <c r="K11" s="111">
        <f>IF(K$4&gt;'Input Data'!$C$15+'Input Data'!$C$19,0,(+'Rev Req'!K15-K7-K8-K9-K10)*$B$11)</f>
        <v>0</v>
      </c>
      <c r="L11" s="111">
        <f>IF(L$4&gt;'Input Data'!$C$15+'Input Data'!$C$19,0,(+'Rev Req'!L15-L7-L8-L9-L10)*$B$11)</f>
        <v>0</v>
      </c>
      <c r="M11" s="111">
        <f>IF(M$4&gt;'Input Data'!$C$15+'Input Data'!$C$19,0,(+'Rev Req'!M15-M7-M8-M9-M10)*$B$11)</f>
        <v>0</v>
      </c>
      <c r="N11" s="111">
        <f>IF(N$4&gt;'Input Data'!$C$15+'Input Data'!$C$19,0,(+'Rev Req'!N15-N7-N8-N9-N10)*$B$11)</f>
        <v>0</v>
      </c>
      <c r="O11" s="111">
        <f>IF(O$4&gt;'Input Data'!$C$15+'Input Data'!$C$19,0,(+'Rev Req'!O15-O7-O8-O9-O10)*$B$11)</f>
        <v>0</v>
      </c>
      <c r="P11" s="111">
        <f>IF(P$4&gt;'Input Data'!$C$15+'Input Data'!$C$19,0,(+'Rev Req'!P15-P7-P8-P9-P10)*$B$11)</f>
        <v>0</v>
      </c>
      <c r="Q11" s="111">
        <f>IF(Q$4&gt;'Input Data'!$C$15+'Input Data'!$C$19,0,(+'Rev Req'!Q15-Q7-Q8-Q9-Q10)*$B$11)</f>
        <v>0</v>
      </c>
      <c r="R11" s="111">
        <f>IF(R$4&gt;'Input Data'!$C$15+'Input Data'!$C$19,0,(+'Rev Req'!R15-R7-R8-R9-R10)*$B$11)</f>
        <v>0</v>
      </c>
      <c r="S11" s="111">
        <f>IF(S$4&gt;'Input Data'!$C$15+'Input Data'!$C$19,0,(+'Rev Req'!S15-S7-S8-S9-S10)*$B$11)</f>
        <v>0</v>
      </c>
      <c r="T11" s="111">
        <f>IF(T$4&gt;'Input Data'!$C$15+'Input Data'!$C$19,0,(+'Rev Req'!T15-T7-T8-T9-T10)*$B$11)</f>
        <v>0</v>
      </c>
      <c r="U11" s="111">
        <f>IF(U$4&gt;'Input Data'!$C$15+'Input Data'!$C$19,0,(+'Rev Req'!U15-U7-U8-U9-U10)*$B$11)</f>
        <v>0</v>
      </c>
      <c r="V11" s="111">
        <f>IF(V$4&gt;'Input Data'!$C$15+'Input Data'!$C$19,0,(+'Rev Req'!V15-V7-V8-V9-V10)*$B$11)</f>
        <v>0</v>
      </c>
      <c r="W11" s="111">
        <f>IF(W$4&gt;'Input Data'!$C$15+'Input Data'!$C$19,0,(+'Rev Req'!W15-W7-W8-W9-W10)*$B$11)</f>
        <v>0</v>
      </c>
      <c r="X11" s="111">
        <f>IF(X$4&gt;'Input Data'!$C$15+'Input Data'!$C$19,0,(+'Rev Req'!X15-X7-X8-X9-X10)*$B$11)</f>
        <v>0</v>
      </c>
      <c r="Y11" s="111">
        <f>IF(Y$4&gt;'Input Data'!$C$15+'Input Data'!$C$19,0,(+'Rev Req'!Y15-Y7-Y8-Y9-Y10)*$B$11)</f>
        <v>0</v>
      </c>
      <c r="Z11" s="111">
        <f>IF(Z$4&gt;'Input Data'!$C$15+'Input Data'!$C$19,0,(+'Rev Req'!Z15-Z7-Z8-Z9-Z10)*$B$11)</f>
        <v>0</v>
      </c>
      <c r="AA11" s="111">
        <f>IF(AA$4&gt;'Input Data'!$C$15+'Input Data'!$C$19,0,(+'Rev Req'!AA15-AA7-AA8-AA9-AA10)*$B$11)</f>
        <v>0</v>
      </c>
      <c r="AB11" s="111">
        <f>IF(AB$4&gt;'Input Data'!$C$15+'Input Data'!$C$19,0,(+'Rev Req'!AB15-AB7-AB8-AB9-AB10)*$B$11)</f>
        <v>0</v>
      </c>
      <c r="AC11" s="111">
        <f>IF(AC$4&gt;'Input Data'!$C$15+'Input Data'!$C$19,0,(+'Rev Req'!AC15-AC7-AC8-AC9-AC10)*$B$11)</f>
        <v>0</v>
      </c>
      <c r="AD11" s="111">
        <f>IF(AD$4&gt;'Input Data'!$C$15+'Input Data'!$C$19,0,(+'Rev Req'!AD15-AD7-AD8-AD9-AD10)*$B$11)</f>
        <v>0</v>
      </c>
      <c r="AE11" s="111">
        <f>IF(AE$4&gt;'Input Data'!$C$15+'Input Data'!$C$19,0,(+'Rev Req'!AE15-AE7-AE8-AE9-AE10)*$B$11)</f>
        <v>0</v>
      </c>
      <c r="AF11" s="111">
        <f>IF(AF$4&gt;'Input Data'!$C$15+'Input Data'!$C$19,0,(+'Rev Req'!AF15-AF7-AF8-AF9-AF10)*$B$11)</f>
        <v>0</v>
      </c>
      <c r="AG11" s="56">
        <f>SUM(C11:AF11)</f>
        <v>0</v>
      </c>
    </row>
    <row r="12" spans="1:35">
      <c r="A12" s="105" t="s">
        <v>199</v>
      </c>
      <c r="B12" s="105"/>
      <c r="C12" s="83">
        <f t="shared" ref="C12:AG12" si="10">SUM(C7:C11)</f>
        <v>0</v>
      </c>
      <c r="D12" s="83">
        <f t="shared" si="10"/>
        <v>0</v>
      </c>
      <c r="E12" s="83">
        <f t="shared" si="10"/>
        <v>0</v>
      </c>
      <c r="F12" s="83">
        <f t="shared" si="10"/>
        <v>29676195.567923136</v>
      </c>
      <c r="G12" s="83">
        <f t="shared" si="10"/>
        <v>38764581.231985211</v>
      </c>
      <c r="H12" s="83">
        <f t="shared" si="10"/>
        <v>37807525.869597256</v>
      </c>
      <c r="I12" s="83">
        <f t="shared" si="10"/>
        <v>38374638.757641211</v>
      </c>
      <c r="J12" s="83">
        <f t="shared" si="10"/>
        <v>38950258.339005828</v>
      </c>
      <c r="K12" s="83">
        <f t="shared" si="10"/>
        <v>35169103.092066064</v>
      </c>
      <c r="L12" s="83">
        <f t="shared" si="10"/>
        <v>35696639.638447054</v>
      </c>
      <c r="M12" s="83">
        <f t="shared" si="10"/>
        <v>36232089.233023755</v>
      </c>
      <c r="N12" s="83">
        <f t="shared" si="10"/>
        <v>36775570.571519107</v>
      </c>
      <c r="O12" s="83">
        <f t="shared" si="10"/>
        <v>37327204.130091891</v>
      </c>
      <c r="P12" s="83">
        <f t="shared" si="10"/>
        <v>27506390.958757535</v>
      </c>
      <c r="Q12" s="83">
        <f t="shared" si="10"/>
        <v>27918986.823138896</v>
      </c>
      <c r="R12" s="83">
        <f t="shared" si="10"/>
        <v>28337771.625485975</v>
      </c>
      <c r="S12" s="83">
        <f t="shared" si="10"/>
        <v>28762838.199868262</v>
      </c>
      <c r="T12" s="83">
        <f t="shared" si="10"/>
        <v>29194280.772866283</v>
      </c>
      <c r="U12" s="83">
        <f t="shared" si="10"/>
        <v>25671667.19025936</v>
      </c>
      <c r="V12" s="83">
        <f t="shared" si="10"/>
        <v>26056742.198113248</v>
      </c>
      <c r="W12" s="83">
        <f t="shared" si="10"/>
        <v>26447593.331084944</v>
      </c>
      <c r="X12" s="83">
        <f t="shared" si="10"/>
        <v>26844307.231051214</v>
      </c>
      <c r="Y12" s="83">
        <f t="shared" si="10"/>
        <v>27246971.839516979</v>
      </c>
      <c r="Z12" s="83">
        <f t="shared" si="10"/>
        <v>23882365.262191609</v>
      </c>
      <c r="AA12" s="83">
        <f t="shared" si="10"/>
        <v>24240600.741124481</v>
      </c>
      <c r="AB12" s="83">
        <f t="shared" ref="AB12:AF12" si="11">SUM(AB7:AB11)</f>
        <v>24604209.752241347</v>
      </c>
      <c r="AC12" s="83">
        <f t="shared" si="11"/>
        <v>24973272.898524966</v>
      </c>
      <c r="AD12" s="83">
        <f t="shared" si="11"/>
        <v>25347871.992002837</v>
      </c>
      <c r="AE12" s="83">
        <f t="shared" si="11"/>
        <v>22136315.947675999</v>
      </c>
      <c r="AF12" s="83">
        <f t="shared" si="11"/>
        <v>22468360.686891139</v>
      </c>
      <c r="AG12" s="83">
        <f t="shared" si="10"/>
        <v>806414353.88209558</v>
      </c>
    </row>
    <row r="13" spans="1:35">
      <c r="A13" s="57"/>
      <c r="B13" s="57"/>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row>
    <row r="14" spans="1:35">
      <c r="A14" s="59" t="s">
        <v>200</v>
      </c>
      <c r="B14" s="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row>
    <row r="15" spans="1:35">
      <c r="A15" s="277" t="s">
        <v>201</v>
      </c>
      <c r="B15" s="278"/>
      <c r="C15" s="40">
        <f>IF(C$4&gt;'Input Data'!$C$15+'Input Data'!$C$19,0,IF(C$4='Input Data'!$C$17,'Input Data'!$E$69,0))</f>
        <v>0</v>
      </c>
      <c r="D15" s="40">
        <f>IF(D$4&gt;'Input Data'!$C$15+'Input Data'!$C$19,0,IF(D$4='Input Data'!$C$17,'Input Data'!$E$69,IF('Input Data'!$D$69=0,C15,IF(D$4&gt;='Input Data'!$D$69,C15*(1+'Input Data'!$C$69),C15))))+IF(D$3&lt;=$B$4+1,SUMIF('Input Data'!$F$63:$O$63,D$4,'Input Data'!$F$69:$O$69))</f>
        <v>0</v>
      </c>
      <c r="E15" s="40">
        <f>IF(E$4&gt;'Input Data'!$C$15+'Input Data'!$C$19,0,IF(E$4='Input Data'!$C$17,'Input Data'!$E$69,IF('Input Data'!$D$69=0,D15,IF(E$4&gt;='Input Data'!$D$69,D15*(1+'Input Data'!$C$69),D15))))+IF(E$3&lt;=$B$4+1,SUMIF('Input Data'!$F$63:$O$63,E$4,'Input Data'!$F$69:$O$69))</f>
        <v>0</v>
      </c>
      <c r="F15" s="40">
        <f>IF(F$4&gt;'Input Data'!$C$15+'Input Data'!$C$19,0,IF(F$4='Input Data'!$C$17,'Input Data'!$E$69,IF('Input Data'!$D$69=0,E15,IF(F$4&gt;='Input Data'!$D$69,E15*(1+'Input Data'!$C$69),E15))))+IF(F$3&lt;=$B$4+1,SUMIF('Input Data'!$F$63:$O$63,F$4,'Input Data'!$F$69:$O$69))</f>
        <v>0</v>
      </c>
      <c r="G15" s="40">
        <f>IF(G$4&gt;'Input Data'!$C$15+'Input Data'!$C$19,0,IF(G$4='Input Data'!$C$17,'Input Data'!$E$69,IF('Input Data'!$D$69=0,F15,IF(G$4&gt;='Input Data'!$D$69,F15*(1+'Input Data'!$C$69),F15))))+IF(G$3&lt;=$B$4+1,SUMIF('Input Data'!$F$63:$O$63,G$4,'Input Data'!$F$69:$O$69))</f>
        <v>0</v>
      </c>
      <c r="H15" s="40">
        <f>IF(H$4&gt;'Input Data'!$C$15+'Input Data'!$C$19,0,IF(H$4='Input Data'!$C$17,'Input Data'!$E$69,IF('Input Data'!$D$69=0,G15,IF(H$4&gt;='Input Data'!$D$69,G15*(1+'Input Data'!$C$69),G15))))+IF(H$3&lt;=$B$4+1,SUMIF('Input Data'!$F$63:$O$63,H$4,'Input Data'!$F$69:$O$69))</f>
        <v>0</v>
      </c>
      <c r="I15" s="40">
        <f>IF(I$4&gt;'Input Data'!$C$15+'Input Data'!$C$19,0,IF(I$4='Input Data'!$C$17,'Input Data'!$E$69,IF('Input Data'!$D$69=0,H15,IF(I$4&gt;='Input Data'!$D$69,H15*(1+'Input Data'!$C$69),H15))))+IF(I$3&lt;=$B$4+1,SUMIF('Input Data'!$F$63:$O$63,I$4,'Input Data'!$F$69:$O$69))</f>
        <v>0</v>
      </c>
      <c r="J15" s="40">
        <f>IF(J$4&gt;'Input Data'!$C$15+'Input Data'!$C$19,0,IF(J$4='Input Data'!$C$17,'Input Data'!$E$69,IF('Input Data'!$D$69=0,I15,IF(J$4&gt;='Input Data'!$D$69,I15*(1+'Input Data'!$C$69),I15))))+IF(J$3&lt;=$B$4+1,SUMIF('Input Data'!$F$63:$O$63,J$4,'Input Data'!$F$69:$O$69))</f>
        <v>0</v>
      </c>
      <c r="K15" s="40">
        <f>IF(K$4&gt;'Input Data'!$C$15+'Input Data'!$C$19,0,IF(K$4='Input Data'!$C$17,'Input Data'!$E$69,IF('Input Data'!$D$69=0,J15,IF(K$4&gt;='Input Data'!$D$69,J15*(1+'Input Data'!$C$69),J15))))+IF(K$3&lt;=$B$4+1,SUMIF('Input Data'!$F$63:$O$63,K$4,'Input Data'!$F$69:$O$69))</f>
        <v>0</v>
      </c>
      <c r="L15" s="40">
        <f>IF(L$4&gt;'Input Data'!$C$15+'Input Data'!$C$19,0,IF(L$4='Input Data'!$C$17,'Input Data'!$E$69,IF('Input Data'!$D$69=0,K15,IF(L$4&gt;='Input Data'!$D$69,K15*(1+'Input Data'!$C$69),K15))))+IF(L$3&lt;=$B$4+1,SUMIF('Input Data'!$F$63:$O$63,L$4,'Input Data'!$F$69:$O$69))</f>
        <v>0</v>
      </c>
      <c r="M15" s="40">
        <f>IF(M$4&gt;'Input Data'!$C$15+'Input Data'!$C$19,0,IF(M$4='Input Data'!$C$17,'Input Data'!$E$69,IF('Input Data'!$D$69=0,L15,IF(M$4&gt;='Input Data'!$D$69,L15*(1+'Input Data'!$C$69),L15))))+IF(M$3&lt;=$B$4+1,SUMIF('Input Data'!$F$63:$O$63,M$4,'Input Data'!$F$69:$O$69))</f>
        <v>0</v>
      </c>
      <c r="N15" s="40">
        <f>IF(N$4&gt;'Input Data'!$C$15+'Input Data'!$C$19,0,IF(N$4='Input Data'!$C$17,'Input Data'!$E$69,IF('Input Data'!$D$69=0,M15,IF(N$4&gt;='Input Data'!$D$69,M15*(1+'Input Data'!$C$69),M15))))+IF(N$3&lt;=$B$4+1,SUMIF('Input Data'!$F$63:$O$63,N$4,'Input Data'!$F$69:$O$69))</f>
        <v>0</v>
      </c>
      <c r="O15" s="40">
        <f>IF(O$4&gt;'Input Data'!$C$15+'Input Data'!$C$19,0,IF(O$4='Input Data'!$C$17,'Input Data'!$E$69,IF('Input Data'!$D$69=0,N15,IF(O$4&gt;='Input Data'!$D$69,N15*(1+'Input Data'!$C$69),N15))))+IF(O$3&lt;=$B$4+1,SUMIF('Input Data'!$F$63:$O$63,O$4,'Input Data'!$F$69:$O$69))</f>
        <v>0</v>
      </c>
      <c r="P15" s="40">
        <f>IF(P$4&gt;'Input Data'!$C$15+'Input Data'!$C$19,0,IF(P$4='Input Data'!$C$17,'Input Data'!$E$69,IF('Input Data'!$D$69=0,O15,IF(P$4&gt;='Input Data'!$D$69,O15*(1+'Input Data'!$C$69),O15))))+IF(P$3&lt;=$B$4+1,SUMIF('Input Data'!$F$63:$O$63,P$4,'Input Data'!$F$69:$O$69))</f>
        <v>0</v>
      </c>
      <c r="Q15" s="40">
        <f>IF(Q$4&gt;'Input Data'!$C$15+'Input Data'!$C$19,0,IF(Q$4='Input Data'!$C$17,'Input Data'!$E$69,IF('Input Data'!$D$69=0,P15,IF(Q$4&gt;='Input Data'!$D$69,P15*(1+'Input Data'!$C$69),P15))))+IF(Q$3&lt;=$B$4+1,SUMIF('Input Data'!$F$63:$O$63,Q$4,'Input Data'!$F$69:$O$69))</f>
        <v>0</v>
      </c>
      <c r="R15" s="40">
        <f>IF(R$4&gt;'Input Data'!$C$15+'Input Data'!$C$19,0,IF(R$4='Input Data'!$C$17,'Input Data'!$E$69,IF('Input Data'!$D$69=0,Q15,IF(R$4&gt;='Input Data'!$D$69,Q15*(1+'Input Data'!$C$69),Q15))))+IF(R$3&lt;=$B$4+1,SUMIF('Input Data'!$F$63:$O$63,R$4,'Input Data'!$F$69:$O$69))</f>
        <v>0</v>
      </c>
      <c r="S15" s="40">
        <f>IF(S$4&gt;'Input Data'!$C$15+'Input Data'!$C$19,0,IF(S$4='Input Data'!$C$17,'Input Data'!$E$69,IF('Input Data'!$D$69=0,R15,IF(S$4&gt;='Input Data'!$D$69,R15*(1+'Input Data'!$C$69),R15))))+IF(S$3&lt;=$B$4+1,SUMIF('Input Data'!$F$63:$O$63,S$4,'Input Data'!$F$69:$O$69))</f>
        <v>0</v>
      </c>
      <c r="T15" s="40">
        <f>IF(T$4&gt;'Input Data'!$C$15+'Input Data'!$C$19,0,IF(T$4='Input Data'!$C$17,'Input Data'!$E$69,IF('Input Data'!$D$69=0,S15,IF(T$4&gt;='Input Data'!$D$69,S15*(1+'Input Data'!$C$69),S15))))+IF(T$3&lt;=$B$4+1,SUMIF('Input Data'!$F$63:$O$63,T$4,'Input Data'!$F$69:$O$69))</f>
        <v>0</v>
      </c>
      <c r="U15" s="40">
        <f>IF(U$4&gt;'Input Data'!$C$15+'Input Data'!$C$19,0,IF(U$4='Input Data'!$C$17,'Input Data'!$E$69,IF('Input Data'!$D$69=0,T15,IF(U$4&gt;='Input Data'!$D$69,T15*(1+'Input Data'!$C$69),T15))))+IF(U$3&lt;=$B$4+1,SUMIF('Input Data'!$F$63:$O$63,U$4,'Input Data'!$F$69:$O$69))</f>
        <v>0</v>
      </c>
      <c r="V15" s="40">
        <f>IF(V$4&gt;'Input Data'!$C$15+'Input Data'!$C$19,0,IF(V$4='Input Data'!$C$17,'Input Data'!$E$69,IF('Input Data'!$D$69=0,U15,IF(V$4&gt;='Input Data'!$D$69,U15*(1+'Input Data'!$C$69),U15))))+IF(V$3&lt;=$B$4+1,SUMIF('Input Data'!$F$63:$O$63,V$4,'Input Data'!$F$69:$O$69))</f>
        <v>0</v>
      </c>
      <c r="W15" s="40">
        <f>IF(W$4&gt;'Input Data'!$C$15+'Input Data'!$C$19,0,IF(W$4='Input Data'!$C$17,'Input Data'!$E$69,IF('Input Data'!$D$69=0,V15,IF(W$4&gt;='Input Data'!$D$69,V15*(1+'Input Data'!$C$69),V15))))+IF(W$3&lt;=$B$4+1,SUMIF('Input Data'!$F$63:$O$63,W$4,'Input Data'!$F$69:$O$69))</f>
        <v>0</v>
      </c>
      <c r="X15" s="40">
        <f>IF(X$4&gt;'Input Data'!$C$15+'Input Data'!$C$19,0,IF(X$4='Input Data'!$C$17,'Input Data'!$E$69,IF('Input Data'!$D$69=0,W15,IF(X$4&gt;='Input Data'!$D$69,W15*(1+'Input Data'!$C$69),W15))))+IF(X$3&lt;=$B$4+1,SUMIF('Input Data'!$F$63:$O$63,X$4,'Input Data'!$F$69:$O$69))</f>
        <v>0</v>
      </c>
      <c r="Y15" s="40">
        <f>IF(Y$4&gt;'Input Data'!$C$15+'Input Data'!$C$19,0,IF(Y$4='Input Data'!$C$17,'Input Data'!$E$69,IF('Input Data'!$D$69=0,X15,IF(Y$4&gt;='Input Data'!$D$69,X15*(1+'Input Data'!$C$69),X15))))+IF(Y$3&lt;=$B$4+1,SUMIF('Input Data'!$F$63:$O$63,Y$4,'Input Data'!$F$69:$O$69))</f>
        <v>0</v>
      </c>
      <c r="Z15" s="40">
        <f>IF(Z$4&gt;'Input Data'!$C$15+'Input Data'!$C$19,0,IF(Z$4='Input Data'!$C$17,'Input Data'!$E$69,IF('Input Data'!$D$69=0,Y15,IF(Z$4&gt;='Input Data'!$D$69,Y15*(1+'Input Data'!$C$69),Y15))))+IF(Z$3&lt;=$B$4+1,SUMIF('Input Data'!$F$63:$O$63,Z$4,'Input Data'!$F$69:$O$69))</f>
        <v>0</v>
      </c>
      <c r="AA15" s="40">
        <f>IF(AA$4&gt;'Input Data'!$C$15+'Input Data'!$C$19,0,IF(AA$4='Input Data'!$C$17,'Input Data'!$E$69,IF('Input Data'!$D$69=0,Z15,IF(AA$4&gt;='Input Data'!$D$69,Z15*(1+'Input Data'!$C$69),Z15))))+IF(AA$3&lt;=$B$4+1,SUMIF('Input Data'!$F$63:$O$63,AA$4,'Input Data'!$F$69:$O$69))</f>
        <v>0</v>
      </c>
      <c r="AB15" s="40">
        <f>IF(AB$4&gt;'Input Data'!$C$15+'Input Data'!$C$19,0,IF(AB$4='Input Data'!$C$17,'Input Data'!$E$69,IF('Input Data'!$D$69=0,AA15,IF(AB$4&gt;='Input Data'!$D$69,AA15*(1+'Input Data'!$C$69),AA15))))+IF(AB$3&lt;=$B$4+1,SUMIF('Input Data'!$F$63:$O$63,AB$4,'Input Data'!$F$69:$O$69))</f>
        <v>0</v>
      </c>
      <c r="AC15" s="40">
        <f>IF(AC$4&gt;'Input Data'!$C$15+'Input Data'!$C$19,0,IF(AC$4='Input Data'!$C$17,'Input Data'!$E$69,IF('Input Data'!$D$69=0,AB15,IF(AC$4&gt;='Input Data'!$D$69,AB15*(1+'Input Data'!$C$69),AB15))))+IF(AC$3&lt;=$B$4+1,SUMIF('Input Data'!$F$63:$O$63,AC$4,'Input Data'!$F$69:$O$69))</f>
        <v>0</v>
      </c>
      <c r="AD15" s="40">
        <f>IF(AD$4&gt;'Input Data'!$C$15+'Input Data'!$C$19,0,IF(AD$4='Input Data'!$C$17,'Input Data'!$E$69,IF('Input Data'!$D$69=0,AC15,IF(AD$4&gt;='Input Data'!$D$69,AC15*(1+'Input Data'!$C$69),AC15))))+IF(AD$3&lt;=$B$4+1,SUMIF('Input Data'!$F$63:$O$63,AD$4,'Input Data'!$F$69:$O$69))</f>
        <v>0</v>
      </c>
      <c r="AE15" s="40">
        <f>IF(AE$4&gt;'Input Data'!$C$15+'Input Data'!$C$19,0,IF(AE$4='Input Data'!$C$17,'Input Data'!$E$69,IF('Input Data'!$D$69=0,AD15,IF(AE$4&gt;='Input Data'!$D$69,AD15*(1+'Input Data'!$C$69),AD15))))+IF(AE$3&lt;=$B$4+1,SUMIF('Input Data'!$F$63:$O$63,AE$4,'Input Data'!$F$69:$O$69))</f>
        <v>0</v>
      </c>
      <c r="AF15" s="40">
        <f>IF(AF$4&gt;'Input Data'!$C$15+'Input Data'!$C$19,0,IF(AF$4='Input Data'!$C$17,'Input Data'!$E$69,IF('Input Data'!$D$69=0,AE15,IF(AF$4&gt;='Input Data'!$D$69,AE15*(1+'Input Data'!$C$69),AE15))))+IF(AF$3&lt;=$B$4+1,SUMIF('Input Data'!$F$63:$O$63,AF$4,'Input Data'!$F$69:$O$69))</f>
        <v>0</v>
      </c>
      <c r="AG15" s="41">
        <f>SUM(C15:AF15)</f>
        <v>0</v>
      </c>
    </row>
    <row r="16" spans="1:35">
      <c r="A16" s="277" t="s">
        <v>202</v>
      </c>
      <c r="B16" s="278"/>
      <c r="C16" s="40">
        <f>SUMIF('O&amp;M'!$D$4:$AG$4,C$4,'O&amp;M'!$D$12:$AG$12)</f>
        <v>0</v>
      </c>
      <c r="D16" s="40">
        <f>SUMIF('O&amp;M'!$D$4:$AG$4,D$4,'O&amp;M'!$D$12:$AG$12)</f>
        <v>0</v>
      </c>
      <c r="E16" s="40">
        <f>SUMIF('O&amp;M'!$D$4:$AG$4,E$4,'O&amp;M'!$D$12:$AG$12)</f>
        <v>0</v>
      </c>
      <c r="F16" s="40">
        <f>SUMIF('O&amp;M'!$D$4:$AG$4,F$4,'O&amp;M'!$D$12:$AG$12)</f>
        <v>3453821</v>
      </c>
      <c r="G16" s="40">
        <f>SUMIF('O&amp;M'!$D$4:$AG$4,G$4,'O&amp;M'!$D$12:$AG$12)</f>
        <v>2896628</v>
      </c>
      <c r="H16" s="40">
        <f>SUMIF('O&amp;M'!$D$4:$AG$4,H$4,'O&amp;M'!$D$12:$AG$12)</f>
        <v>2940078</v>
      </c>
      <c r="I16" s="40">
        <f>SUMIF('O&amp;M'!$D$4:$AG$4,I$4,'O&amp;M'!$D$12:$AG$12)</f>
        <v>2984180</v>
      </c>
      <c r="J16" s="40">
        <f>SUMIF('O&amp;M'!$D$4:$AG$4,J$4,'O&amp;M'!$D$12:$AG$12)</f>
        <v>3028942</v>
      </c>
      <c r="K16" s="40">
        <f>SUMIF('O&amp;M'!$D$4:$AG$4,K$4,'O&amp;M'!$D$12:$AG$12)</f>
        <v>3074376</v>
      </c>
      <c r="L16" s="40">
        <f>SUMIF('O&amp;M'!$D$4:$AG$4,L$4,'O&amp;M'!$D$12:$AG$12)</f>
        <v>3120492</v>
      </c>
      <c r="M16" s="40">
        <f>SUMIF('O&amp;M'!$D$4:$AG$4,M$4,'O&amp;M'!$D$12:$AG$12)</f>
        <v>3167300</v>
      </c>
      <c r="N16" s="40">
        <f>SUMIF('O&amp;M'!$D$4:$AG$4,N$4,'O&amp;M'!$D$12:$AG$12)</f>
        <v>3214809</v>
      </c>
      <c r="O16" s="40">
        <f>SUMIF('O&amp;M'!$D$4:$AG$4,O$4,'O&amp;M'!$D$12:$AG$12)</f>
        <v>3263031</v>
      </c>
      <c r="P16" s="40">
        <f>SUMIF('O&amp;M'!$D$4:$AG$4,P$4,'O&amp;M'!$D$12:$AG$12)</f>
        <v>3328291</v>
      </c>
      <c r="Q16" s="40">
        <f>SUMIF('O&amp;M'!$D$4:$AG$4,Q$4,'O&amp;M'!$D$12:$AG$12)</f>
        <v>3394856</v>
      </c>
      <c r="R16" s="40">
        <f>SUMIF('O&amp;M'!$D$4:$AG$4,R$4,'O&amp;M'!$D$12:$AG$12)</f>
        <v>3462753</v>
      </c>
      <c r="S16" s="40">
        <f>SUMIF('O&amp;M'!$D$4:$AG$4,S$4,'O&amp;M'!$D$12:$AG$12)</f>
        <v>3532008</v>
      </c>
      <c r="T16" s="40">
        <f>SUMIF('O&amp;M'!$D$4:$AG$4,T$4,'O&amp;M'!$D$12:$AG$12)</f>
        <v>3602648</v>
      </c>
      <c r="U16" s="40">
        <f>SUMIF('O&amp;M'!$D$4:$AG$4,U$4,'O&amp;M'!$D$12:$AG$12)</f>
        <v>3674701</v>
      </c>
      <c r="V16" s="40">
        <f>SUMIF('O&amp;M'!$D$4:$AG$4,V$4,'O&amp;M'!$D$12:$AG$12)</f>
        <v>3748195</v>
      </c>
      <c r="W16" s="40">
        <f>SUMIF('O&amp;M'!$D$4:$AG$4,W$4,'O&amp;M'!$D$12:$AG$12)</f>
        <v>3823159</v>
      </c>
      <c r="X16" s="40">
        <f>SUMIF('O&amp;M'!$D$4:$AG$4,X$4,'O&amp;M'!$D$12:$AG$12)</f>
        <v>3899623</v>
      </c>
      <c r="Y16" s="40">
        <f>SUMIF('O&amp;M'!$D$4:$AG$4,Y$4,'O&amp;M'!$D$12:$AG$12)</f>
        <v>3977615</v>
      </c>
      <c r="Z16" s="40">
        <f>SUMIF('O&amp;M'!$D$4:$AG$4,Z$4,'O&amp;M'!$D$12:$AG$12)</f>
        <v>4057167</v>
      </c>
      <c r="AA16" s="40">
        <f>SUMIF('O&amp;M'!$D$4:$AG$4,AA$4,'O&amp;M'!$D$12:$AG$12)</f>
        <v>4138310</v>
      </c>
      <c r="AB16" s="40">
        <f>SUMIF('O&amp;M'!$D$4:$AG$4,AB$4,'O&amp;M'!$D$12:$AG$12)</f>
        <v>4221076</v>
      </c>
      <c r="AC16" s="40">
        <f>SUMIF('O&amp;M'!$D$4:$AG$4,AC$4,'O&amp;M'!$D$12:$AG$12)</f>
        <v>4305497</v>
      </c>
      <c r="AD16" s="40">
        <f>SUMIF('O&amp;M'!$D$4:$AG$4,AD$4,'O&amp;M'!$D$12:$AG$12)</f>
        <v>4391607</v>
      </c>
      <c r="AE16" s="40">
        <f>SUMIF('O&amp;M'!$D$4:$AG$4,AE$4,'O&amp;M'!$D$12:$AG$12)</f>
        <v>4479439</v>
      </c>
      <c r="AF16" s="40">
        <f>SUMIF('O&amp;M'!$D$4:$AG$4,AF$4,'O&amp;M'!$D$12:$AG$12)</f>
        <v>4569028</v>
      </c>
      <c r="AG16" s="41">
        <f>SUM(C16:AF16)</f>
        <v>97749630</v>
      </c>
    </row>
    <row r="17" spans="1:34">
      <c r="A17" s="6" t="s">
        <v>203</v>
      </c>
      <c r="C17" s="41">
        <f>+C98</f>
        <v>0</v>
      </c>
      <c r="D17" s="41">
        <f t="shared" ref="D17:AA17" si="12">+D98</f>
        <v>0</v>
      </c>
      <c r="E17" s="41">
        <f t="shared" si="12"/>
        <v>0</v>
      </c>
      <c r="F17" s="41">
        <f t="shared" si="12"/>
        <v>5344643.8985098768</v>
      </c>
      <c r="G17" s="41">
        <f t="shared" si="12"/>
        <v>8507481.9233043119</v>
      </c>
      <c r="H17" s="41">
        <f t="shared" si="12"/>
        <v>8507481.9233043119</v>
      </c>
      <c r="I17" s="41">
        <f t="shared" si="12"/>
        <v>8507481.9233043119</v>
      </c>
      <c r="J17" s="41">
        <f t="shared" si="12"/>
        <v>8507481.9233043119</v>
      </c>
      <c r="K17" s="41">
        <f t="shared" si="12"/>
        <v>8507481.9233043119</v>
      </c>
      <c r="L17" s="41">
        <f t="shared" si="12"/>
        <v>8507702.7566376459</v>
      </c>
      <c r="M17" s="41">
        <f t="shared" si="12"/>
        <v>6121884.8892565202</v>
      </c>
      <c r="N17" s="41">
        <f t="shared" si="12"/>
        <v>3736082.5612344802</v>
      </c>
      <c r="O17" s="41">
        <f t="shared" si="12"/>
        <v>3736562.3978587231</v>
      </c>
      <c r="P17" s="41">
        <f t="shared" si="12"/>
        <v>3737056.6296041775</v>
      </c>
      <c r="Q17" s="41">
        <f t="shared" si="12"/>
        <v>3737565.6882602382</v>
      </c>
      <c r="R17" s="41">
        <f t="shared" si="12"/>
        <v>3738380.9890269046</v>
      </c>
      <c r="S17" s="41">
        <f t="shared" si="12"/>
        <v>3739511.7192132683</v>
      </c>
      <c r="T17" s="41">
        <f t="shared" si="12"/>
        <v>3740676.3713269047</v>
      </c>
      <c r="U17" s="41">
        <f t="shared" si="12"/>
        <v>3741875.9629678139</v>
      </c>
      <c r="V17" s="41">
        <f t="shared" si="12"/>
        <v>3743111.5423314502</v>
      </c>
      <c r="W17" s="41">
        <f t="shared" si="12"/>
        <v>3744384.1890920564</v>
      </c>
      <c r="X17" s="41">
        <f t="shared" si="12"/>
        <v>3745695.0152859958</v>
      </c>
      <c r="Y17" s="41">
        <f t="shared" si="12"/>
        <v>3747045.1662753895</v>
      </c>
      <c r="Z17" s="41">
        <f t="shared" si="12"/>
        <v>3748435.8217920563</v>
      </c>
      <c r="AA17" s="41">
        <f t="shared" si="12"/>
        <v>3749868.1969011473</v>
      </c>
      <c r="AB17" s="41">
        <f t="shared" ref="AB17:AF17" si="13">+AB98</f>
        <v>3751343.5432056924</v>
      </c>
      <c r="AC17" s="41">
        <f t="shared" si="13"/>
        <v>3752863.1499708439</v>
      </c>
      <c r="AD17" s="41">
        <f t="shared" si="13"/>
        <v>3754428.3450072077</v>
      </c>
      <c r="AE17" s="41">
        <f t="shared" si="13"/>
        <v>3756040.4958753893</v>
      </c>
      <c r="AF17" s="41">
        <f t="shared" si="13"/>
        <v>3757701.0112511469</v>
      </c>
      <c r="AG17" s="41">
        <f>SUM(C17:AF17)</f>
        <v>133670269.95740651</v>
      </c>
      <c r="AH17" s="581">
        <f>AVERAGE(C17:AF17)</f>
        <v>4455675.6652468834</v>
      </c>
    </row>
    <row r="18" spans="1:34">
      <c r="A18" s="6" t="s">
        <v>204</v>
      </c>
      <c r="C18" s="82">
        <f>IF(C4&gt;'Input Data'!$C$15+'Input Data'!$C$19,0,'Property Tax'!C9)</f>
        <v>0</v>
      </c>
      <c r="D18" s="82">
        <f>IF(D4&gt;'Input Data'!$C$15+'Input Data'!$C$19,0,'Property Tax'!D9)</f>
        <v>0</v>
      </c>
      <c r="E18" s="82">
        <f>IF(E4&gt;'Input Data'!$C$15+'Input Data'!$C$19,0,'Property Tax'!E9)</f>
        <v>0</v>
      </c>
      <c r="F18" s="82">
        <f>IF(F4&gt;'Input Data'!$C$15+'Input Data'!$C$19,0,'Property Tax'!F9)</f>
        <v>1473197.107091544</v>
      </c>
      <c r="G18" s="82">
        <f>IF(G4&gt;'Input Data'!$C$15+'Input Data'!$C$19,0,'Property Tax'!G9)</f>
        <v>2709964.5105126561</v>
      </c>
      <c r="H18" s="82">
        <f>IF(H4&gt;'Input Data'!$C$15+'Input Data'!$C$19,0,'Property Tax'!H9)</f>
        <v>2623188.1948949522</v>
      </c>
      <c r="I18" s="82">
        <f>IF(I4&gt;'Input Data'!$C$15+'Input Data'!$C$19,0,'Property Tax'!I9)</f>
        <v>2536411.8792772484</v>
      </c>
      <c r="J18" s="82">
        <f>IF(J4&gt;'Input Data'!$C$15+'Input Data'!$C$19,0,'Property Tax'!J9)</f>
        <v>2449635.5636595446</v>
      </c>
      <c r="K18" s="82">
        <f>IF(K4&gt;'Input Data'!$C$15+'Input Data'!$C$19,0,'Property Tax'!K9)</f>
        <v>2362859.2480418398</v>
      </c>
      <c r="L18" s="82">
        <f>IF(L4&gt;'Input Data'!$C$15+'Input Data'!$C$19,0,'Property Tax'!L9)</f>
        <v>2276082.9324241364</v>
      </c>
      <c r="M18" s="82">
        <f>IF(M4&gt;'Input Data'!$C$15+'Input Data'!$C$19,0,'Property Tax'!M9)</f>
        <v>2189574.6643064325</v>
      </c>
      <c r="N18" s="82">
        <f>IF(N4&gt;'Input Data'!$C$15+'Input Data'!$C$19,0,'Property Tax'!N9)</f>
        <v>2127409.847436016</v>
      </c>
      <c r="O18" s="82">
        <f>IF(O4&gt;'Input Data'!$C$15+'Input Data'!$C$19,0,'Property Tax'!O9)</f>
        <v>2089591.1254869509</v>
      </c>
      <c r="P18" s="82">
        <f>IF(P4&gt;'Input Data'!$C$15+'Input Data'!$C$19,0,'Property Tax'!P9)</f>
        <v>2051776.1888813379</v>
      </c>
      <c r="Q18" s="82">
        <f>IF(Q4&gt;'Input Data'!$C$15+'Input Data'!$C$19,0,'Property Tax'!Q9)</f>
        <v>2013965.151063266</v>
      </c>
      <c r="R18" s="82">
        <f>IF(R4&gt;'Input Data'!$C$15+'Input Data'!$C$19,0,'Property Tax'!R9)</f>
        <v>1976158.129034139</v>
      </c>
      <c r="S18" s="82">
        <f>IF(S4&gt;'Input Data'!$C$15+'Input Data'!$C$19,0,'Property Tax'!S9)</f>
        <v>1938708.4230933371</v>
      </c>
      <c r="T18" s="82">
        <f>IF(T4&gt;'Input Data'!$C$15+'Input Data'!$C$19,0,'Property Tax'!T9)</f>
        <v>1901267.637158198</v>
      </c>
      <c r="U18" s="82">
        <f>IF(U4&gt;'Input Data'!$C$15+'Input Data'!$C$19,0,'Property Tax'!U9)</f>
        <v>1863836.0387569182</v>
      </c>
      <c r="V18" s="82">
        <f>IF(V4&gt;'Input Data'!$C$15+'Input Data'!$C$19,0,'Property Tax'!V9)</f>
        <v>1826413.9035168646</v>
      </c>
      <c r="W18" s="82">
        <f>IF(W4&gt;'Input Data'!$C$15+'Input Data'!$C$19,0,'Property Tax'!W9)</f>
        <v>1789001.5153439564</v>
      </c>
      <c r="X18" s="82">
        <f>IF(X4&gt;'Input Data'!$C$15+'Input Data'!$C$19,0,'Property Tax'!X9)</f>
        <v>1751599.1666913261</v>
      </c>
      <c r="Y18" s="82">
        <f>IF(Y4&gt;'Input Data'!$C$15+'Input Data'!$C$19,0,'Property Tax'!Y9)</f>
        <v>1714207.1587206819</v>
      </c>
      <c r="Z18" s="82">
        <f>IF(Z4&gt;'Input Data'!$C$15+'Input Data'!$C$19,0,'Property Tax'!Z9)</f>
        <v>1676825.8016504182</v>
      </c>
      <c r="AA18" s="82">
        <f>IF(AA4&gt;'Input Data'!$C$15+'Input Data'!$C$19,0,'Property Tax'!AA9)</f>
        <v>1639455.4149947942</v>
      </c>
      <c r="AB18" s="82">
        <f>IF(AB4&gt;'Input Data'!$C$15+'Input Data'!$C$19,0,'Property Tax'!AB9)</f>
        <v>1602096.327793275</v>
      </c>
      <c r="AC18" s="82">
        <f>IF(AC4&gt;'Input Data'!$C$15+'Input Data'!$C$19,0,'Property Tax'!AC9)</f>
        <v>1564748.8791224675</v>
      </c>
      <c r="AD18" s="82">
        <f>IF(AD4&gt;'Input Data'!$C$15+'Input Data'!$C$19,0,'Property Tax'!AD9)</f>
        <v>1527413.4182034195</v>
      </c>
      <c r="AE18" s="82">
        <f>IF(AE4&gt;'Input Data'!$C$15+'Input Data'!$C$19,0,'Property Tax'!AE9)</f>
        <v>1490090.3045982006</v>
      </c>
      <c r="AF18" s="82">
        <f>IF(AF4&gt;'Input Data'!$C$15+'Input Data'!$C$19,0,'Property Tax'!AF9)</f>
        <v>1452779.9086890717</v>
      </c>
      <c r="AG18" s="56">
        <f>SUM(C18:AF18)</f>
        <v>52618258.440442987</v>
      </c>
    </row>
    <row r="19" spans="1:34">
      <c r="A19" s="59" t="s">
        <v>205</v>
      </c>
      <c r="B19" s="59"/>
      <c r="C19" s="83">
        <f t="shared" ref="C19:AG19" si="14">SUM(C15:C18)</f>
        <v>0</v>
      </c>
      <c r="D19" s="83">
        <f t="shared" si="14"/>
        <v>0</v>
      </c>
      <c r="E19" s="83">
        <f t="shared" si="14"/>
        <v>0</v>
      </c>
      <c r="F19" s="83">
        <f t="shared" si="14"/>
        <v>10271662.005601421</v>
      </c>
      <c r="G19" s="83">
        <f t="shared" si="14"/>
        <v>14114074.433816968</v>
      </c>
      <c r="H19" s="83">
        <f t="shared" si="14"/>
        <v>14070748.118199265</v>
      </c>
      <c r="I19" s="83">
        <f t="shared" si="14"/>
        <v>14028073.80258156</v>
      </c>
      <c r="J19" s="83">
        <f t="shared" si="14"/>
        <v>13986059.486963857</v>
      </c>
      <c r="K19" s="83">
        <f t="shared" si="14"/>
        <v>13944717.171346152</v>
      </c>
      <c r="L19" s="83">
        <f t="shared" si="14"/>
        <v>13904277.689061783</v>
      </c>
      <c r="M19" s="83">
        <f t="shared" si="14"/>
        <v>11478759.553562952</v>
      </c>
      <c r="N19" s="83">
        <f t="shared" si="14"/>
        <v>9078301.4086704962</v>
      </c>
      <c r="O19" s="83">
        <f t="shared" si="14"/>
        <v>9089184.5233456735</v>
      </c>
      <c r="P19" s="83">
        <f t="shared" si="14"/>
        <v>9117123.8184855152</v>
      </c>
      <c r="Q19" s="83">
        <f t="shared" si="14"/>
        <v>9146386.8393235039</v>
      </c>
      <c r="R19" s="83">
        <f t="shared" si="14"/>
        <v>9177292.1180610433</v>
      </c>
      <c r="S19" s="83">
        <f t="shared" si="14"/>
        <v>9210228.1423066054</v>
      </c>
      <c r="T19" s="83">
        <f t="shared" si="14"/>
        <v>9244592.008485103</v>
      </c>
      <c r="U19" s="83">
        <f t="shared" si="14"/>
        <v>9280413.0017247312</v>
      </c>
      <c r="V19" s="83">
        <f t="shared" si="14"/>
        <v>9317720.4458483141</v>
      </c>
      <c r="W19" s="83">
        <f t="shared" si="14"/>
        <v>9356544.7044360135</v>
      </c>
      <c r="X19" s="83">
        <f t="shared" si="14"/>
        <v>9396917.1819773223</v>
      </c>
      <c r="Y19" s="83">
        <f t="shared" si="14"/>
        <v>9438867.3249960709</v>
      </c>
      <c r="Z19" s="83">
        <f t="shared" si="14"/>
        <v>9482428.6234424748</v>
      </c>
      <c r="AA19" s="83">
        <f t="shared" si="14"/>
        <v>9527633.6118959412</v>
      </c>
      <c r="AB19" s="83">
        <f t="shared" ref="AB19:AF19" si="15">SUM(AB15:AB18)</f>
        <v>9574515.8709989674</v>
      </c>
      <c r="AC19" s="83">
        <f t="shared" si="15"/>
        <v>9623109.0290933121</v>
      </c>
      <c r="AD19" s="83">
        <f t="shared" si="15"/>
        <v>9673448.7632106263</v>
      </c>
      <c r="AE19" s="83">
        <f t="shared" si="15"/>
        <v>9725569.8004735895</v>
      </c>
      <c r="AF19" s="83">
        <f t="shared" si="15"/>
        <v>9779508.9199402183</v>
      </c>
      <c r="AG19" s="83">
        <f t="shared" si="14"/>
        <v>284038158.3978495</v>
      </c>
    </row>
    <row r="20" spans="1:34">
      <c r="A20" s="6"/>
      <c r="B20" s="59"/>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row>
    <row r="21" spans="1:34">
      <c r="A21" s="278" t="s">
        <v>206</v>
      </c>
      <c r="B21" s="278"/>
      <c r="C21" s="41">
        <f t="shared" ref="C21:AG21" si="16">C12-C19</f>
        <v>0</v>
      </c>
      <c r="D21" s="41">
        <f t="shared" si="16"/>
        <v>0</v>
      </c>
      <c r="E21" s="41">
        <f t="shared" si="16"/>
        <v>0</v>
      </c>
      <c r="F21" s="41">
        <f t="shared" si="16"/>
        <v>19404533.562321715</v>
      </c>
      <c r="G21" s="41">
        <f t="shared" si="16"/>
        <v>24650506.798168242</v>
      </c>
      <c r="H21" s="41">
        <f t="shared" si="16"/>
        <v>23736777.75139799</v>
      </c>
      <c r="I21" s="41">
        <f t="shared" si="16"/>
        <v>24346564.955059651</v>
      </c>
      <c r="J21" s="41">
        <f t="shared" si="16"/>
        <v>24964198.852041971</v>
      </c>
      <c r="K21" s="41">
        <f t="shared" si="16"/>
        <v>21224385.920719914</v>
      </c>
      <c r="L21" s="41">
        <f t="shared" si="16"/>
        <v>21792361.94938527</v>
      </c>
      <c r="M21" s="41">
        <f t="shared" si="16"/>
        <v>24753329.679460801</v>
      </c>
      <c r="N21" s="41">
        <f t="shared" si="16"/>
        <v>27697269.16284861</v>
      </c>
      <c r="O21" s="41">
        <f t="shared" si="16"/>
        <v>28238019.606746219</v>
      </c>
      <c r="P21" s="41">
        <f t="shared" si="16"/>
        <v>18389267.140272021</v>
      </c>
      <c r="Q21" s="41">
        <f t="shared" si="16"/>
        <v>18772599.983815394</v>
      </c>
      <c r="R21" s="41">
        <f t="shared" si="16"/>
        <v>19160479.507424932</v>
      </c>
      <c r="S21" s="41">
        <f t="shared" si="16"/>
        <v>19552610.057561658</v>
      </c>
      <c r="T21" s="41">
        <f t="shared" si="16"/>
        <v>19949688.764381178</v>
      </c>
      <c r="U21" s="41">
        <f t="shared" si="16"/>
        <v>16391254.188534629</v>
      </c>
      <c r="V21" s="41">
        <f t="shared" si="16"/>
        <v>16739021.752264934</v>
      </c>
      <c r="W21" s="41">
        <f t="shared" si="16"/>
        <v>17091048.626648933</v>
      </c>
      <c r="X21" s="41">
        <f t="shared" si="16"/>
        <v>17447390.04907389</v>
      </c>
      <c r="Y21" s="41">
        <f t="shared" si="16"/>
        <v>17808104.514520906</v>
      </c>
      <c r="Z21" s="41">
        <f t="shared" si="16"/>
        <v>14399936.638749134</v>
      </c>
      <c r="AA21" s="41">
        <f t="shared" si="16"/>
        <v>14712967.12922854</v>
      </c>
      <c r="AB21" s="41">
        <f t="shared" ref="AB21:AF21" si="17">AB12-AB19</f>
        <v>15029693.88124238</v>
      </c>
      <c r="AC21" s="41">
        <f t="shared" si="17"/>
        <v>15350163.869431654</v>
      </c>
      <c r="AD21" s="41">
        <f t="shared" si="17"/>
        <v>15674423.228792211</v>
      </c>
      <c r="AE21" s="41">
        <f t="shared" si="17"/>
        <v>12410746.14720241</v>
      </c>
      <c r="AF21" s="41">
        <f t="shared" si="17"/>
        <v>12688851.76695092</v>
      </c>
      <c r="AG21" s="41">
        <f t="shared" si="16"/>
        <v>522376195.48424608</v>
      </c>
    </row>
    <row r="22" spans="1:34">
      <c r="A22" s="6" t="s">
        <v>207</v>
      </c>
      <c r="B22" s="252"/>
      <c r="C22" s="4">
        <f t="shared" ref="C22:AF22" si="18">(C21-C102)*C$95</f>
        <v>0</v>
      </c>
      <c r="D22" s="4">
        <f t="shared" si="18"/>
        <v>0</v>
      </c>
      <c r="E22" s="4">
        <f t="shared" si="18"/>
        <v>-850736.45952796738</v>
      </c>
      <c r="F22" s="4">
        <f t="shared" si="18"/>
        <v>3606374.7897160174</v>
      </c>
      <c r="G22" s="4">
        <f t="shared" si="18"/>
        <v>4873934.8060862413</v>
      </c>
      <c r="H22" s="4">
        <f t="shared" si="18"/>
        <v>5235053.3540327707</v>
      </c>
      <c r="I22" s="4">
        <f t="shared" si="18"/>
        <v>5812963.3314082837</v>
      </c>
      <c r="J22" s="4">
        <f t="shared" si="18"/>
        <v>6270934.5429509673</v>
      </c>
      <c r="K22" s="4">
        <f t="shared" si="18"/>
        <v>5323925.6743286075</v>
      </c>
      <c r="L22" s="4">
        <f t="shared" si="18"/>
        <v>5466916.2341553187</v>
      </c>
      <c r="M22" s="4">
        <f t="shared" si="18"/>
        <v>5990993.8974318793</v>
      </c>
      <c r="N22" s="4">
        <f t="shared" si="18"/>
        <v>6509906.0193861304</v>
      </c>
      <c r="O22" s="4">
        <f t="shared" si="18"/>
        <v>6646890.9695735648</v>
      </c>
      <c r="P22" s="4">
        <f t="shared" si="18"/>
        <v>4150654.359666592</v>
      </c>
      <c r="Q22" s="4">
        <f t="shared" si="18"/>
        <v>4247737.6626590006</v>
      </c>
      <c r="R22" s="4">
        <f t="shared" si="18"/>
        <v>4345817.9838500749</v>
      </c>
      <c r="S22" s="4">
        <f t="shared" si="18"/>
        <v>4445042.6418081624</v>
      </c>
      <c r="T22" s="4">
        <f t="shared" si="18"/>
        <v>4545516.5851981817</v>
      </c>
      <c r="U22" s="4">
        <f t="shared" si="18"/>
        <v>3643460.7174555031</v>
      </c>
      <c r="V22" s="4">
        <f t="shared" si="18"/>
        <v>3731426.6632539183</v>
      </c>
      <c r="W22" s="4">
        <f t="shared" si="18"/>
        <v>3820466.8590252995</v>
      </c>
      <c r="X22" s="4">
        <f t="shared" si="18"/>
        <v>3910595.1465347735</v>
      </c>
      <c r="Y22" s="4">
        <f t="shared" si="18"/>
        <v>4001826.1884173756</v>
      </c>
      <c r="Z22" s="4">
        <f t="shared" si="18"/>
        <v>3137828.2397409277</v>
      </c>
      <c r="AA22" s="4">
        <f t="shared" si="18"/>
        <v>3216962.0830074348</v>
      </c>
      <c r="AB22" s="4">
        <f t="shared" si="18"/>
        <v>3297026.6317019365</v>
      </c>
      <c r="AC22" s="4">
        <f t="shared" si="18"/>
        <v>3378033.6081762663</v>
      </c>
      <c r="AD22" s="4">
        <f t="shared" si="18"/>
        <v>3459994.5165259074</v>
      </c>
      <c r="AE22" s="4">
        <f t="shared" si="18"/>
        <v>2632586.2551428</v>
      </c>
      <c r="AF22" s="4">
        <f t="shared" si="18"/>
        <v>2702835.9402525723</v>
      </c>
      <c r="AG22" s="4">
        <f>SUM(C22:AF22)</f>
        <v>117554969.24195853</v>
      </c>
    </row>
    <row r="23" spans="1:34">
      <c r="A23" s="277" t="s">
        <v>208</v>
      </c>
      <c r="B23" s="62"/>
      <c r="C23" s="42">
        <f t="shared" ref="C23:AA23" si="19">C103</f>
        <v>0</v>
      </c>
      <c r="D23" s="42">
        <f t="shared" si="19"/>
        <v>0</v>
      </c>
      <c r="E23" s="42">
        <f t="shared" si="19"/>
        <v>850736.45952796738</v>
      </c>
      <c r="F23" s="42">
        <f t="shared" si="19"/>
        <v>1311704.2416544217</v>
      </c>
      <c r="G23" s="42">
        <f t="shared" si="19"/>
        <v>1373736.1419094999</v>
      </c>
      <c r="H23" s="42">
        <f t="shared" si="19"/>
        <v>781032.96705904952</v>
      </c>
      <c r="I23" s="42">
        <f t="shared" si="19"/>
        <v>357673.55645158532</v>
      </c>
      <c r="J23" s="42">
        <f t="shared" si="19"/>
        <v>56241.656099070067</v>
      </c>
      <c r="K23" s="42">
        <f t="shared" si="19"/>
        <v>55394.937277855053</v>
      </c>
      <c r="L23" s="42">
        <f t="shared" si="19"/>
        <v>56357.901916377799</v>
      </c>
      <c r="M23" s="42">
        <f t="shared" si="19"/>
        <v>282737.50982746133</v>
      </c>
      <c r="N23" s="42">
        <f t="shared" si="19"/>
        <v>509966.8499378502</v>
      </c>
      <c r="O23" s="42">
        <f t="shared" si="19"/>
        <v>510035.09975626465</v>
      </c>
      <c r="P23" s="42">
        <f t="shared" si="19"/>
        <v>510105.3970353519</v>
      </c>
      <c r="Q23" s="42">
        <f t="shared" si="19"/>
        <v>510177.8032390115</v>
      </c>
      <c r="R23" s="42">
        <f t="shared" si="19"/>
        <v>510405.54730677459</v>
      </c>
      <c r="S23" s="42">
        <f t="shared" si="19"/>
        <v>510566.37728083949</v>
      </c>
      <c r="T23" s="42">
        <f t="shared" si="19"/>
        <v>510732.03213422775</v>
      </c>
      <c r="U23" s="42">
        <f t="shared" si="19"/>
        <v>510902.65662859887</v>
      </c>
      <c r="V23" s="42">
        <f t="shared" si="19"/>
        <v>511078.39985762903</v>
      </c>
      <c r="W23" s="42">
        <f t="shared" si="19"/>
        <v>511259.41539887292</v>
      </c>
      <c r="X23" s="42">
        <f t="shared" si="19"/>
        <v>511445.86140300392</v>
      </c>
      <c r="Y23" s="42">
        <f t="shared" si="19"/>
        <v>511637.90078794776</v>
      </c>
      <c r="Z23" s="42">
        <f t="shared" si="19"/>
        <v>511835.70135004027</v>
      </c>
      <c r="AA23" s="42">
        <f t="shared" si="19"/>
        <v>512039.43589553889</v>
      </c>
      <c r="AB23" s="42">
        <f t="shared" ref="AB23:AF23" si="20">AB103</f>
        <v>512249.28249894507</v>
      </c>
      <c r="AC23" s="42">
        <f t="shared" si="20"/>
        <v>512465.42453118623</v>
      </c>
      <c r="AD23" s="42">
        <f t="shared" si="20"/>
        <v>512688.05081147834</v>
      </c>
      <c r="AE23" s="42">
        <f t="shared" si="20"/>
        <v>512917.35586565058</v>
      </c>
      <c r="AF23" s="42">
        <f t="shared" si="20"/>
        <v>513153.54008113901</v>
      </c>
      <c r="AG23" s="42">
        <f>SUM(C23:AF23)</f>
        <v>14841277.50352364</v>
      </c>
    </row>
    <row r="24" spans="1:34">
      <c r="A24" s="123" t="s">
        <v>209</v>
      </c>
      <c r="B24" s="123"/>
      <c r="C24" s="4">
        <f t="shared" ref="C24:W24" si="21">C21-C22-C23</f>
        <v>0</v>
      </c>
      <c r="D24" s="4">
        <f t="shared" si="21"/>
        <v>0</v>
      </c>
      <c r="E24" s="4">
        <f t="shared" si="21"/>
        <v>0</v>
      </c>
      <c r="F24" s="4">
        <f t="shared" si="21"/>
        <v>14486454.530951276</v>
      </c>
      <c r="G24" s="4">
        <f t="shared" si="21"/>
        <v>18402835.850172501</v>
      </c>
      <c r="H24" s="4">
        <f t="shared" si="21"/>
        <v>17720691.43030617</v>
      </c>
      <c r="I24" s="4">
        <f t="shared" si="21"/>
        <v>18175928.067199782</v>
      </c>
      <c r="J24" s="4">
        <f t="shared" si="21"/>
        <v>18637022.652991932</v>
      </c>
      <c r="K24" s="4">
        <f t="shared" si="21"/>
        <v>15845065.309113452</v>
      </c>
      <c r="L24" s="4">
        <f t="shared" si="21"/>
        <v>16269087.813313574</v>
      </c>
      <c r="M24" s="4">
        <f t="shared" si="21"/>
        <v>18479598.27220146</v>
      </c>
      <c r="N24" s="4">
        <f t="shared" si="21"/>
        <v>20677396.29352463</v>
      </c>
      <c r="O24" s="4">
        <f t="shared" si="21"/>
        <v>21081093.537416391</v>
      </c>
      <c r="P24" s="4">
        <f t="shared" si="21"/>
        <v>13728507.383570079</v>
      </c>
      <c r="Q24" s="4">
        <f t="shared" si="21"/>
        <v>14014684.517917382</v>
      </c>
      <c r="R24" s="4">
        <f t="shared" si="21"/>
        <v>14304255.976268083</v>
      </c>
      <c r="S24" s="4">
        <f t="shared" si="21"/>
        <v>14597001.038472656</v>
      </c>
      <c r="T24" s="4">
        <f t="shared" si="21"/>
        <v>14893440.147048768</v>
      </c>
      <c r="U24" s="4">
        <f t="shared" si="21"/>
        <v>12236890.814450527</v>
      </c>
      <c r="V24" s="4">
        <f t="shared" si="21"/>
        <v>12496516.689153386</v>
      </c>
      <c r="W24" s="4">
        <f t="shared" si="21"/>
        <v>12759322.35222476</v>
      </c>
      <c r="X24" s="4">
        <f>X21-X22-X23</f>
        <v>13025349.041136112</v>
      </c>
      <c r="Y24" s="4">
        <f>Y21-Y22-Y23</f>
        <v>13294640.425315583</v>
      </c>
      <c r="Z24" s="4">
        <f>Z21-Z22-Z23</f>
        <v>10750272.697658166</v>
      </c>
      <c r="AA24" s="4">
        <f>AA21-AA22-AA23</f>
        <v>10983965.610325567</v>
      </c>
      <c r="AB24" s="4">
        <f t="shared" ref="AB24:AF24" si="22">AB21-AB22-AB23</f>
        <v>11220417.967041498</v>
      </c>
      <c r="AC24" s="4">
        <f t="shared" si="22"/>
        <v>11459664.836724201</v>
      </c>
      <c r="AD24" s="4">
        <f t="shared" si="22"/>
        <v>11701740.661454825</v>
      </c>
      <c r="AE24" s="4">
        <f t="shared" si="22"/>
        <v>9265242.5361939594</v>
      </c>
      <c r="AF24" s="4">
        <f t="shared" si="22"/>
        <v>9472862.2866172083</v>
      </c>
      <c r="AG24" s="4">
        <f>AG21-AG22-AG23</f>
        <v>389979948.73876387</v>
      </c>
    </row>
    <row r="25" spans="1:34">
      <c r="A25" s="2" t="s">
        <v>210</v>
      </c>
      <c r="B25" s="252"/>
      <c r="C25" s="41">
        <f t="shared" ref="C25:AA25" si="23">+C17</f>
        <v>0</v>
      </c>
      <c r="D25" s="41">
        <f t="shared" si="23"/>
        <v>0</v>
      </c>
      <c r="E25" s="41">
        <f t="shared" si="23"/>
        <v>0</v>
      </c>
      <c r="F25" s="41">
        <f t="shared" si="23"/>
        <v>5344643.8985098768</v>
      </c>
      <c r="G25" s="41">
        <f t="shared" si="23"/>
        <v>8507481.9233043119</v>
      </c>
      <c r="H25" s="41">
        <f t="shared" si="23"/>
        <v>8507481.9233043119</v>
      </c>
      <c r="I25" s="41">
        <f t="shared" si="23"/>
        <v>8507481.9233043119</v>
      </c>
      <c r="J25" s="41">
        <f t="shared" si="23"/>
        <v>8507481.9233043119</v>
      </c>
      <c r="K25" s="41">
        <f t="shared" si="23"/>
        <v>8507481.9233043119</v>
      </c>
      <c r="L25" s="41">
        <f t="shared" si="23"/>
        <v>8507702.7566376459</v>
      </c>
      <c r="M25" s="41">
        <f t="shared" si="23"/>
        <v>6121884.8892565202</v>
      </c>
      <c r="N25" s="41">
        <f t="shared" si="23"/>
        <v>3736082.5612344802</v>
      </c>
      <c r="O25" s="41">
        <f t="shared" si="23"/>
        <v>3736562.3978587231</v>
      </c>
      <c r="P25" s="41">
        <f t="shared" si="23"/>
        <v>3737056.6296041775</v>
      </c>
      <c r="Q25" s="41">
        <f t="shared" si="23"/>
        <v>3737565.6882602382</v>
      </c>
      <c r="R25" s="41">
        <f t="shared" si="23"/>
        <v>3738380.9890269046</v>
      </c>
      <c r="S25" s="41">
        <f t="shared" si="23"/>
        <v>3739511.7192132683</v>
      </c>
      <c r="T25" s="41">
        <f t="shared" si="23"/>
        <v>3740676.3713269047</v>
      </c>
      <c r="U25" s="41">
        <f t="shared" si="23"/>
        <v>3741875.9629678139</v>
      </c>
      <c r="V25" s="41">
        <f t="shared" si="23"/>
        <v>3743111.5423314502</v>
      </c>
      <c r="W25" s="41">
        <f t="shared" si="23"/>
        <v>3744384.1890920564</v>
      </c>
      <c r="X25" s="41">
        <f t="shared" si="23"/>
        <v>3745695.0152859958</v>
      </c>
      <c r="Y25" s="41">
        <f t="shared" si="23"/>
        <v>3747045.1662753895</v>
      </c>
      <c r="Z25" s="41">
        <f t="shared" si="23"/>
        <v>3748435.8217920563</v>
      </c>
      <c r="AA25" s="41">
        <f t="shared" si="23"/>
        <v>3749868.1969011473</v>
      </c>
      <c r="AB25" s="41">
        <f t="shared" ref="AB25:AF25" si="24">+AB17</f>
        <v>3751343.5432056924</v>
      </c>
      <c r="AC25" s="41">
        <f t="shared" si="24"/>
        <v>3752863.1499708439</v>
      </c>
      <c r="AD25" s="41">
        <f t="shared" si="24"/>
        <v>3754428.3450072077</v>
      </c>
      <c r="AE25" s="41">
        <f t="shared" si="24"/>
        <v>3756040.4958753893</v>
      </c>
      <c r="AF25" s="41">
        <f t="shared" si="24"/>
        <v>3757701.0112511469</v>
      </c>
      <c r="AG25" s="41">
        <f>SUM(C25:AF25)</f>
        <v>133670269.95740651</v>
      </c>
    </row>
    <row r="26" spans="1:34">
      <c r="A26" s="2" t="s">
        <v>211</v>
      </c>
      <c r="B26" s="252"/>
      <c r="C26" s="41">
        <f>C23</f>
        <v>0</v>
      </c>
      <c r="D26" s="41">
        <f t="shared" ref="D26:AA26" si="25">D23</f>
        <v>0</v>
      </c>
      <c r="E26" s="41">
        <f t="shared" si="25"/>
        <v>850736.45952796738</v>
      </c>
      <c r="F26" s="41">
        <f t="shared" si="25"/>
        <v>1311704.2416544217</v>
      </c>
      <c r="G26" s="41">
        <f t="shared" si="25"/>
        <v>1373736.1419094999</v>
      </c>
      <c r="H26" s="41">
        <f t="shared" si="25"/>
        <v>781032.96705904952</v>
      </c>
      <c r="I26" s="41">
        <f t="shared" si="25"/>
        <v>357673.55645158532</v>
      </c>
      <c r="J26" s="41">
        <f t="shared" si="25"/>
        <v>56241.656099070067</v>
      </c>
      <c r="K26" s="41">
        <f t="shared" si="25"/>
        <v>55394.937277855053</v>
      </c>
      <c r="L26" s="41">
        <f t="shared" si="25"/>
        <v>56357.901916377799</v>
      </c>
      <c r="M26" s="41">
        <f t="shared" si="25"/>
        <v>282737.50982746133</v>
      </c>
      <c r="N26" s="41">
        <f t="shared" si="25"/>
        <v>509966.8499378502</v>
      </c>
      <c r="O26" s="41">
        <f t="shared" si="25"/>
        <v>510035.09975626465</v>
      </c>
      <c r="P26" s="41">
        <f t="shared" si="25"/>
        <v>510105.3970353519</v>
      </c>
      <c r="Q26" s="41">
        <f t="shared" si="25"/>
        <v>510177.8032390115</v>
      </c>
      <c r="R26" s="41">
        <f t="shared" si="25"/>
        <v>510405.54730677459</v>
      </c>
      <c r="S26" s="41">
        <f t="shared" si="25"/>
        <v>510566.37728083949</v>
      </c>
      <c r="T26" s="41">
        <f t="shared" si="25"/>
        <v>510732.03213422775</v>
      </c>
      <c r="U26" s="41">
        <f t="shared" si="25"/>
        <v>510902.65662859887</v>
      </c>
      <c r="V26" s="41">
        <f t="shared" si="25"/>
        <v>511078.39985762903</v>
      </c>
      <c r="W26" s="41">
        <f t="shared" si="25"/>
        <v>511259.41539887292</v>
      </c>
      <c r="X26" s="41">
        <f t="shared" si="25"/>
        <v>511445.86140300392</v>
      </c>
      <c r="Y26" s="41">
        <f t="shared" si="25"/>
        <v>511637.90078794776</v>
      </c>
      <c r="Z26" s="41">
        <f t="shared" si="25"/>
        <v>511835.70135004027</v>
      </c>
      <c r="AA26" s="41">
        <f t="shared" si="25"/>
        <v>512039.43589553889</v>
      </c>
      <c r="AB26" s="41">
        <f t="shared" ref="AB26:AF26" si="26">AB23</f>
        <v>512249.28249894507</v>
      </c>
      <c r="AC26" s="41">
        <f t="shared" si="26"/>
        <v>512465.42453118623</v>
      </c>
      <c r="AD26" s="41">
        <f t="shared" si="26"/>
        <v>512688.05081147834</v>
      </c>
      <c r="AE26" s="41">
        <f t="shared" si="26"/>
        <v>512917.35586565058</v>
      </c>
      <c r="AF26" s="41">
        <f t="shared" si="26"/>
        <v>513153.54008113901</v>
      </c>
      <c r="AG26" s="41">
        <f>SUM(C26:AF26)</f>
        <v>14841277.50352364</v>
      </c>
    </row>
    <row r="27" spans="1:34">
      <c r="A27" s="2" t="s">
        <v>212</v>
      </c>
      <c r="C27" s="41">
        <f>IF('Input Data'!$C$44=0,+C137,IF(Financials!C$4='Input Data'!$C$44,SUM(Financials!$C$137:C137,IF(C$4&gt;'Input Data'!$C$44,C137,0),0),0))</f>
        <v>0</v>
      </c>
      <c r="D27" s="41">
        <f>IF('Input Data'!$C$44=0,+D137,IF(Financials!D$4='Input Data'!$C$44,SUM(Financials!$C$137:D137,IF(D$4&gt;'Input Data'!$C$44,D137,0),0),0))</f>
        <v>0</v>
      </c>
      <c r="E27" s="41">
        <f>IF('Input Data'!$C$44=0,+E137,IF(Financials!E$4='Input Data'!$C$44,SUM(Financials!$C$137:E137,IF(E$4&gt;'Input Data'!$C$44,E137,0),0),0))</f>
        <v>0</v>
      </c>
      <c r="F27" s="41">
        <f>IF('Input Data'!$C$44=0,+F137,IF(Financials!F$4='Input Data'!$C$44,SUM(Financials!$C$137:F137,IF(F$4&gt;'Input Data'!$C$44,F137,0),0),0))</f>
        <v>0</v>
      </c>
      <c r="G27" s="41">
        <f>IF('Input Data'!$C$44=0,+G137,IF(Financials!G$4='Input Data'!$C$44,SUM(Financials!$C$137:G137,IF(G$4&gt;'Input Data'!$C$44,G137,0),0),0))</f>
        <v>0</v>
      </c>
      <c r="H27" s="41">
        <f>IF('Input Data'!$C$44=0,+H137,IF(Financials!H$4='Input Data'!$C$44,SUM(Financials!$C$137:H137,IF(H$4&gt;'Input Data'!$C$44,H137,0),0),0))</f>
        <v>0</v>
      </c>
      <c r="I27" s="41">
        <f>IF('Input Data'!$C$44=0,+I137,IF(Financials!I$4='Input Data'!$C$44,SUM(Financials!$C$137:I137,IF(I$4&gt;'Input Data'!$C$44,I137,0),0),0))</f>
        <v>0</v>
      </c>
      <c r="J27" s="41">
        <f>IF('Input Data'!$C$44=0,+J137,IF(Financials!J$4='Input Data'!$C$44,SUM(Financials!$C$137:J137,IF(J$4&gt;'Input Data'!$C$44,J137,0),0),0))</f>
        <v>0</v>
      </c>
      <c r="K27" s="41">
        <f>IF('Input Data'!$C$44=0,+K137,IF(Financials!K$4='Input Data'!$C$44,SUM(Financials!$C$137:K137,IF(K$4&gt;'Input Data'!$C$44,K137,0),0),0))</f>
        <v>0</v>
      </c>
      <c r="L27" s="41">
        <f>IF('Input Data'!$C$44=0,+L137,IF(Financials!L$4='Input Data'!$C$44,SUM(Financials!$C$137:L137,IF(L$4&gt;'Input Data'!$C$44,L137,0),0),0))</f>
        <v>0</v>
      </c>
      <c r="M27" s="41">
        <f>IF('Input Data'!$C$44=0,+M137,IF(Financials!M$4='Input Data'!$C$44,SUM(Financials!$C$137:M137,IF(M$4&gt;'Input Data'!$C$44,M137,0),0),0))</f>
        <v>0</v>
      </c>
      <c r="N27" s="41">
        <f>IF('Input Data'!$C$44=0,+N137,IF(Financials!N$4='Input Data'!$C$44,SUM(Financials!$C$137:N137,IF(N$4&gt;'Input Data'!$C$44,N137,0),0),0))</f>
        <v>0</v>
      </c>
      <c r="O27" s="41">
        <f>IF('Input Data'!$C$44=0,+O137,IF(Financials!O$4='Input Data'!$C$44,SUM(Financials!$C$137:O137,IF(O$4&gt;'Input Data'!$C$44,O137,0),0),0))</f>
        <v>0</v>
      </c>
      <c r="P27" s="41">
        <f>IF('Input Data'!$C$44=0,+P137,IF(Financials!P$4='Input Data'!$C$44,SUM(Financials!$C$137:P137,IF(P$4&gt;'Input Data'!$C$44,P137,0),0),0))</f>
        <v>0</v>
      </c>
      <c r="Q27" s="41">
        <f>IF('Input Data'!$C$44=0,+Q137,IF(Financials!Q$4='Input Data'!$C$44,SUM(Financials!$C$137:Q137,IF(Q$4&gt;'Input Data'!$C$44,Q137,0),0),0))</f>
        <v>0</v>
      </c>
      <c r="R27" s="41">
        <f>IF('Input Data'!$C$44=0,+R137,IF(Financials!R$4='Input Data'!$C$44,SUM(Financials!$C$137:R137,IF(R$4&gt;'Input Data'!$C$44,R137,0),0),0))</f>
        <v>0</v>
      </c>
      <c r="S27" s="41">
        <f>IF('Input Data'!$C$44=0,+S137,IF(Financials!S$4='Input Data'!$C$44,SUM(Financials!$C$137:S137,IF(S$4&gt;'Input Data'!$C$44,S137,0),0),0))</f>
        <v>0</v>
      </c>
      <c r="T27" s="41">
        <f>IF('Input Data'!$C$44=0,+T137,IF(Financials!T$4='Input Data'!$C$44,SUM(Financials!$C$137:T137,IF(T$4&gt;'Input Data'!$C$44,T137,0),0),0))</f>
        <v>0</v>
      </c>
      <c r="U27" s="41">
        <f>IF('Input Data'!$C$44=0,+U137,IF(Financials!U$4='Input Data'!$C$44,SUM(Financials!$C$137:U137,IF(U$4&gt;'Input Data'!$C$44,U137,0),0),0))</f>
        <v>0</v>
      </c>
      <c r="V27" s="41">
        <f>IF('Input Data'!$C$44=0,+V137,IF(Financials!V$4='Input Data'!$C$44,SUM(Financials!$C$137:V137,IF(V$4&gt;'Input Data'!$C$44,V137,0),0),0))</f>
        <v>0</v>
      </c>
      <c r="W27" s="41">
        <f>IF('Input Data'!$C$44=0,+W137,IF(Financials!W$4='Input Data'!$C$44,SUM(Financials!$C$137:W137,IF(W$4&gt;'Input Data'!$C$44,W137,0),0),0))</f>
        <v>0</v>
      </c>
      <c r="X27" s="41">
        <f>IF('Input Data'!$C$44=0,+X137,IF(Financials!X$4='Input Data'!$C$44,SUM(Financials!$C$137:X137,IF(X$4&gt;'Input Data'!$C$44,X137,0),0),0))</f>
        <v>0</v>
      </c>
      <c r="Y27" s="41">
        <f>IF('Input Data'!$C$44=0,+Y137,IF(Financials!Y$4='Input Data'!$C$44,SUM(Financials!$C$137:Y137,IF(Y$4&gt;'Input Data'!$C$44,Y137,0),0),0))</f>
        <v>0</v>
      </c>
      <c r="Z27" s="41">
        <f>IF('Input Data'!$C$44=0,+Z137,IF(Financials!Z$4='Input Data'!$C$44,SUM(Financials!$C$137:Z137,IF(Z$4&gt;'Input Data'!$C$44,Z137,0),0),0))</f>
        <v>0</v>
      </c>
      <c r="AA27" s="41">
        <f>IF('Input Data'!$C$44=0,+AA137,IF(Financials!AA$4='Input Data'!$C$44,SUM(Financials!$C$137:AA137,IF(AA$4&gt;'Input Data'!$C$44,AA137,0),0),0))</f>
        <v>0</v>
      </c>
      <c r="AB27" s="41">
        <f>IF('Input Data'!$C$44=0,+AB137,IF(Financials!AB$4='Input Data'!$C$44,SUM(Financials!$C$137:AB137,IF(AB$4&gt;'Input Data'!$C$44,AB137,0),0),0))</f>
        <v>0</v>
      </c>
      <c r="AC27" s="41">
        <f>IF('Input Data'!$C$44=0,+AC137,IF(Financials!AC$4='Input Data'!$C$44,SUM(Financials!$C$137:AC137,IF(AC$4&gt;'Input Data'!$C$44,AC137,0),0),0))</f>
        <v>0</v>
      </c>
      <c r="AD27" s="41">
        <f>IF('Input Data'!$C$44=0,+AD137,IF(Financials!AD$4='Input Data'!$C$44,SUM(Financials!$C$137:AD137,IF(AD$4&gt;'Input Data'!$C$44,AD137,0),0),0))</f>
        <v>0</v>
      </c>
      <c r="AE27" s="41">
        <f>IF('Input Data'!$C$44=0,+AE137,IF(Financials!AE$4='Input Data'!$C$44,SUM(Financials!$C$137:AE137,IF(AE$4&gt;'Input Data'!$C$44,AE137,0),0),0))</f>
        <v>0</v>
      </c>
      <c r="AF27" s="41">
        <f>IF('Input Data'!$C$44=0,+AF137,IF(Financials!AF$4='Input Data'!$C$44,SUM(Financials!$C$137:AF137,IF(AF$4&gt;'Input Data'!$C$44,AF137,0),0),0))</f>
        <v>0</v>
      </c>
      <c r="AG27" s="41">
        <f>SUM(C27:AF27)</f>
        <v>0</v>
      </c>
    </row>
    <row r="28" spans="1:34">
      <c r="A28" s="278" t="s">
        <v>213</v>
      </c>
      <c r="B28" s="278"/>
      <c r="C28" s="111">
        <f>-SUMIF(Capex!$G$4:$AJ$4,C$4,Capex!$G$16:$AJ$16)</f>
        <v>-29434655.77937609</v>
      </c>
      <c r="D28" s="111">
        <f>-SUMIF(Capex!$G$4:$AJ$4,D$4,Capex!$G$16:$AJ$16)</f>
        <v>-71156811.262626916</v>
      </c>
      <c r="E28" s="111">
        <f>-SUMIF(Capex!$G$4:$AJ$4,E$4,Capex!$G$16:$AJ$16)</f>
        <v>-110534012.82770979</v>
      </c>
      <c r="F28" s="111">
        <f>-SUMIF(Capex!$G$4:$AJ$4,F$4,Capex!$G$16:$AJ$16)</f>
        <v>-43874520.130287185</v>
      </c>
      <c r="G28" s="111">
        <f>-SUMIF(Capex!$G$4:$AJ$4,G$4,Capex!$G$16:$AJ$16)</f>
        <v>0</v>
      </c>
      <c r="H28" s="111">
        <f>-SUMIF(Capex!$G$4:$AJ$4,H$4,Capex!$G$16:$AJ$16)</f>
        <v>0</v>
      </c>
      <c r="I28" s="111">
        <f>-SUMIF(Capex!$G$4:$AJ$4,I$4,Capex!$G$16:$AJ$16)</f>
        <v>0</v>
      </c>
      <c r="J28" s="111">
        <f>-SUMIF(Capex!$G$4:$AJ$4,J$4,Capex!$G$16:$AJ$16)</f>
        <v>0</v>
      </c>
      <c r="K28" s="111">
        <f>-SUMIF(Capex!$G$4:$AJ$4,K$4,Capex!$G$16:$AJ$16)</f>
        <v>0</v>
      </c>
      <c r="L28" s="111">
        <f>-SUMIF(Capex!$G$4:$AJ$4,L$4,Capex!$G$16:$AJ$16)</f>
        <v>-26500</v>
      </c>
      <c r="M28" s="111">
        <f>-SUMIF(Capex!$G$4:$AJ$4,M$4,Capex!$G$16:$AJ$16)</f>
        <v>-27295</v>
      </c>
      <c r="N28" s="111">
        <f>-SUMIF(Capex!$G$4:$AJ$4,N$4,Capex!$G$16:$AJ$16)</f>
        <v>-28364.72309090909</v>
      </c>
      <c r="O28" s="111">
        <f>-SUMIF(Capex!$G$4:$AJ$4,O$4,Capex!$G$16:$AJ$16)</f>
        <v>-29215.671818181818</v>
      </c>
      <c r="P28" s="111">
        <f>-SUMIF(Capex!$G$4:$AJ$4,P$4,Capex!$G$16:$AJ$16)</f>
        <v>-30092.137636363637</v>
      </c>
      <c r="Q28" s="111">
        <f>-SUMIF(Capex!$G$4:$AJ$4,Q$4,Capex!$G$16:$AJ$16)</f>
        <v>-30994.90109090909</v>
      </c>
      <c r="R28" s="111">
        <f>-SUMIF(Capex!$G$4:$AJ$4,R$4,Capex!$G$16:$AJ$16)</f>
        <v>-66841.190909090918</v>
      </c>
      <c r="S28" s="111">
        <f>-SUMIF(Capex!$G$4:$AJ$4,S$4,Capex!$G$16:$AJ$16)</f>
        <v>-68846.431454545454</v>
      </c>
      <c r="T28" s="111">
        <f>-SUMIF(Capex!$G$4:$AJ$4,T$4,Capex!$G$16:$AJ$16)</f>
        <v>-70911.822181818177</v>
      </c>
      <c r="U28" s="111">
        <f>-SUMIF(Capex!$G$4:$AJ$4,U$4,Capex!$G$16:$AJ$16)</f>
        <v>-73039.174727272723</v>
      </c>
      <c r="V28" s="111">
        <f>-SUMIF(Capex!$G$4:$AJ$4,V$4,Capex!$G$16:$AJ$16)</f>
        <v>-75230.348909090899</v>
      </c>
      <c r="W28" s="111">
        <f>-SUMIF(Capex!$G$4:$AJ$4,W$4,Capex!$G$16:$AJ$16)</f>
        <v>-77487.262363636371</v>
      </c>
      <c r="X28" s="111">
        <f>-SUMIF(Capex!$G$4:$AJ$4,X$4,Capex!$G$16:$AJ$16)</f>
        <v>-79811.880909090905</v>
      </c>
      <c r="Y28" s="111">
        <f>-SUMIF(Capex!$G$4:$AJ$4,Y$4,Capex!$G$16:$AJ$16)</f>
        <v>-82206.23781818182</v>
      </c>
      <c r="Z28" s="111">
        <f>-SUMIF(Capex!$G$4:$AJ$4,Z$4,Capex!$G$16:$AJ$16)</f>
        <v>-84672.424181818176</v>
      </c>
      <c r="AA28" s="111">
        <f>-SUMIF(Capex!$G$4:$AJ$4,AA$4,Capex!$G$16:$AJ$16)</f>
        <v>-87212.588909090904</v>
      </c>
      <c r="AB28" s="111">
        <f>-SUMIF(Capex!$G$4:$AJ$4,AB$4,Capex!$G$16:$AJ$16)</f>
        <v>-89828.967636363639</v>
      </c>
      <c r="AC28" s="111">
        <f>-SUMIF(Capex!$G$4:$AJ$4,AC$4,Capex!$G$16:$AJ$16)</f>
        <v>-92523.844181818175</v>
      </c>
      <c r="AD28" s="111">
        <f>-SUMIF(Capex!$G$4:$AJ$4,AD$4,Capex!$G$16:$AJ$16)</f>
        <v>-95299.560181818175</v>
      </c>
      <c r="AE28" s="111">
        <f>-SUMIF(Capex!$G$4:$AJ$4,AE$4,Capex!$G$16:$AJ$16)</f>
        <v>-98158.543999999994</v>
      </c>
      <c r="AF28" s="111">
        <f>-SUMIF(Capex!$G$4:$AJ$4,AF$4,Capex!$G$16:$AJ$16)</f>
        <v>-101103.3010909091</v>
      </c>
      <c r="AG28" s="42">
        <f>SUM(C28:AF28)</f>
        <v>-256415636.01309088</v>
      </c>
    </row>
    <row r="29" spans="1:34">
      <c r="A29" s="112" t="s">
        <v>214</v>
      </c>
      <c r="B29" s="105"/>
      <c r="C29" s="4">
        <f t="shared" ref="C29:AG29" si="27">SUM(C24:C28)</f>
        <v>-29434655.77937609</v>
      </c>
      <c r="D29" s="4">
        <f t="shared" si="27"/>
        <v>-71156811.262626916</v>
      </c>
      <c r="E29" s="4">
        <f t="shared" si="27"/>
        <v>-109683276.36818182</v>
      </c>
      <c r="F29" s="4">
        <f t="shared" si="27"/>
        <v>-22731717.459171612</v>
      </c>
      <c r="G29" s="4">
        <f t="shared" si="27"/>
        <v>28284053.915386312</v>
      </c>
      <c r="H29" s="4">
        <f t="shared" si="27"/>
        <v>27009206.320669532</v>
      </c>
      <c r="I29" s="4">
        <f t="shared" si="27"/>
        <v>27041083.546955679</v>
      </c>
      <c r="J29" s="4">
        <f t="shared" si="27"/>
        <v>27200746.232395314</v>
      </c>
      <c r="K29" s="4">
        <f t="shared" si="27"/>
        <v>24407942.169695616</v>
      </c>
      <c r="L29" s="4">
        <f t="shared" si="27"/>
        <v>24806648.471867599</v>
      </c>
      <c r="M29" s="4">
        <f t="shared" si="27"/>
        <v>24856925.671285439</v>
      </c>
      <c r="N29" s="4">
        <f t="shared" si="27"/>
        <v>24895080.981606051</v>
      </c>
      <c r="O29" s="4">
        <f t="shared" si="27"/>
        <v>25298475.363213196</v>
      </c>
      <c r="P29" s="4">
        <f t="shared" si="27"/>
        <v>17945577.272573248</v>
      </c>
      <c r="Q29" s="4">
        <f t="shared" si="27"/>
        <v>18231433.10832572</v>
      </c>
      <c r="R29" s="4">
        <f t="shared" si="27"/>
        <v>18486201.321692672</v>
      </c>
      <c r="S29" s="4">
        <f t="shared" si="27"/>
        <v>18778232.703512218</v>
      </c>
      <c r="T29" s="4">
        <f t="shared" si="27"/>
        <v>19073936.728328083</v>
      </c>
      <c r="U29" s="4">
        <f t="shared" si="27"/>
        <v>16416630.259319669</v>
      </c>
      <c r="V29" s="4">
        <f t="shared" si="27"/>
        <v>16675476.282433374</v>
      </c>
      <c r="W29" s="4">
        <f t="shared" si="27"/>
        <v>16937478.694352053</v>
      </c>
      <c r="X29" s="4">
        <f t="shared" si="27"/>
        <v>17202678.036916018</v>
      </c>
      <c r="Y29" s="4">
        <f t="shared" si="27"/>
        <v>17471117.254560739</v>
      </c>
      <c r="Z29" s="4">
        <f t="shared" si="27"/>
        <v>14925871.796618445</v>
      </c>
      <c r="AA29" s="4">
        <f t="shared" si="27"/>
        <v>15158660.654213162</v>
      </c>
      <c r="AB29" s="4">
        <f t="shared" ref="AB29:AF29" si="28">SUM(AB24:AB28)</f>
        <v>15394181.825109771</v>
      </c>
      <c r="AC29" s="4">
        <f t="shared" si="28"/>
        <v>15632469.567044413</v>
      </c>
      <c r="AD29" s="4">
        <f t="shared" si="28"/>
        <v>15873557.497091692</v>
      </c>
      <c r="AE29" s="4">
        <f t="shared" si="28"/>
        <v>13436041.843934998</v>
      </c>
      <c r="AF29" s="4">
        <f t="shared" si="28"/>
        <v>13642613.536858587</v>
      </c>
      <c r="AG29" s="4">
        <f t="shared" si="27"/>
        <v>282075860.18660319</v>
      </c>
    </row>
    <row r="30" spans="1:34">
      <c r="A30" s="59" t="s">
        <v>215</v>
      </c>
      <c r="B30" s="66"/>
      <c r="C30" s="4">
        <f>SUM($C$29:C29)</f>
        <v>-29434655.77937609</v>
      </c>
      <c r="D30" s="4">
        <f>SUM($C$29:D29)</f>
        <v>-100591467.04200301</v>
      </c>
      <c r="E30" s="4">
        <f>SUM($C$29:E29)</f>
        <v>-210274743.41018483</v>
      </c>
      <c r="F30" s="4">
        <f>SUM($C$29:F29)</f>
        <v>-233006460.86935645</v>
      </c>
      <c r="G30" s="4">
        <f>SUM($C$29:G29)</f>
        <v>-204722406.95397013</v>
      </c>
      <c r="H30" s="4">
        <f>SUM($C$29:H29)</f>
        <v>-177713200.6333006</v>
      </c>
      <c r="I30" s="4">
        <f>SUM($C$29:I29)</f>
        <v>-150672117.08634493</v>
      </c>
      <c r="J30" s="4">
        <f>SUM($C$29:J29)</f>
        <v>-123471370.85394961</v>
      </c>
      <c r="K30" s="4">
        <f>SUM($C$29:K29)</f>
        <v>-99063428.684253991</v>
      </c>
      <c r="L30" s="4">
        <f>SUM($C$29:L29)</f>
        <v>-74256780.2123864</v>
      </c>
      <c r="M30" s="4">
        <f>SUM($C$29:M29)</f>
        <v>-49399854.541100964</v>
      </c>
      <c r="N30" s="4">
        <f>SUM($C$29:N29)</f>
        <v>-24504773.559494913</v>
      </c>
      <c r="O30" s="4">
        <f>SUM($C$29:O29)</f>
        <v>793701.80371828377</v>
      </c>
      <c r="P30" s="4">
        <f>SUM($C$29:P29)</f>
        <v>18739279.076291531</v>
      </c>
      <c r="Q30" s="4">
        <f>SUM($C$29:Q29)</f>
        <v>36970712.184617251</v>
      </c>
      <c r="R30" s="4">
        <f>SUM($C$29:R29)</f>
        <v>55456913.506309927</v>
      </c>
      <c r="S30" s="4">
        <f>SUM($C$29:S29)</f>
        <v>74235146.209822148</v>
      </c>
      <c r="T30" s="4">
        <f>SUM($C$29:T29)</f>
        <v>93309082.938150227</v>
      </c>
      <c r="U30" s="4">
        <f>SUM($C$29:U29)</f>
        <v>109725713.19746989</v>
      </c>
      <c r="V30" s="4">
        <f>SUM($C$29:V29)</f>
        <v>126401189.47990327</v>
      </c>
      <c r="W30" s="4">
        <f>SUM($C$29:W29)</f>
        <v>143338668.17425531</v>
      </c>
      <c r="X30" s="4">
        <f>SUM($C$29:X29)</f>
        <v>160541346.21117133</v>
      </c>
      <c r="Y30" s="4">
        <f>SUM($C$29:Y29)</f>
        <v>178012463.46573207</v>
      </c>
      <c r="Z30" s="4">
        <f>SUM($C$29:Z29)</f>
        <v>192938335.2623505</v>
      </c>
      <c r="AA30" s="4">
        <f>SUM($C$29:AA29)</f>
        <v>208096995.91656366</v>
      </c>
      <c r="AB30" s="4">
        <f>SUM($C$29:AB29)</f>
        <v>223491177.74167344</v>
      </c>
      <c r="AC30" s="4">
        <f>SUM($C$29:AC29)</f>
        <v>239123647.30871785</v>
      </c>
      <c r="AD30" s="4">
        <f>SUM($C$29:AD29)</f>
        <v>254997204.80580953</v>
      </c>
      <c r="AE30" s="4">
        <f>SUM($C$29:AE29)</f>
        <v>268433246.64974451</v>
      </c>
      <c r="AF30" s="4">
        <f>SUM($C$29:AF29)</f>
        <v>282075860.18660307</v>
      </c>
      <c r="AG30" s="4"/>
    </row>
    <row r="31" spans="1:34">
      <c r="A31" s="279" t="s">
        <v>216</v>
      </c>
      <c r="B31" s="61"/>
      <c r="C31" s="502">
        <f>IF(INDEX(C3:AG3,,MATCH(0,C30:AG30,1)+1)=0,"N/A",INDEX(C3:AG3,,MATCH(0,C30:AG30,1)+1))</f>
        <v>13</v>
      </c>
    </row>
    <row r="32" spans="1:34">
      <c r="A32" s="279" t="s">
        <v>217</v>
      </c>
      <c r="B32" s="279"/>
      <c r="C32" s="85">
        <f>NPV(C$74,C29:AF29)</f>
        <v>292268.79735103494</v>
      </c>
      <c r="D32" s="113"/>
      <c r="E32" s="114"/>
      <c r="F32" s="114"/>
      <c r="G32" s="4"/>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row>
    <row r="33" spans="1:33">
      <c r="A33" s="279" t="s">
        <v>218</v>
      </c>
      <c r="B33" s="279"/>
      <c r="C33" s="392">
        <f>IFERROR(IRR($C29:$AF$29,0.1)*(1-'Input Data'!$C$76)+MIRR($C29:$AF$29,$C$74,$C$74)*'Input Data'!$C$76,"N/A")</f>
        <v>7.1329869448496286E-2</v>
      </c>
      <c r="E33" s="62"/>
      <c r="F33" s="63"/>
      <c r="G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row>
    <row r="34" spans="1:33">
      <c r="A34" s="279"/>
      <c r="B34" s="66"/>
      <c r="C34" s="392"/>
      <c r="D34" s="62"/>
      <c r="E34" s="62"/>
      <c r="F34" s="63"/>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row>
    <row r="35" spans="1:33">
      <c r="A35" s="59" t="s">
        <v>219</v>
      </c>
      <c r="B35" s="59"/>
      <c r="C35" s="41">
        <f>IF(C4='Input Data'!$C$15+'Input Data'!$C$19,C119-C133,0)</f>
        <v>0</v>
      </c>
      <c r="D35" s="41">
        <f>IF(D4='Input Data'!$C$15+'Input Data'!$C$19,D119-D133,0)</f>
        <v>0</v>
      </c>
      <c r="E35" s="41">
        <f>IF(E4='Input Data'!$C$15+'Input Data'!$C$19,E119-E133,0)</f>
        <v>0</v>
      </c>
      <c r="F35" s="41">
        <f>IF(F4='Input Data'!$C$15+'Input Data'!$C$19,F119-F133,0)</f>
        <v>0</v>
      </c>
      <c r="G35" s="41">
        <f>IF(G4='Input Data'!$C$15+'Input Data'!$C$19,G119-G133,0)</f>
        <v>0</v>
      </c>
      <c r="H35" s="41">
        <f>IF(H4='Input Data'!$C$15+'Input Data'!$C$19,H119-H133,0)</f>
        <v>0</v>
      </c>
      <c r="I35" s="41">
        <f>IF(I4='Input Data'!$C$15+'Input Data'!$C$19,I119-I133,0)</f>
        <v>0</v>
      </c>
      <c r="J35" s="41">
        <f>IF(J4='Input Data'!$C$15+'Input Data'!$C$19,J119-J133,0)</f>
        <v>0</v>
      </c>
      <c r="K35" s="41">
        <f>IF(K4='Input Data'!$C$15+'Input Data'!$C$19,K119-K133,0)</f>
        <v>0</v>
      </c>
      <c r="L35" s="41">
        <f>IF(L4='Input Data'!$C$15+'Input Data'!$C$19,L119-L133,0)</f>
        <v>0</v>
      </c>
      <c r="M35" s="41">
        <f>IF(M4='Input Data'!$C$15+'Input Data'!$C$19,M119-M133,0)</f>
        <v>0</v>
      </c>
      <c r="N35" s="41">
        <f>IF(N4='Input Data'!$C$15+'Input Data'!$C$19,N119-N133,0)</f>
        <v>0</v>
      </c>
      <c r="O35" s="41">
        <f>IF(O4='Input Data'!$C$15+'Input Data'!$C$19,O119-O133,0)</f>
        <v>0</v>
      </c>
      <c r="P35" s="41">
        <f>IF(P4='Input Data'!$C$15+'Input Data'!$C$19,P119-P133,0)</f>
        <v>0</v>
      </c>
      <c r="Q35" s="41">
        <f>IF(Q4='Input Data'!$C$15+'Input Data'!$C$19,Q119-Q133,0)</f>
        <v>0</v>
      </c>
      <c r="R35" s="41">
        <f>IF(R4='Input Data'!$C$15+'Input Data'!$C$19,R119-R133,0)</f>
        <v>0</v>
      </c>
      <c r="S35" s="41">
        <f>IF(S4='Input Data'!$C$15+'Input Data'!$C$19,S119-S133,0)</f>
        <v>0</v>
      </c>
      <c r="T35" s="41">
        <f>IF(T4='Input Data'!$C$15+'Input Data'!$C$19,T119-T133,0)</f>
        <v>0</v>
      </c>
      <c r="U35" s="41">
        <f>IF(U4='Input Data'!$C$15+'Input Data'!$C$19,U119-U133,0)</f>
        <v>0</v>
      </c>
      <c r="V35" s="41">
        <f>IF(V4='Input Data'!$C$15+'Input Data'!$C$19,V119-V133,0)</f>
        <v>0</v>
      </c>
      <c r="W35" s="41">
        <f>IF(W4='Input Data'!$C$15+'Input Data'!$C$19,W119-W133,0)</f>
        <v>0</v>
      </c>
      <c r="X35" s="41">
        <f>IF(X4='Input Data'!$C$15+'Input Data'!$C$19,X119-X133,0)</f>
        <v>0</v>
      </c>
      <c r="Y35" s="41">
        <f>IF(Y4='Input Data'!$C$15+'Input Data'!$C$19,Y119-Y133,0)</f>
        <v>0</v>
      </c>
      <c r="Z35" s="41">
        <f>IF(Z4='Input Data'!$C$15+'Input Data'!$C$19,Z119-Z133,0)</f>
        <v>0</v>
      </c>
      <c r="AA35" s="41">
        <f>IF(AA4='Input Data'!$C$15+'Input Data'!$C$19,AA119-AA133,0)</f>
        <v>0</v>
      </c>
      <c r="AB35" s="41">
        <f>IF(AB4='Input Data'!$C$15+'Input Data'!$C$19,AB119-AB133,0)</f>
        <v>0</v>
      </c>
      <c r="AC35" s="41">
        <f>IF(AC4='Input Data'!$C$15+'Input Data'!$C$19,AC119-AC133,0)</f>
        <v>0</v>
      </c>
      <c r="AD35" s="41">
        <f>IF(AD4='Input Data'!$C$15+'Input Data'!$C$19,AD119-AD133,0)</f>
        <v>0</v>
      </c>
      <c r="AE35" s="41">
        <f>IF(AE4='Input Data'!$C$15+'Input Data'!$C$19,AE119-AE133,0)</f>
        <v>0</v>
      </c>
      <c r="AF35" s="580">
        <f>IF(AF4='Input Data'!$C$15+'Input Data'!$C$19,AF119-AF133,0)*0+Capex!AK16-Capex!AK14</f>
        <v>255000000</v>
      </c>
      <c r="AG35" s="41">
        <f>SUM(C35:AF35)</f>
        <v>255000000</v>
      </c>
    </row>
    <row r="36" spans="1:33">
      <c r="A36" s="112" t="s">
        <v>220</v>
      </c>
      <c r="B36" s="105"/>
      <c r="C36" s="4">
        <f>C29+C35</f>
        <v>-29434655.77937609</v>
      </c>
      <c r="D36" s="4">
        <f t="shared" ref="D36:AG36" si="29">D29+D35</f>
        <v>-71156811.262626916</v>
      </c>
      <c r="E36" s="4">
        <f t="shared" si="29"/>
        <v>-109683276.36818182</v>
      </c>
      <c r="F36" s="4">
        <f t="shared" si="29"/>
        <v>-22731717.459171612</v>
      </c>
      <c r="G36" s="4">
        <f t="shared" si="29"/>
        <v>28284053.915386312</v>
      </c>
      <c r="H36" s="4">
        <f t="shared" si="29"/>
        <v>27009206.320669532</v>
      </c>
      <c r="I36" s="4">
        <f t="shared" si="29"/>
        <v>27041083.546955679</v>
      </c>
      <c r="J36" s="4">
        <f t="shared" si="29"/>
        <v>27200746.232395314</v>
      </c>
      <c r="K36" s="4">
        <f t="shared" si="29"/>
        <v>24407942.169695616</v>
      </c>
      <c r="L36" s="4">
        <f t="shared" si="29"/>
        <v>24806648.471867599</v>
      </c>
      <c r="M36" s="4">
        <f t="shared" si="29"/>
        <v>24856925.671285439</v>
      </c>
      <c r="N36" s="4">
        <f t="shared" si="29"/>
        <v>24895080.981606051</v>
      </c>
      <c r="O36" s="4">
        <f t="shared" si="29"/>
        <v>25298475.363213196</v>
      </c>
      <c r="P36" s="4">
        <f t="shared" si="29"/>
        <v>17945577.272573248</v>
      </c>
      <c r="Q36" s="4">
        <f t="shared" si="29"/>
        <v>18231433.10832572</v>
      </c>
      <c r="R36" s="4">
        <f t="shared" si="29"/>
        <v>18486201.321692672</v>
      </c>
      <c r="S36" s="4">
        <f t="shared" si="29"/>
        <v>18778232.703512218</v>
      </c>
      <c r="T36" s="4">
        <f t="shared" si="29"/>
        <v>19073936.728328083</v>
      </c>
      <c r="U36" s="4">
        <f t="shared" si="29"/>
        <v>16416630.259319669</v>
      </c>
      <c r="V36" s="4">
        <f t="shared" si="29"/>
        <v>16675476.282433374</v>
      </c>
      <c r="W36" s="4">
        <f t="shared" si="29"/>
        <v>16937478.694352053</v>
      </c>
      <c r="X36" s="4">
        <f t="shared" si="29"/>
        <v>17202678.036916018</v>
      </c>
      <c r="Y36" s="4">
        <f t="shared" si="29"/>
        <v>17471117.254560739</v>
      </c>
      <c r="Z36" s="4">
        <f t="shared" si="29"/>
        <v>14925871.796618445</v>
      </c>
      <c r="AA36" s="4">
        <f t="shared" si="29"/>
        <v>15158660.654213162</v>
      </c>
      <c r="AB36" s="4">
        <f t="shared" ref="AB36:AF36" si="30">AB29+AB35</f>
        <v>15394181.825109771</v>
      </c>
      <c r="AC36" s="4">
        <f t="shared" si="30"/>
        <v>15632469.567044413</v>
      </c>
      <c r="AD36" s="4">
        <f t="shared" si="30"/>
        <v>15873557.497091692</v>
      </c>
      <c r="AE36" s="4">
        <f t="shared" si="30"/>
        <v>13436041.843934998</v>
      </c>
      <c r="AF36" s="4">
        <f t="shared" si="30"/>
        <v>268642613.53685856</v>
      </c>
      <c r="AG36" s="4">
        <f t="shared" si="29"/>
        <v>537075860.18660319</v>
      </c>
    </row>
    <row r="37" spans="1:33">
      <c r="A37" s="59" t="s">
        <v>215</v>
      </c>
      <c r="B37" s="66"/>
      <c r="C37" s="4">
        <f>SUM($C$36:C36)</f>
        <v>-29434655.77937609</v>
      </c>
      <c r="D37" s="41">
        <f t="shared" ref="D37:W37" si="31">D36+C37</f>
        <v>-100591467.04200301</v>
      </c>
      <c r="E37" s="41">
        <f t="shared" si="31"/>
        <v>-210274743.41018483</v>
      </c>
      <c r="F37" s="41">
        <f t="shared" si="31"/>
        <v>-233006460.86935645</v>
      </c>
      <c r="G37" s="41">
        <f t="shared" si="31"/>
        <v>-204722406.95397013</v>
      </c>
      <c r="H37" s="41">
        <f t="shared" si="31"/>
        <v>-177713200.6333006</v>
      </c>
      <c r="I37" s="41">
        <f t="shared" si="31"/>
        <v>-150672117.08634493</v>
      </c>
      <c r="J37" s="41">
        <f t="shared" si="31"/>
        <v>-123471370.85394961</v>
      </c>
      <c r="K37" s="41">
        <f t="shared" si="31"/>
        <v>-99063428.684253991</v>
      </c>
      <c r="L37" s="41">
        <f t="shared" si="31"/>
        <v>-74256780.2123864</v>
      </c>
      <c r="M37" s="41">
        <f t="shared" si="31"/>
        <v>-49399854.541100964</v>
      </c>
      <c r="N37" s="41">
        <f t="shared" si="31"/>
        <v>-24504773.559494913</v>
      </c>
      <c r="O37" s="41">
        <f t="shared" si="31"/>
        <v>793701.80371828377</v>
      </c>
      <c r="P37" s="41">
        <f t="shared" si="31"/>
        <v>18739279.076291531</v>
      </c>
      <c r="Q37" s="41">
        <f t="shared" si="31"/>
        <v>36970712.184617251</v>
      </c>
      <c r="R37" s="41">
        <f t="shared" si="31"/>
        <v>55456913.506309927</v>
      </c>
      <c r="S37" s="41">
        <f t="shared" si="31"/>
        <v>74235146.209822148</v>
      </c>
      <c r="T37" s="41">
        <f t="shared" si="31"/>
        <v>93309082.938150227</v>
      </c>
      <c r="U37" s="41">
        <f t="shared" si="31"/>
        <v>109725713.19746989</v>
      </c>
      <c r="V37" s="41">
        <f t="shared" si="31"/>
        <v>126401189.47990327</v>
      </c>
      <c r="W37" s="41">
        <f t="shared" si="31"/>
        <v>143338668.17425531</v>
      </c>
      <c r="X37" s="41">
        <f>X36+W37</f>
        <v>160541346.21117133</v>
      </c>
      <c r="Y37" s="41">
        <f>Y36+X37</f>
        <v>178012463.46573207</v>
      </c>
      <c r="Z37" s="41">
        <f>Z36+Y37</f>
        <v>192938335.2623505</v>
      </c>
      <c r="AA37" s="41">
        <f>AA36+Z37</f>
        <v>208096995.91656366</v>
      </c>
      <c r="AB37" s="41">
        <f t="shared" ref="AB37:AF37" si="32">AB36+AA37</f>
        <v>223491177.74167344</v>
      </c>
      <c r="AC37" s="41">
        <f t="shared" si="32"/>
        <v>239123647.30871785</v>
      </c>
      <c r="AD37" s="41">
        <f t="shared" si="32"/>
        <v>254997204.80580953</v>
      </c>
      <c r="AE37" s="41">
        <f t="shared" si="32"/>
        <v>268433246.64974451</v>
      </c>
      <c r="AF37" s="41">
        <f t="shared" si="32"/>
        <v>537075860.18660307</v>
      </c>
      <c r="AG37" s="41"/>
    </row>
    <row r="38" spans="1:33">
      <c r="A38" s="279" t="s">
        <v>216</v>
      </c>
      <c r="B38" s="279"/>
      <c r="C38" s="502">
        <f>IF(INDEX(C3:AG3,,MATCH(0,C37:AG37,1)+1)=0,"N/A",INDEX(C3:AG3,,MATCH(0,C37:AG37,1)+1))</f>
        <v>13</v>
      </c>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row>
    <row r="39" spans="1:33">
      <c r="A39" s="279" t="s">
        <v>221</v>
      </c>
      <c r="B39" s="279"/>
      <c r="C39" s="85">
        <f>NPV(C$74,C36:AF36)</f>
        <v>32711412.663458884</v>
      </c>
      <c r="D39" s="113"/>
      <c r="E39" s="114"/>
      <c r="F39" s="114"/>
      <c r="G39" s="4"/>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row>
    <row r="40" spans="1:33">
      <c r="A40" s="279" t="s">
        <v>222</v>
      </c>
      <c r="B40" s="279"/>
      <c r="C40" s="392">
        <f>IFERROR(IRR($C36:$AF$36,0.1)*(1-'Input Data'!$C$76)+MIRR($C36:$AF$36,$C$74,$C$74)*'Input Data'!$C$76,"N/A")</f>
        <v>8.5088948022705502E-2</v>
      </c>
      <c r="D40" s="392"/>
      <c r="E40" s="63"/>
      <c r="F40" s="63"/>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row>
    <row r="41" spans="1:33" ht="15" thickBot="1">
      <c r="A41" s="280"/>
      <c r="B41" s="280"/>
      <c r="C41" s="64"/>
      <c r="D41" s="65"/>
      <c r="E41" s="65"/>
      <c r="F41" s="65"/>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row>
    <row r="42" spans="1:33">
      <c r="A42" s="518" t="s">
        <v>223</v>
      </c>
      <c r="B42" s="11"/>
      <c r="C42" s="11"/>
      <c r="D42" s="519"/>
      <c r="E42" s="519"/>
      <c r="F42" s="519"/>
      <c r="G42" s="519"/>
      <c r="H42" s="519"/>
      <c r="I42" s="519"/>
      <c r="J42" s="519"/>
      <c r="K42" s="11"/>
      <c r="L42" s="11"/>
      <c r="M42" s="11"/>
      <c r="N42" s="11"/>
      <c r="O42" s="11"/>
      <c r="P42" s="11"/>
      <c r="Q42" s="11"/>
      <c r="R42" s="11"/>
      <c r="S42" s="11"/>
      <c r="T42" s="11"/>
      <c r="U42" s="11"/>
      <c r="V42" s="11"/>
      <c r="W42" s="11"/>
      <c r="X42" s="11"/>
      <c r="Y42" s="11"/>
      <c r="Z42" s="11"/>
      <c r="AA42" s="11"/>
      <c r="AB42" s="11"/>
      <c r="AC42" s="11"/>
      <c r="AD42" s="11"/>
      <c r="AE42" s="11"/>
      <c r="AF42" s="11"/>
    </row>
    <row r="43" spans="1:33">
      <c r="A43" s="6" t="s">
        <v>224</v>
      </c>
      <c r="C43" s="252">
        <f t="shared" ref="C43:AF43" si="33">+C29</f>
        <v>-29434655.77937609</v>
      </c>
      <c r="D43" s="252">
        <f t="shared" si="33"/>
        <v>-71156811.262626916</v>
      </c>
      <c r="E43" s="252">
        <f t="shared" si="33"/>
        <v>-109683276.36818182</v>
      </c>
      <c r="F43" s="252">
        <f t="shared" si="33"/>
        <v>-22731717.459171612</v>
      </c>
      <c r="G43" s="252">
        <f t="shared" si="33"/>
        <v>28284053.915386312</v>
      </c>
      <c r="H43" s="252">
        <f t="shared" si="33"/>
        <v>27009206.320669532</v>
      </c>
      <c r="I43" s="252">
        <f t="shared" si="33"/>
        <v>27041083.546955679</v>
      </c>
      <c r="J43" s="252">
        <f t="shared" si="33"/>
        <v>27200746.232395314</v>
      </c>
      <c r="K43" s="252">
        <f t="shared" si="33"/>
        <v>24407942.169695616</v>
      </c>
      <c r="L43" s="252">
        <f t="shared" si="33"/>
        <v>24806648.471867599</v>
      </c>
      <c r="M43" s="252">
        <f t="shared" si="33"/>
        <v>24856925.671285439</v>
      </c>
      <c r="N43" s="252">
        <f t="shared" si="33"/>
        <v>24895080.981606051</v>
      </c>
      <c r="O43" s="252">
        <f t="shared" si="33"/>
        <v>25298475.363213196</v>
      </c>
      <c r="P43" s="252">
        <f t="shared" si="33"/>
        <v>17945577.272573248</v>
      </c>
      <c r="Q43" s="252">
        <f t="shared" si="33"/>
        <v>18231433.10832572</v>
      </c>
      <c r="R43" s="252">
        <f t="shared" si="33"/>
        <v>18486201.321692672</v>
      </c>
      <c r="S43" s="252">
        <f t="shared" si="33"/>
        <v>18778232.703512218</v>
      </c>
      <c r="T43" s="252">
        <f t="shared" si="33"/>
        <v>19073936.728328083</v>
      </c>
      <c r="U43" s="252">
        <f t="shared" si="33"/>
        <v>16416630.259319669</v>
      </c>
      <c r="V43" s="252">
        <f t="shared" si="33"/>
        <v>16675476.282433374</v>
      </c>
      <c r="W43" s="252">
        <f t="shared" si="33"/>
        <v>16937478.694352053</v>
      </c>
      <c r="X43" s="252">
        <f t="shared" si="33"/>
        <v>17202678.036916018</v>
      </c>
      <c r="Y43" s="252">
        <f t="shared" si="33"/>
        <v>17471117.254560739</v>
      </c>
      <c r="Z43" s="252">
        <f t="shared" si="33"/>
        <v>14925871.796618445</v>
      </c>
      <c r="AA43" s="252">
        <f t="shared" si="33"/>
        <v>15158660.654213162</v>
      </c>
      <c r="AB43" s="252">
        <f t="shared" si="33"/>
        <v>15394181.825109771</v>
      </c>
      <c r="AC43" s="252">
        <f t="shared" si="33"/>
        <v>15632469.567044413</v>
      </c>
      <c r="AD43" s="252">
        <f t="shared" si="33"/>
        <v>15873557.497091692</v>
      </c>
      <c r="AE43" s="252">
        <f t="shared" si="33"/>
        <v>13436041.843934998</v>
      </c>
      <c r="AF43" s="252">
        <f t="shared" si="33"/>
        <v>13642613.536858587</v>
      </c>
    </row>
    <row r="44" spans="1:33">
      <c r="A44" s="6" t="s">
        <v>225</v>
      </c>
      <c r="C44" s="252">
        <f>+C128</f>
        <v>13655908.322995428</v>
      </c>
      <c r="D44" s="252">
        <f>+D128-SUM($C$44:C44)</f>
        <v>34564225.986632988</v>
      </c>
      <c r="E44" s="252">
        <f>+E128-SUM($C$44:D44)</f>
        <v>54445939.271431342</v>
      </c>
      <c r="F44" s="252">
        <f>+F128-SUM($C$44:E44)</f>
        <v>18553289.464614153</v>
      </c>
      <c r="G44" s="252">
        <f>+G128-SUM($C$44:F44)</f>
        <v>-4545360.3099983335</v>
      </c>
      <c r="H44" s="252">
        <f>+H128-SUM($C$44:G44)</f>
        <v>-4272716.84956716</v>
      </c>
      <c r="I44" s="252">
        <f>+I128-SUM($C$44:H44)</f>
        <v>-4077971.5206876993</v>
      </c>
      <c r="J44" s="252">
        <f>+J128-SUM($C$44:I44)</f>
        <v>-3939312.8465255648</v>
      </c>
      <c r="K44" s="252">
        <f>+K128-SUM($C$44:J44)</f>
        <v>-3938923.3558677882</v>
      </c>
      <c r="L44" s="252">
        <f>+L128-SUM($C$44:K44)</f>
        <v>-3927277.9029348642</v>
      </c>
      <c r="M44" s="252">
        <f>+M128-SUM($C$44:L44)</f>
        <v>-2933570.6035786271</v>
      </c>
      <c r="N44" s="252">
        <f>+N128-SUM($C$44:M44)</f>
        <v>-1940134.9565174729</v>
      </c>
      <c r="O44" s="252">
        <f>+O128-SUM($C$44:N44)</f>
        <v>-1939995.639866516</v>
      </c>
      <c r="P44" s="252">
        <f>+P128-SUM($C$44:O44)</f>
        <v>-1939852.1489414573</v>
      </c>
      <c r="Q44" s="252">
        <f>+Q128-SUM($C$44:P44)</f>
        <v>-1939704.351587832</v>
      </c>
      <c r="R44" s="252">
        <f>+R128-SUM($C$44:Q44)</f>
        <v>-1923694.8588953167</v>
      </c>
      <c r="S44" s="252">
        <f>+S128-SUM($C$44:R44)</f>
        <v>-1923366.5659181923</v>
      </c>
      <c r="T44" s="252">
        <f>+T128-SUM($C$44:S44)</f>
        <v>-1923028.4273884892</v>
      </c>
      <c r="U44" s="252">
        <f>+U128-SUM($C$44:T44)</f>
        <v>-1922680.144639805</v>
      </c>
      <c r="V44" s="252">
        <f>+V128-SUM($C$44:U44)</f>
        <v>-1922321.4129088074</v>
      </c>
      <c r="W44" s="252">
        <f>+W128-SUM($C$44:V44)</f>
        <v>-1921951.9173785746</v>
      </c>
      <c r="X44" s="252">
        <f>+X128-SUM($C$44:W44)</f>
        <v>-1921571.3380587399</v>
      </c>
      <c r="Y44" s="252">
        <f>+Y128-SUM($C$44:X44)</f>
        <v>-1921179.3414527774</v>
      </c>
      <c r="Z44" s="252">
        <f>+Z128-SUM($C$44:Y44)</f>
        <v>-1920775.5855217278</v>
      </c>
      <c r="AA44" s="252">
        <f>+AA128-SUM($C$44:Z44)</f>
        <v>-1920359.7201882824</v>
      </c>
      <c r="AB44" s="252">
        <f>+AB128-SUM($C$44:AA44)</f>
        <v>-1919931.3747114241</v>
      </c>
      <c r="AC44" s="252">
        <f>+AC128-SUM($C$44:AB44)</f>
        <v>-1919490.1759473011</v>
      </c>
      <c r="AD44" s="252">
        <f>+AD128-SUM($C$44:AC44)</f>
        <v>-1919035.7443929538</v>
      </c>
      <c r="AE44" s="252">
        <f>+AE128-SUM($C$44:AD44)</f>
        <v>-1918567.6815608814</v>
      </c>
      <c r="AF44" s="252">
        <f>+AF128-SUM($C$44:AE44)</f>
        <v>-1918085.575111039</v>
      </c>
    </row>
    <row r="45" spans="1:33">
      <c r="A45" s="6" t="s">
        <v>226</v>
      </c>
      <c r="C45" s="252">
        <f t="shared" ref="C45:AF45" si="34">-C85</f>
        <v>-639779.30493233562</v>
      </c>
      <c r="D45" s="252">
        <f t="shared" si="34"/>
        <v>-1449446.2838499995</v>
      </c>
      <c r="E45" s="252">
        <f t="shared" si="34"/>
        <v>-3534509.4223999991</v>
      </c>
      <c r="F45" s="252">
        <f t="shared" si="34"/>
        <v>-5244516.338299999</v>
      </c>
      <c r="G45" s="252">
        <f t="shared" si="34"/>
        <v>-5572652.0985499984</v>
      </c>
      <c r="H45" s="252">
        <f t="shared" si="34"/>
        <v>-5366088.6213999987</v>
      </c>
      <c r="I45" s="252">
        <f t="shared" si="34"/>
        <v>-5170473.754999999</v>
      </c>
      <c r="J45" s="252">
        <f t="shared" si="34"/>
        <v>-4982668.8772999989</v>
      </c>
      <c r="K45" s="252">
        <f t="shared" si="34"/>
        <v>-4798121.1989999991</v>
      </c>
      <c r="L45" s="252">
        <f t="shared" si="34"/>
        <v>-4613855.4171499992</v>
      </c>
      <c r="M45" s="252">
        <f t="shared" si="34"/>
        <v>-4453140.0527499989</v>
      </c>
      <c r="N45" s="252">
        <f t="shared" si="34"/>
        <v>-4338973.4896999989</v>
      </c>
      <c r="O45" s="252">
        <f t="shared" si="34"/>
        <v>-4248081.4444499994</v>
      </c>
      <c r="P45" s="252">
        <f t="shared" si="34"/>
        <v>-4157196.0050499989</v>
      </c>
      <c r="Q45" s="252">
        <f t="shared" si="34"/>
        <v>-4066317.405749999</v>
      </c>
      <c r="R45" s="252">
        <f t="shared" si="34"/>
        <v>-3975817.260749999</v>
      </c>
      <c r="S45" s="252">
        <f t="shared" si="34"/>
        <v>-3885699.833399999</v>
      </c>
      <c r="T45" s="252">
        <f t="shared" si="34"/>
        <v>-3795598.0539499992</v>
      </c>
      <c r="U45" s="252">
        <f t="shared" si="34"/>
        <v>-3705512.344049999</v>
      </c>
      <c r="V45" s="252">
        <f t="shared" si="34"/>
        <v>-3615443.172199999</v>
      </c>
      <c r="W45" s="252">
        <f t="shared" si="34"/>
        <v>-3525391.053749999</v>
      </c>
      <c r="X45" s="252">
        <f t="shared" si="34"/>
        <v>-3435356.5508999992</v>
      </c>
      <c r="Y45" s="252">
        <f t="shared" si="34"/>
        <v>-3345340.085299999</v>
      </c>
      <c r="Z45" s="252">
        <f t="shared" si="34"/>
        <v>-3255342.3128499994</v>
      </c>
      <c r="AA45" s="252">
        <f t="shared" si="34"/>
        <v>-3165363.702049999</v>
      </c>
      <c r="AB45" s="252">
        <f t="shared" si="34"/>
        <v>-3075404.9087999994</v>
      </c>
      <c r="AC45" s="252">
        <f t="shared" si="34"/>
        <v>-2985466.4484499991</v>
      </c>
      <c r="AD45" s="252">
        <f t="shared" si="34"/>
        <v>-2895548.9768999992</v>
      </c>
      <c r="AE45" s="252">
        <f t="shared" si="34"/>
        <v>-2805653.1031999993</v>
      </c>
      <c r="AF45" s="252">
        <f t="shared" si="34"/>
        <v>-2715779.4832499996</v>
      </c>
    </row>
    <row r="46" spans="1:33">
      <c r="A46" s="6" t="s">
        <v>227</v>
      </c>
      <c r="C46" s="252">
        <f t="shared" ref="C46:AF46" si="35">SUM(C22:C23)</f>
        <v>0</v>
      </c>
      <c r="D46" s="252">
        <f t="shared" si="35"/>
        <v>0</v>
      </c>
      <c r="E46" s="252">
        <f t="shared" si="35"/>
        <v>0</v>
      </c>
      <c r="F46" s="252">
        <f t="shared" si="35"/>
        <v>4918079.0313704386</v>
      </c>
      <c r="G46" s="252">
        <f t="shared" si="35"/>
        <v>6247670.9479957409</v>
      </c>
      <c r="H46" s="252">
        <f t="shared" si="35"/>
        <v>6016086.3210918205</v>
      </c>
      <c r="I46" s="252">
        <f t="shared" si="35"/>
        <v>6170636.8878598688</v>
      </c>
      <c r="J46" s="252">
        <f t="shared" si="35"/>
        <v>6327176.1990500372</v>
      </c>
      <c r="K46" s="252">
        <f t="shared" si="35"/>
        <v>5379320.6116064629</v>
      </c>
      <c r="L46" s="252">
        <f t="shared" si="35"/>
        <v>5523274.1360716969</v>
      </c>
      <c r="M46" s="252">
        <f t="shared" si="35"/>
        <v>6273731.4072593404</v>
      </c>
      <c r="N46" s="252">
        <f t="shared" si="35"/>
        <v>7019872.869323981</v>
      </c>
      <c r="O46" s="252">
        <f t="shared" si="35"/>
        <v>7156926.0693298299</v>
      </c>
      <c r="P46" s="252">
        <f t="shared" si="35"/>
        <v>4660759.7567019435</v>
      </c>
      <c r="Q46" s="252">
        <f t="shared" si="35"/>
        <v>4757915.4658980118</v>
      </c>
      <c r="R46" s="252">
        <f t="shared" si="35"/>
        <v>4856223.5311568491</v>
      </c>
      <c r="S46" s="252">
        <f t="shared" si="35"/>
        <v>4955609.0190890022</v>
      </c>
      <c r="T46" s="252">
        <f t="shared" si="35"/>
        <v>5056248.6173324091</v>
      </c>
      <c r="U46" s="252">
        <f t="shared" si="35"/>
        <v>4154363.374084102</v>
      </c>
      <c r="V46" s="252">
        <f t="shared" si="35"/>
        <v>4242505.0631115474</v>
      </c>
      <c r="W46" s="252">
        <f t="shared" si="35"/>
        <v>4331726.2744241729</v>
      </c>
      <c r="X46" s="252">
        <f t="shared" si="35"/>
        <v>4422041.0079377778</v>
      </c>
      <c r="Y46" s="252">
        <f t="shared" si="35"/>
        <v>4513464.0892053237</v>
      </c>
      <c r="Z46" s="252">
        <f t="shared" si="35"/>
        <v>3649663.941090968</v>
      </c>
      <c r="AA46" s="252">
        <f t="shared" si="35"/>
        <v>3729001.5189029737</v>
      </c>
      <c r="AB46" s="252">
        <f t="shared" si="35"/>
        <v>3809275.9142008815</v>
      </c>
      <c r="AC46" s="252">
        <f t="shared" si="35"/>
        <v>3890499.0327074528</v>
      </c>
      <c r="AD46" s="252">
        <f t="shared" si="35"/>
        <v>3972682.5673373858</v>
      </c>
      <c r="AE46" s="252">
        <f t="shared" si="35"/>
        <v>3145503.6110084504</v>
      </c>
      <c r="AF46" s="252">
        <f t="shared" si="35"/>
        <v>3215989.4803337115</v>
      </c>
    </row>
    <row r="47" spans="1:33">
      <c r="A47" s="6" t="s">
        <v>228</v>
      </c>
      <c r="C47" s="252">
        <f t="shared" ref="C47:AF47" si="36">-SUM(C89:C91)</f>
        <v>141983.94927293932</v>
      </c>
      <c r="D47" s="252">
        <f t="shared" si="36"/>
        <v>48737.324846199888</v>
      </c>
      <c r="E47" s="252">
        <f t="shared" si="36"/>
        <v>201624.51883463713</v>
      </c>
      <c r="F47" s="252">
        <f t="shared" si="36"/>
        <v>-3838061.6435426744</v>
      </c>
      <c r="G47" s="252">
        <f t="shared" si="36"/>
        <v>-4835282.2736182446</v>
      </c>
      <c r="H47" s="252">
        <f t="shared" si="36"/>
        <v>-4656051.1599979913</v>
      </c>
      <c r="I47" s="252">
        <f t="shared" si="36"/>
        <v>-4860180.3146551186</v>
      </c>
      <c r="J47" s="252">
        <f t="shared" si="36"/>
        <v>-5064318.7720983531</v>
      </c>
      <c r="K47" s="252">
        <f t="shared" si="36"/>
        <v>-4163236.7937199119</v>
      </c>
      <c r="L47" s="252">
        <f t="shared" si="36"/>
        <v>-4353892.4805950299</v>
      </c>
      <c r="M47" s="252">
        <f t="shared" si="36"/>
        <v>-5145083.0608898532</v>
      </c>
      <c r="N47" s="252">
        <f t="shared" si="36"/>
        <v>-5920160.0383595154</v>
      </c>
      <c r="O47" s="252">
        <f t="shared" si="36"/>
        <v>-6080249.8272339767</v>
      </c>
      <c r="P47" s="252">
        <f t="shared" si="36"/>
        <v>-3607118.4292220213</v>
      </c>
      <c r="Q47" s="252">
        <f t="shared" si="36"/>
        <v>-3727307.3194106743</v>
      </c>
      <c r="R47" s="252">
        <f t="shared" si="36"/>
        <v>-3848552.6464197617</v>
      </c>
      <c r="S47" s="252">
        <f t="shared" si="36"/>
        <v>-3970778.3963137725</v>
      </c>
      <c r="T47" s="252">
        <f t="shared" si="36"/>
        <v>-4094254.2905587829</v>
      </c>
      <c r="U47" s="252">
        <f t="shared" si="36"/>
        <v>-3215201.2704846296</v>
      </c>
      <c r="V47" s="252">
        <f t="shared" si="36"/>
        <v>-3326170.9911174574</v>
      </c>
      <c r="W47" s="252">
        <f t="shared" si="36"/>
        <v>-3438215.9118512343</v>
      </c>
      <c r="X47" s="252">
        <f t="shared" si="36"/>
        <v>-3551349.8901121733</v>
      </c>
      <c r="Y47" s="252">
        <f t="shared" si="36"/>
        <v>-3665587.6445860397</v>
      </c>
      <c r="Z47" s="252">
        <f t="shared" si="36"/>
        <v>-2824597.4318991359</v>
      </c>
      <c r="AA47" s="252">
        <f t="shared" si="36"/>
        <v>-2926740.0886184014</v>
      </c>
      <c r="AB47" s="252">
        <f t="shared" si="36"/>
        <v>-3029814.5400655214</v>
      </c>
      <c r="AC47" s="252">
        <f t="shared" si="36"/>
        <v>-3133832.5613478003</v>
      </c>
      <c r="AD47" s="252">
        <f t="shared" si="36"/>
        <v>-3238805.6791420816</v>
      </c>
      <c r="AE47" s="252">
        <f t="shared" si="36"/>
        <v>-2434410.8320024111</v>
      </c>
      <c r="AF47" s="252">
        <f t="shared" si="36"/>
        <v>-2527675.1703039985</v>
      </c>
    </row>
    <row r="48" spans="1:33" ht="15" thickBot="1">
      <c r="A48" s="6" t="s">
        <v>229</v>
      </c>
      <c r="C48" s="44">
        <f>SUM(C43:C47)</f>
        <v>-16276542.812040057</v>
      </c>
      <c r="D48" s="44">
        <f t="shared" ref="D48:AF48" si="37">SUM(D43:D47)</f>
        <v>-37993294.234997727</v>
      </c>
      <c r="E48" s="44">
        <f t="shared" si="37"/>
        <v>-58570222.000315845</v>
      </c>
      <c r="F48" s="44">
        <f t="shared" si="37"/>
        <v>-8342926.9450296937</v>
      </c>
      <c r="G48" s="44">
        <f t="shared" si="37"/>
        <v>19578430.181215476</v>
      </c>
      <c r="H48" s="44">
        <f t="shared" si="37"/>
        <v>18730436.0107962</v>
      </c>
      <c r="I48" s="44">
        <f t="shared" si="37"/>
        <v>19103094.844472732</v>
      </c>
      <c r="J48" s="44">
        <f t="shared" si="37"/>
        <v>19541621.935521431</v>
      </c>
      <c r="K48" s="44">
        <f t="shared" si="37"/>
        <v>16886981.43271438</v>
      </c>
      <c r="L48" s="44">
        <f t="shared" si="37"/>
        <v>17434896.807259403</v>
      </c>
      <c r="M48" s="44">
        <f t="shared" si="37"/>
        <v>18598863.3613263</v>
      </c>
      <c r="N48" s="44">
        <f t="shared" si="37"/>
        <v>19715685.366353046</v>
      </c>
      <c r="O48" s="44">
        <f t="shared" si="37"/>
        <v>20187074.520992532</v>
      </c>
      <c r="P48" s="44">
        <f t="shared" si="37"/>
        <v>12902170.446061712</v>
      </c>
      <c r="Q48" s="44">
        <f t="shared" si="37"/>
        <v>13256019.497475225</v>
      </c>
      <c r="R48" s="44">
        <f t="shared" si="37"/>
        <v>13594360.086784443</v>
      </c>
      <c r="S48" s="44">
        <f t="shared" si="37"/>
        <v>13953996.926969256</v>
      </c>
      <c r="T48" s="44">
        <f t="shared" si="37"/>
        <v>14317304.57376322</v>
      </c>
      <c r="U48" s="44">
        <f t="shared" si="37"/>
        <v>11727599.874229336</v>
      </c>
      <c r="V48" s="44">
        <f t="shared" si="37"/>
        <v>12054045.769318657</v>
      </c>
      <c r="W48" s="44">
        <f t="shared" si="37"/>
        <v>12383646.085796418</v>
      </c>
      <c r="X48" s="44">
        <f t="shared" si="37"/>
        <v>12716441.265782883</v>
      </c>
      <c r="Y48" s="44">
        <f t="shared" si="37"/>
        <v>13052474.272427248</v>
      </c>
      <c r="Z48" s="44">
        <f t="shared" si="37"/>
        <v>10574820.407438548</v>
      </c>
      <c r="AA48" s="44">
        <f t="shared" si="37"/>
        <v>10875198.662259454</v>
      </c>
      <c r="AB48" s="44">
        <f t="shared" si="37"/>
        <v>11178306.915733706</v>
      </c>
      <c r="AC48" s="44">
        <f t="shared" si="37"/>
        <v>11484179.414006766</v>
      </c>
      <c r="AD48" s="44">
        <f t="shared" si="37"/>
        <v>11792849.663994042</v>
      </c>
      <c r="AE48" s="44">
        <f t="shared" si="37"/>
        <v>9422913.8381801564</v>
      </c>
      <c r="AF48" s="44">
        <f t="shared" si="37"/>
        <v>9697062.7885272615</v>
      </c>
    </row>
    <row r="49" spans="1:33">
      <c r="A49" s="6" t="s">
        <v>230</v>
      </c>
      <c r="C49" s="252">
        <f t="shared" ref="C49:AF49" si="38">+C35</f>
        <v>0</v>
      </c>
      <c r="D49" s="252">
        <f t="shared" si="38"/>
        <v>0</v>
      </c>
      <c r="E49" s="252">
        <f t="shared" si="38"/>
        <v>0</v>
      </c>
      <c r="F49" s="252">
        <f t="shared" si="38"/>
        <v>0</v>
      </c>
      <c r="G49" s="252">
        <f t="shared" si="38"/>
        <v>0</v>
      </c>
      <c r="H49" s="252">
        <f t="shared" si="38"/>
        <v>0</v>
      </c>
      <c r="I49" s="252">
        <f t="shared" si="38"/>
        <v>0</v>
      </c>
      <c r="J49" s="252">
        <f t="shared" si="38"/>
        <v>0</v>
      </c>
      <c r="K49" s="252">
        <f t="shared" si="38"/>
        <v>0</v>
      </c>
      <c r="L49" s="252">
        <f t="shared" si="38"/>
        <v>0</v>
      </c>
      <c r="M49" s="252">
        <f t="shared" si="38"/>
        <v>0</v>
      </c>
      <c r="N49" s="252">
        <f t="shared" si="38"/>
        <v>0</v>
      </c>
      <c r="O49" s="252">
        <f t="shared" si="38"/>
        <v>0</v>
      </c>
      <c r="P49" s="252">
        <f t="shared" si="38"/>
        <v>0</v>
      </c>
      <c r="Q49" s="252">
        <f t="shared" si="38"/>
        <v>0</v>
      </c>
      <c r="R49" s="252">
        <f t="shared" si="38"/>
        <v>0</v>
      </c>
      <c r="S49" s="252">
        <f t="shared" si="38"/>
        <v>0</v>
      </c>
      <c r="T49" s="252">
        <f t="shared" si="38"/>
        <v>0</v>
      </c>
      <c r="U49" s="252">
        <f t="shared" si="38"/>
        <v>0</v>
      </c>
      <c r="V49" s="252">
        <f t="shared" si="38"/>
        <v>0</v>
      </c>
      <c r="W49" s="252">
        <f t="shared" si="38"/>
        <v>0</v>
      </c>
      <c r="X49" s="252">
        <f t="shared" si="38"/>
        <v>0</v>
      </c>
      <c r="Y49" s="252">
        <f t="shared" si="38"/>
        <v>0</v>
      </c>
      <c r="Z49" s="252">
        <f t="shared" si="38"/>
        <v>0</v>
      </c>
      <c r="AA49" s="252">
        <f t="shared" si="38"/>
        <v>0</v>
      </c>
      <c r="AB49" s="252">
        <f t="shared" si="38"/>
        <v>0</v>
      </c>
      <c r="AC49" s="252">
        <f t="shared" si="38"/>
        <v>0</v>
      </c>
      <c r="AD49" s="252">
        <f t="shared" si="38"/>
        <v>0</v>
      </c>
      <c r="AE49" s="252">
        <f t="shared" si="38"/>
        <v>0</v>
      </c>
      <c r="AF49" s="252">
        <f t="shared" si="38"/>
        <v>255000000</v>
      </c>
    </row>
    <row r="50" spans="1:33" ht="15" thickBot="1">
      <c r="A50" s="6" t="s">
        <v>231</v>
      </c>
      <c r="C50" s="44">
        <f>+C48+C49</f>
        <v>-16276542.812040057</v>
      </c>
      <c r="D50" s="44">
        <f t="shared" ref="D50:AF50" si="39">+D48+D49</f>
        <v>-37993294.234997727</v>
      </c>
      <c r="E50" s="44">
        <f t="shared" si="39"/>
        <v>-58570222.000315845</v>
      </c>
      <c r="F50" s="44">
        <f t="shared" si="39"/>
        <v>-8342926.9450296937</v>
      </c>
      <c r="G50" s="44">
        <f t="shared" si="39"/>
        <v>19578430.181215476</v>
      </c>
      <c r="H50" s="44">
        <f t="shared" si="39"/>
        <v>18730436.0107962</v>
      </c>
      <c r="I50" s="44">
        <f t="shared" si="39"/>
        <v>19103094.844472732</v>
      </c>
      <c r="J50" s="44">
        <f t="shared" si="39"/>
        <v>19541621.935521431</v>
      </c>
      <c r="K50" s="44">
        <f t="shared" si="39"/>
        <v>16886981.43271438</v>
      </c>
      <c r="L50" s="44">
        <f t="shared" si="39"/>
        <v>17434896.807259403</v>
      </c>
      <c r="M50" s="44">
        <f t="shared" si="39"/>
        <v>18598863.3613263</v>
      </c>
      <c r="N50" s="44">
        <f t="shared" si="39"/>
        <v>19715685.366353046</v>
      </c>
      <c r="O50" s="44">
        <f t="shared" si="39"/>
        <v>20187074.520992532</v>
      </c>
      <c r="P50" s="44">
        <f t="shared" si="39"/>
        <v>12902170.446061712</v>
      </c>
      <c r="Q50" s="44">
        <f t="shared" si="39"/>
        <v>13256019.497475225</v>
      </c>
      <c r="R50" s="44">
        <f t="shared" si="39"/>
        <v>13594360.086784443</v>
      </c>
      <c r="S50" s="44">
        <f t="shared" si="39"/>
        <v>13953996.926969256</v>
      </c>
      <c r="T50" s="44">
        <f t="shared" si="39"/>
        <v>14317304.57376322</v>
      </c>
      <c r="U50" s="44">
        <f t="shared" si="39"/>
        <v>11727599.874229336</v>
      </c>
      <c r="V50" s="44">
        <f t="shared" si="39"/>
        <v>12054045.769318657</v>
      </c>
      <c r="W50" s="44">
        <f t="shared" si="39"/>
        <v>12383646.085796418</v>
      </c>
      <c r="X50" s="44">
        <f t="shared" si="39"/>
        <v>12716441.265782883</v>
      </c>
      <c r="Y50" s="44">
        <f t="shared" si="39"/>
        <v>13052474.272427248</v>
      </c>
      <c r="Z50" s="44">
        <f t="shared" si="39"/>
        <v>10574820.407438548</v>
      </c>
      <c r="AA50" s="44">
        <f t="shared" si="39"/>
        <v>10875198.662259454</v>
      </c>
      <c r="AB50" s="44">
        <f t="shared" si="39"/>
        <v>11178306.915733706</v>
      </c>
      <c r="AC50" s="44">
        <f t="shared" si="39"/>
        <v>11484179.414006766</v>
      </c>
      <c r="AD50" s="44">
        <f t="shared" si="39"/>
        <v>11792849.663994042</v>
      </c>
      <c r="AE50" s="44">
        <f t="shared" si="39"/>
        <v>9422913.8381801564</v>
      </c>
      <c r="AF50" s="44">
        <f t="shared" si="39"/>
        <v>264697062.78852725</v>
      </c>
    </row>
    <row r="51" spans="1:33">
      <c r="A51" s="6"/>
    </row>
    <row r="52" spans="1:33">
      <c r="A52" s="279" t="s">
        <v>217</v>
      </c>
      <c r="B52" s="279"/>
      <c r="C52" s="85">
        <f>NPV(C$74,C48:AF48)</f>
        <v>39741710.701007456</v>
      </c>
    </row>
    <row r="53" spans="1:33">
      <c r="A53" s="279" t="s">
        <v>218</v>
      </c>
      <c r="B53" s="279"/>
      <c r="C53" s="392">
        <f>IFERROR(IRR($C48:$AF$48,0.1)*(1-'Input Data'!$C$76)+MIRR($C48:$AF$48,$C$74,$C$74)*'Input Data'!$C$76,"N/A")</f>
        <v>0.10920554012975381</v>
      </c>
    </row>
    <row r="55" spans="1:33">
      <c r="A55" s="279" t="s">
        <v>232</v>
      </c>
      <c r="B55" s="279"/>
      <c r="C55" s="85">
        <f>NPV(C$74,C50:AF50)</f>
        <v>72160854.567115307</v>
      </c>
    </row>
    <row r="56" spans="1:33">
      <c r="A56" s="279" t="s">
        <v>233</v>
      </c>
      <c r="B56" s="279"/>
      <c r="C56" s="392">
        <f>IFERROR(IRR($C50:$AF$50,0.1)*(1-'Input Data'!$C$76)+MIRR($C50:$AF$50,$C$74,$C$74)*'Input Data'!$C$76,"N/A")</f>
        <v>0.12136277606981127</v>
      </c>
    </row>
    <row r="57" spans="1:33" ht="15" thickBot="1">
      <c r="A57" s="280"/>
      <c r="B57" s="280"/>
      <c r="C57" s="523"/>
      <c r="D57" s="582">
        <f>AVERAGE(C59:AF59)</f>
        <v>10683350.462015353</v>
      </c>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row>
    <row r="58" spans="1:33">
      <c r="C58" s="69"/>
      <c r="E58" s="59"/>
      <c r="F58" s="282"/>
      <c r="G58" s="283"/>
      <c r="H58" s="283"/>
      <c r="I58" s="284"/>
      <c r="K58" s="284"/>
      <c r="L58" s="115"/>
      <c r="M58" s="258"/>
    </row>
    <row r="59" spans="1:33">
      <c r="A59" s="1" t="s">
        <v>234</v>
      </c>
      <c r="B59" s="1"/>
      <c r="C59" s="116">
        <f>+C92</f>
        <v>-245693.91113238214</v>
      </c>
      <c r="D59" s="116">
        <f t="shared" ref="D59:AF59" si="40">+D92</f>
        <v>2582101.4884409821</v>
      </c>
      <c r="E59" s="116">
        <f t="shared" si="40"/>
        <v>5344576.2748426702</v>
      </c>
      <c r="F59" s="116">
        <f t="shared" si="40"/>
        <v>13437021.556908676</v>
      </c>
      <c r="G59" s="116">
        <f t="shared" si="40"/>
        <v>14242572.426000001</v>
      </c>
      <c r="H59" s="116">
        <f t="shared" si="40"/>
        <v>13714637.969999999</v>
      </c>
      <c r="I59" s="116">
        <f t="shared" si="40"/>
        <v>14315910.885404535</v>
      </c>
      <c r="J59" s="116">
        <f t="shared" si="40"/>
        <v>14917211.20264362</v>
      </c>
      <c r="K59" s="116">
        <f t="shared" si="40"/>
        <v>12263027.928000001</v>
      </c>
      <c r="L59" s="116">
        <f t="shared" si="40"/>
        <v>12824614.051640242</v>
      </c>
      <c r="M59" s="116">
        <f t="shared" si="40"/>
        <v>15155106.565820949</v>
      </c>
      <c r="N59" s="116">
        <f t="shared" si="40"/>
        <v>17438135.634789094</v>
      </c>
      <c r="O59" s="116">
        <f t="shared" si="40"/>
        <v>17909688.335062243</v>
      </c>
      <c r="P59" s="116">
        <f t="shared" si="40"/>
        <v>10624952.706000002</v>
      </c>
      <c r="Q59" s="116">
        <f t="shared" si="40"/>
        <v>10978975.258654719</v>
      </c>
      <c r="R59" s="116">
        <f t="shared" si="40"/>
        <v>11336109.600255171</v>
      </c>
      <c r="S59" s="116">
        <f t="shared" si="40"/>
        <v>11696131.827847887</v>
      </c>
      <c r="T59" s="116">
        <f t="shared" si="40"/>
        <v>12059836.419872399</v>
      </c>
      <c r="U59" s="116">
        <f t="shared" si="40"/>
        <v>9470540.5739999991</v>
      </c>
      <c r="V59" s="116">
        <f t="shared" si="40"/>
        <v>9797407.5889474768</v>
      </c>
      <c r="W59" s="116">
        <f t="shared" si="40"/>
        <v>10127441.661047697</v>
      </c>
      <c r="X59" s="116">
        <f t="shared" si="40"/>
        <v>10460683.60806172</v>
      </c>
      <c r="Y59" s="116">
        <f t="shared" si="40"/>
        <v>10797176.78463487</v>
      </c>
      <c r="Z59" s="116">
        <f t="shared" si="40"/>
        <v>8319996.8939999994</v>
      </c>
      <c r="AA59" s="116">
        <f t="shared" si="40"/>
        <v>8620863.3385601379</v>
      </c>
      <c r="AB59" s="116">
        <f t="shared" si="40"/>
        <v>8924474.4323768597</v>
      </c>
      <c r="AC59" s="116">
        <f t="shared" si="40"/>
        <v>9230864.8596338537</v>
      </c>
      <c r="AD59" s="116">
        <f t="shared" si="40"/>
        <v>9540068.5727501307</v>
      </c>
      <c r="AE59" s="116">
        <f t="shared" si="40"/>
        <v>7170682.2119999984</v>
      </c>
      <c r="AF59" s="116">
        <f t="shared" si="40"/>
        <v>7445397.1133969221</v>
      </c>
      <c r="AG59" s="116">
        <f>AVERAGE(C59:AF59)</f>
        <v>10683350.462015353</v>
      </c>
    </row>
    <row r="60" spans="1:33">
      <c r="A60" s="1" t="s">
        <v>235</v>
      </c>
      <c r="B60" s="1"/>
      <c r="C60" s="116">
        <f>C92+(C84*(1-'Input Data'!$C$51))</f>
        <v>-477627.24009723519</v>
      </c>
      <c r="D60" s="116">
        <f>D92+(D84*(1-'Input Data'!$C$51))</f>
        <v>-1082084.1232082178</v>
      </c>
      <c r="E60" s="116">
        <f>E92+(E84*(1-'Input Data'!$C$51))</f>
        <v>-2638688.0092927199</v>
      </c>
      <c r="F60" s="116">
        <f>F92+(F84*(1-'Input Data'!$C$51))</f>
        <v>10571160.85859341</v>
      </c>
      <c r="G60" s="116">
        <f>G92+(G84*(1-'Input Data'!$C$51))</f>
        <v>14242572.426000001</v>
      </c>
      <c r="H60" s="116">
        <f>H92+(H84*(1-'Input Data'!$C$51))</f>
        <v>13714637.969999999</v>
      </c>
      <c r="I60" s="116">
        <f>I92+(I84*(1-'Input Data'!$C$51))</f>
        <v>14315910.885404535</v>
      </c>
      <c r="J60" s="116">
        <f>J92+(J84*(1-'Input Data'!$C$51))</f>
        <v>14917211.20264362</v>
      </c>
      <c r="K60" s="116">
        <f>K92+(K84*(1-'Input Data'!$C$51))</f>
        <v>12263027.928000001</v>
      </c>
      <c r="L60" s="116">
        <f>L92+(L84*(1-'Input Data'!$C$51))</f>
        <v>12824614.051640242</v>
      </c>
      <c r="M60" s="116">
        <f>M92+(M84*(1-'Input Data'!$C$51))</f>
        <v>15155106.565820949</v>
      </c>
      <c r="N60" s="116">
        <f>N92+(N84*(1-'Input Data'!$C$51))</f>
        <v>17438135.634789094</v>
      </c>
      <c r="O60" s="116">
        <f>O92+(O84*(1-'Input Data'!$C$51))</f>
        <v>17909688.335062243</v>
      </c>
      <c r="P60" s="116">
        <f>P92+(P84*(1-'Input Data'!$C$51))</f>
        <v>10624952.706000002</v>
      </c>
      <c r="Q60" s="116">
        <f>Q92+(Q84*(1-'Input Data'!$C$51))</f>
        <v>10978975.258654719</v>
      </c>
      <c r="R60" s="116">
        <f>R92+(R84*(1-'Input Data'!$C$51))</f>
        <v>11336109.600255171</v>
      </c>
      <c r="S60" s="116">
        <f>S92+(S84*(1-'Input Data'!$C$51))</f>
        <v>11696131.827847887</v>
      </c>
      <c r="T60" s="116">
        <f>T92+(T84*(1-'Input Data'!$C$51))</f>
        <v>12059836.419872399</v>
      </c>
      <c r="U60" s="116">
        <f>U92+(U84*(1-'Input Data'!$C$51))</f>
        <v>9470540.5739999991</v>
      </c>
      <c r="V60" s="116">
        <f>V92+(V84*(1-'Input Data'!$C$51))</f>
        <v>9797407.5889474768</v>
      </c>
      <c r="W60" s="116">
        <f>W92+(W84*(1-'Input Data'!$C$51))</f>
        <v>10127441.661047697</v>
      </c>
      <c r="X60" s="116">
        <f>X92+(X84*(1-'Input Data'!$C$51))</f>
        <v>10460683.60806172</v>
      </c>
      <c r="Y60" s="116">
        <f>Y92+(Y84*(1-'Input Data'!$C$51))</f>
        <v>10797176.78463487</v>
      </c>
      <c r="Z60" s="116">
        <f>Z92+(Z84*(1-'Input Data'!$C$51))</f>
        <v>8319996.8939999994</v>
      </c>
      <c r="AA60" s="116">
        <f>AA92+(AA84*(1-'Input Data'!$C$51))</f>
        <v>8620863.3385601379</v>
      </c>
      <c r="AB60" s="116">
        <f>AB92+(AB84*(1-'Input Data'!$C$51))</f>
        <v>8924474.4323768597</v>
      </c>
      <c r="AC60" s="116">
        <f>AC92+(AC84*(1-'Input Data'!$C$51))</f>
        <v>9230864.8596338537</v>
      </c>
      <c r="AD60" s="116">
        <f>AD92+(AD84*(1-'Input Data'!$C$51))</f>
        <v>9540068.5727501307</v>
      </c>
      <c r="AE60" s="116">
        <f>AE92+(AE84*(1-'Input Data'!$C$51))</f>
        <v>7170682.2119999984</v>
      </c>
      <c r="AF60" s="116">
        <f>AF92+(AF84*(1-'Input Data'!$C$51))</f>
        <v>7445397.1133969221</v>
      </c>
      <c r="AG60" s="1"/>
    </row>
    <row r="61" spans="1:33">
      <c r="A61" s="1"/>
      <c r="B61" s="58"/>
      <c r="D61" s="79"/>
      <c r="E61" s="79"/>
      <c r="F61" s="79"/>
      <c r="G61" s="79"/>
      <c r="H61" s="79"/>
      <c r="I61" s="79"/>
      <c r="J61" s="79"/>
      <c r="K61" s="79"/>
      <c r="L61" s="79"/>
      <c r="M61" s="79"/>
      <c r="N61" s="79"/>
      <c r="O61" s="79"/>
      <c r="P61" s="79"/>
      <c r="Q61" s="79"/>
      <c r="R61" s="79"/>
      <c r="S61" s="79"/>
      <c r="T61" s="79"/>
      <c r="U61" s="79"/>
      <c r="V61" s="70"/>
      <c r="W61" s="70"/>
      <c r="X61" s="70"/>
      <c r="Y61" s="70"/>
      <c r="Z61" s="70"/>
      <c r="AA61" s="70"/>
      <c r="AB61" s="70"/>
      <c r="AC61" s="70"/>
      <c r="AD61" s="70"/>
      <c r="AE61" s="70"/>
      <c r="AF61" s="70"/>
      <c r="AG61" s="70"/>
    </row>
    <row r="62" spans="1:33">
      <c r="A62" s="1" t="s">
        <v>176</v>
      </c>
      <c r="B62" s="1"/>
      <c r="C62" s="71">
        <f>IF(C152&lt;=0,"N/A",C92/C152)</f>
        <v>-1.5326319438920717E-2</v>
      </c>
      <c r="D62" s="71">
        <f t="shared" ref="D62:AF62" si="41">IF(D152&lt;=0,"N/A",D92/D152)</f>
        <v>7.1095946884686276E-2</v>
      </c>
      <c r="E62" s="71">
        <f t="shared" si="41"/>
        <v>6.0347294142985695E-2</v>
      </c>
      <c r="F62" s="71">
        <f t="shared" si="41"/>
        <v>0.10225186490192581</v>
      </c>
      <c r="G62" s="71">
        <f t="shared" si="41"/>
        <v>0.10200000000000001</v>
      </c>
      <c r="H62" s="71">
        <f t="shared" si="41"/>
        <v>0.10199999999999999</v>
      </c>
      <c r="I62" s="71">
        <f t="shared" si="41"/>
        <v>0.11050000905714018</v>
      </c>
      <c r="J62" s="71">
        <f t="shared" si="41"/>
        <v>0.11948111857928732</v>
      </c>
      <c r="K62" s="71">
        <f t="shared" si="41"/>
        <v>0.10200000000000001</v>
      </c>
      <c r="L62" s="71">
        <f t="shared" si="41"/>
        <v>0.11093127110614411</v>
      </c>
      <c r="M62" s="71">
        <f t="shared" si="41"/>
        <v>0.13582080768226973</v>
      </c>
      <c r="N62" s="71">
        <f t="shared" si="41"/>
        <v>0.16039348392135061</v>
      </c>
      <c r="O62" s="71">
        <f t="shared" si="41"/>
        <v>0.168255341977533</v>
      </c>
      <c r="P62" s="71">
        <f t="shared" si="41"/>
        <v>0.10200000000000002</v>
      </c>
      <c r="Q62" s="71">
        <f t="shared" si="41"/>
        <v>0.10775419819953527</v>
      </c>
      <c r="R62" s="71">
        <f t="shared" si="41"/>
        <v>0.1137918836259888</v>
      </c>
      <c r="S62" s="71">
        <f t="shared" si="41"/>
        <v>0.12012867044591717</v>
      </c>
      <c r="T62" s="71">
        <f t="shared" si="41"/>
        <v>0.12680455976742086</v>
      </c>
      <c r="U62" s="71">
        <f t="shared" si="41"/>
        <v>0.10199999999999999</v>
      </c>
      <c r="V62" s="71">
        <f t="shared" si="41"/>
        <v>0.10814919801325788</v>
      </c>
      <c r="W62" s="71">
        <f t="shared" si="41"/>
        <v>0.11464790303784332</v>
      </c>
      <c r="X62" s="71">
        <f t="shared" si="41"/>
        <v>0.12152396201313616</v>
      </c>
      <c r="Y62" s="71">
        <f t="shared" si="41"/>
        <v>0.12880822720281271</v>
      </c>
      <c r="Z62" s="71">
        <f t="shared" si="41"/>
        <v>0.10199999999999999</v>
      </c>
      <c r="AA62" s="71">
        <f t="shared" si="41"/>
        <v>0.10869280810562564</v>
      </c>
      <c r="AB62" s="71">
        <f t="shared" si="41"/>
        <v>0.11581212141158673</v>
      </c>
      <c r="AC62" s="71">
        <f t="shared" si="41"/>
        <v>0.12339679054343859</v>
      </c>
      <c r="AD62" s="71">
        <f t="shared" si="41"/>
        <v>0.13149046099039102</v>
      </c>
      <c r="AE62" s="71">
        <f t="shared" si="41"/>
        <v>0.10199999999999998</v>
      </c>
      <c r="AF62" s="71">
        <f t="shared" si="41"/>
        <v>0.1094125211241153</v>
      </c>
    </row>
    <row r="63" spans="1:33">
      <c r="A63" s="1"/>
      <c r="B63" s="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row>
    <row r="64" spans="1:33">
      <c r="A64" s="1" t="s">
        <v>175</v>
      </c>
      <c r="B64" s="58"/>
      <c r="C64" s="71" t="str">
        <f>IF(C156&lt;=0,"N/A",(C60-'Rev Req'!C43-('Rev Req'!C36*(1-C95)-C165))/C156)</f>
        <v>N/A</v>
      </c>
      <c r="D64" s="71">
        <f>IF(D156&lt;=0,"N/A",(D60-'Rev Req'!D43-('Rev Req'!D36*(1-D95)-D165))/D156)</f>
        <v>3.4975865706904169E-2</v>
      </c>
      <c r="E64" s="71">
        <f>IF(E156&lt;=0,"N/A",(E60-'Rev Req'!E43-('Rev Req'!E36*(1-E95)-E165))/E156)</f>
        <v>-2.9794257366338631E-2</v>
      </c>
      <c r="F64" s="71">
        <f>IF(F156&lt;=0,"N/A",(F60-'Rev Req'!F43-('Rev Req'!F36*(1-F95)-F165))/F156)</f>
        <v>0.10199999999999998</v>
      </c>
      <c r="G64" s="71">
        <f>IF(G156&lt;=0,"N/A",(G60-'Rev Req'!G43-('Rev Req'!G36*(1-G95)-G165))/G156)</f>
        <v>0.10200000000000001</v>
      </c>
      <c r="H64" s="71">
        <f>IF(H156&lt;=0,"N/A",(H60-'Rev Req'!H43-('Rev Req'!H36*(1-H95)-H165))/H156)</f>
        <v>0.10199999999999999</v>
      </c>
      <c r="I64" s="71">
        <f>IF(I156&lt;=0,"N/A",(I60-'Rev Req'!I43-('Rev Req'!I36*(1-I95)-I165))/I156)</f>
        <v>0.11050000905714018</v>
      </c>
      <c r="J64" s="71">
        <f>IF(J156&lt;=0,"N/A",(J60-'Rev Req'!J43-('Rev Req'!J36*(1-J95)-J165))/J156)</f>
        <v>0.11948111857928732</v>
      </c>
      <c r="K64" s="71">
        <f>IF(K156&lt;=0,"N/A",(K60-'Rev Req'!K43-('Rev Req'!K36*(1-K95)-K165))/K156)</f>
        <v>0.10200000000000001</v>
      </c>
      <c r="L64" s="71">
        <f>IF(L156&lt;=0,"N/A",(L60-'Rev Req'!L43-('Rev Req'!L36*(1-L95)-L165))/L156)</f>
        <v>0.11093127110614411</v>
      </c>
      <c r="M64" s="71">
        <f>IF(M156&lt;=0,"N/A",(M60-'Rev Req'!M43-('Rev Req'!M36*(1-M95)-M165))/M156)</f>
        <v>0.13582080768226973</v>
      </c>
      <c r="N64" s="71">
        <f>IF(N156&lt;=0,"N/A",(N60-'Rev Req'!N43-('Rev Req'!N36*(1-N95)-N165))/N156)</f>
        <v>0.16039348392135061</v>
      </c>
      <c r="O64" s="71">
        <f>IF(O156&lt;=0,"N/A",(O60-'Rev Req'!O43-('Rev Req'!O36*(1-O95)-O165))/O156)</f>
        <v>0.168255341977533</v>
      </c>
      <c r="P64" s="71">
        <f>IF(P156&lt;=0,"N/A",(P60-'Rev Req'!P43-('Rev Req'!P36*(1-P95)-P165))/P156)</f>
        <v>0.10200000000000002</v>
      </c>
      <c r="Q64" s="71">
        <f>IF(Q156&lt;=0,"N/A",(Q60-'Rev Req'!Q43-('Rev Req'!Q36*(1-Q95)-Q165))/Q156)</f>
        <v>0.10775419819953527</v>
      </c>
      <c r="R64" s="71">
        <f>IF(R156&lt;=0,"N/A",(R60-'Rev Req'!R43-('Rev Req'!R36*(1-R95)-R165))/R156)</f>
        <v>0.1137918836259888</v>
      </c>
      <c r="S64" s="71">
        <f>IF(S156&lt;=0,"N/A",(S60-'Rev Req'!S43-('Rev Req'!S36*(1-S95)-S165))/S156)</f>
        <v>0.12012867044591717</v>
      </c>
      <c r="T64" s="71">
        <f>IF(T156&lt;=0,"N/A",(T60-'Rev Req'!T43-('Rev Req'!T36*(1-T95)-T165))/T156)</f>
        <v>0.12680455976742086</v>
      </c>
      <c r="U64" s="71">
        <f>IF(U156&lt;=0,"N/A",(U60-'Rev Req'!U43-('Rev Req'!U36*(1-U95)-U165))/U156)</f>
        <v>0.10199999999999999</v>
      </c>
      <c r="V64" s="71">
        <f>IF(V156&lt;=0,"N/A",(V60-'Rev Req'!V43-('Rev Req'!V36*(1-V95)-V165))/V156)</f>
        <v>0.10814919801325788</v>
      </c>
      <c r="W64" s="71">
        <f>IF(W156&lt;=0,"N/A",(W60-'Rev Req'!W43-('Rev Req'!W36*(1-W95)-W165))/W156)</f>
        <v>0.11464790303784332</v>
      </c>
      <c r="X64" s="71">
        <f>IF(X156&lt;=0,"N/A",(X60-'Rev Req'!X43-('Rev Req'!X36*(1-X95)-X165))/X156)</f>
        <v>0.12152396201313616</v>
      </c>
      <c r="Y64" s="71">
        <f>IF(Y156&lt;=0,"N/A",(Y60-'Rev Req'!Y43-('Rev Req'!Y36*(1-Y95)-Y165))/Y156)</f>
        <v>0.12880822720281271</v>
      </c>
      <c r="Z64" s="71">
        <f>IF(Z156&lt;=0,"N/A",(Z60-'Rev Req'!Z43-('Rev Req'!Z36*(1-Z95)-Z165))/Z156)</f>
        <v>0.10199999999999999</v>
      </c>
      <c r="AA64" s="71">
        <f>IF(AA156&lt;=0,"N/A",(AA60-'Rev Req'!AA43-('Rev Req'!AA36*(1-AA95)-AA165))/AA156)</f>
        <v>0.10869280810562564</v>
      </c>
      <c r="AB64" s="71">
        <f>IF(AB156&lt;=0,"N/A",(AB60-'Rev Req'!AB43-('Rev Req'!AB36*(1-AB95)-AB165))/AB156)</f>
        <v>0.11581212141158673</v>
      </c>
      <c r="AC64" s="71">
        <f>IF(AC156&lt;=0,"N/A",(AC60-'Rev Req'!AC43-('Rev Req'!AC36*(1-AC95)-AC165))/AC156)</f>
        <v>0.12339679054343859</v>
      </c>
      <c r="AD64" s="71">
        <f>IF(AD156&lt;=0,"N/A",(AD60-'Rev Req'!AD43-('Rev Req'!AD36*(1-AD95)-AD165))/AD156)</f>
        <v>0.13149046099039102</v>
      </c>
      <c r="AE64" s="71">
        <f>IF(AE156&lt;=0,"N/A",(AE60-'Rev Req'!AE43-('Rev Req'!AE36*(1-AE95)-AE165))/AE156)</f>
        <v>0.10199999999999998</v>
      </c>
      <c r="AF64" s="71">
        <f>IF(AF156&lt;=0,"N/A",(AF60-'Rev Req'!AF43-('Rev Req'!AF36*(1-AF95)-AF165))/AF156)</f>
        <v>0.1094125211241153</v>
      </c>
      <c r="AG64" s="70"/>
    </row>
    <row r="65" spans="1:33">
      <c r="A65" s="1"/>
      <c r="B65" s="58"/>
      <c r="C65" s="71"/>
      <c r="D65" s="71"/>
      <c r="E65" s="71"/>
      <c r="F65" s="71"/>
      <c r="G65" s="71"/>
      <c r="H65" s="71"/>
      <c r="I65" s="71"/>
      <c r="J65" s="71"/>
      <c r="K65" s="71"/>
      <c r="L65" s="71"/>
      <c r="M65" s="71"/>
      <c r="N65" s="70"/>
      <c r="O65" s="70"/>
      <c r="P65" s="70"/>
      <c r="Q65" s="70"/>
      <c r="R65" s="70"/>
      <c r="S65" s="70"/>
      <c r="T65" s="70"/>
      <c r="U65" s="70"/>
      <c r="V65" s="70"/>
      <c r="W65" s="70"/>
      <c r="X65" s="70"/>
      <c r="Y65" s="70"/>
      <c r="Z65" s="70"/>
      <c r="AA65" s="70"/>
      <c r="AB65" s="70"/>
      <c r="AC65" s="70"/>
      <c r="AD65" s="70"/>
      <c r="AE65" s="70"/>
      <c r="AF65" s="70"/>
      <c r="AG65" s="70"/>
    </row>
    <row r="66" spans="1:33">
      <c r="A66" s="1" t="s">
        <v>236</v>
      </c>
      <c r="B66" s="1"/>
      <c r="C66" s="72">
        <f>IF(C119=0,"N/A",C92/C119)</f>
        <v>-8.2762124970171876E-3</v>
      </c>
      <c r="D66" s="72">
        <f t="shared" ref="D66:AF66" si="42">IF(D119=0,"N/A",D92/D119)</f>
        <v>2.4632172881477912E-2</v>
      </c>
      <c r="E66" s="72">
        <f t="shared" si="42"/>
        <v>2.385568422793179E-2</v>
      </c>
      <c r="F66" s="72">
        <f t="shared" si="42"/>
        <v>5.0575429806843007E-2</v>
      </c>
      <c r="G66" s="72">
        <f t="shared" si="42"/>
        <v>5.5380791598529454E-2</v>
      </c>
      <c r="H66" s="72">
        <f t="shared" si="42"/>
        <v>5.5152441303760777E-2</v>
      </c>
      <c r="I66" s="72">
        <f t="shared" si="42"/>
        <v>5.9609802044587219E-2</v>
      </c>
      <c r="J66" s="72">
        <f t="shared" si="42"/>
        <v>6.4394675388752001E-2</v>
      </c>
      <c r="K66" s="72">
        <f t="shared" si="42"/>
        <v>5.495532833348072E-2</v>
      </c>
      <c r="L66" s="72">
        <f t="shared" si="42"/>
        <v>5.9742682201780993E-2</v>
      </c>
      <c r="M66" s="72">
        <f t="shared" si="42"/>
        <v>7.2662109352214468E-2</v>
      </c>
      <c r="N66" s="72">
        <f t="shared" si="42"/>
        <v>8.5121429405668442E-2</v>
      </c>
      <c r="O66" s="72">
        <f t="shared" si="42"/>
        <v>8.9034477545640298E-2</v>
      </c>
      <c r="P66" s="72">
        <f t="shared" si="42"/>
        <v>5.3811515826867252E-2</v>
      </c>
      <c r="Q66" s="72">
        <f t="shared" si="42"/>
        <v>5.6668313123814568E-2</v>
      </c>
      <c r="R66" s="72">
        <f t="shared" si="42"/>
        <v>5.9641933023693236E-2</v>
      </c>
      <c r="S66" s="72">
        <f t="shared" si="42"/>
        <v>6.2747896357382663E-2</v>
      </c>
      <c r="T66" s="72">
        <f t="shared" si="42"/>
        <v>6.5998472464745328E-2</v>
      </c>
      <c r="U66" s="72">
        <f t="shared" si="42"/>
        <v>5.2890264177682882E-2</v>
      </c>
      <c r="V66" s="72">
        <f t="shared" si="42"/>
        <v>5.585996241487301E-2</v>
      </c>
      <c r="W66" s="72">
        <f t="shared" si="42"/>
        <v>5.8974625534798757E-2</v>
      </c>
      <c r="X66" s="72">
        <f t="shared" si="42"/>
        <v>6.2243919738300076E-2</v>
      </c>
      <c r="Y66" s="72">
        <f t="shared" si="42"/>
        <v>6.5678380601538258E-2</v>
      </c>
      <c r="Z66" s="72">
        <f t="shared" si="42"/>
        <v>5.1763510945535211E-2</v>
      </c>
      <c r="AA66" s="72">
        <f t="shared" si="42"/>
        <v>5.488609175855981E-2</v>
      </c>
      <c r="AB66" s="72">
        <f t="shared" si="42"/>
        <v>5.8175238483822805E-2</v>
      </c>
      <c r="AC66" s="72">
        <f t="shared" si="42"/>
        <v>6.1643311788508758E-2</v>
      </c>
      <c r="AD66" s="72">
        <f t="shared" si="42"/>
        <v>6.5303894094049825E-2</v>
      </c>
      <c r="AE66" s="72">
        <f t="shared" si="42"/>
        <v>5.0345519045895501E-2</v>
      </c>
      <c r="AF66" s="72">
        <f t="shared" si="42"/>
        <v>5.3651701483572047E-2</v>
      </c>
    </row>
    <row r="67" spans="1:33">
      <c r="A67" s="58"/>
      <c r="B67" s="58"/>
      <c r="C67" s="41"/>
      <c r="D67" s="5"/>
      <c r="E67" s="70"/>
      <c r="F67" s="70"/>
      <c r="G67" s="72"/>
      <c r="H67" s="70"/>
      <c r="I67" s="70"/>
      <c r="J67" s="70"/>
      <c r="K67" s="70"/>
      <c r="L67" s="72"/>
      <c r="M67" s="70"/>
      <c r="N67" s="70"/>
      <c r="O67" s="70"/>
      <c r="P67" s="70"/>
      <c r="Q67" s="72"/>
      <c r="R67" s="72"/>
      <c r="S67" s="72"/>
      <c r="T67" s="72"/>
      <c r="U67" s="72"/>
      <c r="V67" s="72"/>
      <c r="W67" s="72"/>
      <c r="X67" s="72"/>
      <c r="Y67" s="72"/>
      <c r="Z67" s="72"/>
      <c r="AA67" s="72"/>
      <c r="AB67" s="72"/>
      <c r="AC67" s="72"/>
      <c r="AD67" s="72"/>
      <c r="AE67" s="72"/>
      <c r="AF67" s="72"/>
      <c r="AG67" s="70"/>
    </row>
    <row r="68" spans="1:33">
      <c r="A68" s="2" t="s">
        <v>237</v>
      </c>
      <c r="B68" s="66"/>
      <c r="C68" s="73">
        <f>+'Rev Req'!C15</f>
        <v>0</v>
      </c>
      <c r="D68" s="73">
        <f>+'Rev Req'!D15</f>
        <v>2.513797777803798E-2</v>
      </c>
      <c r="E68" s="73">
        <f>+'Rev Req'!E15</f>
        <v>6843785.2321432745</v>
      </c>
      <c r="F68" s="73">
        <f>+'Rev Req'!F15</f>
        <v>29676195.567923136</v>
      </c>
      <c r="G68" s="73">
        <f>+'Rev Req'!G15</f>
        <v>38764581.231985211</v>
      </c>
      <c r="H68" s="73">
        <f>+'Rev Req'!H15</f>
        <v>37807525.869597256</v>
      </c>
      <c r="I68" s="73">
        <f>+'Rev Req'!I15</f>
        <v>36899553.368310913</v>
      </c>
      <c r="J68" s="73">
        <f>+'Rev Req'!J15</f>
        <v>36026788.095025361</v>
      </c>
      <c r="K68" s="73">
        <f>+'Rev Req'!K15</f>
        <v>35169103.092066064</v>
      </c>
      <c r="L68" s="73">
        <f>+'Rev Req'!L15</f>
        <v>34313567.962550938</v>
      </c>
      <c r="M68" s="73">
        <f>+'Rev Req'!M15</f>
        <v>31177128.796588216</v>
      </c>
      <c r="N68" s="73">
        <f>+'Rev Req'!N15</f>
        <v>28271657.38581273</v>
      </c>
      <c r="O68" s="73">
        <f>+'Rev Req'!O15</f>
        <v>27880481.438963041</v>
      </c>
      <c r="P68" s="73">
        <f>+'Rev Req'!P15</f>
        <v>27506390.958757535</v>
      </c>
      <c r="Q68" s="73">
        <f>+'Rev Req'!Q15</f>
        <v>27133654.407822143</v>
      </c>
      <c r="R68" s="73">
        <f>+'Rev Req'!R15</f>
        <v>26764234.353695512</v>
      </c>
      <c r="S68" s="73">
        <f>+'Rev Req'!S15</f>
        <v>26398537.893327657</v>
      </c>
      <c r="T68" s="73">
        <f>+'Rev Req'!T15</f>
        <v>26034338.344532751</v>
      </c>
      <c r="U68" s="73">
        <f>+'Rev Req'!U15</f>
        <v>25671667.19025936</v>
      </c>
      <c r="V68" s="73">
        <f>+'Rev Req'!V15</f>
        <v>25310555.589115221</v>
      </c>
      <c r="W68" s="73">
        <f>+'Rev Req'!W15</f>
        <v>24951036.332829371</v>
      </c>
      <c r="X68" s="73">
        <f>+'Rev Req'!X15</f>
        <v>24593142.891004704</v>
      </c>
      <c r="Y68" s="73">
        <f>+'Rev Req'!Y15</f>
        <v>24236907.317870911</v>
      </c>
      <c r="Z68" s="73">
        <f>+'Rev Req'!Z15</f>
        <v>23882365.262191609</v>
      </c>
      <c r="AA68" s="73">
        <f>+'Rev Req'!AA15</f>
        <v>23529551.913102057</v>
      </c>
      <c r="AB68" s="73">
        <f>+'Rev Req'!AB15</f>
        <v>23178503.283315137</v>
      </c>
      <c r="AC68" s="73">
        <f>+'Rev Req'!AC15</f>
        <v>22829255.70257847</v>
      </c>
      <c r="AD68" s="73">
        <f>+'Rev Req'!AD15</f>
        <v>22481847.416622579</v>
      </c>
      <c r="AE68" s="73">
        <f>+'Rev Req'!AE15</f>
        <v>22136315.947675999</v>
      </c>
      <c r="AF68" s="73">
        <f>+'Rev Req'!AF15</f>
        <v>21792701.190009587</v>
      </c>
      <c r="AG68" s="73">
        <f>SUM(C68:AF68)</f>
        <v>761261374.06081462</v>
      </c>
    </row>
    <row r="69" spans="1:33">
      <c r="A69" s="2" t="s">
        <v>217</v>
      </c>
      <c r="B69" s="66"/>
      <c r="C69" s="73">
        <f>NPV($C$74,$C$68:$AF$68)</f>
        <v>298651916.17352599</v>
      </c>
      <c r="D69" s="63"/>
      <c r="E69" s="63"/>
      <c r="F69" s="63"/>
      <c r="G69" s="66"/>
      <c r="H69" s="66"/>
      <c r="I69" s="66"/>
      <c r="J69" s="66"/>
      <c r="K69" s="66"/>
      <c r="L69" s="66"/>
      <c r="M69" s="66"/>
      <c r="N69" s="66"/>
      <c r="O69" s="66"/>
      <c r="P69" s="66"/>
      <c r="Q69" s="66"/>
      <c r="R69" s="66"/>
      <c r="S69" s="66"/>
      <c r="T69" s="66"/>
      <c r="U69" s="66"/>
      <c r="V69" s="66"/>
      <c r="W69" s="66"/>
      <c r="X69" s="66"/>
      <c r="Y69" s="66"/>
      <c r="Z69" s="66"/>
      <c r="AA69" s="41"/>
      <c r="AB69" s="41"/>
      <c r="AC69" s="41"/>
      <c r="AD69" s="41"/>
      <c r="AE69" s="41"/>
      <c r="AF69" s="41"/>
      <c r="AG69" s="66"/>
    </row>
    <row r="70" spans="1:33">
      <c r="B70" s="66"/>
      <c r="C70" s="73"/>
      <c r="D70" s="63"/>
      <c r="E70" s="63"/>
      <c r="F70" s="63"/>
      <c r="G70" s="66"/>
      <c r="H70" s="66"/>
      <c r="I70" s="66"/>
      <c r="J70" s="66"/>
      <c r="K70" s="66"/>
      <c r="L70" s="66"/>
      <c r="M70" s="66"/>
      <c r="N70" s="66"/>
      <c r="O70" s="66"/>
      <c r="P70" s="66"/>
      <c r="Q70" s="66"/>
      <c r="R70" s="66"/>
      <c r="S70" s="66"/>
      <c r="T70" s="66"/>
      <c r="U70" s="66"/>
      <c r="V70" s="66"/>
      <c r="W70" s="66"/>
      <c r="X70" s="66"/>
      <c r="Y70" s="66"/>
      <c r="Z70" s="66"/>
      <c r="AA70" s="41"/>
      <c r="AB70" s="41"/>
      <c r="AC70" s="41"/>
      <c r="AD70" s="41"/>
      <c r="AE70" s="41"/>
      <c r="AF70" s="41"/>
      <c r="AG70" s="66"/>
    </row>
    <row r="71" spans="1:33">
      <c r="A71" s="2" t="s">
        <v>238</v>
      </c>
      <c r="B71" s="66"/>
      <c r="C71" s="73">
        <f>+'Rev Req'!C15-'Rev Req'!C6</f>
        <v>0</v>
      </c>
      <c r="D71" s="73">
        <f>+'Rev Req'!D15-'Rev Req'!D6</f>
        <v>2.513797777803798E-2</v>
      </c>
      <c r="E71" s="73">
        <f>+'Rev Req'!E15-'Rev Req'!E6</f>
        <v>6843785.2321432745</v>
      </c>
      <c r="F71" s="73">
        <f>+'Rev Req'!F15-'Rev Req'!F6</f>
        <v>29676195.567923136</v>
      </c>
      <c r="G71" s="73">
        <f>+'Rev Req'!G15-'Rev Req'!G6</f>
        <v>38764581.231985211</v>
      </c>
      <c r="H71" s="73">
        <f>+'Rev Req'!H15-'Rev Req'!H6</f>
        <v>37807525.869597256</v>
      </c>
      <c r="I71" s="73">
        <f>+'Rev Req'!I15-'Rev Req'!I6</f>
        <v>36899553.368310913</v>
      </c>
      <c r="J71" s="73">
        <f>+'Rev Req'!J15-'Rev Req'!J6</f>
        <v>36026788.095025361</v>
      </c>
      <c r="K71" s="73">
        <f>+'Rev Req'!K15-'Rev Req'!K6</f>
        <v>35169103.092066064</v>
      </c>
      <c r="L71" s="73">
        <f>+'Rev Req'!L15-'Rev Req'!L6</f>
        <v>34313567.962550938</v>
      </c>
      <c r="M71" s="73">
        <f>+'Rev Req'!M15-'Rev Req'!M6</f>
        <v>31177128.796588216</v>
      </c>
      <c r="N71" s="73">
        <f>+'Rev Req'!N15-'Rev Req'!N6</f>
        <v>28271657.38581273</v>
      </c>
      <c r="O71" s="73">
        <f>+'Rev Req'!O15-'Rev Req'!O6</f>
        <v>27880481.438963041</v>
      </c>
      <c r="P71" s="73">
        <f>+'Rev Req'!P15-'Rev Req'!P6</f>
        <v>27506390.958757535</v>
      </c>
      <c r="Q71" s="73">
        <f>+'Rev Req'!Q15-'Rev Req'!Q6</f>
        <v>27133654.407822143</v>
      </c>
      <c r="R71" s="73">
        <f>+'Rev Req'!R15-'Rev Req'!R6</f>
        <v>26764234.353695512</v>
      </c>
      <c r="S71" s="73">
        <f>+'Rev Req'!S15-'Rev Req'!S6</f>
        <v>26398537.893327657</v>
      </c>
      <c r="T71" s="73">
        <f>+'Rev Req'!T15-'Rev Req'!T6</f>
        <v>26034338.344532751</v>
      </c>
      <c r="U71" s="73">
        <f>+'Rev Req'!U15-'Rev Req'!U6</f>
        <v>25671667.19025936</v>
      </c>
      <c r="V71" s="73">
        <f>+'Rev Req'!V15-'Rev Req'!V6</f>
        <v>25310555.589115221</v>
      </c>
      <c r="W71" s="73">
        <f>+'Rev Req'!W15-'Rev Req'!W6</f>
        <v>24951036.332829371</v>
      </c>
      <c r="X71" s="73">
        <f>+'Rev Req'!X15-'Rev Req'!X6</f>
        <v>24593142.891004704</v>
      </c>
      <c r="Y71" s="73">
        <f>+'Rev Req'!Y15-'Rev Req'!Y6</f>
        <v>24236907.317870911</v>
      </c>
      <c r="Z71" s="73">
        <f>+'Rev Req'!Z15-'Rev Req'!Z6</f>
        <v>23882365.262191609</v>
      </c>
      <c r="AA71" s="73">
        <f>+'Rev Req'!AA15-'Rev Req'!AA6</f>
        <v>23529551.913102057</v>
      </c>
      <c r="AB71" s="73">
        <f>+'Rev Req'!AB15-'Rev Req'!AB6</f>
        <v>23178503.283315137</v>
      </c>
      <c r="AC71" s="73">
        <f>+'Rev Req'!AC15-'Rev Req'!AC6</f>
        <v>22829255.70257847</v>
      </c>
      <c r="AD71" s="73">
        <f>+'Rev Req'!AD15-'Rev Req'!AD6</f>
        <v>22481847.416622579</v>
      </c>
      <c r="AE71" s="73">
        <f>+'Rev Req'!AE15-'Rev Req'!AE6</f>
        <v>22136315.947675999</v>
      </c>
      <c r="AF71" s="73">
        <f>+'Rev Req'!AF15-'Rev Req'!AF6</f>
        <v>21792701.190009587</v>
      </c>
      <c r="AG71" s="73">
        <f>SUM(C71:AF71)</f>
        <v>761261374.06081462</v>
      </c>
    </row>
    <row r="72" spans="1:33">
      <c r="A72" s="2" t="s">
        <v>217</v>
      </c>
      <c r="B72" s="66"/>
      <c r="C72" s="73">
        <f>NPV($C$74,$C$71:$AF$71)</f>
        <v>298651916.17352599</v>
      </c>
      <c r="D72" s="63"/>
      <c r="E72" s="63"/>
      <c r="F72" s="63"/>
      <c r="G72" s="66"/>
      <c r="H72" s="66"/>
      <c r="I72" s="66"/>
      <c r="J72" s="66"/>
      <c r="K72" s="66"/>
      <c r="L72" s="66"/>
      <c r="M72" s="66"/>
      <c r="N72" s="66"/>
      <c r="O72" s="66"/>
      <c r="P72" s="66"/>
      <c r="Q72" s="66"/>
      <c r="R72" s="66"/>
      <c r="S72" s="66"/>
      <c r="T72" s="66"/>
      <c r="U72" s="66"/>
      <c r="V72" s="66"/>
      <c r="W72" s="66"/>
      <c r="X72" s="66"/>
      <c r="Y72" s="66"/>
      <c r="Z72" s="66"/>
      <c r="AA72" s="41"/>
      <c r="AB72" s="41"/>
      <c r="AC72" s="41"/>
      <c r="AD72" s="41"/>
      <c r="AE72" s="41"/>
      <c r="AF72" s="41"/>
      <c r="AG72" s="66"/>
    </row>
    <row r="73" spans="1:33">
      <c r="C73" s="4"/>
      <c r="D73" s="66"/>
      <c r="E73" s="36"/>
      <c r="F73" s="185"/>
      <c r="G73" s="36"/>
      <c r="H73" s="36"/>
      <c r="I73" s="36"/>
      <c r="K73" s="36"/>
      <c r="L73" s="66"/>
      <c r="M73" s="66"/>
      <c r="N73" s="66"/>
      <c r="O73" s="66"/>
      <c r="P73" s="66"/>
      <c r="Q73" s="67"/>
      <c r="R73" s="67"/>
      <c r="S73" s="67"/>
      <c r="T73" s="67"/>
      <c r="U73" s="67"/>
      <c r="V73" s="67"/>
      <c r="W73" s="67"/>
      <c r="X73" s="67"/>
      <c r="Y73" s="67"/>
      <c r="Z73" s="67"/>
      <c r="AA73" s="41"/>
      <c r="AB73" s="41"/>
      <c r="AC73" s="41"/>
      <c r="AD73" s="41"/>
      <c r="AE73" s="41"/>
      <c r="AF73" s="41"/>
      <c r="AG73" s="67"/>
    </row>
    <row r="74" spans="1:33">
      <c r="A74" s="2" t="s">
        <v>239</v>
      </c>
      <c r="C74" s="45">
        <f>Results!F16</f>
        <v>7.1168899049999998E-2</v>
      </c>
      <c r="D74" s="66"/>
      <c r="E74" s="36"/>
      <c r="F74" s="36"/>
      <c r="G74" s="36"/>
      <c r="H74" s="36"/>
      <c r="I74" s="36"/>
      <c r="K74" s="36"/>
      <c r="L74" s="66"/>
      <c r="M74" s="66"/>
      <c r="N74" s="66"/>
      <c r="O74" s="66"/>
      <c r="P74" s="66"/>
      <c r="Q74" s="67"/>
      <c r="R74" s="67"/>
      <c r="S74" s="67"/>
      <c r="T74" s="67"/>
      <c r="U74" s="67"/>
      <c r="V74" s="67"/>
      <c r="W74" s="67"/>
      <c r="X74" s="67"/>
      <c r="Y74" s="67"/>
      <c r="Z74" s="67"/>
      <c r="AA74" s="41"/>
      <c r="AB74" s="41"/>
      <c r="AC74" s="41"/>
      <c r="AD74" s="41"/>
      <c r="AE74" s="41"/>
      <c r="AF74" s="41"/>
      <c r="AG74" s="67"/>
    </row>
    <row r="75" spans="1:33" ht="15" thickBot="1">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row>
    <row r="76" spans="1:33">
      <c r="A76" s="6"/>
      <c r="C76" s="45"/>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row>
    <row r="77" spans="1:33">
      <c r="A77" s="256" t="s">
        <v>240</v>
      </c>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row>
    <row r="78" spans="1:33">
      <c r="A78" s="105" t="s">
        <v>241</v>
      </c>
      <c r="B78" s="57"/>
      <c r="C78" s="73">
        <f t="shared" ref="C78:AF78" si="43">C12</f>
        <v>0</v>
      </c>
      <c r="D78" s="73">
        <f t="shared" si="43"/>
        <v>0</v>
      </c>
      <c r="E78" s="73">
        <f t="shared" si="43"/>
        <v>0</v>
      </c>
      <c r="F78" s="73">
        <f t="shared" si="43"/>
        <v>29676195.567923136</v>
      </c>
      <c r="G78" s="73">
        <f t="shared" si="43"/>
        <v>38764581.231985211</v>
      </c>
      <c r="H78" s="73">
        <f t="shared" si="43"/>
        <v>37807525.869597256</v>
      </c>
      <c r="I78" s="73">
        <f t="shared" si="43"/>
        <v>38374638.757641211</v>
      </c>
      <c r="J78" s="73">
        <f t="shared" si="43"/>
        <v>38950258.339005828</v>
      </c>
      <c r="K78" s="73">
        <f t="shared" si="43"/>
        <v>35169103.092066064</v>
      </c>
      <c r="L78" s="73">
        <f t="shared" si="43"/>
        <v>35696639.638447054</v>
      </c>
      <c r="M78" s="73">
        <f t="shared" si="43"/>
        <v>36232089.233023755</v>
      </c>
      <c r="N78" s="73">
        <f t="shared" si="43"/>
        <v>36775570.571519107</v>
      </c>
      <c r="O78" s="73">
        <f t="shared" si="43"/>
        <v>37327204.130091891</v>
      </c>
      <c r="P78" s="73">
        <f t="shared" si="43"/>
        <v>27506390.958757535</v>
      </c>
      <c r="Q78" s="73">
        <f t="shared" si="43"/>
        <v>27918986.823138896</v>
      </c>
      <c r="R78" s="73">
        <f t="shared" si="43"/>
        <v>28337771.625485975</v>
      </c>
      <c r="S78" s="73">
        <f t="shared" si="43"/>
        <v>28762838.199868262</v>
      </c>
      <c r="T78" s="73">
        <f t="shared" si="43"/>
        <v>29194280.772866283</v>
      </c>
      <c r="U78" s="73">
        <f t="shared" si="43"/>
        <v>25671667.19025936</v>
      </c>
      <c r="V78" s="73">
        <f t="shared" si="43"/>
        <v>26056742.198113248</v>
      </c>
      <c r="W78" s="73">
        <f t="shared" si="43"/>
        <v>26447593.331084944</v>
      </c>
      <c r="X78" s="73">
        <f t="shared" si="43"/>
        <v>26844307.231051214</v>
      </c>
      <c r="Y78" s="73">
        <f t="shared" si="43"/>
        <v>27246971.839516979</v>
      </c>
      <c r="Z78" s="73">
        <f t="shared" si="43"/>
        <v>23882365.262191609</v>
      </c>
      <c r="AA78" s="73">
        <f t="shared" si="43"/>
        <v>24240600.741124481</v>
      </c>
      <c r="AB78" s="73">
        <f t="shared" si="43"/>
        <v>24604209.752241347</v>
      </c>
      <c r="AC78" s="73">
        <f t="shared" si="43"/>
        <v>24973272.898524966</v>
      </c>
      <c r="AD78" s="73">
        <f t="shared" si="43"/>
        <v>25347871.992002837</v>
      </c>
      <c r="AE78" s="73">
        <f t="shared" si="43"/>
        <v>22136315.947675999</v>
      </c>
      <c r="AF78" s="73">
        <f t="shared" si="43"/>
        <v>22468360.686891139</v>
      </c>
      <c r="AG78" s="73">
        <f>SUM(C78:AF78)</f>
        <v>806414353.88209558</v>
      </c>
    </row>
    <row r="79" spans="1:33">
      <c r="A79" s="2" t="s">
        <v>200</v>
      </c>
      <c r="B79" s="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t="s">
        <v>242</v>
      </c>
    </row>
    <row r="80" spans="1:33">
      <c r="A80" s="6" t="s">
        <v>201</v>
      </c>
      <c r="B80" s="1"/>
      <c r="C80" s="41">
        <f t="shared" ref="C80:AF80" si="44">C15</f>
        <v>0</v>
      </c>
      <c r="D80" s="41">
        <f t="shared" si="44"/>
        <v>0</v>
      </c>
      <c r="E80" s="41">
        <f t="shared" si="44"/>
        <v>0</v>
      </c>
      <c r="F80" s="41">
        <f t="shared" si="44"/>
        <v>0</v>
      </c>
      <c r="G80" s="41">
        <f t="shared" si="44"/>
        <v>0</v>
      </c>
      <c r="H80" s="41">
        <f t="shared" si="44"/>
        <v>0</v>
      </c>
      <c r="I80" s="41">
        <f t="shared" si="44"/>
        <v>0</v>
      </c>
      <c r="J80" s="41">
        <f t="shared" si="44"/>
        <v>0</v>
      </c>
      <c r="K80" s="41">
        <f t="shared" si="44"/>
        <v>0</v>
      </c>
      <c r="L80" s="41">
        <f t="shared" si="44"/>
        <v>0</v>
      </c>
      <c r="M80" s="41">
        <f t="shared" si="44"/>
        <v>0</v>
      </c>
      <c r="N80" s="41">
        <f t="shared" si="44"/>
        <v>0</v>
      </c>
      <c r="O80" s="41">
        <f t="shared" si="44"/>
        <v>0</v>
      </c>
      <c r="P80" s="41">
        <f t="shared" si="44"/>
        <v>0</v>
      </c>
      <c r="Q80" s="41">
        <f t="shared" si="44"/>
        <v>0</v>
      </c>
      <c r="R80" s="41">
        <f t="shared" si="44"/>
        <v>0</v>
      </c>
      <c r="S80" s="41">
        <f t="shared" si="44"/>
        <v>0</v>
      </c>
      <c r="T80" s="41">
        <f t="shared" si="44"/>
        <v>0</v>
      </c>
      <c r="U80" s="41">
        <f t="shared" si="44"/>
        <v>0</v>
      </c>
      <c r="V80" s="41">
        <f t="shared" si="44"/>
        <v>0</v>
      </c>
      <c r="W80" s="41">
        <f t="shared" si="44"/>
        <v>0</v>
      </c>
      <c r="X80" s="41">
        <f t="shared" si="44"/>
        <v>0</v>
      </c>
      <c r="Y80" s="41">
        <f t="shared" si="44"/>
        <v>0</v>
      </c>
      <c r="Z80" s="41">
        <f t="shared" si="44"/>
        <v>0</v>
      </c>
      <c r="AA80" s="41">
        <f t="shared" si="44"/>
        <v>0</v>
      </c>
      <c r="AB80" s="41">
        <f t="shared" si="44"/>
        <v>0</v>
      </c>
      <c r="AC80" s="41">
        <f t="shared" si="44"/>
        <v>0</v>
      </c>
      <c r="AD80" s="41">
        <f t="shared" si="44"/>
        <v>0</v>
      </c>
      <c r="AE80" s="41">
        <f t="shared" si="44"/>
        <v>0</v>
      </c>
      <c r="AF80" s="41">
        <f t="shared" si="44"/>
        <v>0</v>
      </c>
      <c r="AG80" s="41">
        <f t="shared" ref="AG80:AG85" si="45">SUM(C80:AF80)</f>
        <v>0</v>
      </c>
    </row>
    <row r="81" spans="1:33">
      <c r="A81" s="6" t="s">
        <v>243</v>
      </c>
      <c r="C81" s="41">
        <f t="shared" ref="C81:AF81" si="46">C16</f>
        <v>0</v>
      </c>
      <c r="D81" s="41">
        <f t="shared" si="46"/>
        <v>0</v>
      </c>
      <c r="E81" s="41">
        <f t="shared" si="46"/>
        <v>0</v>
      </c>
      <c r="F81" s="41">
        <f t="shared" si="46"/>
        <v>3453821</v>
      </c>
      <c r="G81" s="41">
        <f t="shared" si="46"/>
        <v>2896628</v>
      </c>
      <c r="H81" s="41">
        <f t="shared" si="46"/>
        <v>2940078</v>
      </c>
      <c r="I81" s="41">
        <f t="shared" si="46"/>
        <v>2984180</v>
      </c>
      <c r="J81" s="41">
        <f t="shared" si="46"/>
        <v>3028942</v>
      </c>
      <c r="K81" s="41">
        <f t="shared" si="46"/>
        <v>3074376</v>
      </c>
      <c r="L81" s="41">
        <f t="shared" si="46"/>
        <v>3120492</v>
      </c>
      <c r="M81" s="41">
        <f t="shared" si="46"/>
        <v>3167300</v>
      </c>
      <c r="N81" s="41">
        <f t="shared" si="46"/>
        <v>3214809</v>
      </c>
      <c r="O81" s="41">
        <f t="shared" si="46"/>
        <v>3263031</v>
      </c>
      <c r="P81" s="41">
        <f t="shared" si="46"/>
        <v>3328291</v>
      </c>
      <c r="Q81" s="41">
        <f t="shared" si="46"/>
        <v>3394856</v>
      </c>
      <c r="R81" s="41">
        <f t="shared" si="46"/>
        <v>3462753</v>
      </c>
      <c r="S81" s="41">
        <f t="shared" si="46"/>
        <v>3532008</v>
      </c>
      <c r="T81" s="41">
        <f t="shared" si="46"/>
        <v>3602648</v>
      </c>
      <c r="U81" s="41">
        <f t="shared" si="46"/>
        <v>3674701</v>
      </c>
      <c r="V81" s="41">
        <f t="shared" si="46"/>
        <v>3748195</v>
      </c>
      <c r="W81" s="41">
        <f t="shared" si="46"/>
        <v>3823159</v>
      </c>
      <c r="X81" s="41">
        <f t="shared" si="46"/>
        <v>3899623</v>
      </c>
      <c r="Y81" s="41">
        <f t="shared" si="46"/>
        <v>3977615</v>
      </c>
      <c r="Z81" s="41">
        <f t="shared" si="46"/>
        <v>4057167</v>
      </c>
      <c r="AA81" s="41">
        <f t="shared" si="46"/>
        <v>4138310</v>
      </c>
      <c r="AB81" s="41">
        <f t="shared" si="46"/>
        <v>4221076</v>
      </c>
      <c r="AC81" s="41">
        <f t="shared" si="46"/>
        <v>4305497</v>
      </c>
      <c r="AD81" s="41">
        <f t="shared" si="46"/>
        <v>4391607</v>
      </c>
      <c r="AE81" s="41">
        <f t="shared" si="46"/>
        <v>4479439</v>
      </c>
      <c r="AF81" s="41">
        <f t="shared" si="46"/>
        <v>4569028</v>
      </c>
      <c r="AG81" s="41">
        <f t="shared" si="45"/>
        <v>97749630</v>
      </c>
    </row>
    <row r="82" spans="1:33">
      <c r="A82" s="6" t="s">
        <v>203</v>
      </c>
      <c r="B82" s="252">
        <f>SUM(C82:AA82)</f>
        <v>114897893.41209622</v>
      </c>
      <c r="C82" s="41">
        <f t="shared" ref="C82:AF82" si="47">C17</f>
        <v>0</v>
      </c>
      <c r="D82" s="41">
        <f t="shared" si="47"/>
        <v>0</v>
      </c>
      <c r="E82" s="41">
        <f t="shared" si="47"/>
        <v>0</v>
      </c>
      <c r="F82" s="41">
        <f t="shared" si="47"/>
        <v>5344643.8985098768</v>
      </c>
      <c r="G82" s="41">
        <f t="shared" si="47"/>
        <v>8507481.9233043119</v>
      </c>
      <c r="H82" s="41">
        <f t="shared" si="47"/>
        <v>8507481.9233043119</v>
      </c>
      <c r="I82" s="41">
        <f t="shared" si="47"/>
        <v>8507481.9233043119</v>
      </c>
      <c r="J82" s="41">
        <f t="shared" si="47"/>
        <v>8507481.9233043119</v>
      </c>
      <c r="K82" s="41">
        <f t="shared" si="47"/>
        <v>8507481.9233043119</v>
      </c>
      <c r="L82" s="41">
        <f t="shared" si="47"/>
        <v>8507702.7566376459</v>
      </c>
      <c r="M82" s="41">
        <f t="shared" si="47"/>
        <v>6121884.8892565202</v>
      </c>
      <c r="N82" s="41">
        <f t="shared" si="47"/>
        <v>3736082.5612344802</v>
      </c>
      <c r="O82" s="41">
        <f t="shared" si="47"/>
        <v>3736562.3978587231</v>
      </c>
      <c r="P82" s="41">
        <f t="shared" si="47"/>
        <v>3737056.6296041775</v>
      </c>
      <c r="Q82" s="41">
        <f t="shared" si="47"/>
        <v>3737565.6882602382</v>
      </c>
      <c r="R82" s="41">
        <f t="shared" si="47"/>
        <v>3738380.9890269046</v>
      </c>
      <c r="S82" s="41">
        <f t="shared" si="47"/>
        <v>3739511.7192132683</v>
      </c>
      <c r="T82" s="41">
        <f t="shared" si="47"/>
        <v>3740676.3713269047</v>
      </c>
      <c r="U82" s="41">
        <f t="shared" si="47"/>
        <v>3741875.9629678139</v>
      </c>
      <c r="V82" s="41">
        <f t="shared" si="47"/>
        <v>3743111.5423314502</v>
      </c>
      <c r="W82" s="41">
        <f t="shared" si="47"/>
        <v>3744384.1890920564</v>
      </c>
      <c r="X82" s="41">
        <f t="shared" si="47"/>
        <v>3745695.0152859958</v>
      </c>
      <c r="Y82" s="41">
        <f t="shared" si="47"/>
        <v>3747045.1662753895</v>
      </c>
      <c r="Z82" s="41">
        <f t="shared" si="47"/>
        <v>3748435.8217920563</v>
      </c>
      <c r="AA82" s="41">
        <f t="shared" si="47"/>
        <v>3749868.1969011473</v>
      </c>
      <c r="AB82" s="41">
        <f t="shared" si="47"/>
        <v>3751343.5432056924</v>
      </c>
      <c r="AC82" s="41">
        <f t="shared" si="47"/>
        <v>3752863.1499708439</v>
      </c>
      <c r="AD82" s="41">
        <f t="shared" si="47"/>
        <v>3754428.3450072077</v>
      </c>
      <c r="AE82" s="41">
        <f t="shared" si="47"/>
        <v>3756040.4958753893</v>
      </c>
      <c r="AF82" s="41">
        <f t="shared" si="47"/>
        <v>3757701.0112511469</v>
      </c>
      <c r="AG82" s="41">
        <f t="shared" si="45"/>
        <v>133670269.95740651</v>
      </c>
    </row>
    <row r="83" spans="1:33">
      <c r="A83" s="6" t="s">
        <v>204</v>
      </c>
      <c r="C83" s="41">
        <f t="shared" ref="C83:AF83" si="48">C18</f>
        <v>0</v>
      </c>
      <c r="D83" s="41">
        <f t="shared" si="48"/>
        <v>0</v>
      </c>
      <c r="E83" s="41">
        <f t="shared" si="48"/>
        <v>0</v>
      </c>
      <c r="F83" s="41">
        <f t="shared" si="48"/>
        <v>1473197.107091544</v>
      </c>
      <c r="G83" s="41">
        <f t="shared" si="48"/>
        <v>2709964.5105126561</v>
      </c>
      <c r="H83" s="41">
        <f t="shared" si="48"/>
        <v>2623188.1948949522</v>
      </c>
      <c r="I83" s="41">
        <f t="shared" si="48"/>
        <v>2536411.8792772484</v>
      </c>
      <c r="J83" s="41">
        <f t="shared" si="48"/>
        <v>2449635.5636595446</v>
      </c>
      <c r="K83" s="41">
        <f t="shared" si="48"/>
        <v>2362859.2480418398</v>
      </c>
      <c r="L83" s="41">
        <f t="shared" si="48"/>
        <v>2276082.9324241364</v>
      </c>
      <c r="M83" s="41">
        <f t="shared" si="48"/>
        <v>2189574.6643064325</v>
      </c>
      <c r="N83" s="41">
        <f t="shared" si="48"/>
        <v>2127409.847436016</v>
      </c>
      <c r="O83" s="41">
        <f t="shared" si="48"/>
        <v>2089591.1254869509</v>
      </c>
      <c r="P83" s="41">
        <f t="shared" si="48"/>
        <v>2051776.1888813379</v>
      </c>
      <c r="Q83" s="41">
        <f t="shared" si="48"/>
        <v>2013965.151063266</v>
      </c>
      <c r="R83" s="41">
        <f t="shared" si="48"/>
        <v>1976158.129034139</v>
      </c>
      <c r="S83" s="41">
        <f t="shared" si="48"/>
        <v>1938708.4230933371</v>
      </c>
      <c r="T83" s="41">
        <f t="shared" si="48"/>
        <v>1901267.637158198</v>
      </c>
      <c r="U83" s="41">
        <f t="shared" si="48"/>
        <v>1863836.0387569182</v>
      </c>
      <c r="V83" s="41">
        <f t="shared" si="48"/>
        <v>1826413.9035168646</v>
      </c>
      <c r="W83" s="41">
        <f t="shared" si="48"/>
        <v>1789001.5153439564</v>
      </c>
      <c r="X83" s="41">
        <f t="shared" si="48"/>
        <v>1751599.1666913261</v>
      </c>
      <c r="Y83" s="41">
        <f t="shared" si="48"/>
        <v>1714207.1587206819</v>
      </c>
      <c r="Z83" s="41">
        <f t="shared" si="48"/>
        <v>1676825.8016504182</v>
      </c>
      <c r="AA83" s="41">
        <f t="shared" si="48"/>
        <v>1639455.4149947942</v>
      </c>
      <c r="AB83" s="41">
        <f t="shared" si="48"/>
        <v>1602096.327793275</v>
      </c>
      <c r="AC83" s="41">
        <f t="shared" si="48"/>
        <v>1564748.8791224675</v>
      </c>
      <c r="AD83" s="41">
        <f t="shared" si="48"/>
        <v>1527413.4182034195</v>
      </c>
      <c r="AE83" s="41">
        <f t="shared" si="48"/>
        <v>1490090.3045982006</v>
      </c>
      <c r="AF83" s="41">
        <f t="shared" si="48"/>
        <v>1452779.9086890717</v>
      </c>
      <c r="AG83" s="41">
        <f t="shared" si="45"/>
        <v>52618258.440442987</v>
      </c>
    </row>
    <row r="84" spans="1:33">
      <c r="A84" s="6" t="s">
        <v>95</v>
      </c>
      <c r="C84" s="323">
        <f>-Capex!G30</f>
        <v>-252101.44452701419</v>
      </c>
      <c r="D84" s="323">
        <f>-Capex!H30</f>
        <v>-3982810.4474447821</v>
      </c>
      <c r="E84" s="323">
        <f>-Capex!I30</f>
        <v>-8677461.1784080323</v>
      </c>
      <c r="F84" s="323">
        <f>-Capex!J30</f>
        <v>-3115065.9764296375</v>
      </c>
      <c r="G84" s="323">
        <f>-Capex!K30</f>
        <v>0</v>
      </c>
      <c r="H84" s="323">
        <f>-Capex!L30</f>
        <v>0</v>
      </c>
      <c r="I84" s="323">
        <f>-Capex!M30</f>
        <v>0</v>
      </c>
      <c r="J84" s="323">
        <f>-Capex!N30</f>
        <v>0</v>
      </c>
      <c r="K84" s="323">
        <f>-Capex!O30</f>
        <v>0</v>
      </c>
      <c r="L84" s="323">
        <f>-Capex!P30</f>
        <v>0</v>
      </c>
      <c r="M84" s="323">
        <f>-Capex!Q30</f>
        <v>0</v>
      </c>
      <c r="N84" s="323">
        <f>-Capex!R30</f>
        <v>0</v>
      </c>
      <c r="O84" s="323">
        <f>-Capex!S30</f>
        <v>0</v>
      </c>
      <c r="P84" s="323">
        <f>-Capex!T30</f>
        <v>0</v>
      </c>
      <c r="Q84" s="323">
        <f>-Capex!U30</f>
        <v>0</v>
      </c>
      <c r="R84" s="323">
        <f>-Capex!V30</f>
        <v>0</v>
      </c>
      <c r="S84" s="323">
        <f>-Capex!W30</f>
        <v>0</v>
      </c>
      <c r="T84" s="323">
        <f>-Capex!X30</f>
        <v>0</v>
      </c>
      <c r="U84" s="323">
        <f>-Capex!Y30</f>
        <v>0</v>
      </c>
      <c r="V84" s="323">
        <f>-Capex!Z30</f>
        <v>0</v>
      </c>
      <c r="W84" s="323">
        <f>-Capex!AA30</f>
        <v>0</v>
      </c>
      <c r="X84" s="323">
        <f>-Capex!AB30</f>
        <v>0</v>
      </c>
      <c r="Y84" s="323">
        <f>-Capex!AC30</f>
        <v>0</v>
      </c>
      <c r="Z84" s="323">
        <f>-Capex!AD30</f>
        <v>0</v>
      </c>
      <c r="AA84" s="323">
        <f>-Capex!AE30</f>
        <v>0</v>
      </c>
      <c r="AB84" s="323">
        <f>-Capex!AF30</f>
        <v>0</v>
      </c>
      <c r="AC84" s="323">
        <f>-Capex!AG30</f>
        <v>0</v>
      </c>
      <c r="AD84" s="323">
        <f>-Capex!AH30</f>
        <v>0</v>
      </c>
      <c r="AE84" s="323">
        <f>-Capex!AI30</f>
        <v>0</v>
      </c>
      <c r="AF84" s="323">
        <f>-Capex!AJ30</f>
        <v>0</v>
      </c>
      <c r="AG84" s="41">
        <f t="shared" si="45"/>
        <v>-16027439.046809467</v>
      </c>
    </row>
    <row r="85" spans="1:33">
      <c r="A85" s="6" t="s">
        <v>226</v>
      </c>
      <c r="B85" s="189">
        <f>+'Input Data'!C29</f>
        <v>4.6849999999999989E-2</v>
      </c>
      <c r="C85" s="56">
        <f>IF(C3&lt;=$B$4+1,C151*$B$85,0)</f>
        <v>639779.30493233562</v>
      </c>
      <c r="D85" s="56">
        <f t="shared" ref="D85:AF85" si="49">IF(D3&lt;=$B$4+1,D151*$B$85,0)</f>
        <v>1449446.2838499995</v>
      </c>
      <c r="E85" s="56">
        <f t="shared" si="49"/>
        <v>3534509.4223999991</v>
      </c>
      <c r="F85" s="56">
        <f t="shared" si="49"/>
        <v>5244516.338299999</v>
      </c>
      <c r="G85" s="56">
        <f t="shared" si="49"/>
        <v>5572652.0985499984</v>
      </c>
      <c r="H85" s="56">
        <f t="shared" si="49"/>
        <v>5366088.6213999987</v>
      </c>
      <c r="I85" s="56">
        <f t="shared" si="49"/>
        <v>5170473.754999999</v>
      </c>
      <c r="J85" s="56">
        <f t="shared" si="49"/>
        <v>4982668.8772999989</v>
      </c>
      <c r="K85" s="56">
        <f t="shared" si="49"/>
        <v>4798121.1989999991</v>
      </c>
      <c r="L85" s="56">
        <f t="shared" si="49"/>
        <v>4613855.4171499992</v>
      </c>
      <c r="M85" s="56">
        <f t="shared" si="49"/>
        <v>4453140.0527499989</v>
      </c>
      <c r="N85" s="56">
        <f t="shared" si="49"/>
        <v>4338973.4896999989</v>
      </c>
      <c r="O85" s="56">
        <f t="shared" si="49"/>
        <v>4248081.4444499994</v>
      </c>
      <c r="P85" s="56">
        <f t="shared" si="49"/>
        <v>4157196.0050499989</v>
      </c>
      <c r="Q85" s="56">
        <f t="shared" si="49"/>
        <v>4066317.405749999</v>
      </c>
      <c r="R85" s="56">
        <f t="shared" si="49"/>
        <v>3975817.260749999</v>
      </c>
      <c r="S85" s="56">
        <f t="shared" si="49"/>
        <v>3885699.833399999</v>
      </c>
      <c r="T85" s="56">
        <f t="shared" si="49"/>
        <v>3795598.0539499992</v>
      </c>
      <c r="U85" s="56">
        <f t="shared" si="49"/>
        <v>3705512.344049999</v>
      </c>
      <c r="V85" s="56">
        <f t="shared" si="49"/>
        <v>3615443.172199999</v>
      </c>
      <c r="W85" s="56">
        <f t="shared" si="49"/>
        <v>3525391.053749999</v>
      </c>
      <c r="X85" s="56">
        <f t="shared" si="49"/>
        <v>3435356.5508999992</v>
      </c>
      <c r="Y85" s="56">
        <f t="shared" si="49"/>
        <v>3345340.085299999</v>
      </c>
      <c r="Z85" s="56">
        <f t="shared" si="49"/>
        <v>3255342.3128499994</v>
      </c>
      <c r="AA85" s="56">
        <f t="shared" si="49"/>
        <v>3165363.702049999</v>
      </c>
      <c r="AB85" s="56">
        <f t="shared" si="49"/>
        <v>3075404.9087999994</v>
      </c>
      <c r="AC85" s="56">
        <f t="shared" si="49"/>
        <v>2985466.4484499991</v>
      </c>
      <c r="AD85" s="56">
        <f t="shared" si="49"/>
        <v>2895548.9768999992</v>
      </c>
      <c r="AE85" s="56">
        <f t="shared" si="49"/>
        <v>2805653.1031999993</v>
      </c>
      <c r="AF85" s="56">
        <f t="shared" si="49"/>
        <v>2715779.4832499996</v>
      </c>
      <c r="AG85" s="56">
        <f t="shared" si="45"/>
        <v>112818537.0053823</v>
      </c>
    </row>
    <row r="86" spans="1:33">
      <c r="A86" s="59" t="s">
        <v>205</v>
      </c>
      <c r="B86" s="59"/>
      <c r="C86" s="83">
        <f t="shared" ref="C86:AG86" si="50">SUM(C79:C85)</f>
        <v>387677.86040532147</v>
      </c>
      <c r="D86" s="83">
        <f t="shared" si="50"/>
        <v>-2533364.1635947824</v>
      </c>
      <c r="E86" s="83">
        <f t="shared" si="50"/>
        <v>-5142951.7560080327</v>
      </c>
      <c r="F86" s="83">
        <f t="shared" si="50"/>
        <v>12401112.367471782</v>
      </c>
      <c r="G86" s="83">
        <f t="shared" si="50"/>
        <v>19686726.532366965</v>
      </c>
      <c r="H86" s="83">
        <f t="shared" si="50"/>
        <v>19436836.739599265</v>
      </c>
      <c r="I86" s="83">
        <f t="shared" si="50"/>
        <v>19198547.557581559</v>
      </c>
      <c r="J86" s="83">
        <f t="shared" si="50"/>
        <v>18968728.364263855</v>
      </c>
      <c r="K86" s="83">
        <f t="shared" si="50"/>
        <v>18742838.370346151</v>
      </c>
      <c r="L86" s="83">
        <f t="shared" si="50"/>
        <v>18518133.106211782</v>
      </c>
      <c r="M86" s="83">
        <f t="shared" si="50"/>
        <v>15931899.606312951</v>
      </c>
      <c r="N86" s="83">
        <f t="shared" si="50"/>
        <v>13417274.898370495</v>
      </c>
      <c r="O86" s="83">
        <f t="shared" si="50"/>
        <v>13337265.967795674</v>
      </c>
      <c r="P86" s="83">
        <f t="shared" si="50"/>
        <v>13274319.823535513</v>
      </c>
      <c r="Q86" s="83">
        <f t="shared" si="50"/>
        <v>13212704.245073503</v>
      </c>
      <c r="R86" s="83">
        <f t="shared" si="50"/>
        <v>13153109.378811043</v>
      </c>
      <c r="S86" s="83">
        <f t="shared" si="50"/>
        <v>13095927.975706603</v>
      </c>
      <c r="T86" s="83">
        <f t="shared" si="50"/>
        <v>13040190.062435102</v>
      </c>
      <c r="U86" s="83">
        <f t="shared" si="50"/>
        <v>12985925.345774731</v>
      </c>
      <c r="V86" s="83">
        <f t="shared" si="50"/>
        <v>12933163.618048314</v>
      </c>
      <c r="W86" s="83">
        <f t="shared" si="50"/>
        <v>12881935.758186013</v>
      </c>
      <c r="X86" s="83">
        <f t="shared" si="50"/>
        <v>12832273.732877322</v>
      </c>
      <c r="Y86" s="83">
        <f t="shared" si="50"/>
        <v>12784207.410296069</v>
      </c>
      <c r="Z86" s="83">
        <f t="shared" si="50"/>
        <v>12737770.936292473</v>
      </c>
      <c r="AA86" s="83">
        <f t="shared" si="50"/>
        <v>12692997.31394594</v>
      </c>
      <c r="AB86" s="83">
        <f t="shared" ref="AB86:AF86" si="51">SUM(AB79:AB85)</f>
        <v>12649920.779798966</v>
      </c>
      <c r="AC86" s="83">
        <f t="shared" si="51"/>
        <v>12608575.477543311</v>
      </c>
      <c r="AD86" s="83">
        <f t="shared" si="51"/>
        <v>12568997.740110625</v>
      </c>
      <c r="AE86" s="83">
        <f t="shared" si="51"/>
        <v>12531222.903673589</v>
      </c>
      <c r="AF86" s="83">
        <f t="shared" si="51"/>
        <v>12495288.403190218</v>
      </c>
      <c r="AG86" s="56">
        <f t="shared" si="50"/>
        <v>380829256.35642231</v>
      </c>
    </row>
    <row r="87" spans="1:33">
      <c r="A87" s="1"/>
      <c r="B87" s="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104"/>
    </row>
    <row r="88" spans="1:33">
      <c r="A88" s="2" t="s">
        <v>244</v>
      </c>
      <c r="C88" s="41">
        <f t="shared" ref="C88:AG88" si="52">C78-C86</f>
        <v>-387677.86040532147</v>
      </c>
      <c r="D88" s="41">
        <f t="shared" si="52"/>
        <v>2533364.1635947824</v>
      </c>
      <c r="E88" s="41">
        <f t="shared" si="52"/>
        <v>5142951.7560080327</v>
      </c>
      <c r="F88" s="41">
        <f t="shared" si="52"/>
        <v>17275083.200451352</v>
      </c>
      <c r="G88" s="41">
        <f t="shared" si="52"/>
        <v>19077854.699618246</v>
      </c>
      <c r="H88" s="41">
        <f t="shared" si="52"/>
        <v>18370689.129997991</v>
      </c>
      <c r="I88" s="41">
        <f t="shared" si="52"/>
        <v>19176091.200059652</v>
      </c>
      <c r="J88" s="41">
        <f t="shared" si="52"/>
        <v>19981529.974741973</v>
      </c>
      <c r="K88" s="41">
        <f t="shared" si="52"/>
        <v>16426264.721719913</v>
      </c>
      <c r="L88" s="41">
        <f t="shared" si="52"/>
        <v>17178506.532235272</v>
      </c>
      <c r="M88" s="41">
        <f t="shared" si="52"/>
        <v>20300189.626710802</v>
      </c>
      <c r="N88" s="41">
        <f t="shared" si="52"/>
        <v>23358295.67314861</v>
      </c>
      <c r="O88" s="41">
        <f t="shared" si="52"/>
        <v>23989938.162296217</v>
      </c>
      <c r="P88" s="41">
        <f t="shared" si="52"/>
        <v>14232071.135222021</v>
      </c>
      <c r="Q88" s="41">
        <f t="shared" si="52"/>
        <v>14706282.578065393</v>
      </c>
      <c r="R88" s="41">
        <f t="shared" si="52"/>
        <v>15184662.246674933</v>
      </c>
      <c r="S88" s="41">
        <f t="shared" si="52"/>
        <v>15666910.224161658</v>
      </c>
      <c r="T88" s="41">
        <f t="shared" si="52"/>
        <v>16154090.710431181</v>
      </c>
      <c r="U88" s="41">
        <f t="shared" si="52"/>
        <v>12685741.844484629</v>
      </c>
      <c r="V88" s="41">
        <f t="shared" si="52"/>
        <v>13123578.580064934</v>
      </c>
      <c r="W88" s="41">
        <f t="shared" si="52"/>
        <v>13565657.572898932</v>
      </c>
      <c r="X88" s="41">
        <f t="shared" si="52"/>
        <v>14012033.498173892</v>
      </c>
      <c r="Y88" s="41">
        <f t="shared" si="52"/>
        <v>14462764.429220909</v>
      </c>
      <c r="Z88" s="41">
        <f t="shared" si="52"/>
        <v>11144594.325899135</v>
      </c>
      <c r="AA88" s="41">
        <f t="shared" si="52"/>
        <v>11547603.427178541</v>
      </c>
      <c r="AB88" s="41">
        <f t="shared" ref="AB88:AF88" si="53">AB78-AB86</f>
        <v>11954288.972442381</v>
      </c>
      <c r="AC88" s="41">
        <f t="shared" si="53"/>
        <v>12364697.420981655</v>
      </c>
      <c r="AD88" s="41">
        <f t="shared" si="53"/>
        <v>12778874.251892213</v>
      </c>
      <c r="AE88" s="41">
        <f t="shared" si="53"/>
        <v>9605093.04400241</v>
      </c>
      <c r="AF88" s="41">
        <f t="shared" si="53"/>
        <v>9973072.2837009206</v>
      </c>
      <c r="AG88" s="41">
        <f t="shared" si="52"/>
        <v>425585097.52567327</v>
      </c>
    </row>
    <row r="89" spans="1:33">
      <c r="A89" s="6" t="s">
        <v>207</v>
      </c>
      <c r="C89" s="41">
        <f>((C88+C84)*C$95)-C90-(C84*'Input Data'!$C$51)</f>
        <v>-141983.94927293932</v>
      </c>
      <c r="D89" s="41">
        <f>((D88+D84)*D$95)-D90-(D84*'Input Data'!$C$51)</f>
        <v>-48737.324846199888</v>
      </c>
      <c r="E89" s="41">
        <f>((E88+E84)*E$95)-E90-(E84*'Input Data'!$C$51)</f>
        <v>-1052360.9783626045</v>
      </c>
      <c r="F89" s="41">
        <f>((F88+F84)*F$95)-F90-(F84*'Input Data'!$C$51)</f>
        <v>2526357.4018882527</v>
      </c>
      <c r="G89" s="41">
        <f>((G88+G84)*G$95)-G90-(G84*'Input Data'!$C$51)</f>
        <v>3461546.1317087449</v>
      </c>
      <c r="H89" s="41">
        <f>((H88+H84)*H$95)-H90-(H84*'Input Data'!$C$51)</f>
        <v>3875018.1929389415</v>
      </c>
      <c r="I89" s="41">
        <f>((I88+I84)*I$95)-I90-(I84*'Input Data'!$C$51)</f>
        <v>4502506.7582035335</v>
      </c>
      <c r="J89" s="41">
        <f>((J88+J84)*J$95)-J90-(J84*'Input Data'!$C$51)</f>
        <v>5008077.1159992833</v>
      </c>
      <c r="K89" s="41">
        <f>((K88+K84)*K$95)-K90-(K84*'Input Data'!$C$51)</f>
        <v>4107841.8564420571</v>
      </c>
      <c r="L89" s="41">
        <f>((L88+L84)*L$95)-L90-(L84*'Input Data'!$C$51)</f>
        <v>4297534.5786786517</v>
      </c>
      <c r="M89" s="41">
        <f>((M88+M84)*M$95)-M90-(M84*'Input Data'!$C$51)</f>
        <v>4862345.5510623921</v>
      </c>
      <c r="N89" s="41">
        <f>((N88+N84)*N$95)-N90-(N84*'Input Data'!$C$51)</f>
        <v>5410193.1884216648</v>
      </c>
      <c r="O89" s="41">
        <f>((O88+O84)*O$95)-O90-(O84*'Input Data'!$C$51)</f>
        <v>5570214.7274777116</v>
      </c>
      <c r="P89" s="41">
        <f>((P88+P84)*P$95)-P90-(P84*'Input Data'!$C$51)</f>
        <v>3097013.0321866693</v>
      </c>
      <c r="Q89" s="41">
        <f>((Q88+Q84)*Q$95)-Q90-(Q84*'Input Data'!$C$51)</f>
        <v>3217129.5161716626</v>
      </c>
      <c r="R89" s="41">
        <f>((R88+R84)*R$95)-R90-(R84*'Input Data'!$C$51)</f>
        <v>3338147.0991129871</v>
      </c>
      <c r="S89" s="41">
        <f>((S88+S84)*S$95)-S90-(S84*'Input Data'!$C$51)</f>
        <v>3460212.0190329328</v>
      </c>
      <c r="T89" s="41">
        <f>((T88+T84)*T$95)-T90-(T84*'Input Data'!$C$51)</f>
        <v>3583522.258424555</v>
      </c>
      <c r="U89" s="41">
        <f>((U88+U84)*U$95)-U90-(U84*'Input Data'!$C$51)</f>
        <v>2704298.6138560306</v>
      </c>
      <c r="V89" s="41">
        <f>((V88+V84)*V$95)-V90-(V84*'Input Data'!$C$51)</f>
        <v>2815092.5912598283</v>
      </c>
      <c r="W89" s="41">
        <f>((W88+W84)*W$95)-W90-(W84*'Input Data'!$C$51)</f>
        <v>2926956.4964523613</v>
      </c>
      <c r="X89" s="41">
        <f>((X88+X84)*X$95)-X90-(X84*'Input Data'!$C$51)</f>
        <v>3039904.0287091695</v>
      </c>
      <c r="Y89" s="41">
        <f>((Y88+Y84)*Y$95)-Y90-(Y84*'Input Data'!$C$51)</f>
        <v>3153949.743798092</v>
      </c>
      <c r="Z89" s="41">
        <f>((Z88+Z84)*Z$95)-Z90-(Z84*'Input Data'!$C$51)</f>
        <v>2312761.7305490957</v>
      </c>
      <c r="AA89" s="41">
        <f>((AA88+AA84)*AA$95)-AA90-(AA84*'Input Data'!$C$51)</f>
        <v>2414700.6527228625</v>
      </c>
      <c r="AB89" s="41">
        <f>((AB88+AB84)*AB$95)-AB90-(AB84*'Input Data'!$C$51)</f>
        <v>2517565.2575665764</v>
      </c>
      <c r="AC89" s="41">
        <f>((AC88+AC84)*AC$95)-AC90-(AC84*'Input Data'!$C$51)</f>
        <v>2621367.1368166143</v>
      </c>
      <c r="AD89" s="41">
        <f>((AD88+AD84)*AD$95)-AD90-(AD84*'Input Data'!$C$51)</f>
        <v>2726117.6283306032</v>
      </c>
      <c r="AE89" s="41">
        <f>((AE88+AE84)*AE$95)-AE90-(AE84*'Input Data'!$C$51)</f>
        <v>1921493.4761367606</v>
      </c>
      <c r="AF89" s="41">
        <f>((AF88+AF84)*AF$95)-AF90-(AF84*'Input Data'!$C$51)</f>
        <v>2014521.6302228596</v>
      </c>
      <c r="AG89" s="41">
        <f>SUM(C89:AF89)</f>
        <v>90243306.161689177</v>
      </c>
    </row>
    <row r="90" spans="1:33">
      <c r="A90" s="6" t="s">
        <v>208</v>
      </c>
      <c r="B90" s="59"/>
      <c r="C90" s="41">
        <f t="shared" ref="C90:AF90" si="54">C23</f>
        <v>0</v>
      </c>
      <c r="D90" s="41">
        <f t="shared" si="54"/>
        <v>0</v>
      </c>
      <c r="E90" s="41">
        <f t="shared" si="54"/>
        <v>850736.45952796738</v>
      </c>
      <c r="F90" s="41">
        <f t="shared" si="54"/>
        <v>1311704.2416544217</v>
      </c>
      <c r="G90" s="41">
        <f t="shared" si="54"/>
        <v>1373736.1419094999</v>
      </c>
      <c r="H90" s="41">
        <f t="shared" si="54"/>
        <v>781032.96705904952</v>
      </c>
      <c r="I90" s="41">
        <f t="shared" si="54"/>
        <v>357673.55645158532</v>
      </c>
      <c r="J90" s="41">
        <f t="shared" si="54"/>
        <v>56241.656099070067</v>
      </c>
      <c r="K90" s="41">
        <f t="shared" si="54"/>
        <v>55394.937277855053</v>
      </c>
      <c r="L90" s="41">
        <f t="shared" si="54"/>
        <v>56357.901916377799</v>
      </c>
      <c r="M90" s="41">
        <f t="shared" si="54"/>
        <v>282737.50982746133</v>
      </c>
      <c r="N90" s="41">
        <f t="shared" si="54"/>
        <v>509966.8499378502</v>
      </c>
      <c r="O90" s="41">
        <f t="shared" si="54"/>
        <v>510035.09975626465</v>
      </c>
      <c r="P90" s="41">
        <f t="shared" si="54"/>
        <v>510105.3970353519</v>
      </c>
      <c r="Q90" s="41">
        <f t="shared" si="54"/>
        <v>510177.8032390115</v>
      </c>
      <c r="R90" s="41">
        <f t="shared" si="54"/>
        <v>510405.54730677459</v>
      </c>
      <c r="S90" s="41">
        <f t="shared" si="54"/>
        <v>510566.37728083949</v>
      </c>
      <c r="T90" s="41">
        <f t="shared" si="54"/>
        <v>510732.03213422775</v>
      </c>
      <c r="U90" s="41">
        <f t="shared" si="54"/>
        <v>510902.65662859887</v>
      </c>
      <c r="V90" s="41">
        <f t="shared" si="54"/>
        <v>511078.39985762903</v>
      </c>
      <c r="W90" s="41">
        <f t="shared" si="54"/>
        <v>511259.41539887292</v>
      </c>
      <c r="X90" s="41">
        <f t="shared" si="54"/>
        <v>511445.86140300392</v>
      </c>
      <c r="Y90" s="41">
        <f t="shared" si="54"/>
        <v>511637.90078794776</v>
      </c>
      <c r="Z90" s="41">
        <f t="shared" si="54"/>
        <v>511835.70135004027</v>
      </c>
      <c r="AA90" s="41">
        <f t="shared" si="54"/>
        <v>512039.43589553889</v>
      </c>
      <c r="AB90" s="41">
        <f t="shared" si="54"/>
        <v>512249.28249894507</v>
      </c>
      <c r="AC90" s="41">
        <f t="shared" si="54"/>
        <v>512465.42453118623</v>
      </c>
      <c r="AD90" s="41">
        <f t="shared" si="54"/>
        <v>512688.05081147834</v>
      </c>
      <c r="AE90" s="41">
        <f t="shared" si="54"/>
        <v>512917.35586565058</v>
      </c>
      <c r="AF90" s="41">
        <f t="shared" si="54"/>
        <v>513153.54008113901</v>
      </c>
      <c r="AG90" s="41">
        <f>SUM(C90:AF90)</f>
        <v>14841277.50352364</v>
      </c>
    </row>
    <row r="91" spans="1:33">
      <c r="A91" s="6" t="s">
        <v>245</v>
      </c>
      <c r="B91" s="59"/>
      <c r="C91" s="41">
        <f>IF(C$3&lt;=$B$4+1,C138,0)</f>
        <v>0</v>
      </c>
      <c r="D91" s="41">
        <f t="shared" ref="D91:AA91" si="55">IF(D$3&lt;=$B$4+1,D138,0)</f>
        <v>0</v>
      </c>
      <c r="E91" s="41">
        <f t="shared" si="55"/>
        <v>0</v>
      </c>
      <c r="F91" s="41">
        <f t="shared" si="55"/>
        <v>0</v>
      </c>
      <c r="G91" s="41">
        <f t="shared" si="55"/>
        <v>0</v>
      </c>
      <c r="H91" s="41">
        <f t="shared" si="55"/>
        <v>0</v>
      </c>
      <c r="I91" s="41">
        <f t="shared" si="55"/>
        <v>0</v>
      </c>
      <c r="J91" s="41">
        <f t="shared" si="55"/>
        <v>0</v>
      </c>
      <c r="K91" s="41">
        <f t="shared" si="55"/>
        <v>0</v>
      </c>
      <c r="L91" s="41">
        <f t="shared" si="55"/>
        <v>0</v>
      </c>
      <c r="M91" s="41">
        <f t="shared" si="55"/>
        <v>0</v>
      </c>
      <c r="N91" s="41">
        <f t="shared" si="55"/>
        <v>0</v>
      </c>
      <c r="O91" s="41">
        <f t="shared" si="55"/>
        <v>0</v>
      </c>
      <c r="P91" s="41">
        <f t="shared" si="55"/>
        <v>0</v>
      </c>
      <c r="Q91" s="41">
        <f t="shared" si="55"/>
        <v>0</v>
      </c>
      <c r="R91" s="41">
        <f t="shared" si="55"/>
        <v>0</v>
      </c>
      <c r="S91" s="41">
        <f t="shared" si="55"/>
        <v>0</v>
      </c>
      <c r="T91" s="41">
        <f t="shared" si="55"/>
        <v>0</v>
      </c>
      <c r="U91" s="41">
        <f t="shared" si="55"/>
        <v>0</v>
      </c>
      <c r="V91" s="41">
        <f t="shared" si="55"/>
        <v>0</v>
      </c>
      <c r="W91" s="41">
        <f t="shared" si="55"/>
        <v>0</v>
      </c>
      <c r="X91" s="41">
        <f t="shared" si="55"/>
        <v>0</v>
      </c>
      <c r="Y91" s="41">
        <f t="shared" si="55"/>
        <v>0</v>
      </c>
      <c r="Z91" s="41">
        <f t="shared" si="55"/>
        <v>0</v>
      </c>
      <c r="AA91" s="41">
        <f t="shared" si="55"/>
        <v>0</v>
      </c>
      <c r="AB91" s="41">
        <f t="shared" ref="AB91:AF91" si="56">IF(AB$3&lt;=$B$4+1,AB138,0)</f>
        <v>0</v>
      </c>
      <c r="AC91" s="41">
        <f t="shared" si="56"/>
        <v>0</v>
      </c>
      <c r="AD91" s="41">
        <f t="shared" si="56"/>
        <v>0</v>
      </c>
      <c r="AE91" s="41">
        <f t="shared" si="56"/>
        <v>0</v>
      </c>
      <c r="AF91" s="41">
        <f t="shared" si="56"/>
        <v>0</v>
      </c>
      <c r="AG91" s="56">
        <f>SUM(C91:AF91)</f>
        <v>0</v>
      </c>
    </row>
    <row r="92" spans="1:33" ht="15" thickBot="1">
      <c r="A92" s="61" t="s">
        <v>246</v>
      </c>
      <c r="B92" s="61"/>
      <c r="C92" s="74">
        <f>C88-C89-C90-C91</f>
        <v>-245693.91113238214</v>
      </c>
      <c r="D92" s="74">
        <f t="shared" ref="D92:AG92" si="57">D88-D89-D90-D91</f>
        <v>2582101.4884409821</v>
      </c>
      <c r="E92" s="74">
        <f t="shared" si="57"/>
        <v>5344576.2748426702</v>
      </c>
      <c r="F92" s="74">
        <f t="shared" si="57"/>
        <v>13437021.556908676</v>
      </c>
      <c r="G92" s="74">
        <f t="shared" si="57"/>
        <v>14242572.426000001</v>
      </c>
      <c r="H92" s="74">
        <f t="shared" si="57"/>
        <v>13714637.969999999</v>
      </c>
      <c r="I92" s="74">
        <f t="shared" si="57"/>
        <v>14315910.885404535</v>
      </c>
      <c r="J92" s="74">
        <f t="shared" si="57"/>
        <v>14917211.20264362</v>
      </c>
      <c r="K92" s="74">
        <f t="shared" si="57"/>
        <v>12263027.928000001</v>
      </c>
      <c r="L92" s="74">
        <f t="shared" si="57"/>
        <v>12824614.051640242</v>
      </c>
      <c r="M92" s="74">
        <f t="shared" si="57"/>
        <v>15155106.565820949</v>
      </c>
      <c r="N92" s="74">
        <f t="shared" si="57"/>
        <v>17438135.634789094</v>
      </c>
      <c r="O92" s="74">
        <f t="shared" si="57"/>
        <v>17909688.335062243</v>
      </c>
      <c r="P92" s="74">
        <f t="shared" si="57"/>
        <v>10624952.706000002</v>
      </c>
      <c r="Q92" s="74">
        <f t="shared" si="57"/>
        <v>10978975.258654719</v>
      </c>
      <c r="R92" s="74">
        <f t="shared" si="57"/>
        <v>11336109.600255171</v>
      </c>
      <c r="S92" s="74">
        <f t="shared" si="57"/>
        <v>11696131.827847887</v>
      </c>
      <c r="T92" s="74">
        <f t="shared" si="57"/>
        <v>12059836.419872399</v>
      </c>
      <c r="U92" s="74">
        <f t="shared" si="57"/>
        <v>9470540.5739999991</v>
      </c>
      <c r="V92" s="74">
        <f t="shared" si="57"/>
        <v>9797407.5889474768</v>
      </c>
      <c r="W92" s="74">
        <f t="shared" si="57"/>
        <v>10127441.661047697</v>
      </c>
      <c r="X92" s="74">
        <f t="shared" si="57"/>
        <v>10460683.60806172</v>
      </c>
      <c r="Y92" s="74">
        <f t="shared" si="57"/>
        <v>10797176.78463487</v>
      </c>
      <c r="Z92" s="74">
        <f t="shared" si="57"/>
        <v>8319996.8939999994</v>
      </c>
      <c r="AA92" s="74">
        <f t="shared" si="57"/>
        <v>8620863.3385601379</v>
      </c>
      <c r="AB92" s="74">
        <f t="shared" ref="AB92:AF92" si="58">AB88-AB89-AB90-AB91</f>
        <v>8924474.4323768597</v>
      </c>
      <c r="AC92" s="74">
        <f t="shared" si="58"/>
        <v>9230864.8596338537</v>
      </c>
      <c r="AD92" s="74">
        <f t="shared" si="58"/>
        <v>9540068.5727501307</v>
      </c>
      <c r="AE92" s="74">
        <f t="shared" si="58"/>
        <v>7170682.2119999984</v>
      </c>
      <c r="AF92" s="74">
        <f t="shared" si="58"/>
        <v>7445397.1133969221</v>
      </c>
      <c r="AG92" s="74">
        <f t="shared" si="57"/>
        <v>320500513.86046046</v>
      </c>
    </row>
    <row r="93" spans="1:33" ht="15.6" thickTop="1" thickBot="1">
      <c r="A93" s="286" t="s">
        <v>247</v>
      </c>
      <c r="B93" s="286"/>
      <c r="C93" s="326">
        <f>+C88+C85+C84+C82</f>
        <v>-2.9103830456733704E-11</v>
      </c>
      <c r="D93" s="326">
        <f t="shared" ref="D93:AG93" si="59">+D88+D85+D84+D82</f>
        <v>-4.6566128730773926E-10</v>
      </c>
      <c r="E93" s="326">
        <f t="shared" si="59"/>
        <v>0</v>
      </c>
      <c r="F93" s="326">
        <f>+F88+F85+F84+F82</f>
        <v>24749177.46083159</v>
      </c>
      <c r="G93" s="326">
        <f t="shared" si="59"/>
        <v>33157988.721472558</v>
      </c>
      <c r="H93" s="326">
        <f t="shared" si="59"/>
        <v>32244259.674702302</v>
      </c>
      <c r="I93" s="326">
        <f t="shared" si="59"/>
        <v>32854046.878363963</v>
      </c>
      <c r="J93" s="326">
        <f t="shared" si="59"/>
        <v>33471680.775346283</v>
      </c>
      <c r="K93" s="326">
        <f t="shared" si="59"/>
        <v>29731867.844024226</v>
      </c>
      <c r="L93" s="326">
        <f t="shared" si="59"/>
        <v>30300064.706022918</v>
      </c>
      <c r="M93" s="326">
        <f t="shared" si="59"/>
        <v>30875214.568717323</v>
      </c>
      <c r="N93" s="326">
        <f t="shared" si="59"/>
        <v>31433351.724083088</v>
      </c>
      <c r="O93" s="326">
        <f t="shared" si="59"/>
        <v>31974582.004604939</v>
      </c>
      <c r="P93" s="326">
        <f t="shared" si="59"/>
        <v>22126323.769876197</v>
      </c>
      <c r="Q93" s="326">
        <f t="shared" si="59"/>
        <v>22510165.672075633</v>
      </c>
      <c r="R93" s="326">
        <f t="shared" si="59"/>
        <v>22898860.496451836</v>
      </c>
      <c r="S93" s="326">
        <f t="shared" si="59"/>
        <v>23292121.776774928</v>
      </c>
      <c r="T93" s="326">
        <f t="shared" si="59"/>
        <v>23690365.135708086</v>
      </c>
      <c r="U93" s="326">
        <f t="shared" si="59"/>
        <v>20133130.151502442</v>
      </c>
      <c r="V93" s="326">
        <f t="shared" si="59"/>
        <v>20482133.294596381</v>
      </c>
      <c r="W93" s="326">
        <f t="shared" si="59"/>
        <v>20835432.815740988</v>
      </c>
      <c r="X93" s="326">
        <f t="shared" si="59"/>
        <v>21193085.064359885</v>
      </c>
      <c r="Y93" s="326">
        <f t="shared" si="59"/>
        <v>21555149.680796299</v>
      </c>
      <c r="Z93" s="326">
        <f t="shared" si="59"/>
        <v>18148372.460541189</v>
      </c>
      <c r="AA93" s="326">
        <f t="shared" si="59"/>
        <v>18462835.326129686</v>
      </c>
      <c r="AB93" s="326">
        <f t="shared" ref="AB93:AF93" si="60">+AB88+AB85+AB84+AB82</f>
        <v>18781037.424448073</v>
      </c>
      <c r="AC93" s="326">
        <f t="shared" si="60"/>
        <v>19103027.019402497</v>
      </c>
      <c r="AD93" s="326">
        <f t="shared" si="60"/>
        <v>19428851.57379942</v>
      </c>
      <c r="AE93" s="326">
        <f t="shared" si="60"/>
        <v>16166786.643077798</v>
      </c>
      <c r="AF93" s="326">
        <f t="shared" si="60"/>
        <v>16446552.778202068</v>
      </c>
      <c r="AG93" s="326">
        <f t="shared" si="59"/>
        <v>656046465.44165254</v>
      </c>
    </row>
    <row r="94" spans="1:33">
      <c r="C94" s="60"/>
      <c r="D94" s="60"/>
      <c r="E94" s="60"/>
      <c r="F94" s="30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287"/>
    </row>
    <row r="95" spans="1:33">
      <c r="A95" s="2" t="s">
        <v>103</v>
      </c>
      <c r="C95" s="47">
        <f>IF(SUMIF('Input Data'!$C$40:$O$40,C$4,'Input Data'!$C$50:$O$50)=0,+B$95,SUMIF('Input Data'!$C$40:$O$40,C$4,'Input Data'!$C$50:$O$50))</f>
        <v>0.25345000000000001</v>
      </c>
      <c r="D95" s="47">
        <f>IF(SUMIF('Input Data'!$C$40:$O$40,D$4,'Input Data'!$C$50:$O$50)=0,+C$95,SUMIF('Input Data'!$C$40:$O$40,D$4,'Input Data'!$C$50:$O$50))</f>
        <v>0.25345000000000001</v>
      </c>
      <c r="E95" s="47">
        <f>IF(SUMIF('Input Data'!$C$40:$O$40,E$4,'Input Data'!$C$50:$O$50)=0,+D$95,SUMIF('Input Data'!$C$40:$O$40,E$4,'Input Data'!$C$50:$O$50))</f>
        <v>0.25345000000000001</v>
      </c>
      <c r="F95" s="47">
        <f>IF(SUMIF('Input Data'!$C$40:$O$40,F$4,'Input Data'!$C$50:$O$50)=0,+E$95,SUMIF('Input Data'!$C$40:$O$40,F$4,'Input Data'!$C$50:$O$50))</f>
        <v>0.25345000000000001</v>
      </c>
      <c r="G95" s="47">
        <f>IF(SUMIF('Input Data'!$C$40:$O$40,G$4,'Input Data'!$C$50:$O$50)=0,+F$95,SUMIF('Input Data'!$C$40:$O$40,G$4,'Input Data'!$C$50:$O$50))</f>
        <v>0.25345000000000001</v>
      </c>
      <c r="H95" s="47">
        <f>IF(SUMIF('Input Data'!$C$40:$O$40,H$4,'Input Data'!$C$50:$O$50)=0,+G$95,SUMIF('Input Data'!$C$40:$O$40,H$4,'Input Data'!$C$50:$O$50))</f>
        <v>0.25345000000000001</v>
      </c>
      <c r="I95" s="47">
        <f>IF(SUMIF('Input Data'!$C$40:$O$40,I$4,'Input Data'!$C$50:$O$50)=0,+H$95,SUMIF('Input Data'!$C$40:$O$40,I$4,'Input Data'!$C$50:$O$50))</f>
        <v>0.25345000000000001</v>
      </c>
      <c r="J95" s="47">
        <f>IF(SUMIF('Input Data'!$C$40:$O$40,J$4,'Input Data'!$C$50:$O$50)=0,+I$95,SUMIF('Input Data'!$C$40:$O$40,J$4,'Input Data'!$C$50:$O$50))</f>
        <v>0.25345000000000001</v>
      </c>
      <c r="K95" s="47">
        <f>IF(SUMIF('Input Data'!$C$40:$O$40,K$4,'Input Data'!$C$50:$O$50)=0,+J$95,SUMIF('Input Data'!$C$40:$O$40,K$4,'Input Data'!$C$50:$O$50))</f>
        <v>0.25345000000000001</v>
      </c>
      <c r="L95" s="47">
        <f>IF(SUMIF('Input Data'!$C$40:$O$40,L$4,'Input Data'!$C$50:$O$50)=0,+K$95,SUMIF('Input Data'!$C$40:$O$40,L$4,'Input Data'!$C$50:$O$50))</f>
        <v>0.25345000000000001</v>
      </c>
      <c r="M95" s="47">
        <f>IF(SUMIF('Input Data'!$C$40:$O$40,M$4,'Input Data'!$C$50:$O$50)=0,+L$95,SUMIF('Input Data'!$C$40:$O$40,M$4,'Input Data'!$C$50:$O$50))</f>
        <v>0.25345000000000001</v>
      </c>
      <c r="N95" s="47">
        <f>IF(SUMIF('Input Data'!$C$40:$O$40,N$4,'Input Data'!$C$50:$O$50)=0,+M$95,SUMIF('Input Data'!$C$40:$O$40,N$4,'Input Data'!$C$50:$O$50))</f>
        <v>0.25345000000000001</v>
      </c>
      <c r="O95" s="47">
        <f>IF(SUMIF('Input Data'!$C$40:$O$40,O$4,'Input Data'!$C$50:$O$50)=0,+N$95,SUMIF('Input Data'!$C$40:$O$40,O$4,'Input Data'!$C$50:$O$50))</f>
        <v>0.25345000000000001</v>
      </c>
      <c r="P95" s="47">
        <f>IF(SUMIF('Input Data'!$C$40:$O$40,P$4,'Input Data'!$C$50:$O$50)=0,+O$95,SUMIF('Input Data'!$C$40:$O$40,P$4,'Input Data'!$C$50:$O$50))</f>
        <v>0.25345000000000001</v>
      </c>
      <c r="Q95" s="47">
        <f>IF(SUMIF('Input Data'!$C$40:$O$40,Q$4,'Input Data'!$C$50:$O$50)=0,+P$95,SUMIF('Input Data'!$C$40:$O$40,Q$4,'Input Data'!$C$50:$O$50))</f>
        <v>0.25345000000000001</v>
      </c>
      <c r="R95" s="47">
        <f>IF(SUMIF('Input Data'!$C$40:$O$40,R$4,'Input Data'!$C$50:$O$50)=0,+Q$95,SUMIF('Input Data'!$C$40:$O$40,R$4,'Input Data'!$C$50:$O$50))</f>
        <v>0.25345000000000001</v>
      </c>
      <c r="S95" s="47">
        <f>IF(SUMIF('Input Data'!$C$40:$O$40,S$4,'Input Data'!$C$50:$O$50)=0,+R$95,SUMIF('Input Data'!$C$40:$O$40,S$4,'Input Data'!$C$50:$O$50))</f>
        <v>0.25345000000000001</v>
      </c>
      <c r="T95" s="47">
        <f>IF(SUMIF('Input Data'!$C$40:$O$40,T$4,'Input Data'!$C$50:$O$50)=0,+S$95,SUMIF('Input Data'!$C$40:$O$40,T$4,'Input Data'!$C$50:$O$50))</f>
        <v>0.25345000000000001</v>
      </c>
      <c r="U95" s="47">
        <f>IF(SUMIF('Input Data'!$C$40:$O$40,U$4,'Input Data'!$C$50:$O$50)=0,+T$95,SUMIF('Input Data'!$C$40:$O$40,U$4,'Input Data'!$C$50:$O$50))</f>
        <v>0.25345000000000001</v>
      </c>
      <c r="V95" s="47">
        <f>IF(SUMIF('Input Data'!$C$40:$O$40,V$4,'Input Data'!$C$50:$O$50)=0,+U$95,SUMIF('Input Data'!$C$40:$O$40,V$4,'Input Data'!$C$50:$O$50))</f>
        <v>0.25345000000000001</v>
      </c>
      <c r="W95" s="47">
        <f>IF(SUMIF('Input Data'!$C$40:$O$40,W$4,'Input Data'!$C$50:$O$50)=0,+V$95,SUMIF('Input Data'!$C$40:$O$40,W$4,'Input Data'!$C$50:$O$50))</f>
        <v>0.25345000000000001</v>
      </c>
      <c r="X95" s="47">
        <f>IF(SUMIF('Input Data'!$C$40:$O$40,X$4,'Input Data'!$C$50:$O$50)=0,+W$95,SUMIF('Input Data'!$C$40:$O$40,X$4,'Input Data'!$C$50:$O$50))</f>
        <v>0.25345000000000001</v>
      </c>
      <c r="Y95" s="47">
        <f>IF(SUMIF('Input Data'!$C$40:$O$40,Y$4,'Input Data'!$C$50:$O$50)=0,+X$95,SUMIF('Input Data'!$C$40:$O$40,Y$4,'Input Data'!$C$50:$O$50))</f>
        <v>0.25345000000000001</v>
      </c>
      <c r="Z95" s="47">
        <f>IF(SUMIF('Input Data'!$C$40:$O$40,Z$4,'Input Data'!$C$50:$O$50)=0,+Y$95,SUMIF('Input Data'!$C$40:$O$40,Z$4,'Input Data'!$C$50:$O$50))</f>
        <v>0.25345000000000001</v>
      </c>
      <c r="AA95" s="47">
        <f>IF(SUMIF('Input Data'!$C$40:$O$40,AA$4,'Input Data'!$C$50:$O$50)=0,+Z$95,SUMIF('Input Data'!$C$40:$O$40,AA$4,'Input Data'!$C$50:$O$50))</f>
        <v>0.25345000000000001</v>
      </c>
      <c r="AB95" s="47">
        <f>IF(SUMIF('Input Data'!$C$40:$O$40,AB$4,'Input Data'!$C$50:$O$50)=0,+AA$95,SUMIF('Input Data'!$C$40:$O$40,AB$4,'Input Data'!$C$50:$O$50))</f>
        <v>0.25345000000000001</v>
      </c>
      <c r="AC95" s="47">
        <f>IF(SUMIF('Input Data'!$C$40:$O$40,AC$4,'Input Data'!$C$50:$O$50)=0,+AB$95,SUMIF('Input Data'!$C$40:$O$40,AC$4,'Input Data'!$C$50:$O$50))</f>
        <v>0.25345000000000001</v>
      </c>
      <c r="AD95" s="47">
        <f>IF(SUMIF('Input Data'!$C$40:$O$40,AD$4,'Input Data'!$C$50:$O$50)=0,+AC$95,SUMIF('Input Data'!$C$40:$O$40,AD$4,'Input Data'!$C$50:$O$50))</f>
        <v>0.25345000000000001</v>
      </c>
      <c r="AE95" s="47">
        <f>IF(SUMIF('Input Data'!$C$40:$O$40,AE$4,'Input Data'!$C$50:$O$50)=0,+AD$95,SUMIF('Input Data'!$C$40:$O$40,AE$4,'Input Data'!$C$50:$O$50))</f>
        <v>0.25345000000000001</v>
      </c>
      <c r="AF95" s="47">
        <f>IF(SUMIF('Input Data'!$C$40:$O$40,AF$4,'Input Data'!$C$50:$O$50)=0,+AE$95,SUMIF('Input Data'!$C$40:$O$40,AF$4,'Input Data'!$C$50:$O$50))</f>
        <v>0.25345000000000001</v>
      </c>
      <c r="AG95" s="287"/>
    </row>
    <row r="96" spans="1:33">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287"/>
    </row>
    <row r="97" spans="1:33">
      <c r="A97" s="1" t="s">
        <v>248</v>
      </c>
      <c r="AG97" s="298"/>
    </row>
    <row r="98" spans="1:33">
      <c r="A98" s="6" t="s">
        <v>249</v>
      </c>
      <c r="B98" s="1"/>
      <c r="C98" s="77">
        <f>IF(C4&gt;'Input Data'!$C$15+'Input Data'!$C$19,0,Book!C369)</f>
        <v>0</v>
      </c>
      <c r="D98" s="77">
        <f>IF(D4&gt;'Input Data'!$C$15+'Input Data'!$C$19,0,Book!D369)</f>
        <v>0</v>
      </c>
      <c r="E98" s="77">
        <f>IF(E4&gt;'Input Data'!$C$15+'Input Data'!$C$19,0,Book!E369)</f>
        <v>0</v>
      </c>
      <c r="F98" s="77">
        <f>IF(F4&gt;'Input Data'!$C$15+'Input Data'!$C$19,0,Book!F369)</f>
        <v>5344643.8985098768</v>
      </c>
      <c r="G98" s="77">
        <f>IF(G4&gt;'Input Data'!$C$15+'Input Data'!$C$19,0,Book!G369)</f>
        <v>8507481.9233043119</v>
      </c>
      <c r="H98" s="77">
        <f>IF(H4&gt;'Input Data'!$C$15+'Input Data'!$C$19,0,Book!H369)</f>
        <v>8507481.9233043119</v>
      </c>
      <c r="I98" s="77">
        <f>IF(I4&gt;'Input Data'!$C$15+'Input Data'!$C$19,0,Book!I369)</f>
        <v>8507481.9233043119</v>
      </c>
      <c r="J98" s="77">
        <f>IF(J4&gt;'Input Data'!$C$15+'Input Data'!$C$19,0,Book!J369)</f>
        <v>8507481.9233043119</v>
      </c>
      <c r="K98" s="77">
        <f>IF(K4&gt;'Input Data'!$C$15+'Input Data'!$C$19,0,Book!K369)</f>
        <v>8507481.9233043119</v>
      </c>
      <c r="L98" s="77">
        <f>IF(L4&gt;'Input Data'!$C$15+'Input Data'!$C$19,0,Book!L369)</f>
        <v>8507702.7566376459</v>
      </c>
      <c r="M98" s="77">
        <f>IF(M4&gt;'Input Data'!$C$15+'Input Data'!$C$19,0,Book!M369)</f>
        <v>6121884.8892565202</v>
      </c>
      <c r="N98" s="77">
        <f>IF(N4&gt;'Input Data'!$C$15+'Input Data'!$C$19,0,Book!N369)</f>
        <v>3736082.5612344802</v>
      </c>
      <c r="O98" s="77">
        <f>IF(O4&gt;'Input Data'!$C$15+'Input Data'!$C$19,0,Book!O369)</f>
        <v>3736562.3978587231</v>
      </c>
      <c r="P98" s="77">
        <f>IF(P4&gt;'Input Data'!$C$15+'Input Data'!$C$19,0,Book!P369)</f>
        <v>3737056.6296041775</v>
      </c>
      <c r="Q98" s="77">
        <f>IF(Q4&gt;'Input Data'!$C$15+'Input Data'!$C$19,0,Book!Q369)</f>
        <v>3737565.6882602382</v>
      </c>
      <c r="R98" s="77">
        <f>IF(R4&gt;'Input Data'!$C$15+'Input Data'!$C$19,0,Book!R369)</f>
        <v>3738380.9890269046</v>
      </c>
      <c r="S98" s="77">
        <f>IF(S4&gt;'Input Data'!$C$15+'Input Data'!$C$19,0,Book!S369)</f>
        <v>3739511.7192132683</v>
      </c>
      <c r="T98" s="77">
        <f>IF(T4&gt;'Input Data'!$C$15+'Input Data'!$C$19,0,Book!T369)</f>
        <v>3740676.3713269047</v>
      </c>
      <c r="U98" s="77">
        <f>IF(U4&gt;'Input Data'!$C$15+'Input Data'!$C$19,0,Book!U369)</f>
        <v>3741875.9629678139</v>
      </c>
      <c r="V98" s="77">
        <f>IF(V4&gt;'Input Data'!$C$15+'Input Data'!$C$19,0,Book!V369)</f>
        <v>3743111.5423314502</v>
      </c>
      <c r="W98" s="77">
        <f>IF(W4&gt;'Input Data'!$C$15+'Input Data'!$C$19,0,Book!W369)</f>
        <v>3744384.1890920564</v>
      </c>
      <c r="X98" s="77">
        <f>IF(X4&gt;'Input Data'!$C$15+'Input Data'!$C$19,0,Book!X369)</f>
        <v>3745695.0152859958</v>
      </c>
      <c r="Y98" s="77">
        <f>IF(Y4&gt;'Input Data'!$C$15+'Input Data'!$C$19,0,Book!Y369)</f>
        <v>3747045.1662753895</v>
      </c>
      <c r="Z98" s="77">
        <f>IF(Z4&gt;'Input Data'!$C$15+'Input Data'!$C$19,0,Book!Z369)</f>
        <v>3748435.8217920563</v>
      </c>
      <c r="AA98" s="77">
        <f>IF(AA4&gt;'Input Data'!$C$15+'Input Data'!$C$19,0,Book!AA369)</f>
        <v>3749868.1969011473</v>
      </c>
      <c r="AB98" s="77">
        <f>IF(AB4&gt;'Input Data'!$C$15+'Input Data'!$C$19,0,Book!AB369)</f>
        <v>3751343.5432056924</v>
      </c>
      <c r="AC98" s="77">
        <f>IF(AC4&gt;'Input Data'!$C$15+'Input Data'!$C$19,0,Book!AC369)</f>
        <v>3752863.1499708439</v>
      </c>
      <c r="AD98" s="77">
        <f>IF(AD4&gt;'Input Data'!$C$15+'Input Data'!$C$19,0,Book!AD369)</f>
        <v>3754428.3450072077</v>
      </c>
      <c r="AE98" s="77">
        <f>IF(AE4&gt;'Input Data'!$C$15+'Input Data'!$C$19,0,Book!AE369)</f>
        <v>3756040.4958753893</v>
      </c>
      <c r="AF98" s="77">
        <f>IF(AF4&gt;'Input Data'!$C$15+'Input Data'!$C$19,0,Book!AF369)</f>
        <v>3757701.0112511469</v>
      </c>
    </row>
    <row r="99" spans="1:33">
      <c r="A99" s="277" t="s">
        <v>250</v>
      </c>
      <c r="B99" s="278"/>
      <c r="C99" s="117">
        <f>IF(C4&gt;'Input Data'!$C$15+'Input Data'!$C$19,0,Tax!C388)</f>
        <v>0</v>
      </c>
      <c r="D99" s="117">
        <f>IF(D4&gt;'Input Data'!$C$15+'Input Data'!$C$19,0,Tax!D388)</f>
        <v>0</v>
      </c>
      <c r="E99" s="117">
        <f>IF(E4&gt;'Input Data'!$C$15+'Input Data'!$C$19,0,Tax!E388)</f>
        <v>3356624.4211006803</v>
      </c>
      <c r="F99" s="117">
        <f>IF(F4&gt;'Input Data'!$C$15+'Input Data'!$C$19,0,Tax!F388)</f>
        <v>10520040.393496744</v>
      </c>
      <c r="G99" s="117">
        <f>IF(G4&gt;'Input Data'!$C$15+'Input Data'!$C$19,0,Tax!G388)</f>
        <v>13927628.468616996</v>
      </c>
      <c r="H99" s="117">
        <f>IF(H4&gt;'Input Data'!$C$15+'Input Data'!$C$19,0,Tax!H388)</f>
        <v>11589087.632750157</v>
      </c>
      <c r="I99" s="117">
        <f>IF(I4&gt;'Input Data'!$C$15+'Input Data'!$C$19,0,Tax!I388)</f>
        <v>9918701.3214167021</v>
      </c>
      <c r="J99" s="117">
        <f>IF(J4&gt;'Input Data'!$C$15+'Input Data'!$C$19,0,Tax!J388)</f>
        <v>8729386.2677472793</v>
      </c>
      <c r="K99" s="117">
        <f>IF(K4&gt;'Input Data'!$C$15+'Input Data'!$C$19,0,Tax!K388)</f>
        <v>8726045.495124612</v>
      </c>
      <c r="L99" s="117">
        <f>IF(L4&gt;'Input Data'!$C$15+'Input Data'!$C$19,0,Tax!L388)</f>
        <v>8730065.7549267672</v>
      </c>
      <c r="M99" s="117">
        <f>IF(M4&gt;'Input Data'!$C$15+'Input Data'!$C$19,0,Tax!M388)</f>
        <v>7237440.2643895298</v>
      </c>
      <c r="N99" s="117">
        <f>IF(N4&gt;'Input Data'!$C$15+'Input Data'!$C$19,0,Tax!N388)</f>
        <v>5748182.975272161</v>
      </c>
      <c r="O99" s="117">
        <f>IF(O4&gt;'Input Data'!$C$15+'Input Data'!$C$19,0,Tax!O388)</f>
        <v>5748932.0950623713</v>
      </c>
      <c r="P99" s="117">
        <f>IF(P4&gt;'Input Data'!$C$15+'Input Data'!$C$19,0,Tax!P388)</f>
        <v>5749703.6883350983</v>
      </c>
      <c r="Q99" s="117">
        <f>IF(Q4&gt;'Input Data'!$C$15+'Input Data'!$C$19,0,Tax!Q388)</f>
        <v>5750498.4293887112</v>
      </c>
      <c r="R99" s="117">
        <f>IF(R4&gt;'Input Data'!$C$15+'Input Data'!$C$19,0,Tax!R388)</f>
        <v>5752212.3060786882</v>
      </c>
      <c r="S99" s="117">
        <f>IF(S4&gt;'Input Data'!$C$15+'Input Data'!$C$19,0,Tax!S388)</f>
        <v>5753977.5991929071</v>
      </c>
      <c r="T99" s="117">
        <f>IF(T4&gt;'Input Data'!$C$15+'Input Data'!$C$19,0,Tax!T388)</f>
        <v>5755795.8510437235</v>
      </c>
      <c r="U99" s="117">
        <f>IF(U4&gt;'Input Data'!$C$15+'Input Data'!$C$19,0,Tax!U388)</f>
        <v>5757668.6503957044</v>
      </c>
      <c r="V99" s="117">
        <f>IF(V4&gt;'Input Data'!$C$15+'Input Data'!$C$19,0,Tax!V388)</f>
        <v>5759597.6337010656</v>
      </c>
      <c r="W99" s="117">
        <f>IF(W4&gt;'Input Data'!$C$15+'Input Data'!$C$19,0,Tax!W388)</f>
        <v>5761584.4865821842</v>
      </c>
      <c r="X99" s="117">
        <f>IF(X4&gt;'Input Data'!$C$15+'Input Data'!$C$19,0,Tax!X388)</f>
        <v>5763630.9450670332</v>
      </c>
      <c r="Y99" s="117">
        <f>IF(Y4&gt;'Input Data'!$C$15+'Input Data'!$C$19,0,Tax!Y388)</f>
        <v>5765738.7973187817</v>
      </c>
      <c r="Z99" s="117">
        <f>IF(Z4&gt;'Input Data'!$C$15+'Input Data'!$C$19,0,Tax!Z388)</f>
        <v>5767909.885118315</v>
      </c>
      <c r="AA99" s="117">
        <f>IF(AA4&gt;'Input Data'!$C$15+'Input Data'!$C$19,0,Tax!AA388)</f>
        <v>5770146.1053467533</v>
      </c>
      <c r="AB99" s="117">
        <f>IF(AB4&gt;'Input Data'!$C$15+'Input Data'!$C$19,0,Tax!AB388)</f>
        <v>5772449.412209224</v>
      </c>
      <c r="AC99" s="117">
        <f>IF(AC4&gt;'Input Data'!$C$15+'Input Data'!$C$19,0,Tax!AC388)</f>
        <v>5774821.8184702964</v>
      </c>
      <c r="AD99" s="117">
        <f>IF(AD4&gt;'Input Data'!$C$15+'Input Data'!$C$19,0,Tax!AD388)</f>
        <v>5777265.3969364967</v>
      </c>
      <c r="AE99" s="117">
        <f>IF(AE4&gt;'Input Data'!$C$15+'Input Data'!$C$19,0,Tax!AE388)</f>
        <v>5779782.2826800868</v>
      </c>
      <c r="AF99" s="117">
        <f>IF(AF4&gt;'Input Data'!$C$15+'Input Data'!$C$19,0,Tax!AF388)</f>
        <v>5782374.6750157513</v>
      </c>
      <c r="AG99" s="60"/>
    </row>
    <row r="100" spans="1:33">
      <c r="A100" s="6" t="s">
        <v>251</v>
      </c>
      <c r="B100" s="36"/>
      <c r="C100" s="60">
        <f>C99-C98</f>
        <v>0</v>
      </c>
      <c r="D100" s="60">
        <f t="shared" ref="D100:V100" si="61">D99-D98</f>
        <v>0</v>
      </c>
      <c r="E100" s="60">
        <f t="shared" si="61"/>
        <v>3356624.4211006803</v>
      </c>
      <c r="F100" s="60">
        <f t="shared" si="61"/>
        <v>5175396.4949868675</v>
      </c>
      <c r="G100" s="60">
        <f t="shared" si="61"/>
        <v>5420146.545312684</v>
      </c>
      <c r="H100" s="60">
        <f t="shared" si="61"/>
        <v>3081605.7094458453</v>
      </c>
      <c r="I100" s="60">
        <f t="shared" si="61"/>
        <v>1411219.3981123902</v>
      </c>
      <c r="J100" s="60">
        <f t="shared" si="61"/>
        <v>221904.34444296733</v>
      </c>
      <c r="K100" s="60">
        <f t="shared" si="61"/>
        <v>218563.57182030007</v>
      </c>
      <c r="L100" s="60">
        <f t="shared" si="61"/>
        <v>222362.99828912131</v>
      </c>
      <c r="M100" s="60">
        <f t="shared" si="61"/>
        <v>1115555.3751330096</v>
      </c>
      <c r="N100" s="60">
        <f t="shared" si="61"/>
        <v>2012100.4140376807</v>
      </c>
      <c r="O100" s="60">
        <f t="shared" si="61"/>
        <v>2012369.6972036483</v>
      </c>
      <c r="P100" s="60">
        <f t="shared" si="61"/>
        <v>2012647.0587309208</v>
      </c>
      <c r="Q100" s="60">
        <f t="shared" si="61"/>
        <v>2012932.7411284731</v>
      </c>
      <c r="R100" s="60">
        <f t="shared" si="61"/>
        <v>2013831.3170517837</v>
      </c>
      <c r="S100" s="60">
        <f t="shared" si="61"/>
        <v>2014465.8799796388</v>
      </c>
      <c r="T100" s="60">
        <f t="shared" si="61"/>
        <v>2015119.4797168188</v>
      </c>
      <c r="U100" s="60">
        <f t="shared" si="61"/>
        <v>2015792.6874278905</v>
      </c>
      <c r="V100" s="60">
        <f t="shared" si="61"/>
        <v>2016486.0913696154</v>
      </c>
      <c r="W100" s="60">
        <f>W99-W98</f>
        <v>2017200.2974901279</v>
      </c>
      <c r="X100" s="60">
        <f>X99-X98</f>
        <v>2017935.9297810374</v>
      </c>
      <c r="Y100" s="60">
        <f>Y99-Y98</f>
        <v>2018693.6310433922</v>
      </c>
      <c r="Z100" s="60">
        <f>Z99-Z98</f>
        <v>2019474.0633262587</v>
      </c>
      <c r="AA100" s="60">
        <f>AA99-AA98</f>
        <v>2020277.908445606</v>
      </c>
      <c r="AB100" s="60">
        <f t="shared" ref="AB100:AF100" si="62">AB99-AB98</f>
        <v>2021105.8690035315</v>
      </c>
      <c r="AC100" s="60">
        <f t="shared" si="62"/>
        <v>2021958.6684994525</v>
      </c>
      <c r="AD100" s="60">
        <f t="shared" si="62"/>
        <v>2022837.051929289</v>
      </c>
      <c r="AE100" s="60">
        <f t="shared" si="62"/>
        <v>2023741.7868046975</v>
      </c>
      <c r="AF100" s="60">
        <f t="shared" si="62"/>
        <v>2024673.6637646044</v>
      </c>
    </row>
    <row r="101" spans="1:33">
      <c r="A101" s="277" t="s">
        <v>252</v>
      </c>
      <c r="B101" s="278"/>
      <c r="C101" s="77">
        <f>IF(C4&gt;'Input Data'!$C$15+'Input Data'!$C$19,0,Tax!C444)</f>
        <v>0</v>
      </c>
      <c r="D101" s="77">
        <f>IF(D4&gt;'Input Data'!$C$15+'Input Data'!$C$19,0,Tax!D444)</f>
        <v>0</v>
      </c>
      <c r="E101" s="77">
        <f>IF(E4&gt;'Input Data'!$C$15+'Input Data'!$C$19,0,Tax!E444)</f>
        <v>0</v>
      </c>
      <c r="F101" s="77">
        <f>IF(F4&gt;'Input Data'!$C$15+'Input Data'!$C$19,0,Tax!F444)</f>
        <v>0</v>
      </c>
      <c r="G101" s="77">
        <f>IF(G4&gt;'Input Data'!$C$15+'Input Data'!$C$19,0,Tax!G444)</f>
        <v>0</v>
      </c>
      <c r="H101" s="77">
        <f>IF(H4&gt;'Input Data'!$C$15+'Input Data'!$C$19,0,Tax!H444)</f>
        <v>0</v>
      </c>
      <c r="I101" s="77">
        <f>IF(I4&gt;'Input Data'!$C$15+'Input Data'!$C$19,0,Tax!I444)</f>
        <v>0</v>
      </c>
      <c r="J101" s="77">
        <f>IF(J4&gt;'Input Data'!$C$15+'Input Data'!$C$19,0,Tax!J444)</f>
        <v>0</v>
      </c>
      <c r="K101" s="77">
        <f>IF(K4&gt;'Input Data'!$C$15+'Input Data'!$C$19,0,Tax!K444)</f>
        <v>0</v>
      </c>
      <c r="L101" s="77">
        <f>IF(L4&gt;'Input Data'!$C$15+'Input Data'!$C$19,0,Tax!L444)</f>
        <v>0</v>
      </c>
      <c r="M101" s="77">
        <f>IF(M4&gt;'Input Data'!$C$15+'Input Data'!$C$19,0,Tax!M444)</f>
        <v>0</v>
      </c>
      <c r="N101" s="77">
        <f>IF(N4&gt;'Input Data'!$C$15+'Input Data'!$C$19,0,Tax!N444)</f>
        <v>0</v>
      </c>
      <c r="O101" s="77">
        <f>IF(O4&gt;'Input Data'!$C$15+'Input Data'!$C$19,0,Tax!O444)</f>
        <v>0</v>
      </c>
      <c r="P101" s="77">
        <f>IF(P4&gt;'Input Data'!$C$15+'Input Data'!$C$19,0,Tax!P444)</f>
        <v>0</v>
      </c>
      <c r="Q101" s="77">
        <f>IF(Q4&gt;'Input Data'!$C$15+'Input Data'!$C$19,0,Tax!Q444)</f>
        <v>0</v>
      </c>
      <c r="R101" s="77">
        <f>IF(R4&gt;'Input Data'!$C$15+'Input Data'!$C$19,0,Tax!R444)</f>
        <v>0</v>
      </c>
      <c r="S101" s="77">
        <f>IF(S4&gt;'Input Data'!$C$15+'Input Data'!$C$19,0,Tax!S444)</f>
        <v>0</v>
      </c>
      <c r="T101" s="77">
        <f>IF(T4&gt;'Input Data'!$C$15+'Input Data'!$C$19,0,Tax!T444)</f>
        <v>0</v>
      </c>
      <c r="U101" s="77">
        <f>IF(U4&gt;'Input Data'!$C$15+'Input Data'!$C$19,0,Tax!U444)</f>
        <v>0</v>
      </c>
      <c r="V101" s="77">
        <f>IF(V4&gt;'Input Data'!$C$15+'Input Data'!$C$19,0,Tax!V444)</f>
        <v>0</v>
      </c>
      <c r="W101" s="77">
        <f>IF(W4&gt;'Input Data'!$C$15+'Input Data'!$C$19,0,Tax!W444)</f>
        <v>0</v>
      </c>
      <c r="X101" s="77">
        <f>IF(X4&gt;'Input Data'!$C$15+'Input Data'!$C$19,0,Tax!X444)</f>
        <v>0</v>
      </c>
      <c r="Y101" s="77">
        <f>IF(Y4&gt;'Input Data'!$C$15+'Input Data'!$C$19,0,Tax!Y444)</f>
        <v>0</v>
      </c>
      <c r="Z101" s="77">
        <f>IF(Z4&gt;'Input Data'!$C$15+'Input Data'!$C$19,0,Tax!Z444)</f>
        <v>0</v>
      </c>
      <c r="AA101" s="77">
        <f>IF(AA4&gt;'Input Data'!$C$15+'Input Data'!$C$19,0,Tax!AA444)</f>
        <v>0</v>
      </c>
      <c r="AB101" s="77">
        <f>IF(AB4&gt;'Input Data'!$C$15+'Input Data'!$C$19,0,Tax!AB444)</f>
        <v>0</v>
      </c>
      <c r="AC101" s="77">
        <f>IF(AC4&gt;'Input Data'!$C$15+'Input Data'!$C$19,0,Tax!AC444)</f>
        <v>0</v>
      </c>
      <c r="AD101" s="77">
        <f>IF(AD4&gt;'Input Data'!$C$15+'Input Data'!$C$19,0,Tax!AD444)</f>
        <v>0</v>
      </c>
      <c r="AE101" s="77">
        <f>IF(AE4&gt;'Input Data'!$C$15+'Input Data'!$C$19,0,Tax!AE444)</f>
        <v>0</v>
      </c>
      <c r="AF101" s="77">
        <f>IF(AF4&gt;'Input Data'!$C$15+'Input Data'!$C$19,0,Tax!AF444)</f>
        <v>0</v>
      </c>
    </row>
    <row r="102" spans="1:33" ht="15" thickBot="1">
      <c r="A102" s="6" t="s">
        <v>253</v>
      </c>
      <c r="B102" s="36"/>
      <c r="C102" s="118">
        <f>C100+C101</f>
        <v>0</v>
      </c>
      <c r="D102" s="118">
        <f t="shared" ref="D102:V102" si="63">D100+D101</f>
        <v>0</v>
      </c>
      <c r="E102" s="118">
        <f t="shared" si="63"/>
        <v>3356624.4211006803</v>
      </c>
      <c r="F102" s="118">
        <f t="shared" si="63"/>
        <v>5175396.4949868675</v>
      </c>
      <c r="G102" s="118">
        <f t="shared" si="63"/>
        <v>5420146.545312684</v>
      </c>
      <c r="H102" s="118">
        <f t="shared" si="63"/>
        <v>3081605.7094458453</v>
      </c>
      <c r="I102" s="118">
        <f t="shared" si="63"/>
        <v>1411219.3981123902</v>
      </c>
      <c r="J102" s="118">
        <f t="shared" si="63"/>
        <v>221904.34444296733</v>
      </c>
      <c r="K102" s="118">
        <f t="shared" si="63"/>
        <v>218563.57182030007</v>
      </c>
      <c r="L102" s="118">
        <f t="shared" si="63"/>
        <v>222362.99828912131</v>
      </c>
      <c r="M102" s="118">
        <f t="shared" si="63"/>
        <v>1115555.3751330096</v>
      </c>
      <c r="N102" s="118">
        <f t="shared" si="63"/>
        <v>2012100.4140376807</v>
      </c>
      <c r="O102" s="118">
        <f t="shared" si="63"/>
        <v>2012369.6972036483</v>
      </c>
      <c r="P102" s="118">
        <f t="shared" si="63"/>
        <v>2012647.0587309208</v>
      </c>
      <c r="Q102" s="118">
        <f t="shared" si="63"/>
        <v>2012932.7411284731</v>
      </c>
      <c r="R102" s="118">
        <f t="shared" si="63"/>
        <v>2013831.3170517837</v>
      </c>
      <c r="S102" s="118">
        <f t="shared" si="63"/>
        <v>2014465.8799796388</v>
      </c>
      <c r="T102" s="118">
        <f t="shared" si="63"/>
        <v>2015119.4797168188</v>
      </c>
      <c r="U102" s="118">
        <f t="shared" si="63"/>
        <v>2015792.6874278905</v>
      </c>
      <c r="V102" s="118">
        <f t="shared" si="63"/>
        <v>2016486.0913696154</v>
      </c>
      <c r="W102" s="118">
        <f>W100+W101</f>
        <v>2017200.2974901279</v>
      </c>
      <c r="X102" s="118">
        <f>X100+X101</f>
        <v>2017935.9297810374</v>
      </c>
      <c r="Y102" s="118">
        <f>Y100+Y101</f>
        <v>2018693.6310433922</v>
      </c>
      <c r="Z102" s="118">
        <f>Z100+Z101</f>
        <v>2019474.0633262587</v>
      </c>
      <c r="AA102" s="118">
        <f>AA100+AA101</f>
        <v>2020277.908445606</v>
      </c>
      <c r="AB102" s="118">
        <f t="shared" ref="AB102:AF102" si="64">AB100+AB101</f>
        <v>2021105.8690035315</v>
      </c>
      <c r="AC102" s="118">
        <f t="shared" si="64"/>
        <v>2021958.6684994525</v>
      </c>
      <c r="AD102" s="118">
        <f t="shared" si="64"/>
        <v>2022837.051929289</v>
      </c>
      <c r="AE102" s="118">
        <f t="shared" si="64"/>
        <v>2023741.7868046975</v>
      </c>
      <c r="AF102" s="118">
        <f t="shared" si="64"/>
        <v>2024673.6637646044</v>
      </c>
    </row>
    <row r="103" spans="1:33" s="1" customFormat="1">
      <c r="A103" s="1" t="s">
        <v>254</v>
      </c>
      <c r="B103" s="119"/>
      <c r="C103" s="120">
        <f>C102*C$95</f>
        <v>0</v>
      </c>
      <c r="D103" s="120">
        <f t="shared" ref="D103:AA103" si="65">D102*D$95</f>
        <v>0</v>
      </c>
      <c r="E103" s="120">
        <f t="shared" si="65"/>
        <v>850736.45952796738</v>
      </c>
      <c r="F103" s="120">
        <f t="shared" si="65"/>
        <v>1311704.2416544217</v>
      </c>
      <c r="G103" s="120">
        <f t="shared" si="65"/>
        <v>1373736.1419094999</v>
      </c>
      <c r="H103" s="120">
        <f t="shared" si="65"/>
        <v>781032.96705904952</v>
      </c>
      <c r="I103" s="120">
        <f t="shared" si="65"/>
        <v>357673.55645158532</v>
      </c>
      <c r="J103" s="120">
        <f t="shared" si="65"/>
        <v>56241.656099070067</v>
      </c>
      <c r="K103" s="120">
        <f t="shared" si="65"/>
        <v>55394.937277855053</v>
      </c>
      <c r="L103" s="120">
        <f t="shared" si="65"/>
        <v>56357.901916377799</v>
      </c>
      <c r="M103" s="120">
        <f t="shared" si="65"/>
        <v>282737.50982746133</v>
      </c>
      <c r="N103" s="120">
        <f t="shared" si="65"/>
        <v>509966.8499378502</v>
      </c>
      <c r="O103" s="120">
        <f t="shared" si="65"/>
        <v>510035.09975626465</v>
      </c>
      <c r="P103" s="120">
        <f t="shared" si="65"/>
        <v>510105.3970353519</v>
      </c>
      <c r="Q103" s="120">
        <f t="shared" si="65"/>
        <v>510177.8032390115</v>
      </c>
      <c r="R103" s="120">
        <f t="shared" si="65"/>
        <v>510405.54730677459</v>
      </c>
      <c r="S103" s="120">
        <f t="shared" si="65"/>
        <v>510566.37728083949</v>
      </c>
      <c r="T103" s="120">
        <f t="shared" si="65"/>
        <v>510732.03213422775</v>
      </c>
      <c r="U103" s="120">
        <f t="shared" si="65"/>
        <v>510902.65662859887</v>
      </c>
      <c r="V103" s="120">
        <f t="shared" si="65"/>
        <v>511078.39985762903</v>
      </c>
      <c r="W103" s="120">
        <f t="shared" si="65"/>
        <v>511259.41539887292</v>
      </c>
      <c r="X103" s="120">
        <f t="shared" si="65"/>
        <v>511445.86140300392</v>
      </c>
      <c r="Y103" s="120">
        <f t="shared" si="65"/>
        <v>511637.90078794776</v>
      </c>
      <c r="Z103" s="120">
        <f t="shared" si="65"/>
        <v>511835.70135004027</v>
      </c>
      <c r="AA103" s="120">
        <f t="shared" si="65"/>
        <v>512039.43589553889</v>
      </c>
      <c r="AB103" s="120">
        <f t="shared" ref="AB103:AF103" si="66">AB102*AB$95</f>
        <v>512249.28249894507</v>
      </c>
      <c r="AC103" s="120">
        <f t="shared" si="66"/>
        <v>512465.42453118623</v>
      </c>
      <c r="AD103" s="120">
        <f t="shared" si="66"/>
        <v>512688.05081147834</v>
      </c>
      <c r="AE103" s="120">
        <f t="shared" si="66"/>
        <v>512917.35586565058</v>
      </c>
      <c r="AF103" s="120">
        <f t="shared" si="66"/>
        <v>513153.54008113901</v>
      </c>
    </row>
    <row r="104" spans="1:33" s="1" customFormat="1">
      <c r="A104" s="1" t="s">
        <v>215</v>
      </c>
      <c r="B104" s="119"/>
      <c r="C104" s="120">
        <f>+C103</f>
        <v>0</v>
      </c>
      <c r="D104" s="120">
        <f>+C104+D103+SUM($C$102:C102)*(D95-C95)</f>
        <v>0</v>
      </c>
      <c r="E104" s="120">
        <f>+D104+E103+SUM($C$102:D102)*(E95-D95)</f>
        <v>850736.45952796738</v>
      </c>
      <c r="F104" s="120">
        <f>+E104+F103+SUM($C$102:E102)*(F95-E95)</f>
        <v>2162440.7011823892</v>
      </c>
      <c r="G104" s="120">
        <f>+F104+G103+SUM($C$102:F102)*(G95-F95)</f>
        <v>3536176.8430918893</v>
      </c>
      <c r="H104" s="120">
        <f>+G104+H103+SUM($C$102:G102)*(H95-G95)</f>
        <v>4317209.810150939</v>
      </c>
      <c r="I104" s="120">
        <f>+H104+I103+SUM($C$102:H102)*(I95-H95)</f>
        <v>4674883.3666025242</v>
      </c>
      <c r="J104" s="120">
        <f>+I104+J103+SUM($C$102:I102)*(J95-I95)</f>
        <v>4731125.022701594</v>
      </c>
      <c r="K104" s="120">
        <f>+J104+K103+SUM($C$102:J102)*(K95-J95)</f>
        <v>4786519.9599794494</v>
      </c>
      <c r="L104" s="120">
        <f>+K104+L103+SUM($C$102:K102)*(L95-K95)</f>
        <v>4842877.8618958276</v>
      </c>
      <c r="M104" s="120">
        <f>+L104+M103+SUM($C$102:L102)*(M95-L95)</f>
        <v>5125615.3717232887</v>
      </c>
      <c r="N104" s="120">
        <f>+M104+N103+SUM($C$102:M102)*(N95-M95)</f>
        <v>5635582.2216611393</v>
      </c>
      <c r="O104" s="120">
        <f>+N104+O103+SUM($C$102:N102)*(O95-N95)</f>
        <v>6145617.3214174043</v>
      </c>
      <c r="P104" s="120">
        <f>+O104+P103+SUM($C$102:O102)*(P95-O95)</f>
        <v>6655722.7184527563</v>
      </c>
      <c r="Q104" s="120">
        <f>+P104+Q103+SUM($C$102:P102)*(Q95-P95)</f>
        <v>7165900.5216917675</v>
      </c>
      <c r="R104" s="120">
        <f>+Q104+R103+SUM($C$102:Q102)*(R95-Q95)</f>
        <v>7676306.0689985417</v>
      </c>
      <c r="S104" s="120">
        <f>+R104+S103+SUM($C$102:R102)*(S95-R95)</f>
        <v>8186872.4462793814</v>
      </c>
      <c r="T104" s="120">
        <f>+S104+T103+SUM($C$102:S102)*(T95-S95)</f>
        <v>8697604.4784136098</v>
      </c>
      <c r="U104" s="120">
        <f>+T104+U103+SUM($C$102:T102)*(U95-T95)</f>
        <v>9208507.1350422092</v>
      </c>
      <c r="V104" s="120">
        <f>+U104+V103+SUM($C$102:U102)*(V95-U95)</f>
        <v>9719585.5348998383</v>
      </c>
      <c r="W104" s="120">
        <f>+V104+W103+SUM($C$102:V102)*(W95-V95)</f>
        <v>10230844.950298712</v>
      </c>
      <c r="X104" s="120">
        <f>+W104+X103+SUM($C$102:W102)*(X95-W95)</f>
        <v>10742290.811701715</v>
      </c>
      <c r="Y104" s="120">
        <f>+X104+Y103+SUM($C$102:X102)*(Y95-X95)</f>
        <v>11253928.712489663</v>
      </c>
      <c r="Z104" s="120">
        <f>+Y104+Z103+SUM($C$102:Y102)*(Z95-Y95)</f>
        <v>11765764.413839703</v>
      </c>
      <c r="AA104" s="120">
        <f>+Z104+AA103+SUM($C$102:Z102)*(AA95-Z95)</f>
        <v>12277803.849735241</v>
      </c>
      <c r="AB104" s="120">
        <f>+AA104+AB103+SUM($C$102:AA102)*(AB95-AA95)</f>
        <v>12790053.132234186</v>
      </c>
      <c r="AC104" s="120">
        <f>+AB104+AC103+SUM($C$102:AB102)*(AC95-AB95)</f>
        <v>13302518.556765372</v>
      </c>
      <c r="AD104" s="120">
        <f>+AC104+AD103+SUM($C$102:AC102)*(AD95-AC95)</f>
        <v>13815206.607576851</v>
      </c>
      <c r="AE104" s="120">
        <f>+AD104+AE103+SUM($C$102:AD102)*(AE95-AD95)</f>
        <v>14328123.963442501</v>
      </c>
      <c r="AF104" s="120">
        <f>+AE104+AF103+SUM($C$102:AE102)*(AF95-AE95)</f>
        <v>14841277.50352364</v>
      </c>
      <c r="AG104" s="120"/>
    </row>
    <row r="105" spans="1:33" ht="15" thickBot="1">
      <c r="A105" s="281"/>
      <c r="B105" s="281"/>
      <c r="C105" s="286"/>
      <c r="D105" s="326"/>
      <c r="E105" s="286"/>
      <c r="F105" s="429"/>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row>
    <row r="106" spans="1:33">
      <c r="C106" s="60"/>
      <c r="D106" s="60"/>
      <c r="E106" s="298"/>
      <c r="F106" s="41"/>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287"/>
    </row>
    <row r="107" spans="1:33">
      <c r="A107" s="256" t="s">
        <v>255</v>
      </c>
      <c r="B107" s="1"/>
      <c r="C107" s="69"/>
      <c r="E107" s="59"/>
      <c r="F107" s="282"/>
      <c r="G107" s="283"/>
      <c r="H107" s="283"/>
      <c r="I107" s="284"/>
      <c r="K107" s="284"/>
      <c r="L107" s="68"/>
      <c r="M107" s="258"/>
      <c r="AG107" s="287"/>
    </row>
    <row r="108" spans="1:33">
      <c r="A108" s="48" t="s">
        <v>256</v>
      </c>
      <c r="B108" s="1"/>
      <c r="C108" s="69"/>
      <c r="E108" s="59"/>
      <c r="F108" s="282"/>
      <c r="G108" s="283"/>
      <c r="H108" s="283"/>
      <c r="I108" s="284"/>
      <c r="K108" s="284"/>
      <c r="L108" s="68"/>
      <c r="M108" s="258"/>
      <c r="AG108" s="287"/>
    </row>
    <row r="109" spans="1:33">
      <c r="A109" s="6" t="s">
        <v>257</v>
      </c>
      <c r="B109" s="1"/>
      <c r="C109" s="69"/>
      <c r="E109" s="59"/>
      <c r="F109" s="282"/>
      <c r="G109" s="283"/>
      <c r="H109" s="283"/>
      <c r="I109" s="284"/>
      <c r="K109" s="284"/>
      <c r="L109" s="68"/>
      <c r="M109" s="258"/>
      <c r="AG109" s="287"/>
    </row>
    <row r="110" spans="1:33">
      <c r="A110" s="217" t="s">
        <v>258</v>
      </c>
      <c r="B110" s="1"/>
      <c r="C110" s="69"/>
      <c r="E110" s="59"/>
      <c r="F110" s="282"/>
      <c r="G110" s="283"/>
      <c r="H110" s="283"/>
      <c r="I110" s="284"/>
      <c r="K110" s="284"/>
      <c r="L110" s="68"/>
      <c r="M110" s="258"/>
      <c r="AG110" s="287"/>
    </row>
    <row r="111" spans="1:33">
      <c r="A111" s="288" t="s">
        <v>259</v>
      </c>
      <c r="B111" s="1"/>
      <c r="C111" s="4"/>
      <c r="D111" s="4">
        <f>IF(D4&gt;'Input Data'!$C$15+'Input Data'!$C$19,0,C113)</f>
        <v>0</v>
      </c>
      <c r="E111" s="4">
        <f>IF(E4&gt;'Input Data'!$C$15+'Input Data'!$C$19,0,D113)</f>
        <v>0</v>
      </c>
      <c r="F111" s="4">
        <f>IF(F4&gt;'Input Data'!$C$15+'Input Data'!$C$19,0,E113)</f>
        <v>144431088.93054351</v>
      </c>
      <c r="G111" s="4">
        <f>IF(G4&gt;'Input Data'!$C$15+'Input Data'!$C$19,0,F113)</f>
        <v>271027439.04680949</v>
      </c>
      <c r="H111" s="4">
        <f>IF(H4&gt;'Input Data'!$C$15+'Input Data'!$C$19,0,G113)</f>
        <v>271027439.04680949</v>
      </c>
      <c r="I111" s="4">
        <f>IF(I4&gt;'Input Data'!$C$15+'Input Data'!$C$19,0,H113)</f>
        <v>271027439.04680949</v>
      </c>
      <c r="J111" s="4">
        <f>IF(J4&gt;'Input Data'!$C$15+'Input Data'!$C$19,0,I113)</f>
        <v>271027439.04680949</v>
      </c>
      <c r="K111" s="4">
        <f>IF(K4&gt;'Input Data'!$C$15+'Input Data'!$C$19,0,J113)</f>
        <v>271027439.04680949</v>
      </c>
      <c r="L111" s="4">
        <f>IF(L4&gt;'Input Data'!$C$15+'Input Data'!$C$19,0,K113)</f>
        <v>271027439.04680949</v>
      </c>
      <c r="M111" s="4">
        <f>IF(M4&gt;'Input Data'!$C$15+'Input Data'!$C$19,0,L113)</f>
        <v>271053939.04680949</v>
      </c>
      <c r="N111" s="4">
        <f>IF(N4&gt;'Input Data'!$C$15+'Input Data'!$C$19,0,M113)</f>
        <v>271081234.04680949</v>
      </c>
      <c r="O111" s="4">
        <f>IF(O4&gt;'Input Data'!$C$15+'Input Data'!$C$19,0,N113)</f>
        <v>271109598.76990038</v>
      </c>
      <c r="P111" s="4">
        <f>IF(P4&gt;'Input Data'!$C$15+'Input Data'!$C$19,0,O113)</f>
        <v>271138814.44171858</v>
      </c>
      <c r="Q111" s="4">
        <f>IF(Q4&gt;'Input Data'!$C$15+'Input Data'!$C$19,0,P113)</f>
        <v>271168906.57935494</v>
      </c>
      <c r="R111" s="4">
        <f>IF(R4&gt;'Input Data'!$C$15+'Input Data'!$C$19,0,Q113)</f>
        <v>271199901.48044586</v>
      </c>
      <c r="S111" s="4">
        <f>IF(S4&gt;'Input Data'!$C$15+'Input Data'!$C$19,0,R113)</f>
        <v>271266742.67135495</v>
      </c>
      <c r="T111" s="4">
        <f>IF(T4&gt;'Input Data'!$C$15+'Input Data'!$C$19,0,S113)</f>
        <v>271335589.10280949</v>
      </c>
      <c r="U111" s="4">
        <f>IF(U4&gt;'Input Data'!$C$15+'Input Data'!$C$19,0,T113)</f>
        <v>271406500.92499131</v>
      </c>
      <c r="V111" s="4">
        <f>IF(V4&gt;'Input Data'!$C$15+'Input Data'!$C$19,0,U113)</f>
        <v>271479540.09971857</v>
      </c>
      <c r="W111" s="4">
        <f>IF(W4&gt;'Input Data'!$C$15+'Input Data'!$C$19,0,V113)</f>
        <v>271554770.44862765</v>
      </c>
      <c r="X111" s="4">
        <f>IF(X4&gt;'Input Data'!$C$15+'Input Data'!$C$19,0,W113)</f>
        <v>271632257.71099126</v>
      </c>
      <c r="Y111" s="4">
        <f>IF(Y4&gt;'Input Data'!$C$15+'Input Data'!$C$19,0,X113)</f>
        <v>271712069.59190035</v>
      </c>
      <c r="Z111" s="4">
        <f>IF(Z4&gt;'Input Data'!$C$15+'Input Data'!$C$19,0,Y113)</f>
        <v>271794275.82971853</v>
      </c>
      <c r="AA111" s="4">
        <f>IF(AA4&gt;'Input Data'!$C$15+'Input Data'!$C$19,0,Z113)</f>
        <v>271878948.25390035</v>
      </c>
      <c r="AB111" s="4">
        <f>IF(AB4&gt;'Input Data'!$C$15+'Input Data'!$C$19,0,AA113)</f>
        <v>271966160.84280944</v>
      </c>
      <c r="AC111" s="4">
        <f>IF(AC4&gt;'Input Data'!$C$15+'Input Data'!$C$19,0,AB113)</f>
        <v>272055989.81044579</v>
      </c>
      <c r="AD111" s="4">
        <f>IF(AD4&gt;'Input Data'!$C$15+'Input Data'!$C$19,0,AC113)</f>
        <v>272148513.65462762</v>
      </c>
      <c r="AE111" s="4">
        <f>IF(AE4&gt;'Input Data'!$C$15+'Input Data'!$C$19,0,AD113)</f>
        <v>272243813.21480942</v>
      </c>
      <c r="AF111" s="4">
        <f>IF(AF4&gt;'Input Data'!$C$15+'Input Data'!$C$19,0,AE113)</f>
        <v>272341971.75880945</v>
      </c>
      <c r="AG111" s="105"/>
    </row>
    <row r="112" spans="1:33">
      <c r="A112" s="288" t="s">
        <v>260</v>
      </c>
      <c r="B112" s="289"/>
      <c r="C112" s="42">
        <f>+Book!C366</f>
        <v>0</v>
      </c>
      <c r="D112" s="42">
        <f>+Book!D366</f>
        <v>0</v>
      </c>
      <c r="E112" s="42">
        <f>+Book!E366</f>
        <v>144431088.93054351</v>
      </c>
      <c r="F112" s="42">
        <f>+Book!F366</f>
        <v>126596350.11626597</v>
      </c>
      <c r="G112" s="42">
        <f>+Book!G366</f>
        <v>0</v>
      </c>
      <c r="H112" s="42">
        <f>+Book!H366</f>
        <v>0</v>
      </c>
      <c r="I112" s="42">
        <f>+Book!I366</f>
        <v>0</v>
      </c>
      <c r="J112" s="42">
        <f>+Book!J366</f>
        <v>0</v>
      </c>
      <c r="K112" s="42">
        <f>+Book!K366</f>
        <v>0</v>
      </c>
      <c r="L112" s="42">
        <f>+Book!L366</f>
        <v>26500</v>
      </c>
      <c r="M112" s="42">
        <f>+Book!M366</f>
        <v>27295</v>
      </c>
      <c r="N112" s="42">
        <f>+Book!N366</f>
        <v>28364.72309090909</v>
      </c>
      <c r="O112" s="42">
        <f>+Book!O366</f>
        <v>29215.671818181818</v>
      </c>
      <c r="P112" s="42">
        <f>+Book!P366</f>
        <v>30092.137636363637</v>
      </c>
      <c r="Q112" s="42">
        <f>+Book!Q366</f>
        <v>30994.90109090909</v>
      </c>
      <c r="R112" s="42">
        <f>+Book!R366</f>
        <v>66841.190909090918</v>
      </c>
      <c r="S112" s="42">
        <f>+Book!S366</f>
        <v>68846.431454545454</v>
      </c>
      <c r="T112" s="42">
        <f>+Book!T366</f>
        <v>70911.822181818177</v>
      </c>
      <c r="U112" s="42">
        <f>+Book!U366</f>
        <v>73039.174727272723</v>
      </c>
      <c r="V112" s="42">
        <f>+Book!V366</f>
        <v>75230.348909090899</v>
      </c>
      <c r="W112" s="42">
        <f>+Book!W366</f>
        <v>77487.262363636371</v>
      </c>
      <c r="X112" s="42">
        <f>+Book!X366</f>
        <v>79811.880909090905</v>
      </c>
      <c r="Y112" s="42">
        <f>+Book!Y366</f>
        <v>82206.23781818182</v>
      </c>
      <c r="Z112" s="42">
        <f>+Book!Z366</f>
        <v>84672.424181818176</v>
      </c>
      <c r="AA112" s="42">
        <f>+Book!AA366</f>
        <v>87212.588909090904</v>
      </c>
      <c r="AB112" s="42">
        <f>+Book!AB366</f>
        <v>89828.967636363639</v>
      </c>
      <c r="AC112" s="42">
        <f>+Book!AC366</f>
        <v>92523.844181818175</v>
      </c>
      <c r="AD112" s="42">
        <f>+Book!AD366</f>
        <v>95299.560181818175</v>
      </c>
      <c r="AE112" s="42">
        <f>+Book!AE366</f>
        <v>98158.543999999994</v>
      </c>
      <c r="AF112" s="42">
        <f>+Book!AF366</f>
        <v>101103.3010909091</v>
      </c>
      <c r="AG112" s="106"/>
    </row>
    <row r="113" spans="1:33">
      <c r="A113" s="288" t="s">
        <v>261</v>
      </c>
      <c r="B113" s="66"/>
      <c r="C113" s="49">
        <f t="shared" ref="C113:V113" si="67">SUM(C111:C112)</f>
        <v>0</v>
      </c>
      <c r="D113" s="49">
        <f t="shared" si="67"/>
        <v>0</v>
      </c>
      <c r="E113" s="49">
        <f t="shared" si="67"/>
        <v>144431088.93054351</v>
      </c>
      <c r="F113" s="49">
        <f t="shared" si="67"/>
        <v>271027439.04680949</v>
      </c>
      <c r="G113" s="49">
        <f t="shared" si="67"/>
        <v>271027439.04680949</v>
      </c>
      <c r="H113" s="49">
        <f t="shared" si="67"/>
        <v>271027439.04680949</v>
      </c>
      <c r="I113" s="49">
        <f t="shared" si="67"/>
        <v>271027439.04680949</v>
      </c>
      <c r="J113" s="49">
        <f t="shared" si="67"/>
        <v>271027439.04680949</v>
      </c>
      <c r="K113" s="49">
        <f t="shared" si="67"/>
        <v>271027439.04680949</v>
      </c>
      <c r="L113" s="49">
        <f t="shared" si="67"/>
        <v>271053939.04680949</v>
      </c>
      <c r="M113" s="49">
        <f t="shared" si="67"/>
        <v>271081234.04680949</v>
      </c>
      <c r="N113" s="49">
        <f t="shared" si="67"/>
        <v>271109598.76990038</v>
      </c>
      <c r="O113" s="49">
        <f t="shared" si="67"/>
        <v>271138814.44171858</v>
      </c>
      <c r="P113" s="49">
        <f t="shared" si="67"/>
        <v>271168906.57935494</v>
      </c>
      <c r="Q113" s="49">
        <f t="shared" si="67"/>
        <v>271199901.48044586</v>
      </c>
      <c r="R113" s="49">
        <f t="shared" si="67"/>
        <v>271266742.67135495</v>
      </c>
      <c r="S113" s="49">
        <f t="shared" si="67"/>
        <v>271335589.10280949</v>
      </c>
      <c r="T113" s="49">
        <f t="shared" si="67"/>
        <v>271406500.92499131</v>
      </c>
      <c r="U113" s="49">
        <f t="shared" si="67"/>
        <v>271479540.09971857</v>
      </c>
      <c r="V113" s="49">
        <f t="shared" si="67"/>
        <v>271554770.44862765</v>
      </c>
      <c r="W113" s="49">
        <f>SUM(W111:W112)</f>
        <v>271632257.71099126</v>
      </c>
      <c r="X113" s="49">
        <f>SUM(X111:X112)</f>
        <v>271712069.59190035</v>
      </c>
      <c r="Y113" s="49">
        <f>SUM(Y111:Y112)</f>
        <v>271794275.82971853</v>
      </c>
      <c r="Z113" s="49">
        <f>SUM(Z111:Z112)</f>
        <v>271878948.25390035</v>
      </c>
      <c r="AA113" s="49">
        <f>SUM(AA111:AA112)</f>
        <v>271966160.84280944</v>
      </c>
      <c r="AB113" s="49">
        <f t="shared" ref="AB113:AF113" si="68">SUM(AB111:AB112)</f>
        <v>272055989.81044579</v>
      </c>
      <c r="AC113" s="49">
        <f t="shared" si="68"/>
        <v>272148513.65462762</v>
      </c>
      <c r="AD113" s="49">
        <f t="shared" si="68"/>
        <v>272243813.21480942</v>
      </c>
      <c r="AE113" s="49">
        <f t="shared" si="68"/>
        <v>272341971.75880945</v>
      </c>
      <c r="AF113" s="49">
        <f t="shared" si="68"/>
        <v>272443075.05990034</v>
      </c>
      <c r="AG113" s="60"/>
    </row>
    <row r="114" spans="1:33">
      <c r="A114" s="217" t="s">
        <v>262</v>
      </c>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3">
      <c r="A115" s="288" t="s">
        <v>259</v>
      </c>
      <c r="B115" s="1"/>
      <c r="C115" s="4"/>
      <c r="D115" s="4">
        <f>IF(D4&gt;'Input Data'!$C$15+'Input Data'!$C$19,0,C117)</f>
        <v>0</v>
      </c>
      <c r="E115" s="4">
        <f>IF(E4&gt;'Input Data'!$C$15+'Input Data'!$C$19,0,D117)</f>
        <v>0</v>
      </c>
      <c r="F115" s="4">
        <f>IF(F4&gt;'Input Data'!$C$15+'Input Data'!$C$19,0,E117)</f>
        <v>0</v>
      </c>
      <c r="G115" s="4">
        <f>IF(G4&gt;'Input Data'!$C$15+'Input Data'!$C$19,0,F117)</f>
        <v>5344643.8985098768</v>
      </c>
      <c r="H115" s="4">
        <f>IF(H4&gt;'Input Data'!$C$15+'Input Data'!$C$19,0,G117)</f>
        <v>13852125.821814189</v>
      </c>
      <c r="I115" s="4">
        <f>IF(I4&gt;'Input Data'!$C$15+'Input Data'!$C$19,0,H117)</f>
        <v>22359607.745118499</v>
      </c>
      <c r="J115" s="4">
        <f>IF(J4&gt;'Input Data'!$C$15+'Input Data'!$C$19,0,I117)</f>
        <v>30867089.668422811</v>
      </c>
      <c r="K115" s="4">
        <f>IF(K4&gt;'Input Data'!$C$15+'Input Data'!$C$19,0,J117)</f>
        <v>39374571.591727123</v>
      </c>
      <c r="L115" s="4">
        <f>IF(L4&gt;'Input Data'!$C$15+'Input Data'!$C$19,0,K117)</f>
        <v>47882053.515031435</v>
      </c>
      <c r="M115" s="4">
        <f>IF(M4&gt;'Input Data'!$C$15+'Input Data'!$C$19,0,L117)</f>
        <v>56389756.271669082</v>
      </c>
      <c r="N115" s="4">
        <f>IF(N4&gt;'Input Data'!$C$15+'Input Data'!$C$19,0,M117)</f>
        <v>62511641.160925604</v>
      </c>
      <c r="O115" s="4">
        <f>IF(O4&gt;'Input Data'!$C$15+'Input Data'!$C$19,0,N117)</f>
        <v>66247723.722160086</v>
      </c>
      <c r="P115" s="4">
        <f>IF(P4&gt;'Input Data'!$C$15+'Input Data'!$C$19,0,O117)</f>
        <v>69984286.12001881</v>
      </c>
      <c r="Q115" s="4">
        <f>IF(Q4&gt;'Input Data'!$C$15+'Input Data'!$C$19,0,P117)</f>
        <v>73721342.749622986</v>
      </c>
      <c r="R115" s="4">
        <f>IF(R4&gt;'Input Data'!$C$15+'Input Data'!$C$19,0,Q117)</f>
        <v>77458908.437883228</v>
      </c>
      <c r="S115" s="4">
        <f>IF(S4&gt;'Input Data'!$C$15+'Input Data'!$C$19,0,R117)</f>
        <v>81197289.426910132</v>
      </c>
      <c r="T115" s="4">
        <f>IF(T4&gt;'Input Data'!$C$15+'Input Data'!$C$19,0,S117)</f>
        <v>84936801.146123394</v>
      </c>
      <c r="U115" s="4">
        <f>IF(U4&gt;'Input Data'!$C$15+'Input Data'!$C$19,0,T117)</f>
        <v>88677477.517450303</v>
      </c>
      <c r="V115" s="4">
        <f>IF(V4&gt;'Input Data'!$C$15+'Input Data'!$C$19,0,U117)</f>
        <v>92419353.480418116</v>
      </c>
      <c r="W115" s="4">
        <f>IF(W4&gt;'Input Data'!$C$15+'Input Data'!$C$19,0,V117)</f>
        <v>96162465.022749573</v>
      </c>
      <c r="X115" s="4">
        <f>IF(X4&gt;'Input Data'!$C$15+'Input Data'!$C$19,0,W117)</f>
        <v>99906849.211841628</v>
      </c>
      <c r="Y115" s="4">
        <f>IF(Y4&gt;'Input Data'!$C$15+'Input Data'!$C$19,0,X117)</f>
        <v>103652544.22712763</v>
      </c>
      <c r="Z115" s="4">
        <f>IF(Z4&gt;'Input Data'!$C$15+'Input Data'!$C$19,0,Y117)</f>
        <v>107399589.39340302</v>
      </c>
      <c r="AA115" s="4">
        <f>IF(AA4&gt;'Input Data'!$C$15+'Input Data'!$C$19,0,Z117)</f>
        <v>111148025.21519507</v>
      </c>
      <c r="AB115" s="4">
        <f>IF(AB4&gt;'Input Data'!$C$15+'Input Data'!$C$19,0,AA117)</f>
        <v>114897893.41209622</v>
      </c>
      <c r="AC115" s="4">
        <f>IF(AC4&gt;'Input Data'!$C$15+'Input Data'!$C$19,0,AB117)</f>
        <v>118649236.95530191</v>
      </c>
      <c r="AD115" s="4">
        <f>IF(AD4&gt;'Input Data'!$C$15+'Input Data'!$C$19,0,AC117)</f>
        <v>122402100.10527276</v>
      </c>
      <c r="AE115" s="4">
        <f>IF(AE4&gt;'Input Data'!$C$15+'Input Data'!$C$19,0,AD117)</f>
        <v>126156528.45027997</v>
      </c>
      <c r="AF115" s="4">
        <f>IF(AF4&gt;'Input Data'!$C$15+'Input Data'!$C$19,0,AE117)</f>
        <v>129912568.94615535</v>
      </c>
      <c r="AG115" s="60"/>
    </row>
    <row r="116" spans="1:33">
      <c r="A116" s="288" t="s">
        <v>263</v>
      </c>
      <c r="B116" s="289"/>
      <c r="C116" s="42">
        <f>IF(C4&gt;'Input Data'!$C$15+'Input Data'!$C$19,0,+Book!C369)</f>
        <v>0</v>
      </c>
      <c r="D116" s="42">
        <f>IF(D4&gt;'Input Data'!$C$15+'Input Data'!$C$19,0,+Book!D369)</f>
        <v>0</v>
      </c>
      <c r="E116" s="42">
        <f>IF(E4&gt;'Input Data'!$C$15+'Input Data'!$C$19,0,+Book!E369)</f>
        <v>0</v>
      </c>
      <c r="F116" s="42">
        <f>IF(F4&gt;'Input Data'!$C$15+'Input Data'!$C$19,0,+Book!F369)</f>
        <v>5344643.8985098768</v>
      </c>
      <c r="G116" s="42">
        <f>IF(G4&gt;'Input Data'!$C$15+'Input Data'!$C$19,0,+Book!G369)</f>
        <v>8507481.9233043119</v>
      </c>
      <c r="H116" s="42">
        <f>IF(H4&gt;'Input Data'!$C$15+'Input Data'!$C$19,0,+Book!H369)</f>
        <v>8507481.9233043119</v>
      </c>
      <c r="I116" s="42">
        <f>IF(I4&gt;'Input Data'!$C$15+'Input Data'!$C$19,0,+Book!I369)</f>
        <v>8507481.9233043119</v>
      </c>
      <c r="J116" s="42">
        <f>IF(J4&gt;'Input Data'!$C$15+'Input Data'!$C$19,0,+Book!J369)</f>
        <v>8507481.9233043119</v>
      </c>
      <c r="K116" s="42">
        <f>IF(K4&gt;'Input Data'!$C$15+'Input Data'!$C$19,0,+Book!K369)</f>
        <v>8507481.9233043119</v>
      </c>
      <c r="L116" s="42">
        <f>IF(L4&gt;'Input Data'!$C$15+'Input Data'!$C$19,0,+Book!L369)</f>
        <v>8507702.7566376459</v>
      </c>
      <c r="M116" s="42">
        <f>IF(M4&gt;'Input Data'!$C$15+'Input Data'!$C$19,0,+Book!M369)</f>
        <v>6121884.8892565202</v>
      </c>
      <c r="N116" s="42">
        <f>IF(N4&gt;'Input Data'!$C$15+'Input Data'!$C$19,0,+Book!N369)</f>
        <v>3736082.5612344802</v>
      </c>
      <c r="O116" s="42">
        <f>IF(O4&gt;'Input Data'!$C$15+'Input Data'!$C$19,0,+Book!O369)</f>
        <v>3736562.3978587231</v>
      </c>
      <c r="P116" s="42">
        <f>IF(P4&gt;'Input Data'!$C$15+'Input Data'!$C$19,0,+Book!P369)</f>
        <v>3737056.6296041775</v>
      </c>
      <c r="Q116" s="42">
        <f>IF(Q4&gt;'Input Data'!$C$15+'Input Data'!$C$19,0,+Book!Q369)</f>
        <v>3737565.6882602382</v>
      </c>
      <c r="R116" s="42">
        <f>IF(R4&gt;'Input Data'!$C$15+'Input Data'!$C$19,0,+Book!R369)</f>
        <v>3738380.9890269046</v>
      </c>
      <c r="S116" s="42">
        <f>IF(S4&gt;'Input Data'!$C$15+'Input Data'!$C$19,0,+Book!S369)</f>
        <v>3739511.7192132683</v>
      </c>
      <c r="T116" s="42">
        <f>IF(T4&gt;'Input Data'!$C$15+'Input Data'!$C$19,0,+Book!T369)</f>
        <v>3740676.3713269047</v>
      </c>
      <c r="U116" s="42">
        <f>IF(U4&gt;'Input Data'!$C$15+'Input Data'!$C$19,0,+Book!U369)</f>
        <v>3741875.9629678139</v>
      </c>
      <c r="V116" s="42">
        <f>IF(V4&gt;'Input Data'!$C$15+'Input Data'!$C$19,0,+Book!V369)</f>
        <v>3743111.5423314502</v>
      </c>
      <c r="W116" s="42">
        <f>IF(W4&gt;'Input Data'!$C$15+'Input Data'!$C$19,0,+Book!W369)</f>
        <v>3744384.1890920564</v>
      </c>
      <c r="X116" s="42">
        <f>IF(X4&gt;'Input Data'!$C$15+'Input Data'!$C$19,0,+Book!X369)</f>
        <v>3745695.0152859958</v>
      </c>
      <c r="Y116" s="42">
        <f>IF(Y4&gt;'Input Data'!$C$15+'Input Data'!$C$19,0,+Book!Y369)</f>
        <v>3747045.1662753895</v>
      </c>
      <c r="Z116" s="42">
        <f>IF(Z4&gt;'Input Data'!$C$15+'Input Data'!$C$19,0,+Book!Z369)</f>
        <v>3748435.8217920563</v>
      </c>
      <c r="AA116" s="42">
        <f>IF(AA4&gt;'Input Data'!$C$15+'Input Data'!$C$19,0,+Book!AA369)</f>
        <v>3749868.1969011473</v>
      </c>
      <c r="AB116" s="42">
        <f>IF(AB4&gt;'Input Data'!$C$15+'Input Data'!$C$19,0,+Book!AB369)</f>
        <v>3751343.5432056924</v>
      </c>
      <c r="AC116" s="42">
        <f>IF(AC4&gt;'Input Data'!$C$15+'Input Data'!$C$19,0,+Book!AC369)</f>
        <v>3752863.1499708439</v>
      </c>
      <c r="AD116" s="42">
        <f>IF(AD4&gt;'Input Data'!$C$15+'Input Data'!$C$19,0,+Book!AD369)</f>
        <v>3754428.3450072077</v>
      </c>
      <c r="AE116" s="42">
        <f>IF(AE4&gt;'Input Data'!$C$15+'Input Data'!$C$19,0,+Book!AE369)</f>
        <v>3756040.4958753893</v>
      </c>
      <c r="AF116" s="42">
        <f>IF(AF4&gt;'Input Data'!$C$15+'Input Data'!$C$19,0,+Book!AF369)</f>
        <v>3757701.0112511469</v>
      </c>
      <c r="AG116" s="290"/>
    </row>
    <row r="117" spans="1:33">
      <c r="A117" s="288" t="s">
        <v>264</v>
      </c>
      <c r="B117" s="66"/>
      <c r="C117" s="49">
        <f t="shared" ref="C117:V117" si="69">SUM(C115:C116)</f>
        <v>0</v>
      </c>
      <c r="D117" s="49">
        <f t="shared" si="69"/>
        <v>0</v>
      </c>
      <c r="E117" s="49">
        <f t="shared" si="69"/>
        <v>0</v>
      </c>
      <c r="F117" s="49">
        <f t="shared" si="69"/>
        <v>5344643.8985098768</v>
      </c>
      <c r="G117" s="49">
        <f t="shared" si="69"/>
        <v>13852125.821814189</v>
      </c>
      <c r="H117" s="49">
        <f t="shared" si="69"/>
        <v>22359607.745118499</v>
      </c>
      <c r="I117" s="49">
        <f t="shared" si="69"/>
        <v>30867089.668422811</v>
      </c>
      <c r="J117" s="49">
        <f t="shared" si="69"/>
        <v>39374571.591727123</v>
      </c>
      <c r="K117" s="49">
        <f t="shared" si="69"/>
        <v>47882053.515031435</v>
      </c>
      <c r="L117" s="49">
        <f t="shared" si="69"/>
        <v>56389756.271669082</v>
      </c>
      <c r="M117" s="49">
        <f t="shared" si="69"/>
        <v>62511641.160925604</v>
      </c>
      <c r="N117" s="49">
        <f t="shared" si="69"/>
        <v>66247723.722160086</v>
      </c>
      <c r="O117" s="49">
        <f t="shared" si="69"/>
        <v>69984286.12001881</v>
      </c>
      <c r="P117" s="49">
        <f t="shared" si="69"/>
        <v>73721342.749622986</v>
      </c>
      <c r="Q117" s="49">
        <f t="shared" si="69"/>
        <v>77458908.437883228</v>
      </c>
      <c r="R117" s="49">
        <f t="shared" si="69"/>
        <v>81197289.426910132</v>
      </c>
      <c r="S117" s="49">
        <f t="shared" si="69"/>
        <v>84936801.146123394</v>
      </c>
      <c r="T117" s="49">
        <f t="shared" si="69"/>
        <v>88677477.517450303</v>
      </c>
      <c r="U117" s="49">
        <f t="shared" si="69"/>
        <v>92419353.480418116</v>
      </c>
      <c r="V117" s="49">
        <f t="shared" si="69"/>
        <v>96162465.022749573</v>
      </c>
      <c r="W117" s="49">
        <f>SUM(W115:W116)</f>
        <v>99906849.211841628</v>
      </c>
      <c r="X117" s="49">
        <f>SUM(X115:X116)</f>
        <v>103652544.22712763</v>
      </c>
      <c r="Y117" s="49">
        <f>SUM(Y115:Y116)</f>
        <v>107399589.39340302</v>
      </c>
      <c r="Z117" s="49">
        <f>SUM(Z115:Z116)</f>
        <v>111148025.21519507</v>
      </c>
      <c r="AA117" s="49">
        <f>SUM(AA115:AA116)</f>
        <v>114897893.41209622</v>
      </c>
      <c r="AB117" s="49">
        <f t="shared" ref="AB117:AF117" si="70">SUM(AB115:AB116)</f>
        <v>118649236.95530191</v>
      </c>
      <c r="AC117" s="49">
        <f t="shared" si="70"/>
        <v>122402100.10527276</v>
      </c>
      <c r="AD117" s="49">
        <f t="shared" si="70"/>
        <v>126156528.45027997</v>
      </c>
      <c r="AE117" s="49">
        <f t="shared" si="70"/>
        <v>129912568.94615535</v>
      </c>
      <c r="AF117" s="49">
        <f t="shared" si="70"/>
        <v>133670269.95740651</v>
      </c>
      <c r="AG117" s="60"/>
    </row>
    <row r="118" spans="1:33">
      <c r="A118" s="217" t="s">
        <v>265</v>
      </c>
      <c r="C118" s="49">
        <f>+Capex!G43</f>
        <v>29686757.223903105</v>
      </c>
      <c r="D118" s="49">
        <f>+Capex!H43</f>
        <v>104826378.93397482</v>
      </c>
      <c r="E118" s="49">
        <f>+Capex!I43</f>
        <v>79606764.009549141</v>
      </c>
      <c r="F118" s="49">
        <f>+Capex!J43</f>
        <v>0</v>
      </c>
      <c r="G118" s="49">
        <f>+Capex!K43</f>
        <v>0</v>
      </c>
      <c r="H118" s="49">
        <f>+Capex!L43</f>
        <v>0</v>
      </c>
      <c r="I118" s="49">
        <f>+Capex!M43</f>
        <v>0</v>
      </c>
      <c r="J118" s="49">
        <f>+Capex!N43</f>
        <v>0</v>
      </c>
      <c r="K118" s="49">
        <f>+Capex!O43</f>
        <v>0</v>
      </c>
      <c r="L118" s="49">
        <f>+Capex!P43</f>
        <v>0</v>
      </c>
      <c r="M118" s="49">
        <f>+Capex!Q43</f>
        <v>0</v>
      </c>
      <c r="N118" s="49">
        <f>+Capex!R43</f>
        <v>0</v>
      </c>
      <c r="O118" s="49">
        <f>+Capex!S43</f>
        <v>0</v>
      </c>
      <c r="P118" s="49">
        <f>+Capex!T43</f>
        <v>0</v>
      </c>
      <c r="Q118" s="49">
        <f>+Capex!U43</f>
        <v>0</v>
      </c>
      <c r="R118" s="49">
        <f>+Capex!V43</f>
        <v>0</v>
      </c>
      <c r="S118" s="49">
        <f>+Capex!W43</f>
        <v>0</v>
      </c>
      <c r="T118" s="49">
        <f>+Capex!X43</f>
        <v>0</v>
      </c>
      <c r="U118" s="49">
        <f>+Capex!Y43</f>
        <v>0</v>
      </c>
      <c r="V118" s="49">
        <f>+Capex!Z43</f>
        <v>0</v>
      </c>
      <c r="W118" s="49">
        <f>+Capex!AA43</f>
        <v>0</v>
      </c>
      <c r="X118" s="49">
        <f>+Capex!AB43</f>
        <v>0</v>
      </c>
      <c r="Y118" s="49">
        <f>+Capex!AC43</f>
        <v>0</v>
      </c>
      <c r="Z118" s="49">
        <f>+Capex!AD43</f>
        <v>0</v>
      </c>
      <c r="AA118" s="49">
        <f>+Capex!AE43</f>
        <v>0</v>
      </c>
      <c r="AB118" s="49">
        <f>+Capex!AF43</f>
        <v>0</v>
      </c>
      <c r="AC118" s="49">
        <f>+Capex!AG43</f>
        <v>0</v>
      </c>
      <c r="AD118" s="49">
        <f>+Capex!AH43</f>
        <v>0</v>
      </c>
      <c r="AE118" s="49">
        <f>+Capex!AI43</f>
        <v>0</v>
      </c>
      <c r="AF118" s="49">
        <f>+Capex!AJ43</f>
        <v>0</v>
      </c>
    </row>
    <row r="119" spans="1:33">
      <c r="A119" s="6" t="s">
        <v>266</v>
      </c>
      <c r="B119" s="1"/>
      <c r="C119" s="4">
        <f>C113-C117+C118</f>
        <v>29686757.223903105</v>
      </c>
      <c r="D119" s="4">
        <f t="shared" ref="D119:AA119" si="71">D113-D117+D118</f>
        <v>104826378.93397482</v>
      </c>
      <c r="E119" s="4">
        <f t="shared" si="71"/>
        <v>224037852.94009265</v>
      </c>
      <c r="F119" s="4">
        <f t="shared" si="71"/>
        <v>265682795.1482996</v>
      </c>
      <c r="G119" s="4">
        <f t="shared" si="71"/>
        <v>257175313.22499532</v>
      </c>
      <c r="H119" s="4">
        <f t="shared" si="71"/>
        <v>248667831.301691</v>
      </c>
      <c r="I119" s="4">
        <f t="shared" si="71"/>
        <v>240160349.37838668</v>
      </c>
      <c r="J119" s="4">
        <f t="shared" si="71"/>
        <v>231652867.45508236</v>
      </c>
      <c r="K119" s="4">
        <f t="shared" si="71"/>
        <v>223145385.53177807</v>
      </c>
      <c r="L119" s="4">
        <f t="shared" si="71"/>
        <v>214664182.7751404</v>
      </c>
      <c r="M119" s="4">
        <f t="shared" si="71"/>
        <v>208569592.8858839</v>
      </c>
      <c r="N119" s="4">
        <f t="shared" si="71"/>
        <v>204861875.04774028</v>
      </c>
      <c r="O119" s="4">
        <f t="shared" si="71"/>
        <v>201154528.32169977</v>
      </c>
      <c r="P119" s="4">
        <f t="shared" si="71"/>
        <v>197447563.82973194</v>
      </c>
      <c r="Q119" s="4">
        <f t="shared" si="71"/>
        <v>193740993.04256263</v>
      </c>
      <c r="R119" s="4">
        <f t="shared" si="71"/>
        <v>190069453.24444482</v>
      </c>
      <c r="S119" s="4">
        <f t="shared" si="71"/>
        <v>186398787.95668608</v>
      </c>
      <c r="T119" s="4">
        <f t="shared" si="71"/>
        <v>182729023.40754101</v>
      </c>
      <c r="U119" s="4">
        <f t="shared" si="71"/>
        <v>179060186.61930045</v>
      </c>
      <c r="V119" s="4">
        <f t="shared" si="71"/>
        <v>175392305.42587808</v>
      </c>
      <c r="W119" s="4">
        <f t="shared" si="71"/>
        <v>171725408.49914962</v>
      </c>
      <c r="X119" s="4">
        <f t="shared" si="71"/>
        <v>168059525.36477274</v>
      </c>
      <c r="Y119" s="4">
        <f t="shared" si="71"/>
        <v>164394686.43631551</v>
      </c>
      <c r="Z119" s="4">
        <f t="shared" si="71"/>
        <v>160730923.03870529</v>
      </c>
      <c r="AA119" s="4">
        <f t="shared" si="71"/>
        <v>157068267.43071324</v>
      </c>
      <c r="AB119" s="4">
        <f t="shared" ref="AB119:AF119" si="72">AB113-AB117+AB118</f>
        <v>153406752.85514387</v>
      </c>
      <c r="AC119" s="4">
        <f t="shared" si="72"/>
        <v>149746413.54935485</v>
      </c>
      <c r="AD119" s="4">
        <f t="shared" si="72"/>
        <v>146087284.76452947</v>
      </c>
      <c r="AE119" s="4">
        <f t="shared" si="72"/>
        <v>142429402.81265408</v>
      </c>
      <c r="AF119" s="4">
        <f t="shared" si="72"/>
        <v>138772805.10249382</v>
      </c>
      <c r="AG119" s="60"/>
    </row>
    <row r="120" spans="1:33">
      <c r="A120" s="6" t="s">
        <v>267</v>
      </c>
      <c r="B120" s="216"/>
      <c r="C120" s="4">
        <v>0</v>
      </c>
      <c r="D120" s="4">
        <v>0</v>
      </c>
      <c r="E120" s="4">
        <v>0</v>
      </c>
      <c r="F120" s="4">
        <v>0</v>
      </c>
      <c r="G120" s="4">
        <v>0</v>
      </c>
      <c r="H120" s="4">
        <v>0</v>
      </c>
      <c r="I120" s="4">
        <v>0</v>
      </c>
      <c r="J120" s="4">
        <v>0</v>
      </c>
      <c r="K120" s="4">
        <v>0</v>
      </c>
      <c r="L120" s="4">
        <v>0</v>
      </c>
      <c r="M120" s="4">
        <v>0</v>
      </c>
      <c r="N120" s="4">
        <v>0</v>
      </c>
      <c r="O120" s="4">
        <v>0</v>
      </c>
      <c r="P120" s="4">
        <v>0</v>
      </c>
      <c r="Q120" s="4">
        <v>0</v>
      </c>
      <c r="R120" s="4">
        <v>0</v>
      </c>
      <c r="S120" s="4">
        <v>0</v>
      </c>
      <c r="T120" s="4">
        <v>0</v>
      </c>
      <c r="U120" s="4">
        <v>0</v>
      </c>
      <c r="V120" s="4">
        <v>0</v>
      </c>
      <c r="W120" s="4">
        <v>0</v>
      </c>
      <c r="X120" s="4">
        <v>0</v>
      </c>
      <c r="Y120" s="4">
        <v>0</v>
      </c>
      <c r="Z120" s="4">
        <v>0</v>
      </c>
      <c r="AA120" s="4">
        <v>0</v>
      </c>
      <c r="AB120" s="4">
        <v>0</v>
      </c>
      <c r="AC120" s="4">
        <v>0</v>
      </c>
      <c r="AD120" s="4">
        <v>0</v>
      </c>
      <c r="AE120" s="4">
        <v>0</v>
      </c>
      <c r="AF120" s="4">
        <v>0</v>
      </c>
      <c r="AG120" s="60"/>
    </row>
    <row r="121" spans="1:33" ht="15" thickBot="1">
      <c r="A121" s="291" t="s">
        <v>268</v>
      </c>
      <c r="B121" s="292"/>
      <c r="C121" s="95">
        <f t="shared" ref="C121:V121" si="73">SUM(C119:C120)</f>
        <v>29686757.223903105</v>
      </c>
      <c r="D121" s="95">
        <f t="shared" si="73"/>
        <v>104826378.93397482</v>
      </c>
      <c r="E121" s="95">
        <f t="shared" si="73"/>
        <v>224037852.94009265</v>
      </c>
      <c r="F121" s="95">
        <f t="shared" si="73"/>
        <v>265682795.1482996</v>
      </c>
      <c r="G121" s="95">
        <f t="shared" si="73"/>
        <v>257175313.22499532</v>
      </c>
      <c r="H121" s="95">
        <f t="shared" si="73"/>
        <v>248667831.301691</v>
      </c>
      <c r="I121" s="95">
        <f t="shared" si="73"/>
        <v>240160349.37838668</v>
      </c>
      <c r="J121" s="95">
        <f t="shared" si="73"/>
        <v>231652867.45508236</v>
      </c>
      <c r="K121" s="95">
        <f t="shared" si="73"/>
        <v>223145385.53177807</v>
      </c>
      <c r="L121" s="95">
        <f t="shared" si="73"/>
        <v>214664182.7751404</v>
      </c>
      <c r="M121" s="95">
        <f t="shared" si="73"/>
        <v>208569592.8858839</v>
      </c>
      <c r="N121" s="95">
        <f t="shared" si="73"/>
        <v>204861875.04774028</v>
      </c>
      <c r="O121" s="95">
        <f t="shared" si="73"/>
        <v>201154528.32169977</v>
      </c>
      <c r="P121" s="95">
        <f t="shared" si="73"/>
        <v>197447563.82973194</v>
      </c>
      <c r="Q121" s="95">
        <f t="shared" si="73"/>
        <v>193740993.04256263</v>
      </c>
      <c r="R121" s="95">
        <f t="shared" si="73"/>
        <v>190069453.24444482</v>
      </c>
      <c r="S121" s="95">
        <f t="shared" si="73"/>
        <v>186398787.95668608</v>
      </c>
      <c r="T121" s="95">
        <f t="shared" si="73"/>
        <v>182729023.40754101</v>
      </c>
      <c r="U121" s="95">
        <f t="shared" si="73"/>
        <v>179060186.61930045</v>
      </c>
      <c r="V121" s="95">
        <f t="shared" si="73"/>
        <v>175392305.42587808</v>
      </c>
      <c r="W121" s="95">
        <f>SUM(W119:W120)</f>
        <v>171725408.49914962</v>
      </c>
      <c r="X121" s="95">
        <f>SUM(X119:X120)</f>
        <v>168059525.36477274</v>
      </c>
      <c r="Y121" s="95">
        <f>SUM(Y119:Y120)</f>
        <v>164394686.43631551</v>
      </c>
      <c r="Z121" s="95">
        <f>SUM(Z119:Z120)</f>
        <v>160730923.03870529</v>
      </c>
      <c r="AA121" s="95">
        <f>SUM(AA119:AA120)</f>
        <v>157068267.43071324</v>
      </c>
      <c r="AB121" s="95">
        <f t="shared" ref="AB121:AF121" si="74">SUM(AB119:AB120)</f>
        <v>153406752.85514387</v>
      </c>
      <c r="AC121" s="95">
        <f t="shared" si="74"/>
        <v>149746413.54935485</v>
      </c>
      <c r="AD121" s="95">
        <f t="shared" si="74"/>
        <v>146087284.76452947</v>
      </c>
      <c r="AE121" s="95">
        <f t="shared" si="74"/>
        <v>142429402.81265408</v>
      </c>
      <c r="AF121" s="95">
        <f t="shared" si="74"/>
        <v>138772805.10249382</v>
      </c>
      <c r="AG121" s="60"/>
    </row>
    <row r="122" spans="1:33" s="97" customFormat="1" ht="15" thickTop="1">
      <c r="A122" s="107" t="s">
        <v>269</v>
      </c>
      <c r="B122" s="96"/>
      <c r="C122" s="98">
        <f>IF(D3&lt;=$B$4+1,C121,0)</f>
        <v>29686757.223903105</v>
      </c>
      <c r="D122" s="98">
        <f t="shared" ref="D122:AF122" si="75">IF(D3&lt;=$B$4+1,AVERAGE(C121,D121),0)</f>
        <v>67256568.078938961</v>
      </c>
      <c r="E122" s="98">
        <f t="shared" si="75"/>
        <v>164432115.93703374</v>
      </c>
      <c r="F122" s="98">
        <f t="shared" si="75"/>
        <v>244860324.04419613</v>
      </c>
      <c r="G122" s="98">
        <f t="shared" si="75"/>
        <v>261429054.18664747</v>
      </c>
      <c r="H122" s="98">
        <f t="shared" si="75"/>
        <v>252921572.26334316</v>
      </c>
      <c r="I122" s="98">
        <f t="shared" si="75"/>
        <v>244414090.34003884</v>
      </c>
      <c r="J122" s="98">
        <f t="shared" si="75"/>
        <v>235906608.41673452</v>
      </c>
      <c r="K122" s="98">
        <f t="shared" si="75"/>
        <v>227399126.4934302</v>
      </c>
      <c r="L122" s="98">
        <f t="shared" si="75"/>
        <v>218904784.15345925</v>
      </c>
      <c r="M122" s="98">
        <f t="shared" si="75"/>
        <v>211616887.83051217</v>
      </c>
      <c r="N122" s="98">
        <f t="shared" si="75"/>
        <v>206715733.96681207</v>
      </c>
      <c r="O122" s="98">
        <f t="shared" si="75"/>
        <v>203008201.68472004</v>
      </c>
      <c r="P122" s="98">
        <f t="shared" si="75"/>
        <v>199301046.07571584</v>
      </c>
      <c r="Q122" s="98">
        <f t="shared" si="75"/>
        <v>195594278.43614727</v>
      </c>
      <c r="R122" s="98">
        <f t="shared" si="75"/>
        <v>191905223.14350373</v>
      </c>
      <c r="S122" s="98">
        <f t="shared" si="75"/>
        <v>188234120.60056543</v>
      </c>
      <c r="T122" s="98">
        <f t="shared" si="75"/>
        <v>184563905.68211353</v>
      </c>
      <c r="U122" s="98">
        <f t="shared" si="75"/>
        <v>180894605.01342073</v>
      </c>
      <c r="V122" s="98">
        <f t="shared" si="75"/>
        <v>177226246.02258927</v>
      </c>
      <c r="W122" s="98">
        <f t="shared" si="75"/>
        <v>173558856.96251386</v>
      </c>
      <c r="X122" s="98">
        <f t="shared" si="75"/>
        <v>169892466.93196118</v>
      </c>
      <c r="Y122" s="98">
        <f t="shared" si="75"/>
        <v>166227105.90054411</v>
      </c>
      <c r="Z122" s="98">
        <f t="shared" si="75"/>
        <v>162562804.73751038</v>
      </c>
      <c r="AA122" s="98">
        <f t="shared" si="75"/>
        <v>158899595.23470926</v>
      </c>
      <c r="AB122" s="98">
        <f t="shared" si="75"/>
        <v>155237510.14292854</v>
      </c>
      <c r="AC122" s="98">
        <f t="shared" si="75"/>
        <v>151576583.20224935</v>
      </c>
      <c r="AD122" s="98">
        <f t="shared" si="75"/>
        <v>147916849.15694216</v>
      </c>
      <c r="AE122" s="98">
        <f t="shared" si="75"/>
        <v>144258343.78859177</v>
      </c>
      <c r="AF122" s="98">
        <f t="shared" si="75"/>
        <v>140601103.95757395</v>
      </c>
      <c r="AG122" s="60"/>
    </row>
    <row r="124" spans="1:33">
      <c r="A124" s="48" t="s">
        <v>270</v>
      </c>
      <c r="B124" s="1"/>
    </row>
    <row r="125" spans="1:33">
      <c r="A125" s="6" t="s">
        <v>271</v>
      </c>
      <c r="B125" s="1"/>
    </row>
    <row r="126" spans="1:33">
      <c r="A126" s="543" t="s">
        <v>259</v>
      </c>
      <c r="B126" s="537"/>
      <c r="C126" s="536"/>
      <c r="D126" s="4">
        <f>IF(D$4&gt;'Input Data'!$C$15+'Input Data'!$C$19,0,+C128)</f>
        <v>13655908.322995428</v>
      </c>
      <c r="E126" s="4">
        <f>IF(E$4&gt;'Input Data'!$C$15+'Input Data'!$C$19,0,+D128)</f>
        <v>48220134.309628412</v>
      </c>
      <c r="F126" s="4">
        <f>IF(F$4&gt;'Input Data'!$C$15+'Input Data'!$C$19,0,+E128)</f>
        <v>102666073.58105975</v>
      </c>
      <c r="G126" s="4">
        <f>IF(G$4&gt;'Input Data'!$C$15+'Input Data'!$C$19,0,+F128)</f>
        <v>121219363.04567391</v>
      </c>
      <c r="H126" s="4">
        <f>IF(H$4&gt;'Input Data'!$C$15+'Input Data'!$C$19,0,+G128)</f>
        <v>116674002.73567557</v>
      </c>
      <c r="I126" s="4">
        <f>IF(I$4&gt;'Input Data'!$C$15+'Input Data'!$C$19,0,+H128)</f>
        <v>112401285.88610841</v>
      </c>
      <c r="J126" s="4">
        <f>IF(J$4&gt;'Input Data'!$C$15+'Input Data'!$C$19,0,+I128)</f>
        <v>108323314.36542071</v>
      </c>
      <c r="K126" s="4">
        <f>IF(K$4&gt;'Input Data'!$C$15+'Input Data'!$C$19,0,+J128)</f>
        <v>104384001.51889515</v>
      </c>
      <c r="L126" s="4">
        <f>IF(L$4&gt;'Input Data'!$C$15+'Input Data'!$C$19,0,+K128)</f>
        <v>100445078.16302736</v>
      </c>
      <c r="M126" s="4">
        <f>IF(M$4&gt;'Input Data'!$C$15+'Input Data'!$C$19,0,+L128)</f>
        <v>96517800.260092497</v>
      </c>
      <c r="N126" s="4">
        <f>IF(N$4&gt;'Input Data'!$C$15+'Input Data'!$C$19,0,+M128)</f>
        <v>93584229.65651387</v>
      </c>
      <c r="O126" s="4">
        <f>IF(O$4&gt;'Input Data'!$C$15+'Input Data'!$C$19,0,+N128)</f>
        <v>91644094.699996397</v>
      </c>
      <c r="P126" s="4">
        <f>IF(P$4&gt;'Input Data'!$C$15+'Input Data'!$C$19,0,+O128)</f>
        <v>89704099.060129881</v>
      </c>
      <c r="Q126" s="4">
        <f>IF(Q$4&gt;'Input Data'!$C$15+'Input Data'!$C$19,0,+P128)</f>
        <v>87764246.911188424</v>
      </c>
      <c r="R126" s="4">
        <f>IF(R$4&gt;'Input Data'!$C$15+'Input Data'!$C$19,0,+Q128)</f>
        <v>85824542.559600592</v>
      </c>
      <c r="S126" s="4">
        <f>IF(S$4&gt;'Input Data'!$C$15+'Input Data'!$C$19,0,+R128)</f>
        <v>83900847.700705275</v>
      </c>
      <c r="T126" s="4">
        <f>IF(T$4&gt;'Input Data'!$C$15+'Input Data'!$C$19,0,+S128)</f>
        <v>81977481.134787083</v>
      </c>
      <c r="U126" s="4">
        <f>IF(U$4&gt;'Input Data'!$C$15+'Input Data'!$C$19,0,+T128)</f>
        <v>80054452.707398593</v>
      </c>
      <c r="V126" s="4">
        <f>IF(V$4&gt;'Input Data'!$C$15+'Input Data'!$C$19,0,+U128)</f>
        <v>78131772.562758788</v>
      </c>
      <c r="W126" s="4">
        <f>IF(W$4&gt;'Input Data'!$C$15+'Input Data'!$C$19,0,+V128)</f>
        <v>76209451.149849981</v>
      </c>
      <c r="X126" s="4">
        <f>IF(X$4&gt;'Input Data'!$C$15+'Input Data'!$C$19,0,+W128)</f>
        <v>74287499.232471406</v>
      </c>
      <c r="Y126" s="4">
        <f>IF(Y$4&gt;'Input Data'!$C$15+'Input Data'!$C$19,0,+X128)</f>
        <v>72365927.894412667</v>
      </c>
      <c r="Z126" s="4">
        <f>IF(Z$4&gt;'Input Data'!$C$15+'Input Data'!$C$19,0,+Y128)</f>
        <v>70444748.552959889</v>
      </c>
      <c r="AA126" s="4">
        <f>IF(AA$4&gt;'Input Data'!$C$15+'Input Data'!$C$19,0,+Z128)</f>
        <v>68523972.967438161</v>
      </c>
      <c r="AB126" s="4">
        <f>IF(AB$4&gt;'Input Data'!$C$15+'Input Data'!$C$19,0,+AA128)</f>
        <v>66603613.247249879</v>
      </c>
      <c r="AC126" s="4">
        <f>IF(AC$4&gt;'Input Data'!$C$15+'Input Data'!$C$19,0,+AB128)</f>
        <v>64683681.872538455</v>
      </c>
      <c r="AD126" s="4">
        <f>IF(AD$4&gt;'Input Data'!$C$15+'Input Data'!$C$19,0,+AC128)</f>
        <v>62764191.696591154</v>
      </c>
      <c r="AE126" s="4">
        <f>IF(AE$4&gt;'Input Data'!$C$15+'Input Data'!$C$19,0,+AD128)</f>
        <v>60845155.9521982</v>
      </c>
      <c r="AF126" s="4">
        <f>IF(AF$4&gt;'Input Data'!$C$15+'Input Data'!$C$19,0,+AE128)</f>
        <v>58926588.270637318</v>
      </c>
      <c r="AG126" s="4"/>
    </row>
    <row r="127" spans="1:33">
      <c r="A127" s="543" t="s">
        <v>272</v>
      </c>
      <c r="B127" s="544"/>
      <c r="C127" s="545">
        <f>(C$121-C$133-C$139)*C160</f>
        <v>13655908.322995428</v>
      </c>
      <c r="D127" s="42">
        <f>(D$121-D$133-D$139)*D160-D126</f>
        <v>34564225.986632988</v>
      </c>
      <c r="E127" s="42">
        <f t="shared" ref="E127:AA127" si="76">(E$121-E$133-E$139)*E160-E126</f>
        <v>54445939.271431342</v>
      </c>
      <c r="F127" s="42">
        <f t="shared" si="76"/>
        <v>18553289.464614153</v>
      </c>
      <c r="G127" s="42">
        <f t="shared" si="76"/>
        <v>-4545360.3099983335</v>
      </c>
      <c r="H127" s="42">
        <f t="shared" si="76"/>
        <v>-4272716.84956716</v>
      </c>
      <c r="I127" s="42">
        <f t="shared" si="76"/>
        <v>-4077971.5206876993</v>
      </c>
      <c r="J127" s="42">
        <f t="shared" si="76"/>
        <v>-3939312.8465255648</v>
      </c>
      <c r="K127" s="42">
        <f t="shared" si="76"/>
        <v>-3938923.3558677882</v>
      </c>
      <c r="L127" s="42">
        <f t="shared" si="76"/>
        <v>-3927277.9029348642</v>
      </c>
      <c r="M127" s="42">
        <f t="shared" si="76"/>
        <v>-2933570.6035786271</v>
      </c>
      <c r="N127" s="42">
        <f t="shared" si="76"/>
        <v>-1940134.9565174729</v>
      </c>
      <c r="O127" s="42">
        <f t="shared" si="76"/>
        <v>-1939995.639866516</v>
      </c>
      <c r="P127" s="42">
        <f t="shared" si="76"/>
        <v>-1939852.1489414573</v>
      </c>
      <c r="Q127" s="42">
        <f t="shared" si="76"/>
        <v>-1939704.351587832</v>
      </c>
      <c r="R127" s="42">
        <f t="shared" si="76"/>
        <v>-1923694.8588953167</v>
      </c>
      <c r="S127" s="42">
        <f t="shared" si="76"/>
        <v>-1923366.5659181923</v>
      </c>
      <c r="T127" s="42">
        <f t="shared" si="76"/>
        <v>-1923028.4273884892</v>
      </c>
      <c r="U127" s="42">
        <f t="shared" si="76"/>
        <v>-1922680.144639805</v>
      </c>
      <c r="V127" s="42">
        <f t="shared" si="76"/>
        <v>-1922321.4129088074</v>
      </c>
      <c r="W127" s="42">
        <f t="shared" si="76"/>
        <v>-1921951.9173785746</v>
      </c>
      <c r="X127" s="42">
        <f t="shared" si="76"/>
        <v>-1921571.3380587399</v>
      </c>
      <c r="Y127" s="42">
        <f t="shared" si="76"/>
        <v>-1921179.3414527774</v>
      </c>
      <c r="Z127" s="42">
        <f t="shared" si="76"/>
        <v>-1920775.5855217278</v>
      </c>
      <c r="AA127" s="42">
        <f t="shared" si="76"/>
        <v>-1920359.7201882824</v>
      </c>
      <c r="AB127" s="42">
        <f t="shared" ref="AB127:AF127" si="77">(AB$121-AB$133-AB$139)*AB160-AB126</f>
        <v>-1919931.3747114241</v>
      </c>
      <c r="AC127" s="42">
        <f t="shared" si="77"/>
        <v>-1919490.1759473011</v>
      </c>
      <c r="AD127" s="42">
        <f t="shared" si="77"/>
        <v>-1919035.7443929538</v>
      </c>
      <c r="AE127" s="42">
        <f t="shared" si="77"/>
        <v>-1918567.6815608814</v>
      </c>
      <c r="AF127" s="42">
        <f t="shared" si="77"/>
        <v>-1918085.575111039</v>
      </c>
      <c r="AG127" s="4"/>
    </row>
    <row r="128" spans="1:33">
      <c r="A128" s="6" t="s">
        <v>273</v>
      </c>
      <c r="B128" s="66"/>
      <c r="C128" s="49">
        <f t="shared" ref="C128:V128" si="78">SUM(C126:C127)</f>
        <v>13655908.322995428</v>
      </c>
      <c r="D128" s="49">
        <f t="shared" si="78"/>
        <v>48220134.309628412</v>
      </c>
      <c r="E128" s="49">
        <f t="shared" si="78"/>
        <v>102666073.58105975</v>
      </c>
      <c r="F128" s="49">
        <f t="shared" si="78"/>
        <v>121219363.04567391</v>
      </c>
      <c r="G128" s="49">
        <f t="shared" si="78"/>
        <v>116674002.73567557</v>
      </c>
      <c r="H128" s="49">
        <f t="shared" si="78"/>
        <v>112401285.88610841</v>
      </c>
      <c r="I128" s="49">
        <f t="shared" si="78"/>
        <v>108323314.36542071</v>
      </c>
      <c r="J128" s="49">
        <f t="shared" si="78"/>
        <v>104384001.51889515</v>
      </c>
      <c r="K128" s="49">
        <f t="shared" si="78"/>
        <v>100445078.16302736</v>
      </c>
      <c r="L128" s="49">
        <f t="shared" si="78"/>
        <v>96517800.260092497</v>
      </c>
      <c r="M128" s="49">
        <f t="shared" si="78"/>
        <v>93584229.65651387</v>
      </c>
      <c r="N128" s="49">
        <f t="shared" si="78"/>
        <v>91644094.699996397</v>
      </c>
      <c r="O128" s="49">
        <f t="shared" si="78"/>
        <v>89704099.060129881</v>
      </c>
      <c r="P128" s="49">
        <f t="shared" si="78"/>
        <v>87764246.911188424</v>
      </c>
      <c r="Q128" s="49">
        <f t="shared" si="78"/>
        <v>85824542.559600592</v>
      </c>
      <c r="R128" s="49">
        <f t="shared" si="78"/>
        <v>83900847.700705275</v>
      </c>
      <c r="S128" s="49">
        <f t="shared" si="78"/>
        <v>81977481.134787083</v>
      </c>
      <c r="T128" s="49">
        <f t="shared" si="78"/>
        <v>80054452.707398593</v>
      </c>
      <c r="U128" s="49">
        <f t="shared" si="78"/>
        <v>78131772.562758788</v>
      </c>
      <c r="V128" s="49">
        <f t="shared" si="78"/>
        <v>76209451.149849981</v>
      </c>
      <c r="W128" s="49">
        <f>SUM(W126:W127)</f>
        <v>74287499.232471406</v>
      </c>
      <c r="X128" s="49">
        <f>SUM(X126:X127)</f>
        <v>72365927.894412667</v>
      </c>
      <c r="Y128" s="49">
        <f>SUM(Y126:Y127)</f>
        <v>70444748.552959889</v>
      </c>
      <c r="Z128" s="49">
        <f>SUM(Z126:Z127)</f>
        <v>68523972.967438161</v>
      </c>
      <c r="AA128" s="49">
        <f>SUM(AA126:AA127)</f>
        <v>66603613.247249879</v>
      </c>
      <c r="AB128" s="49">
        <f t="shared" ref="AB128:AF128" si="79">SUM(AB126:AB127)</f>
        <v>64683681.872538455</v>
      </c>
      <c r="AC128" s="49">
        <f t="shared" si="79"/>
        <v>62764191.696591154</v>
      </c>
      <c r="AD128" s="49">
        <f t="shared" si="79"/>
        <v>60845155.9521982</v>
      </c>
      <c r="AE128" s="49">
        <f t="shared" si="79"/>
        <v>58926588.270637318</v>
      </c>
      <c r="AF128" s="49">
        <f t="shared" si="79"/>
        <v>57008502.69552628</v>
      </c>
      <c r="AG128" s="4"/>
    </row>
    <row r="129" spans="1:33">
      <c r="A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row>
    <row r="130" spans="1:33">
      <c r="A130" s="6" t="s">
        <v>274</v>
      </c>
      <c r="B130" s="80"/>
      <c r="C130" s="81"/>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row>
    <row r="131" spans="1:33">
      <c r="A131" s="217" t="s">
        <v>259</v>
      </c>
      <c r="C131" s="4"/>
      <c r="D131" s="4">
        <f>IF(D4&gt;'Input Data'!$C$15+'Input Data'!$C$19,0,C133)+SUM($C$102:C102)*(D95-C95)</f>
        <v>0</v>
      </c>
      <c r="E131" s="4">
        <f>IF(E4&gt;'Input Data'!$C$15+'Input Data'!$C$19,0,D133)+SUM($C$102:D102)*(E95-D95)</f>
        <v>0</v>
      </c>
      <c r="F131" s="4">
        <f>IF(F4&gt;'Input Data'!$C$15+'Input Data'!$C$19,0,E133)+SUM($C$102:E102)*(F95-E95)</f>
        <v>850736.45952796738</v>
      </c>
      <c r="G131" s="4">
        <f>IF(G4&gt;'Input Data'!$C$15+'Input Data'!$C$19,0,F133)+SUM($C$102:F102)*(G95-F95)</f>
        <v>2162440.7011823892</v>
      </c>
      <c r="H131" s="4">
        <f>IF(H4&gt;'Input Data'!$C$15+'Input Data'!$C$19,0,G133)+SUM($C$102:G102)*(H95-G95)</f>
        <v>3536176.8430918893</v>
      </c>
      <c r="I131" s="4">
        <f>IF(I4&gt;'Input Data'!$C$15+'Input Data'!$C$19,0,H133)+SUM($C$102:H102)*(I95-H95)</f>
        <v>4317209.810150939</v>
      </c>
      <c r="J131" s="4">
        <f>IF(J4&gt;'Input Data'!$C$15+'Input Data'!$C$19,0,I133)+SUM($C$102:I102)*(J95-I95)</f>
        <v>4674883.3666025242</v>
      </c>
      <c r="K131" s="4">
        <f>IF(K4&gt;'Input Data'!$C$15+'Input Data'!$C$19,0,J133)+SUM($C$102:J102)*(K95-J95)</f>
        <v>4731125.022701594</v>
      </c>
      <c r="L131" s="4">
        <f>IF(L4&gt;'Input Data'!$C$15+'Input Data'!$C$19,0,K133)+SUM($C$102:K102)*(L95-K95)</f>
        <v>4786519.9599794494</v>
      </c>
      <c r="M131" s="4">
        <f>IF(M4&gt;'Input Data'!$C$15+'Input Data'!$C$19,0,L133)+SUM($C$102:L102)*(M95-L95)</f>
        <v>4842877.8618958276</v>
      </c>
      <c r="N131" s="4">
        <f>IF(N4&gt;'Input Data'!$C$15+'Input Data'!$C$19,0,M133)+SUM($C$102:M102)*(N95-M95)</f>
        <v>5125615.3717232887</v>
      </c>
      <c r="O131" s="4">
        <f>IF(O4&gt;'Input Data'!$C$15+'Input Data'!$C$19,0,N133)+SUM($C$102:N102)*(O95-N95)</f>
        <v>5635582.2216611393</v>
      </c>
      <c r="P131" s="4">
        <f>IF(P4&gt;'Input Data'!$C$15+'Input Data'!$C$19,0,O133)+SUM($C$102:O102)*(P95-O95)</f>
        <v>6145617.3214174043</v>
      </c>
      <c r="Q131" s="4">
        <f>IF(Q4&gt;'Input Data'!$C$15+'Input Data'!$C$19,0,P133)+SUM($C$102:P102)*(Q95-P95)</f>
        <v>6655722.7184527563</v>
      </c>
      <c r="R131" s="4">
        <f>IF(R4&gt;'Input Data'!$C$15+'Input Data'!$C$19,0,Q133)+SUM($C$102:Q102)*(R95-Q95)</f>
        <v>7165900.5216917675</v>
      </c>
      <c r="S131" s="4">
        <f>IF(S4&gt;'Input Data'!$C$15+'Input Data'!$C$19,0,R133)+SUM($C$102:R102)*(S95-R95)</f>
        <v>7676306.0689985417</v>
      </c>
      <c r="T131" s="4">
        <f>IF(T4&gt;'Input Data'!$C$15+'Input Data'!$C$19,0,S133)+SUM($C$102:S102)*(T95-S95)</f>
        <v>8186872.4462793814</v>
      </c>
      <c r="U131" s="4">
        <f>IF(U4&gt;'Input Data'!$C$15+'Input Data'!$C$19,0,T133)+SUM($C$102:T102)*(U95-T95)</f>
        <v>8697604.4784136098</v>
      </c>
      <c r="V131" s="4">
        <f>IF(V4&gt;'Input Data'!$C$15+'Input Data'!$C$19,0,U133)+SUM($C$102:U102)*(V95-U95)</f>
        <v>9208507.1350422092</v>
      </c>
      <c r="W131" s="4">
        <f>IF(W4&gt;'Input Data'!$C$15+'Input Data'!$C$19,0,V133)+SUM($C$102:V102)*(W95-V95)</f>
        <v>9719585.5348998383</v>
      </c>
      <c r="X131" s="4">
        <f>IF(X4&gt;'Input Data'!$C$15+'Input Data'!$C$19,0,W133)+SUM($C$102:W102)*(X95-W95)</f>
        <v>10230844.950298712</v>
      </c>
      <c r="Y131" s="4">
        <f>IF(Y4&gt;'Input Data'!$C$15+'Input Data'!$C$19,0,X133)+SUM($C$102:X102)*(Y95-X95)</f>
        <v>10742290.811701715</v>
      </c>
      <c r="Z131" s="4">
        <f>IF(Z4&gt;'Input Data'!$C$15+'Input Data'!$C$19,0,Y133)+SUM($C$102:Y102)*(Z95-Y95)</f>
        <v>11253928.712489663</v>
      </c>
      <c r="AA131" s="4">
        <f>IF(AA4&gt;'Input Data'!$C$15+'Input Data'!$C$19,0,Z133)+SUM($C$102:Z102)*(AA95-Z95)</f>
        <v>11765764.413839703</v>
      </c>
      <c r="AB131" s="4">
        <f>IF(AB4&gt;'Input Data'!$C$15+'Input Data'!$C$19,0,AA133)+SUM($C$102:AA102)*(AB95-AA95)</f>
        <v>12277803.849735241</v>
      </c>
      <c r="AC131" s="4">
        <f>IF(AC4&gt;'Input Data'!$C$15+'Input Data'!$C$19,0,AB133)+SUM($C$102:AB102)*(AC95-AB95)</f>
        <v>12790053.132234186</v>
      </c>
      <c r="AD131" s="4">
        <f>IF(AD4&gt;'Input Data'!$C$15+'Input Data'!$C$19,0,AC133)+SUM($C$102:AC102)*(AD95-AC95)</f>
        <v>13302518.556765372</v>
      </c>
      <c r="AE131" s="4">
        <f>IF(AE4&gt;'Input Data'!$C$15+'Input Data'!$C$19,0,AD133)+SUM($C$102:AD102)*(AE95-AD95)</f>
        <v>13815206.607576851</v>
      </c>
      <c r="AF131" s="4">
        <f>IF(AF4&gt;'Input Data'!$C$15+'Input Data'!$C$19,0,AE133)+SUM($C$102:AE102)*(AF95-AE95)</f>
        <v>14328123.963442501</v>
      </c>
      <c r="AG131" s="4"/>
    </row>
    <row r="132" spans="1:33">
      <c r="A132" s="217" t="s">
        <v>275</v>
      </c>
      <c r="B132" s="36"/>
      <c r="C132" s="42">
        <f t="shared" ref="C132:AA132" si="80">C103</f>
        <v>0</v>
      </c>
      <c r="D132" s="42">
        <f t="shared" si="80"/>
        <v>0</v>
      </c>
      <c r="E132" s="42">
        <f t="shared" si="80"/>
        <v>850736.45952796738</v>
      </c>
      <c r="F132" s="42">
        <f t="shared" si="80"/>
        <v>1311704.2416544217</v>
      </c>
      <c r="G132" s="42">
        <f t="shared" si="80"/>
        <v>1373736.1419094999</v>
      </c>
      <c r="H132" s="42">
        <f t="shared" si="80"/>
        <v>781032.96705904952</v>
      </c>
      <c r="I132" s="42">
        <f t="shared" si="80"/>
        <v>357673.55645158532</v>
      </c>
      <c r="J132" s="42">
        <f t="shared" si="80"/>
        <v>56241.656099070067</v>
      </c>
      <c r="K132" s="42">
        <f t="shared" si="80"/>
        <v>55394.937277855053</v>
      </c>
      <c r="L132" s="42">
        <f t="shared" si="80"/>
        <v>56357.901916377799</v>
      </c>
      <c r="M132" s="42">
        <f t="shared" si="80"/>
        <v>282737.50982746133</v>
      </c>
      <c r="N132" s="42">
        <f t="shared" si="80"/>
        <v>509966.8499378502</v>
      </c>
      <c r="O132" s="42">
        <f t="shared" si="80"/>
        <v>510035.09975626465</v>
      </c>
      <c r="P132" s="42">
        <f t="shared" si="80"/>
        <v>510105.3970353519</v>
      </c>
      <c r="Q132" s="42">
        <f t="shared" si="80"/>
        <v>510177.8032390115</v>
      </c>
      <c r="R132" s="42">
        <f t="shared" si="80"/>
        <v>510405.54730677459</v>
      </c>
      <c r="S132" s="42">
        <f t="shared" si="80"/>
        <v>510566.37728083949</v>
      </c>
      <c r="T132" s="42">
        <f t="shared" si="80"/>
        <v>510732.03213422775</v>
      </c>
      <c r="U132" s="42">
        <f t="shared" si="80"/>
        <v>510902.65662859887</v>
      </c>
      <c r="V132" s="42">
        <f t="shared" si="80"/>
        <v>511078.39985762903</v>
      </c>
      <c r="W132" s="42">
        <f t="shared" si="80"/>
        <v>511259.41539887292</v>
      </c>
      <c r="X132" s="42">
        <f t="shared" si="80"/>
        <v>511445.86140300392</v>
      </c>
      <c r="Y132" s="42">
        <f t="shared" si="80"/>
        <v>511637.90078794776</v>
      </c>
      <c r="Z132" s="42">
        <f t="shared" si="80"/>
        <v>511835.70135004027</v>
      </c>
      <c r="AA132" s="42">
        <f t="shared" si="80"/>
        <v>512039.43589553889</v>
      </c>
      <c r="AB132" s="42">
        <f t="shared" ref="AB132:AF132" si="81">AB103</f>
        <v>512249.28249894507</v>
      </c>
      <c r="AC132" s="42">
        <f t="shared" si="81"/>
        <v>512465.42453118623</v>
      </c>
      <c r="AD132" s="42">
        <f t="shared" si="81"/>
        <v>512688.05081147834</v>
      </c>
      <c r="AE132" s="42">
        <f t="shared" si="81"/>
        <v>512917.35586565058</v>
      </c>
      <c r="AF132" s="42">
        <f t="shared" si="81"/>
        <v>513153.54008113901</v>
      </c>
    </row>
    <row r="133" spans="1:33">
      <c r="A133" s="6" t="s">
        <v>276</v>
      </c>
      <c r="B133" s="66"/>
      <c r="C133" s="49">
        <f t="shared" ref="C133:V133" si="82">SUM(C131:C132)</f>
        <v>0</v>
      </c>
      <c r="D133" s="49">
        <f t="shared" si="82"/>
        <v>0</v>
      </c>
      <c r="E133" s="49">
        <f t="shared" si="82"/>
        <v>850736.45952796738</v>
      </c>
      <c r="F133" s="49">
        <f t="shared" si="82"/>
        <v>2162440.7011823892</v>
      </c>
      <c r="G133" s="49">
        <f t="shared" si="82"/>
        <v>3536176.8430918893</v>
      </c>
      <c r="H133" s="49">
        <f t="shared" si="82"/>
        <v>4317209.810150939</v>
      </c>
      <c r="I133" s="49">
        <f t="shared" si="82"/>
        <v>4674883.3666025242</v>
      </c>
      <c r="J133" s="49">
        <f t="shared" si="82"/>
        <v>4731125.022701594</v>
      </c>
      <c r="K133" s="49">
        <f t="shared" si="82"/>
        <v>4786519.9599794494</v>
      </c>
      <c r="L133" s="49">
        <f t="shared" si="82"/>
        <v>4842877.8618958276</v>
      </c>
      <c r="M133" s="49">
        <f t="shared" si="82"/>
        <v>5125615.3717232887</v>
      </c>
      <c r="N133" s="49">
        <f t="shared" si="82"/>
        <v>5635582.2216611393</v>
      </c>
      <c r="O133" s="49">
        <f t="shared" si="82"/>
        <v>6145617.3214174043</v>
      </c>
      <c r="P133" s="49">
        <f t="shared" si="82"/>
        <v>6655722.7184527563</v>
      </c>
      <c r="Q133" s="49">
        <f t="shared" si="82"/>
        <v>7165900.5216917675</v>
      </c>
      <c r="R133" s="49">
        <f t="shared" si="82"/>
        <v>7676306.0689985417</v>
      </c>
      <c r="S133" s="49">
        <f t="shared" si="82"/>
        <v>8186872.4462793814</v>
      </c>
      <c r="T133" s="49">
        <f t="shared" si="82"/>
        <v>8697604.4784136098</v>
      </c>
      <c r="U133" s="49">
        <f t="shared" si="82"/>
        <v>9208507.1350422092</v>
      </c>
      <c r="V133" s="49">
        <f t="shared" si="82"/>
        <v>9719585.5348998383</v>
      </c>
      <c r="W133" s="49">
        <f>SUM(W131:W132)</f>
        <v>10230844.950298712</v>
      </c>
      <c r="X133" s="49">
        <f>SUM(X131:X132)</f>
        <v>10742290.811701715</v>
      </c>
      <c r="Y133" s="49">
        <f>SUM(Y131:Y132)</f>
        <v>11253928.712489663</v>
      </c>
      <c r="Z133" s="49">
        <f>SUM(Z131:Z132)</f>
        <v>11765764.413839703</v>
      </c>
      <c r="AA133" s="49">
        <f>SUM(AA131:AA132)</f>
        <v>12277803.849735241</v>
      </c>
      <c r="AB133" s="49">
        <f t="shared" ref="AB133:AF133" si="83">SUM(AB131:AB132)</f>
        <v>12790053.132234186</v>
      </c>
      <c r="AC133" s="49">
        <f t="shared" si="83"/>
        <v>13302518.556765372</v>
      </c>
      <c r="AD133" s="49">
        <f t="shared" si="83"/>
        <v>13815206.607576851</v>
      </c>
      <c r="AE133" s="49">
        <f t="shared" si="83"/>
        <v>14328123.963442501</v>
      </c>
      <c r="AF133" s="49">
        <f t="shared" si="83"/>
        <v>14841277.50352364</v>
      </c>
      <c r="AG133" s="4"/>
    </row>
    <row r="134" spans="1:33">
      <c r="A134" s="50"/>
      <c r="B134" s="6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row>
    <row r="135" spans="1:33">
      <c r="A135" s="6" t="s">
        <v>277</v>
      </c>
      <c r="B135" s="6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row>
    <row r="136" spans="1:33">
      <c r="A136" s="217" t="s">
        <v>259</v>
      </c>
      <c r="B136" s="66"/>
      <c r="C136" s="40">
        <f>SUMIF(Tax!$C$2:$AF$2,Financials!C4,Tax!$C$440:$AF$440)</f>
        <v>0</v>
      </c>
      <c r="D136" s="4">
        <f>IF(D$3&lt;=$B$4+1,+C139,0)</f>
        <v>0</v>
      </c>
      <c r="E136" s="4">
        <f t="shared" ref="E136:AA136" si="84">IF(E$3&lt;=$B$4+1,+D139,0)</f>
        <v>0</v>
      </c>
      <c r="F136" s="4">
        <f t="shared" si="84"/>
        <v>0</v>
      </c>
      <c r="G136" s="4">
        <f t="shared" si="84"/>
        <v>0</v>
      </c>
      <c r="H136" s="4">
        <f t="shared" si="84"/>
        <v>0</v>
      </c>
      <c r="I136" s="4">
        <f t="shared" si="84"/>
        <v>0</v>
      </c>
      <c r="J136" s="4">
        <f t="shared" si="84"/>
        <v>0</v>
      </c>
      <c r="K136" s="4">
        <f t="shared" si="84"/>
        <v>0</v>
      </c>
      <c r="L136" s="4">
        <f t="shared" si="84"/>
        <v>0</v>
      </c>
      <c r="M136" s="4">
        <f t="shared" si="84"/>
        <v>0</v>
      </c>
      <c r="N136" s="4">
        <f t="shared" si="84"/>
        <v>0</v>
      </c>
      <c r="O136" s="4">
        <f t="shared" si="84"/>
        <v>0</v>
      </c>
      <c r="P136" s="4">
        <f t="shared" si="84"/>
        <v>0</v>
      </c>
      <c r="Q136" s="4">
        <f t="shared" si="84"/>
        <v>0</v>
      </c>
      <c r="R136" s="4">
        <f t="shared" si="84"/>
        <v>0</v>
      </c>
      <c r="S136" s="4">
        <f t="shared" si="84"/>
        <v>0</v>
      </c>
      <c r="T136" s="4">
        <f t="shared" si="84"/>
        <v>0</v>
      </c>
      <c r="U136" s="4">
        <f t="shared" si="84"/>
        <v>0</v>
      </c>
      <c r="V136" s="4">
        <f t="shared" si="84"/>
        <v>0</v>
      </c>
      <c r="W136" s="4">
        <f t="shared" si="84"/>
        <v>0</v>
      </c>
      <c r="X136" s="4">
        <f t="shared" si="84"/>
        <v>0</v>
      </c>
      <c r="Y136" s="4">
        <f t="shared" si="84"/>
        <v>0</v>
      </c>
      <c r="Z136" s="4">
        <f t="shared" si="84"/>
        <v>0</v>
      </c>
      <c r="AA136" s="4">
        <f t="shared" si="84"/>
        <v>0</v>
      </c>
      <c r="AB136" s="4">
        <f t="shared" ref="AB136" si="85">IF(AB$3&lt;=$B$4+1,+AA139,0)</f>
        <v>0</v>
      </c>
      <c r="AC136" s="4">
        <f t="shared" ref="AC136" si="86">IF(AC$3&lt;=$B$4+1,+AB139,0)</f>
        <v>0</v>
      </c>
      <c r="AD136" s="4">
        <f t="shared" ref="AD136" si="87">IF(AD$3&lt;=$B$4+1,+AC139,0)</f>
        <v>0</v>
      </c>
      <c r="AE136" s="4">
        <f t="shared" ref="AE136" si="88">IF(AE$3&lt;=$B$4+1,+AD139,0)</f>
        <v>0</v>
      </c>
      <c r="AF136" s="4">
        <f t="shared" ref="AF136" si="89">IF(AF$3&lt;=$B$4+1,+AE139,0)</f>
        <v>0</v>
      </c>
      <c r="AG136" s="4"/>
    </row>
    <row r="137" spans="1:33">
      <c r="A137" s="217" t="s">
        <v>278</v>
      </c>
      <c r="B137" s="66"/>
      <c r="C137" s="40">
        <f>SUMIF(Tax!$C$2:$AF$2,Financials!C4,Tax!$C$441:$AF$441)</f>
        <v>0</v>
      </c>
      <c r="D137" s="40">
        <f>SUMIF(Tax!$C$2:$AF$2,Financials!D4,Tax!$C$441:$AF$441)</f>
        <v>0</v>
      </c>
      <c r="E137" s="40">
        <f>SUMIF(Tax!$C$2:$AF$2,Financials!E4,Tax!$C$441:$AF$441)</f>
        <v>0</v>
      </c>
      <c r="F137" s="40">
        <f>SUMIF(Tax!$C$2:$AF$2,Financials!F4,Tax!$C$441:$AF$441)</f>
        <v>0</v>
      </c>
      <c r="G137" s="40">
        <f>SUMIF(Tax!$C$2:$AF$2,Financials!G4,Tax!$C$441:$AF$441)</f>
        <v>0</v>
      </c>
      <c r="H137" s="40">
        <f>SUMIF(Tax!$C$2:$AF$2,Financials!H4,Tax!$C$441:$AF$441)</f>
        <v>0</v>
      </c>
      <c r="I137" s="40">
        <f>SUMIF(Tax!$C$2:$AF$2,Financials!I4,Tax!$C$441:$AF$441)</f>
        <v>0</v>
      </c>
      <c r="J137" s="40">
        <f>SUMIF(Tax!$C$2:$AF$2,Financials!J4,Tax!$C$441:$AF$441)</f>
        <v>0</v>
      </c>
      <c r="K137" s="40">
        <f>SUMIF(Tax!$C$2:$AF$2,Financials!K4,Tax!$C$441:$AF$441)</f>
        <v>0</v>
      </c>
      <c r="L137" s="40">
        <f>SUMIF(Tax!$C$2:$AF$2,Financials!L4,Tax!$C$441:$AF$441)</f>
        <v>0</v>
      </c>
      <c r="M137" s="40">
        <f>SUMIF(Tax!$C$2:$AF$2,Financials!M4,Tax!$C$441:$AF$441)</f>
        <v>0</v>
      </c>
      <c r="N137" s="40">
        <f>SUMIF(Tax!$C$2:$AF$2,Financials!N4,Tax!$C$441:$AF$441)</f>
        <v>0</v>
      </c>
      <c r="O137" s="40">
        <f>SUMIF(Tax!$C$2:$AF$2,Financials!O4,Tax!$C$441:$AF$441)</f>
        <v>0</v>
      </c>
      <c r="P137" s="40">
        <f>SUMIF(Tax!$C$2:$AF$2,Financials!P4,Tax!$C$441:$AF$441)</f>
        <v>0</v>
      </c>
      <c r="Q137" s="40">
        <f>SUMIF(Tax!$C$2:$AF$2,Financials!Q4,Tax!$C$441:$AF$441)</f>
        <v>0</v>
      </c>
      <c r="R137" s="40">
        <f>SUMIF(Tax!$C$2:$AF$2,Financials!R4,Tax!$C$441:$AF$441)</f>
        <v>0</v>
      </c>
      <c r="S137" s="40">
        <f>SUMIF(Tax!$C$2:$AF$2,Financials!S4,Tax!$C$441:$AF$441)</f>
        <v>0</v>
      </c>
      <c r="T137" s="40">
        <f>SUMIF(Tax!$C$2:$AF$2,Financials!T4,Tax!$C$441:$AF$441)</f>
        <v>0</v>
      </c>
      <c r="U137" s="40">
        <f>SUMIF(Tax!$C$2:$AF$2,Financials!U4,Tax!$C$441:$AF$441)</f>
        <v>0</v>
      </c>
      <c r="V137" s="40">
        <f>SUMIF(Tax!$C$2:$AF$2,Financials!V4,Tax!$C$441:$AF$441)</f>
        <v>0</v>
      </c>
      <c r="W137" s="40">
        <f>SUMIF(Tax!$C$2:$AF$2,Financials!W4,Tax!$C$441:$AF$441)</f>
        <v>0</v>
      </c>
      <c r="X137" s="40">
        <f>SUMIF(Tax!$C$2:$AF$2,Financials!X4,Tax!$C$441:$AF$441)</f>
        <v>0</v>
      </c>
      <c r="Y137" s="40">
        <f>SUMIF(Tax!$C$2:$AF$2,Financials!Y4,Tax!$C$441:$AF$441)</f>
        <v>0</v>
      </c>
      <c r="Z137" s="40">
        <f>SUMIF(Tax!$C$2:$AF$2,Financials!Z4,Tax!$C$441:$AF$441)</f>
        <v>0</v>
      </c>
      <c r="AA137" s="40">
        <f>SUMIF(Tax!$C$2:$AF$2,Financials!AA4,Tax!$C$441:$AF$441)</f>
        <v>0</v>
      </c>
      <c r="AB137" s="40">
        <f>SUMIF(Tax!$C$2:$AF$2,Financials!AB4,Tax!$C$441:$AF$441)</f>
        <v>0</v>
      </c>
      <c r="AC137" s="40">
        <f>SUMIF(Tax!$C$2:$AF$2,Financials!AC4,Tax!$C$441:$AF$441)</f>
        <v>0</v>
      </c>
      <c r="AD137" s="40">
        <f>SUMIF(Tax!$C$2:$AF$2,Financials!AD4,Tax!$C$441:$AF$441)</f>
        <v>0</v>
      </c>
      <c r="AE137" s="40">
        <f>SUMIF(Tax!$C$2:$AF$2,Financials!AE4,Tax!$C$441:$AF$441)</f>
        <v>0</v>
      </c>
      <c r="AF137" s="40">
        <f>SUMIF(Tax!$C$2:$AF$2,Financials!AF4,Tax!$C$441:$AF$441)</f>
        <v>0</v>
      </c>
      <c r="AG137" s="4"/>
    </row>
    <row r="138" spans="1:33">
      <c r="A138" s="217" t="s">
        <v>279</v>
      </c>
      <c r="B138" s="66"/>
      <c r="C138" s="40">
        <f>IF(C4&gt;'Input Data'!$C$15+'Input Data'!$C$19,0,SUMIF(Tax!$C$2:$AF$2,C$4,Tax!$C$442:$AF$442))</f>
        <v>0</v>
      </c>
      <c r="D138" s="40">
        <f>IF(D4&gt;'Input Data'!$C$15+'Input Data'!$C$19,0,SUMIF(Tax!$C$2:$AF$2,D$4,Tax!$C$442:$AF$442))</f>
        <v>0</v>
      </c>
      <c r="E138" s="40">
        <f>IF(E4&gt;'Input Data'!$C$15+'Input Data'!$C$19,0,SUMIF(Tax!$C$2:$AF$2,E$4,Tax!$C$442:$AF$442))</f>
        <v>0</v>
      </c>
      <c r="F138" s="40">
        <f>IF(F4&gt;'Input Data'!$C$15+'Input Data'!$C$19,0,SUMIF(Tax!$C$2:$AF$2,F$4,Tax!$C$442:$AF$442))</f>
        <v>0</v>
      </c>
      <c r="G138" s="40">
        <f>IF(G4&gt;'Input Data'!$C$15+'Input Data'!$C$19,0,SUMIF(Tax!$C$2:$AF$2,G$4,Tax!$C$442:$AF$442))</f>
        <v>0</v>
      </c>
      <c r="H138" s="40">
        <f>IF(H4&gt;'Input Data'!$C$15+'Input Data'!$C$19,0,SUMIF(Tax!$C$2:$AF$2,H$4,Tax!$C$442:$AF$442))</f>
        <v>0</v>
      </c>
      <c r="I138" s="40">
        <f>IF(I4&gt;'Input Data'!$C$15+'Input Data'!$C$19,0,SUMIF(Tax!$C$2:$AF$2,I$4,Tax!$C$442:$AF$442))</f>
        <v>0</v>
      </c>
      <c r="J138" s="40">
        <f>IF(J4&gt;'Input Data'!$C$15+'Input Data'!$C$19,0,SUMIF(Tax!$C$2:$AF$2,J$4,Tax!$C$442:$AF$442))</f>
        <v>0</v>
      </c>
      <c r="K138" s="40">
        <f>IF(K4&gt;'Input Data'!$C$15+'Input Data'!$C$19,0,SUMIF(Tax!$C$2:$AF$2,K$4,Tax!$C$442:$AF$442))</f>
        <v>0</v>
      </c>
      <c r="L138" s="40">
        <f>IF(L4&gt;'Input Data'!$C$15+'Input Data'!$C$19,0,SUMIF(Tax!$C$2:$AF$2,L$4,Tax!$C$442:$AF$442))</f>
        <v>0</v>
      </c>
      <c r="M138" s="40">
        <f>IF(M4&gt;'Input Data'!$C$15+'Input Data'!$C$19,0,SUMIF(Tax!$C$2:$AF$2,M$4,Tax!$C$442:$AF$442))</f>
        <v>0</v>
      </c>
      <c r="N138" s="40">
        <f>IF(N4&gt;'Input Data'!$C$15+'Input Data'!$C$19,0,SUMIF(Tax!$C$2:$AF$2,N$4,Tax!$C$442:$AF$442))</f>
        <v>0</v>
      </c>
      <c r="O138" s="40">
        <f>IF(O4&gt;'Input Data'!$C$15+'Input Data'!$C$19,0,SUMIF(Tax!$C$2:$AF$2,O$4,Tax!$C$442:$AF$442))</f>
        <v>0</v>
      </c>
      <c r="P138" s="40">
        <f>IF(P4&gt;'Input Data'!$C$15+'Input Data'!$C$19,0,SUMIF(Tax!$C$2:$AF$2,P$4,Tax!$C$442:$AF$442))</f>
        <v>0</v>
      </c>
      <c r="Q138" s="40">
        <f>IF(Q4&gt;'Input Data'!$C$15+'Input Data'!$C$19,0,SUMIF(Tax!$C$2:$AF$2,Q$4,Tax!$C$442:$AF$442))</f>
        <v>0</v>
      </c>
      <c r="R138" s="40">
        <f>IF(R4&gt;'Input Data'!$C$15+'Input Data'!$C$19,0,SUMIF(Tax!$C$2:$AF$2,R$4,Tax!$C$442:$AF$442))</f>
        <v>0</v>
      </c>
      <c r="S138" s="40">
        <f>IF(S4&gt;'Input Data'!$C$15+'Input Data'!$C$19,0,SUMIF(Tax!$C$2:$AF$2,S$4,Tax!$C$442:$AF$442))</f>
        <v>0</v>
      </c>
      <c r="T138" s="40">
        <f>IF(T4&gt;'Input Data'!$C$15+'Input Data'!$C$19,0,SUMIF(Tax!$C$2:$AF$2,T$4,Tax!$C$442:$AF$442))</f>
        <v>0</v>
      </c>
      <c r="U138" s="40">
        <f>IF(U4&gt;'Input Data'!$C$15+'Input Data'!$C$19,0,SUMIF(Tax!$C$2:$AF$2,U$4,Tax!$C$442:$AF$442))</f>
        <v>0</v>
      </c>
      <c r="V138" s="40">
        <f>IF(V4&gt;'Input Data'!$C$15+'Input Data'!$C$19,0,SUMIF(Tax!$C$2:$AF$2,V$4,Tax!$C$442:$AF$442))</f>
        <v>0</v>
      </c>
      <c r="W138" s="40">
        <f>IF(W4&gt;'Input Data'!$C$15+'Input Data'!$C$19,0,SUMIF(Tax!$C$2:$AF$2,W$4,Tax!$C$442:$AF$442))</f>
        <v>0</v>
      </c>
      <c r="X138" s="40">
        <f>IF(X4&gt;'Input Data'!$C$15+'Input Data'!$C$19,0,SUMIF(Tax!$C$2:$AF$2,X$4,Tax!$C$442:$AF$442))</f>
        <v>0</v>
      </c>
      <c r="Y138" s="40">
        <f>IF(Y4&gt;'Input Data'!$C$15+'Input Data'!$C$19,0,SUMIF(Tax!$C$2:$AF$2,Y$4,Tax!$C$442:$AF$442))</f>
        <v>0</v>
      </c>
      <c r="Z138" s="40">
        <f>IF(Z4&gt;'Input Data'!$C$15+'Input Data'!$C$19,0,SUMIF(Tax!$C$2:$AF$2,Z$4,Tax!$C$442:$AF$442))</f>
        <v>0</v>
      </c>
      <c r="AA138" s="40">
        <f>IF(AA4&gt;'Input Data'!$C$15+'Input Data'!$C$19,0,SUMIF(Tax!$C$2:$AF$2,AA$4,Tax!$C$442:$AF$442))</f>
        <v>0</v>
      </c>
      <c r="AB138" s="40">
        <f>IF(AB4&gt;'Input Data'!$C$15+'Input Data'!$C$19,0,SUMIF(Tax!$C$2:$AF$2,AB$4,Tax!$C$442:$AF$442))</f>
        <v>0</v>
      </c>
      <c r="AC138" s="40">
        <f>IF(AC4&gt;'Input Data'!$C$15+'Input Data'!$C$19,0,SUMIF(Tax!$C$2:$AF$2,AC$4,Tax!$C$442:$AF$442))</f>
        <v>0</v>
      </c>
      <c r="AD138" s="40">
        <f>IF(AD4&gt;'Input Data'!$C$15+'Input Data'!$C$19,0,SUMIF(Tax!$C$2:$AF$2,AD$4,Tax!$C$442:$AF$442))</f>
        <v>0</v>
      </c>
      <c r="AE138" s="40">
        <f>IF(AE4&gt;'Input Data'!$C$15+'Input Data'!$C$19,0,SUMIF(Tax!$C$2:$AF$2,AE$4,Tax!$C$442:$AF$442))</f>
        <v>0</v>
      </c>
      <c r="AF138" s="40">
        <f>IF(AF4&gt;'Input Data'!$C$15+'Input Data'!$C$19,0,SUMIF(Tax!$C$2:$AF$2,AF$4,Tax!$C$442:$AF$442))</f>
        <v>0</v>
      </c>
      <c r="AG138" s="4"/>
    </row>
    <row r="139" spans="1:33">
      <c r="A139" s="6" t="s">
        <v>280</v>
      </c>
      <c r="B139" s="66"/>
      <c r="C139" s="49">
        <f>+C136+C137+C138</f>
        <v>0</v>
      </c>
      <c r="D139" s="49">
        <f t="shared" ref="D139:AA139" si="90">+D136+D137+D138</f>
        <v>0</v>
      </c>
      <c r="E139" s="49">
        <f t="shared" si="90"/>
        <v>0</v>
      </c>
      <c r="F139" s="49">
        <f t="shared" si="90"/>
        <v>0</v>
      </c>
      <c r="G139" s="49">
        <f t="shared" si="90"/>
        <v>0</v>
      </c>
      <c r="H139" s="49">
        <f t="shared" si="90"/>
        <v>0</v>
      </c>
      <c r="I139" s="49">
        <f t="shared" si="90"/>
        <v>0</v>
      </c>
      <c r="J139" s="49">
        <f t="shared" si="90"/>
        <v>0</v>
      </c>
      <c r="K139" s="49">
        <f t="shared" si="90"/>
        <v>0</v>
      </c>
      <c r="L139" s="49">
        <f t="shared" si="90"/>
        <v>0</v>
      </c>
      <c r="M139" s="49">
        <f t="shared" si="90"/>
        <v>0</v>
      </c>
      <c r="N139" s="49">
        <f t="shared" si="90"/>
        <v>0</v>
      </c>
      <c r="O139" s="49">
        <f t="shared" si="90"/>
        <v>0</v>
      </c>
      <c r="P139" s="49">
        <f t="shared" si="90"/>
        <v>0</v>
      </c>
      <c r="Q139" s="49">
        <f t="shared" si="90"/>
        <v>0</v>
      </c>
      <c r="R139" s="49">
        <f t="shared" si="90"/>
        <v>0</v>
      </c>
      <c r="S139" s="49">
        <f t="shared" si="90"/>
        <v>0</v>
      </c>
      <c r="T139" s="49">
        <f t="shared" si="90"/>
        <v>0</v>
      </c>
      <c r="U139" s="49">
        <f t="shared" si="90"/>
        <v>0</v>
      </c>
      <c r="V139" s="49">
        <f t="shared" si="90"/>
        <v>0</v>
      </c>
      <c r="W139" s="49">
        <f t="shared" si="90"/>
        <v>0</v>
      </c>
      <c r="X139" s="49">
        <f t="shared" si="90"/>
        <v>0</v>
      </c>
      <c r="Y139" s="49">
        <f t="shared" si="90"/>
        <v>0</v>
      </c>
      <c r="Z139" s="49">
        <f t="shared" si="90"/>
        <v>0</v>
      </c>
      <c r="AA139" s="49">
        <f t="shared" si="90"/>
        <v>0</v>
      </c>
      <c r="AB139" s="49">
        <f t="shared" ref="AB139:AF139" si="91">+AB136+AB137+AB138</f>
        <v>0</v>
      </c>
      <c r="AC139" s="49">
        <f t="shared" si="91"/>
        <v>0</v>
      </c>
      <c r="AD139" s="49">
        <f t="shared" si="91"/>
        <v>0</v>
      </c>
      <c r="AE139" s="49">
        <f t="shared" si="91"/>
        <v>0</v>
      </c>
      <c r="AF139" s="49">
        <f t="shared" si="91"/>
        <v>0</v>
      </c>
      <c r="AG139" s="4"/>
    </row>
    <row r="140" spans="1:33">
      <c r="A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row>
    <row r="141" spans="1:33">
      <c r="A141" s="6" t="s">
        <v>281</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row>
    <row r="142" spans="1:33">
      <c r="A142" s="217" t="s">
        <v>259</v>
      </c>
      <c r="B142" s="1"/>
      <c r="C142" s="4"/>
      <c r="D142" s="4">
        <f>IF(D$4&gt;'Input Data'!$C$15+'Input Data'!$C$19,0,+C146)</f>
        <v>16030848.900907677</v>
      </c>
      <c r="E142" s="4">
        <f>IF(E$4&gt;'Input Data'!$C$15+'Input Data'!$C$19,0,+D146)</f>
        <v>56606244.624346405</v>
      </c>
      <c r="F142" s="4">
        <f>IF(F$4&gt;'Input Data'!$C$15+'Input Data'!$C$19,0,+E146)</f>
        <v>120521042.89950493</v>
      </c>
      <c r="G142" s="4">
        <f>IF(G$4&gt;'Input Data'!$C$15+'Input Data'!$C$19,0,+F146)</f>
        <v>142300991.4014433</v>
      </c>
      <c r="H142" s="4">
        <f>IF(H$4&gt;'Input Data'!$C$15+'Input Data'!$C$19,0,+G146)</f>
        <v>136965133.64622787</v>
      </c>
      <c r="I142" s="4">
        <f>IF(I$4&gt;'Input Data'!$C$15+'Input Data'!$C$19,0,+H146)</f>
        <v>131949335.60543165</v>
      </c>
      <c r="J142" s="4">
        <f>IF(J$4&gt;'Input Data'!$C$15+'Input Data'!$C$19,0,+I146)</f>
        <v>127162151.64636347</v>
      </c>
      <c r="K142" s="4">
        <f>IF(K$4&gt;'Input Data'!$C$15+'Input Data'!$C$19,0,+J146)</f>
        <v>122537740.91348563</v>
      </c>
      <c r="L142" s="4">
        <f>IF(L$4&gt;'Input Data'!$C$15+'Input Data'!$C$19,0,+K146)</f>
        <v>117913787.40877126</v>
      </c>
      <c r="M142" s="4">
        <f>IF(M$4&gt;'Input Data'!$C$15+'Input Data'!$C$19,0,+L146)</f>
        <v>113303504.65315208</v>
      </c>
      <c r="N142" s="4">
        <f>IF(N$4&gt;'Input Data'!$C$15+'Input Data'!$C$19,0,+M146)</f>
        <v>109859747.85764673</v>
      </c>
      <c r="O142" s="4">
        <f>IF(O$4&gt;'Input Data'!$C$15+'Input Data'!$C$19,0,+N146)</f>
        <v>107582198.12608273</v>
      </c>
      <c r="P142" s="4">
        <f>IF(P$4&gt;'Input Data'!$C$15+'Input Data'!$C$19,0,+O146)</f>
        <v>105304811.9401525</v>
      </c>
      <c r="Q142" s="4">
        <f>IF(Q$4&gt;'Input Data'!$C$15+'Input Data'!$C$19,0,+P146)</f>
        <v>103027594.20009077</v>
      </c>
      <c r="R142" s="4">
        <f>IF(R$4&gt;'Input Data'!$C$15+'Input Data'!$C$19,0,+Q146)</f>
        <v>100750549.96127027</v>
      </c>
      <c r="S142" s="4">
        <f>IF(S$4&gt;'Input Data'!$C$15+'Input Data'!$C$19,0,+R146)</f>
        <v>98492299.474740997</v>
      </c>
      <c r="T142" s="4">
        <f>IF(T$4&gt;'Input Data'!$C$15+'Input Data'!$C$19,0,+S146)</f>
        <v>96234434.37561962</v>
      </c>
      <c r="U142" s="4">
        <f>IF(U$4&gt;'Input Data'!$C$15+'Input Data'!$C$19,0,+T146)</f>
        <v>93976966.221728802</v>
      </c>
      <c r="V142" s="4">
        <f>IF(V$4&gt;'Input Data'!$C$15+'Input Data'!$C$19,0,+U146)</f>
        <v>91719906.921499446</v>
      </c>
      <c r="W142" s="4">
        <f>IF(W$4&gt;'Input Data'!$C$15+'Input Data'!$C$19,0,+V146)</f>
        <v>89463268.741128266</v>
      </c>
      <c r="X142" s="4">
        <f>IF(X$4&gt;'Input Data'!$C$15+'Input Data'!$C$19,0,+W146)</f>
        <v>87207064.316379488</v>
      </c>
      <c r="Y142" s="4">
        <f>IF(Y$4&gt;'Input Data'!$C$15+'Input Data'!$C$19,0,+X146)</f>
        <v>84951306.658658355</v>
      </c>
      <c r="Z142" s="4">
        <f>IF(Z$4&gt;'Input Data'!$C$15+'Input Data'!$C$19,0,+Y146)</f>
        <v>82696009.170865953</v>
      </c>
      <c r="AA142" s="4">
        <f>IF(AA$4&gt;'Input Data'!$C$15+'Input Data'!$C$19,0,+Z146)</f>
        <v>80441185.65742743</v>
      </c>
      <c r="AB142" s="4">
        <f>IF(AB$4&gt;'Input Data'!$C$15+'Input Data'!$C$19,0,+AA146)</f>
        <v>78186850.333728135</v>
      </c>
      <c r="AC142" s="4">
        <f>IF(AC$4&gt;'Input Data'!$C$15+'Input Data'!$C$19,0,+AB146)</f>
        <v>75933017.850371242</v>
      </c>
      <c r="AD142" s="4">
        <f>IF(AD$4&gt;'Input Data'!$C$15+'Input Data'!$C$19,0,+AC146)</f>
        <v>73679703.29599832</v>
      </c>
      <c r="AE142" s="4">
        <f>IF(AE$4&gt;'Input Data'!$C$15+'Input Data'!$C$19,0,+AD146)</f>
        <v>71426922.204754412</v>
      </c>
      <c r="AF142" s="4">
        <f>IF(AF$4&gt;'Input Data'!$C$15+'Input Data'!$C$19,0,+AE146)</f>
        <v>69174690.578574255</v>
      </c>
      <c r="AG142" s="4"/>
    </row>
    <row r="143" spans="1:33">
      <c r="A143" s="217" t="s">
        <v>282</v>
      </c>
      <c r="B143" s="36"/>
      <c r="C143" s="4">
        <f>(C$121-C$133-C$139)*C159-C142</f>
        <v>16030848.900907677</v>
      </c>
      <c r="D143" s="4">
        <f t="shared" ref="D143:AA143" si="92">(D$121-D$133-D$139)*D159-D142</f>
        <v>40575395.723438725</v>
      </c>
      <c r="E143" s="4">
        <f t="shared" si="92"/>
        <v>63914798.275158525</v>
      </c>
      <c r="F143" s="4">
        <f t="shared" si="92"/>
        <v>21779948.501938373</v>
      </c>
      <c r="G143" s="4">
        <f t="shared" si="92"/>
        <v>-5335857.7552154362</v>
      </c>
      <c r="H143" s="4">
        <f t="shared" si="92"/>
        <v>-5015798.0407962352</v>
      </c>
      <c r="I143" s="4">
        <f t="shared" si="92"/>
        <v>-4787183.959068194</v>
      </c>
      <c r="J143" s="4">
        <f t="shared" si="92"/>
        <v>-4624410.7328778505</v>
      </c>
      <c r="K143" s="4">
        <f t="shared" si="92"/>
        <v>-4623953.5047143698</v>
      </c>
      <c r="L143" s="4">
        <f t="shared" si="92"/>
        <v>-4610282.7556191832</v>
      </c>
      <c r="M143" s="4">
        <f t="shared" si="92"/>
        <v>-3443756.7955053449</v>
      </c>
      <c r="N143" s="4">
        <f t="shared" si="92"/>
        <v>-2277549.7315640002</v>
      </c>
      <c r="O143" s="4">
        <f t="shared" si="92"/>
        <v>-2277386.1859302372</v>
      </c>
      <c r="P143" s="4">
        <f t="shared" si="92"/>
        <v>-2277217.7400617301</v>
      </c>
      <c r="Q143" s="4">
        <f t="shared" si="92"/>
        <v>-2277044.2388204932</v>
      </c>
      <c r="R143" s="4">
        <f t="shared" si="92"/>
        <v>-2258250.4865292758</v>
      </c>
      <c r="S143" s="4">
        <f t="shared" si="92"/>
        <v>-2257865.0991213769</v>
      </c>
      <c r="T143" s="4">
        <f t="shared" si="92"/>
        <v>-2257468.1538908184</v>
      </c>
      <c r="U143" s="4">
        <f t="shared" si="92"/>
        <v>-2257059.3002293557</v>
      </c>
      <c r="V143" s="4">
        <f t="shared" si="92"/>
        <v>-2256638.1803711802</v>
      </c>
      <c r="W143" s="4">
        <f t="shared" si="92"/>
        <v>-2256204.4247487783</v>
      </c>
      <c r="X143" s="4">
        <f t="shared" si="92"/>
        <v>-2255757.657721132</v>
      </c>
      <c r="Y143" s="4">
        <f t="shared" si="92"/>
        <v>-2255297.4877924025</v>
      </c>
      <c r="Z143" s="4">
        <f t="shared" si="92"/>
        <v>-2254823.5134385228</v>
      </c>
      <c r="AA143" s="4">
        <f t="shared" si="92"/>
        <v>-2254335.3236992955</v>
      </c>
      <c r="AB143" s="4">
        <f t="shared" ref="AB143:AF143" si="93">(AB$121-AB$133-AB$139)*AB159-AB142</f>
        <v>-2253832.4833568931</v>
      </c>
      <c r="AC143" s="4">
        <f t="shared" si="93"/>
        <v>-2253314.5543729216</v>
      </c>
      <c r="AD143" s="4">
        <f t="shared" si="93"/>
        <v>-2252781.0912439078</v>
      </c>
      <c r="AE143" s="4">
        <f t="shared" si="93"/>
        <v>-2252231.6261801571</v>
      </c>
      <c r="AF143" s="4">
        <f t="shared" si="93"/>
        <v>-2251665.6751303598</v>
      </c>
      <c r="AG143" s="4"/>
    </row>
    <row r="144" spans="1:33">
      <c r="A144" s="108" t="s">
        <v>283</v>
      </c>
      <c r="B144" s="75"/>
      <c r="C144" s="4">
        <f>+C92</f>
        <v>-245693.91113238214</v>
      </c>
      <c r="D144" s="4">
        <f>+D92</f>
        <v>2582101.4884409821</v>
      </c>
      <c r="E144" s="4">
        <f t="shared" ref="E144" si="94">+E92</f>
        <v>5344576.2748426702</v>
      </c>
      <c r="F144" s="4">
        <f t="shared" ref="F144:AA144" si="95">+F92</f>
        <v>13437021.556908676</v>
      </c>
      <c r="G144" s="4">
        <f t="shared" si="95"/>
        <v>14242572.426000001</v>
      </c>
      <c r="H144" s="4">
        <f t="shared" si="95"/>
        <v>13714637.969999999</v>
      </c>
      <c r="I144" s="4">
        <f t="shared" si="95"/>
        <v>14315910.885404535</v>
      </c>
      <c r="J144" s="4">
        <f t="shared" si="95"/>
        <v>14917211.20264362</v>
      </c>
      <c r="K144" s="4">
        <f t="shared" si="95"/>
        <v>12263027.928000001</v>
      </c>
      <c r="L144" s="4">
        <f t="shared" si="95"/>
        <v>12824614.051640242</v>
      </c>
      <c r="M144" s="4">
        <f t="shared" si="95"/>
        <v>15155106.565820949</v>
      </c>
      <c r="N144" s="4">
        <f t="shared" si="95"/>
        <v>17438135.634789094</v>
      </c>
      <c r="O144" s="4">
        <f t="shared" si="95"/>
        <v>17909688.335062243</v>
      </c>
      <c r="P144" s="4">
        <f t="shared" si="95"/>
        <v>10624952.706000002</v>
      </c>
      <c r="Q144" s="4">
        <f t="shared" si="95"/>
        <v>10978975.258654719</v>
      </c>
      <c r="R144" s="4">
        <f t="shared" si="95"/>
        <v>11336109.600255171</v>
      </c>
      <c r="S144" s="4">
        <f t="shared" si="95"/>
        <v>11696131.827847887</v>
      </c>
      <c r="T144" s="4">
        <f t="shared" si="95"/>
        <v>12059836.419872399</v>
      </c>
      <c r="U144" s="4">
        <f t="shared" si="95"/>
        <v>9470540.5739999991</v>
      </c>
      <c r="V144" s="4">
        <f t="shared" si="95"/>
        <v>9797407.5889474768</v>
      </c>
      <c r="W144" s="4">
        <f t="shared" si="95"/>
        <v>10127441.661047697</v>
      </c>
      <c r="X144" s="4">
        <f t="shared" si="95"/>
        <v>10460683.60806172</v>
      </c>
      <c r="Y144" s="4">
        <f t="shared" si="95"/>
        <v>10797176.78463487</v>
      </c>
      <c r="Z144" s="4">
        <f t="shared" si="95"/>
        <v>8319996.8939999994</v>
      </c>
      <c r="AA144" s="4">
        <f t="shared" si="95"/>
        <v>8620863.3385601379</v>
      </c>
      <c r="AB144" s="4">
        <f t="shared" ref="AB144:AF144" si="96">+AB92</f>
        <v>8924474.4323768597</v>
      </c>
      <c r="AC144" s="4">
        <f t="shared" si="96"/>
        <v>9230864.8596338537</v>
      </c>
      <c r="AD144" s="4">
        <f t="shared" si="96"/>
        <v>9540068.5727501307</v>
      </c>
      <c r="AE144" s="4">
        <f t="shared" si="96"/>
        <v>7170682.2119999984</v>
      </c>
      <c r="AF144" s="4">
        <f t="shared" si="96"/>
        <v>7445397.1133969221</v>
      </c>
      <c r="AG144" s="4"/>
    </row>
    <row r="145" spans="1:33">
      <c r="A145" s="217" t="s">
        <v>284</v>
      </c>
      <c r="B145" s="293"/>
      <c r="C145" s="42">
        <f>-C92</f>
        <v>245693.91113238214</v>
      </c>
      <c r="D145" s="42">
        <f>-D92</f>
        <v>-2582101.4884409821</v>
      </c>
      <c r="E145" s="42">
        <f t="shared" ref="E145" si="97">-E92</f>
        <v>-5344576.2748426702</v>
      </c>
      <c r="F145" s="42">
        <f t="shared" ref="F145:AA145" si="98">-F92</f>
        <v>-13437021.556908676</v>
      </c>
      <c r="G145" s="42">
        <f t="shared" si="98"/>
        <v>-14242572.426000001</v>
      </c>
      <c r="H145" s="42">
        <f t="shared" si="98"/>
        <v>-13714637.969999999</v>
      </c>
      <c r="I145" s="42">
        <f t="shared" si="98"/>
        <v>-14315910.885404535</v>
      </c>
      <c r="J145" s="42">
        <f t="shared" si="98"/>
        <v>-14917211.20264362</v>
      </c>
      <c r="K145" s="42">
        <f t="shared" si="98"/>
        <v>-12263027.928000001</v>
      </c>
      <c r="L145" s="42">
        <f t="shared" si="98"/>
        <v>-12824614.051640242</v>
      </c>
      <c r="M145" s="42">
        <f t="shared" si="98"/>
        <v>-15155106.565820949</v>
      </c>
      <c r="N145" s="42">
        <f t="shared" si="98"/>
        <v>-17438135.634789094</v>
      </c>
      <c r="O145" s="42">
        <f t="shared" si="98"/>
        <v>-17909688.335062243</v>
      </c>
      <c r="P145" s="42">
        <f t="shared" si="98"/>
        <v>-10624952.706000002</v>
      </c>
      <c r="Q145" s="42">
        <f t="shared" si="98"/>
        <v>-10978975.258654719</v>
      </c>
      <c r="R145" s="42">
        <f t="shared" si="98"/>
        <v>-11336109.600255171</v>
      </c>
      <c r="S145" s="42">
        <f t="shared" si="98"/>
        <v>-11696131.827847887</v>
      </c>
      <c r="T145" s="42">
        <f t="shared" si="98"/>
        <v>-12059836.419872399</v>
      </c>
      <c r="U145" s="42">
        <f t="shared" si="98"/>
        <v>-9470540.5739999991</v>
      </c>
      <c r="V145" s="42">
        <f t="shared" si="98"/>
        <v>-9797407.5889474768</v>
      </c>
      <c r="W145" s="42">
        <f t="shared" si="98"/>
        <v>-10127441.661047697</v>
      </c>
      <c r="X145" s="42">
        <f t="shared" si="98"/>
        <v>-10460683.60806172</v>
      </c>
      <c r="Y145" s="42">
        <f t="shared" si="98"/>
        <v>-10797176.78463487</v>
      </c>
      <c r="Z145" s="42">
        <f t="shared" si="98"/>
        <v>-8319996.8939999994</v>
      </c>
      <c r="AA145" s="42">
        <f t="shared" si="98"/>
        <v>-8620863.3385601379</v>
      </c>
      <c r="AB145" s="42">
        <f t="shared" ref="AB145:AF145" si="99">-AB92</f>
        <v>-8924474.4323768597</v>
      </c>
      <c r="AC145" s="42">
        <f t="shared" si="99"/>
        <v>-9230864.8596338537</v>
      </c>
      <c r="AD145" s="42">
        <f t="shared" si="99"/>
        <v>-9540068.5727501307</v>
      </c>
      <c r="AE145" s="42">
        <f t="shared" si="99"/>
        <v>-7170682.2119999984</v>
      </c>
      <c r="AF145" s="42">
        <f t="shared" si="99"/>
        <v>-7445397.1133969221</v>
      </c>
      <c r="AG145" s="84"/>
    </row>
    <row r="146" spans="1:33">
      <c r="A146" s="540" t="s">
        <v>285</v>
      </c>
      <c r="B146" s="539"/>
      <c r="C146" s="541">
        <f t="shared" ref="C146:V146" si="100">SUM(C142:C145)</f>
        <v>16030848.900907677</v>
      </c>
      <c r="D146" s="49">
        <f t="shared" si="100"/>
        <v>56606244.624346405</v>
      </c>
      <c r="E146" s="49">
        <f t="shared" si="100"/>
        <v>120521042.89950493</v>
      </c>
      <c r="F146" s="49">
        <f t="shared" si="100"/>
        <v>142300991.4014433</v>
      </c>
      <c r="G146" s="49">
        <f t="shared" si="100"/>
        <v>136965133.64622787</v>
      </c>
      <c r="H146" s="49">
        <f t="shared" si="100"/>
        <v>131949335.60543165</v>
      </c>
      <c r="I146" s="49">
        <f t="shared" si="100"/>
        <v>127162151.64636347</v>
      </c>
      <c r="J146" s="49">
        <f t="shared" si="100"/>
        <v>122537740.91348563</v>
      </c>
      <c r="K146" s="49">
        <f t="shared" si="100"/>
        <v>117913787.40877126</v>
      </c>
      <c r="L146" s="49">
        <f t="shared" si="100"/>
        <v>113303504.65315208</v>
      </c>
      <c r="M146" s="49">
        <f t="shared" si="100"/>
        <v>109859747.85764673</v>
      </c>
      <c r="N146" s="49">
        <f t="shared" si="100"/>
        <v>107582198.12608273</v>
      </c>
      <c r="O146" s="49">
        <f t="shared" si="100"/>
        <v>105304811.9401525</v>
      </c>
      <c r="P146" s="49">
        <f t="shared" si="100"/>
        <v>103027594.20009077</v>
      </c>
      <c r="Q146" s="49">
        <f t="shared" si="100"/>
        <v>100750549.96127027</v>
      </c>
      <c r="R146" s="49">
        <f t="shared" si="100"/>
        <v>98492299.474740997</v>
      </c>
      <c r="S146" s="49">
        <f t="shared" si="100"/>
        <v>96234434.37561962</v>
      </c>
      <c r="T146" s="49">
        <f t="shared" si="100"/>
        <v>93976966.221728802</v>
      </c>
      <c r="U146" s="49">
        <f t="shared" si="100"/>
        <v>91719906.921499446</v>
      </c>
      <c r="V146" s="49">
        <f t="shared" si="100"/>
        <v>89463268.741128266</v>
      </c>
      <c r="W146" s="49">
        <f>SUM(W142:W145)</f>
        <v>87207064.316379488</v>
      </c>
      <c r="X146" s="49">
        <f>SUM(X142:X145)</f>
        <v>84951306.658658355</v>
      </c>
      <c r="Y146" s="49">
        <f>SUM(Y142:Y145)</f>
        <v>82696009.170865953</v>
      </c>
      <c r="Z146" s="49">
        <f>SUM(Z142:Z145)</f>
        <v>80441185.65742743</v>
      </c>
      <c r="AA146" s="49">
        <f>SUM(AA142:AA145)</f>
        <v>78186850.333728135</v>
      </c>
      <c r="AB146" s="49">
        <f t="shared" ref="AB146:AF146" si="101">SUM(AB142:AB145)</f>
        <v>75933017.850371242</v>
      </c>
      <c r="AC146" s="49">
        <f t="shared" si="101"/>
        <v>73679703.29599832</v>
      </c>
      <c r="AD146" s="49">
        <f t="shared" si="101"/>
        <v>71426922.204754412</v>
      </c>
      <c r="AE146" s="49">
        <f t="shared" si="101"/>
        <v>69174690.578574255</v>
      </c>
      <c r="AF146" s="49">
        <f t="shared" si="101"/>
        <v>66923024.903443895</v>
      </c>
      <c r="AG146" s="4"/>
    </row>
    <row r="147" spans="1:33">
      <c r="A147" s="542"/>
      <c r="B147" s="534"/>
      <c r="C147" s="536"/>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row>
    <row r="148" spans="1:33" ht="15" thickBot="1">
      <c r="A148" s="109" t="s">
        <v>286</v>
      </c>
      <c r="B148" s="76"/>
      <c r="C148" s="99">
        <f>C133+C128+C146+C139</f>
        <v>29686757.223903105</v>
      </c>
      <c r="D148" s="99">
        <f t="shared" ref="D148:AA148" si="102">D133+D128+D146+D139</f>
        <v>104826378.93397482</v>
      </c>
      <c r="E148" s="99">
        <f t="shared" si="102"/>
        <v>224037852.94009265</v>
      </c>
      <c r="F148" s="99">
        <f t="shared" si="102"/>
        <v>265682795.1482996</v>
      </c>
      <c r="G148" s="99">
        <f t="shared" si="102"/>
        <v>257175313.22499532</v>
      </c>
      <c r="H148" s="99">
        <f t="shared" si="102"/>
        <v>248667831.301691</v>
      </c>
      <c r="I148" s="99">
        <f t="shared" si="102"/>
        <v>240160349.37838671</v>
      </c>
      <c r="J148" s="99">
        <f t="shared" si="102"/>
        <v>231652867.45508236</v>
      </c>
      <c r="K148" s="99">
        <f t="shared" si="102"/>
        <v>223145385.53177807</v>
      </c>
      <c r="L148" s="99">
        <f t="shared" si="102"/>
        <v>214664182.7751404</v>
      </c>
      <c r="M148" s="99">
        <f t="shared" si="102"/>
        <v>208569592.8858839</v>
      </c>
      <c r="N148" s="99">
        <f t="shared" si="102"/>
        <v>204861875.04774028</v>
      </c>
      <c r="O148" s="99">
        <f t="shared" si="102"/>
        <v>201154528.3216998</v>
      </c>
      <c r="P148" s="99">
        <f t="shared" si="102"/>
        <v>197447563.82973194</v>
      </c>
      <c r="Q148" s="99">
        <f t="shared" si="102"/>
        <v>193740993.04256263</v>
      </c>
      <c r="R148" s="99">
        <f t="shared" si="102"/>
        <v>190069453.24444482</v>
      </c>
      <c r="S148" s="99">
        <f t="shared" si="102"/>
        <v>186398787.95668608</v>
      </c>
      <c r="T148" s="99">
        <f t="shared" si="102"/>
        <v>182729023.40754101</v>
      </c>
      <c r="U148" s="99">
        <f t="shared" si="102"/>
        <v>179060186.61930043</v>
      </c>
      <c r="V148" s="99">
        <f t="shared" si="102"/>
        <v>175392305.42587808</v>
      </c>
      <c r="W148" s="99">
        <f t="shared" si="102"/>
        <v>171725408.49914962</v>
      </c>
      <c r="X148" s="99">
        <f t="shared" si="102"/>
        <v>168059525.36477274</v>
      </c>
      <c r="Y148" s="99">
        <f t="shared" si="102"/>
        <v>164394686.43631551</v>
      </c>
      <c r="Z148" s="99">
        <f t="shared" si="102"/>
        <v>160730923.03870529</v>
      </c>
      <c r="AA148" s="99">
        <f t="shared" si="102"/>
        <v>157068267.43071324</v>
      </c>
      <c r="AB148" s="99">
        <f t="shared" ref="AB148:AF148" si="103">AB133+AB128+AB146+AB139</f>
        <v>153406752.85514387</v>
      </c>
      <c r="AC148" s="99">
        <f t="shared" si="103"/>
        <v>149746413.54935485</v>
      </c>
      <c r="AD148" s="99">
        <f t="shared" si="103"/>
        <v>146087284.76452947</v>
      </c>
      <c r="AE148" s="99">
        <f t="shared" si="103"/>
        <v>142429402.81265408</v>
      </c>
      <c r="AF148" s="99">
        <f t="shared" si="103"/>
        <v>138772805.10249382</v>
      </c>
      <c r="AG148" s="98"/>
    </row>
    <row r="149" spans="1:33" ht="15" thickTop="1">
      <c r="B149" s="100" t="s">
        <v>287</v>
      </c>
      <c r="C149" s="101">
        <f t="shared" ref="C149:AA149" si="104">+C121-C148</f>
        <v>0</v>
      </c>
      <c r="D149" s="101">
        <f t="shared" si="104"/>
        <v>0</v>
      </c>
      <c r="E149" s="101">
        <f t="shared" si="104"/>
        <v>0</v>
      </c>
      <c r="F149" s="101">
        <f t="shared" si="104"/>
        <v>0</v>
      </c>
      <c r="G149" s="101">
        <f t="shared" si="104"/>
        <v>0</v>
      </c>
      <c r="H149" s="101">
        <f t="shared" si="104"/>
        <v>0</v>
      </c>
      <c r="I149" s="101">
        <f t="shared" si="104"/>
        <v>0</v>
      </c>
      <c r="J149" s="101">
        <f t="shared" si="104"/>
        <v>0</v>
      </c>
      <c r="K149" s="101">
        <f t="shared" si="104"/>
        <v>0</v>
      </c>
      <c r="L149" s="101">
        <f t="shared" si="104"/>
        <v>0</v>
      </c>
      <c r="M149" s="101">
        <f t="shared" si="104"/>
        <v>0</v>
      </c>
      <c r="N149" s="101">
        <f t="shared" si="104"/>
        <v>0</v>
      </c>
      <c r="O149" s="101">
        <f t="shared" si="104"/>
        <v>0</v>
      </c>
      <c r="P149" s="101">
        <f t="shared" si="104"/>
        <v>0</v>
      </c>
      <c r="Q149" s="101">
        <f t="shared" si="104"/>
        <v>0</v>
      </c>
      <c r="R149" s="101">
        <f t="shared" si="104"/>
        <v>0</v>
      </c>
      <c r="S149" s="101">
        <f t="shared" si="104"/>
        <v>0</v>
      </c>
      <c r="T149" s="101">
        <f t="shared" si="104"/>
        <v>0</v>
      </c>
      <c r="U149" s="101">
        <f t="shared" si="104"/>
        <v>0</v>
      </c>
      <c r="V149" s="101">
        <f t="shared" si="104"/>
        <v>0</v>
      </c>
      <c r="W149" s="101">
        <f t="shared" si="104"/>
        <v>0</v>
      </c>
      <c r="X149" s="101">
        <f t="shared" si="104"/>
        <v>0</v>
      </c>
      <c r="Y149" s="101">
        <f t="shared" si="104"/>
        <v>0</v>
      </c>
      <c r="Z149" s="101">
        <f t="shared" si="104"/>
        <v>0</v>
      </c>
      <c r="AA149" s="101">
        <f t="shared" si="104"/>
        <v>0</v>
      </c>
      <c r="AB149" s="101">
        <f t="shared" ref="AB149:AF149" si="105">+AB121-AB148</f>
        <v>0</v>
      </c>
      <c r="AC149" s="101">
        <f t="shared" si="105"/>
        <v>0</v>
      </c>
      <c r="AD149" s="101">
        <f t="shared" si="105"/>
        <v>0</v>
      </c>
      <c r="AE149" s="101">
        <f t="shared" si="105"/>
        <v>0</v>
      </c>
      <c r="AF149" s="101">
        <f t="shared" si="105"/>
        <v>0</v>
      </c>
      <c r="AG149" s="98"/>
    </row>
    <row r="150" spans="1:33">
      <c r="B150" s="102"/>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98"/>
    </row>
    <row r="151" spans="1:33" s="537" customFormat="1">
      <c r="A151" s="533" t="s">
        <v>288</v>
      </c>
      <c r="B151" s="534"/>
      <c r="C151" s="535">
        <f>C170</f>
        <v>13655908.322995428</v>
      </c>
      <c r="D151" s="535">
        <f t="shared" ref="D151:AF151" si="106">D172</f>
        <v>30938021</v>
      </c>
      <c r="E151" s="535">
        <f t="shared" si="106"/>
        <v>75443104</v>
      </c>
      <c r="F151" s="535">
        <f t="shared" si="106"/>
        <v>111942718</v>
      </c>
      <c r="G151" s="535">
        <f t="shared" si="106"/>
        <v>118946683</v>
      </c>
      <c r="H151" s="535">
        <f t="shared" si="106"/>
        <v>114537644</v>
      </c>
      <c r="I151" s="535">
        <f t="shared" si="106"/>
        <v>110362300</v>
      </c>
      <c r="J151" s="535">
        <f t="shared" si="106"/>
        <v>106353658</v>
      </c>
      <c r="K151" s="535">
        <f t="shared" si="106"/>
        <v>102414540</v>
      </c>
      <c r="L151" s="535">
        <f t="shared" si="106"/>
        <v>98481439</v>
      </c>
      <c r="M151" s="535">
        <f t="shared" si="106"/>
        <v>95051015</v>
      </c>
      <c r="N151" s="535">
        <f t="shared" si="106"/>
        <v>92614162</v>
      </c>
      <c r="O151" s="535">
        <f t="shared" si="106"/>
        <v>90674097</v>
      </c>
      <c r="P151" s="535">
        <f t="shared" si="106"/>
        <v>88734173</v>
      </c>
      <c r="Q151" s="535">
        <f t="shared" si="106"/>
        <v>86794395</v>
      </c>
      <c r="R151" s="535">
        <f t="shared" si="106"/>
        <v>84862695</v>
      </c>
      <c r="S151" s="535">
        <f t="shared" si="106"/>
        <v>82939164</v>
      </c>
      <c r="T151" s="535">
        <f t="shared" si="106"/>
        <v>81015967</v>
      </c>
      <c r="U151" s="535">
        <f t="shared" si="106"/>
        <v>79093113</v>
      </c>
      <c r="V151" s="535">
        <f t="shared" si="106"/>
        <v>77170612</v>
      </c>
      <c r="W151" s="535">
        <f t="shared" si="106"/>
        <v>75248475</v>
      </c>
      <c r="X151" s="535">
        <f t="shared" si="106"/>
        <v>73326714</v>
      </c>
      <c r="Y151" s="535">
        <f t="shared" si="106"/>
        <v>71405338</v>
      </c>
      <c r="Z151" s="535">
        <f t="shared" si="106"/>
        <v>69484361</v>
      </c>
      <c r="AA151" s="535">
        <f t="shared" si="106"/>
        <v>67563793</v>
      </c>
      <c r="AB151" s="535">
        <f t="shared" si="106"/>
        <v>65643648</v>
      </c>
      <c r="AC151" s="535">
        <f t="shared" si="106"/>
        <v>63723937</v>
      </c>
      <c r="AD151" s="535">
        <f t="shared" si="106"/>
        <v>61804674</v>
      </c>
      <c r="AE151" s="535">
        <f t="shared" si="106"/>
        <v>59885872</v>
      </c>
      <c r="AF151" s="535">
        <f t="shared" si="106"/>
        <v>57967545</v>
      </c>
      <c r="AG151" s="536"/>
    </row>
    <row r="152" spans="1:33" s="537" customFormat="1">
      <c r="A152" s="538" t="s">
        <v>289</v>
      </c>
      <c r="B152" s="539"/>
      <c r="C152" s="535">
        <f t="shared" ref="C152:AF152" si="107">C173</f>
        <v>16030848.900907677</v>
      </c>
      <c r="D152" s="535">
        <f t="shared" si="107"/>
        <v>36318547</v>
      </c>
      <c r="E152" s="535">
        <f t="shared" si="107"/>
        <v>88563644</v>
      </c>
      <c r="F152" s="535">
        <f t="shared" si="107"/>
        <v>131411017</v>
      </c>
      <c r="G152" s="535">
        <f t="shared" si="107"/>
        <v>139633063</v>
      </c>
      <c r="H152" s="535">
        <f t="shared" si="107"/>
        <v>134457235</v>
      </c>
      <c r="I152" s="535">
        <f t="shared" si="107"/>
        <v>129555744</v>
      </c>
      <c r="J152" s="535">
        <f t="shared" si="107"/>
        <v>124849946</v>
      </c>
      <c r="K152" s="535">
        <f t="shared" si="107"/>
        <v>120225764</v>
      </c>
      <c r="L152" s="535">
        <f t="shared" si="107"/>
        <v>115608646</v>
      </c>
      <c r="M152" s="535">
        <f t="shared" si="107"/>
        <v>111581626</v>
      </c>
      <c r="N152" s="535">
        <f t="shared" si="107"/>
        <v>108720973</v>
      </c>
      <c r="O152" s="535">
        <f t="shared" si="107"/>
        <v>106443505</v>
      </c>
      <c r="P152" s="535">
        <f t="shared" si="107"/>
        <v>104166203</v>
      </c>
      <c r="Q152" s="535">
        <f t="shared" si="107"/>
        <v>101889072</v>
      </c>
      <c r="R152" s="535">
        <f t="shared" si="107"/>
        <v>99621425</v>
      </c>
      <c r="S152" s="535">
        <f t="shared" si="107"/>
        <v>97363367</v>
      </c>
      <c r="T152" s="535">
        <f t="shared" si="107"/>
        <v>95105700</v>
      </c>
      <c r="U152" s="535">
        <f t="shared" si="107"/>
        <v>92848437</v>
      </c>
      <c r="V152" s="535">
        <f t="shared" si="107"/>
        <v>90591588</v>
      </c>
      <c r="W152" s="535">
        <f t="shared" si="107"/>
        <v>88335167</v>
      </c>
      <c r="X152" s="535">
        <f t="shared" si="107"/>
        <v>86079185</v>
      </c>
      <c r="Y152" s="535">
        <f t="shared" si="107"/>
        <v>83823658</v>
      </c>
      <c r="Z152" s="535">
        <f t="shared" si="107"/>
        <v>81568597</v>
      </c>
      <c r="AA152" s="535">
        <f t="shared" si="107"/>
        <v>79314018</v>
      </c>
      <c r="AB152" s="535">
        <f t="shared" si="107"/>
        <v>77059934</v>
      </c>
      <c r="AC152" s="535">
        <f t="shared" si="107"/>
        <v>74806361</v>
      </c>
      <c r="AD152" s="535">
        <f t="shared" si="107"/>
        <v>72553313</v>
      </c>
      <c r="AE152" s="535">
        <f t="shared" si="107"/>
        <v>70300806</v>
      </c>
      <c r="AF152" s="535">
        <f t="shared" si="107"/>
        <v>68048858</v>
      </c>
      <c r="AG152" s="536"/>
    </row>
    <row r="153" spans="1:33">
      <c r="A153" s="60" t="s">
        <v>290</v>
      </c>
      <c r="B153" s="58"/>
      <c r="C153" s="41">
        <f>IF('Input Data'!C54=TRUE,ROUND((C139)/2,C139),C139)</f>
        <v>0</v>
      </c>
      <c r="D153" s="4">
        <f>IF(D4&gt;'Input Data'!$C$15+'Input Data'!$C$19,0,ROUND((D139+C139)/2,0))</f>
        <v>0</v>
      </c>
      <c r="E153" s="4">
        <f>IF(E4&gt;'Input Data'!$C$15+'Input Data'!$C$19,0,ROUND((E139+D139)/2,0))</f>
        <v>0</v>
      </c>
      <c r="F153" s="4">
        <f>IF(F4&gt;'Input Data'!$C$15+'Input Data'!$C$19,0,ROUND((F139+E139)/2,0))</f>
        <v>0</v>
      </c>
      <c r="G153" s="4">
        <f>IF(G4&gt;'Input Data'!$C$15+'Input Data'!$C$19,0,ROUND((G139+F139)/2,0))</f>
        <v>0</v>
      </c>
      <c r="H153" s="4">
        <f>IF(H4&gt;'Input Data'!$C$15+'Input Data'!$C$19,0,ROUND((H139+G139)/2,0))</f>
        <v>0</v>
      </c>
      <c r="I153" s="4">
        <f>IF(I4&gt;'Input Data'!$C$15+'Input Data'!$C$19,0,ROUND((I139+H139)/2,0))</f>
        <v>0</v>
      </c>
      <c r="J153" s="4">
        <f>IF(J4&gt;'Input Data'!$C$15+'Input Data'!$C$19,0,ROUND((J139+I139)/2,0))</f>
        <v>0</v>
      </c>
      <c r="K153" s="4">
        <f>IF(K4&gt;'Input Data'!$C$15+'Input Data'!$C$19,0,ROUND((K139+J139)/2,0))</f>
        <v>0</v>
      </c>
      <c r="L153" s="4">
        <f>IF(L4&gt;'Input Data'!$C$15+'Input Data'!$C$19,0,ROUND((L139+K139)/2,0))</f>
        <v>0</v>
      </c>
      <c r="M153" s="4">
        <f>IF(M4&gt;'Input Data'!$C$15+'Input Data'!$C$19,0,ROUND((M139+L139)/2,0))</f>
        <v>0</v>
      </c>
      <c r="N153" s="4">
        <f>IF(N4&gt;'Input Data'!$C$15+'Input Data'!$C$19,0,ROUND((N139+M139)/2,0))</f>
        <v>0</v>
      </c>
      <c r="O153" s="4">
        <f>IF(O4&gt;'Input Data'!$C$15+'Input Data'!$C$19,0,ROUND((O139+N139)/2,0))</f>
        <v>0</v>
      </c>
      <c r="P153" s="4">
        <f>IF(P4&gt;'Input Data'!$C$15+'Input Data'!$C$19,0,ROUND((P139+O139)/2,0))</f>
        <v>0</v>
      </c>
      <c r="Q153" s="4">
        <f>IF(Q4&gt;'Input Data'!$C$15+'Input Data'!$C$19,0,ROUND((Q139+P139)/2,0))</f>
        <v>0</v>
      </c>
      <c r="R153" s="4">
        <f>IF(R4&gt;'Input Data'!$C$15+'Input Data'!$C$19,0,ROUND((R139+Q139)/2,0))</f>
        <v>0</v>
      </c>
      <c r="S153" s="4">
        <f>IF(S4&gt;'Input Data'!$C$15+'Input Data'!$C$19,0,ROUND((S139+R139)/2,0))</f>
        <v>0</v>
      </c>
      <c r="T153" s="4">
        <f>IF(T4&gt;'Input Data'!$C$15+'Input Data'!$C$19,0,ROUND((T139+S139)/2,0))</f>
        <v>0</v>
      </c>
      <c r="U153" s="4">
        <f>IF(U4&gt;'Input Data'!$C$15+'Input Data'!$C$19,0,ROUND((U139+T139)/2,0))</f>
        <v>0</v>
      </c>
      <c r="V153" s="4">
        <f>IF(V4&gt;'Input Data'!$C$15+'Input Data'!$C$19,0,ROUND((V139+U139)/2,0))</f>
        <v>0</v>
      </c>
      <c r="W153" s="4">
        <f>IF(W4&gt;'Input Data'!$C$15+'Input Data'!$C$19,0,ROUND((W139+V139)/2,0))</f>
        <v>0</v>
      </c>
      <c r="X153" s="4">
        <f>IF(X4&gt;'Input Data'!$C$15+'Input Data'!$C$19,0,ROUND((X139+W139)/2,0))</f>
        <v>0</v>
      </c>
      <c r="Y153" s="4">
        <f>IF(Y4&gt;'Input Data'!$C$15+'Input Data'!$C$19,0,ROUND((Y139+X139)/2,0))</f>
        <v>0</v>
      </c>
      <c r="Z153" s="4">
        <f>IF(Z4&gt;'Input Data'!$C$15+'Input Data'!$C$19,0,ROUND((Z139+Y139)/2,0))</f>
        <v>0</v>
      </c>
      <c r="AA153" s="4">
        <f>IF(AA4&gt;'Input Data'!$C$15+'Input Data'!$C$19,0,ROUND((AA139+Z139)/2,0))</f>
        <v>0</v>
      </c>
      <c r="AB153" s="4">
        <f>IF(AB4&gt;'Input Data'!$C$15+'Input Data'!$C$19,0,ROUND((AB139+AA139)/2,0))</f>
        <v>0</v>
      </c>
      <c r="AC153" s="4">
        <f>IF(AC4&gt;'Input Data'!$C$15+'Input Data'!$C$19,0,ROUND((AC139+AB139)/2,0))</f>
        <v>0</v>
      </c>
      <c r="AD153" s="4">
        <f>IF(AD4&gt;'Input Data'!$C$15+'Input Data'!$C$19,0,ROUND((AD139+AC139)/2,0))</f>
        <v>0</v>
      </c>
      <c r="AE153" s="4">
        <f>IF(AE4&gt;'Input Data'!$C$15+'Input Data'!$C$19,0,ROUND((AE139+AD139)/2,0))</f>
        <v>0</v>
      </c>
      <c r="AF153" s="4">
        <f>IF(AF4&gt;'Input Data'!$C$15+'Input Data'!$C$19,0,ROUND((AF139+AE139)/2,0))</f>
        <v>0</v>
      </c>
      <c r="AG153" s="4"/>
    </row>
    <row r="154" spans="1:33">
      <c r="A154" s="60"/>
      <c r="B154" s="58"/>
      <c r="C154" s="41"/>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row>
    <row r="155" spans="1:33">
      <c r="A155" s="110" t="s">
        <v>291</v>
      </c>
      <c r="B155" s="58"/>
      <c r="C155" s="41">
        <f>+C151+(IF('Input Data'!C54=TRUE,ROUND((Capex!G$57)/2,Capex!G$57),Capex!G$57)*'Input Data'!$C$25)</f>
        <v>0</v>
      </c>
      <c r="D155" s="41">
        <f>+D151+(ROUND((Capex!G$57+Capex!H$57)/2,0)*'Input Data'!$C$25)</f>
        <v>-0.2799999974668026</v>
      </c>
      <c r="E155" s="41">
        <f>+E151+(ROUND((Capex!H$57+Capex!I$57)/2,0)*'Input Data'!$C$25)</f>
        <v>33023481.340000004</v>
      </c>
      <c r="F155" s="41">
        <f>+F151+(ROUND((Capex!I$57+Capex!J$57)/2,0)*'Input Data'!$C$25)</f>
        <v>93633162.280000001</v>
      </c>
      <c r="G155" s="41">
        <f>+G151+(ROUND((Capex!J$57+Capex!K$57)/2,0)*'Input Data'!$C$25)</f>
        <v>118946683</v>
      </c>
      <c r="H155" s="41">
        <f>+H151+(ROUND((Capex!K$57+Capex!L$57)/2,0)*'Input Data'!$C$25)</f>
        <v>114537644</v>
      </c>
      <c r="I155" s="41">
        <f>+I151+(ROUND((Capex!L$57+Capex!M$57)/2,0)*'Input Data'!$C$25)</f>
        <v>110362300</v>
      </c>
      <c r="J155" s="41">
        <f>+J151+(ROUND((Capex!M$57+Capex!N$57)/2,0)*'Input Data'!$C$25)</f>
        <v>106353658</v>
      </c>
      <c r="K155" s="41">
        <f>+K151+(ROUND((Capex!N$57+Capex!O$57)/2,0)*'Input Data'!$C$25)</f>
        <v>102414540</v>
      </c>
      <c r="L155" s="41">
        <f>+L151+(ROUND((Capex!O$57+Capex!P$57)/2,0)*'Input Data'!$C$25)</f>
        <v>98481439</v>
      </c>
      <c r="M155" s="41">
        <f>+M151+(ROUND((Capex!P$57+Capex!Q$57)/2,0)*'Input Data'!$C$25)</f>
        <v>95051015</v>
      </c>
      <c r="N155" s="41">
        <f>+N151+(ROUND((Capex!Q$57+Capex!R$57)/2,0)*'Input Data'!$C$25)</f>
        <v>92614162</v>
      </c>
      <c r="O155" s="41">
        <f>+O151+(ROUND((Capex!R$57+Capex!S$57)/2,0)*'Input Data'!$C$25)</f>
        <v>90674097</v>
      </c>
      <c r="P155" s="41">
        <f>+P151+(ROUND((Capex!S$57+Capex!T$57)/2,0)*'Input Data'!$C$25)</f>
        <v>88734173</v>
      </c>
      <c r="Q155" s="41">
        <f>+Q151+(ROUND((Capex!T$57+Capex!U$57)/2,0)*'Input Data'!$C$25)</f>
        <v>86794395</v>
      </c>
      <c r="R155" s="41">
        <f>+R151+(ROUND((Capex!U$57+Capex!V$57)/2,0)*'Input Data'!$C$25)</f>
        <v>84862695</v>
      </c>
      <c r="S155" s="41">
        <f>+S151+(ROUND((Capex!V$57+Capex!W$57)/2,0)*'Input Data'!$C$25)</f>
        <v>82939164</v>
      </c>
      <c r="T155" s="41">
        <f>+T151+(ROUND((Capex!W$57+Capex!X$57)/2,0)*'Input Data'!$C$25)</f>
        <v>81015967</v>
      </c>
      <c r="U155" s="41">
        <f>+U151+(ROUND((Capex!X$57+Capex!Y$57)/2,0)*'Input Data'!$C$25)</f>
        <v>79093113</v>
      </c>
      <c r="V155" s="41">
        <f>+V151+(ROUND((Capex!Y$57+Capex!Z$57)/2,0)*'Input Data'!$C$25)</f>
        <v>77170612</v>
      </c>
      <c r="W155" s="41">
        <f>+W151+(ROUND((Capex!Z$57+Capex!AA$57)/2,0)*'Input Data'!$C$25)</f>
        <v>75248475</v>
      </c>
      <c r="X155" s="41">
        <f>+X151+(ROUND((Capex!AA$57+Capex!AB$57)/2,0)*'Input Data'!$C$25)</f>
        <v>73326714</v>
      </c>
      <c r="Y155" s="41">
        <f>+Y151+(ROUND((Capex!AB$57+Capex!AC$57)/2,0)*'Input Data'!$C$25)</f>
        <v>71405338</v>
      </c>
      <c r="Z155" s="41">
        <f>+Z151+(ROUND((Capex!AC$57+Capex!AD$57)/2,0)*'Input Data'!$C$25)</f>
        <v>69484361</v>
      </c>
      <c r="AA155" s="41">
        <f>+AA151+(ROUND((Capex!AD$57+Capex!AE$57)/2,0)*'Input Data'!$C$25)</f>
        <v>67563793</v>
      </c>
      <c r="AB155" s="41">
        <f>+AB151+(ROUND((Capex!AE$57+Capex!AF$57)/2,0)*'Input Data'!$C$25)</f>
        <v>65643648</v>
      </c>
      <c r="AC155" s="41">
        <f>+AC151+(ROUND((Capex!AF$57+Capex!AG$57)/2,0)*'Input Data'!$C$25)</f>
        <v>63723937</v>
      </c>
      <c r="AD155" s="41">
        <f>+AD151+(ROUND((Capex!AG$57+Capex!AH$57)/2,0)*'Input Data'!$C$25)</f>
        <v>61804674</v>
      </c>
      <c r="AE155" s="41">
        <f>+AE151+(ROUND((Capex!AH$57+Capex!AI$57)/2,0)*'Input Data'!$C$25)</f>
        <v>59885872</v>
      </c>
      <c r="AF155" s="41">
        <f>+AF151+(ROUND((Capex!AI$57+Capex!AJ$57)/2,0)*'Input Data'!$C$25)</f>
        <v>57967545</v>
      </c>
      <c r="AG155" s="4"/>
    </row>
    <row r="156" spans="1:33">
      <c r="A156" s="60" t="s">
        <v>292</v>
      </c>
      <c r="B156" s="58"/>
      <c r="C156" s="41">
        <f>+C152+(IF('Input Data'!C54=TRUE,ROUND((Capex!G$57)/2,Capex!G$57),Capex!G$57)*'Input Data'!$C$24)</f>
        <v>0</v>
      </c>
      <c r="D156" s="41">
        <f>+D152+(ROUND((Capex!G$57+Capex!H$57)/2,0)*'Input Data'!$C$24)</f>
        <v>0.2800000011920929</v>
      </c>
      <c r="E156" s="41">
        <f>+E152+(ROUND((Capex!H$57+Capex!I$57)/2,0)*'Input Data'!$C$24)</f>
        <v>38766695.659999996</v>
      </c>
      <c r="F156" s="41">
        <f>+F152+(ROUND((Capex!I$57+Capex!J$57)/2,0)*'Input Data'!$C$24)</f>
        <v>109917190.72</v>
      </c>
      <c r="G156" s="41">
        <f>+G152+(ROUND((Capex!J$57+Capex!K$57)/2,0)*'Input Data'!$C$24)</f>
        <v>139633063</v>
      </c>
      <c r="H156" s="41">
        <f>+H152+(ROUND((Capex!K$57+Capex!L$57)/2,0)*'Input Data'!$C$24)</f>
        <v>134457235</v>
      </c>
      <c r="I156" s="41">
        <f>+I152+(ROUND((Capex!L$57+Capex!M$57)/2,0)*'Input Data'!$C$24)</f>
        <v>129555744</v>
      </c>
      <c r="J156" s="41">
        <f>+J152+(ROUND((Capex!M$57+Capex!N$57)/2,0)*'Input Data'!$C$24)</f>
        <v>124849946</v>
      </c>
      <c r="K156" s="41">
        <f>+K152+(ROUND((Capex!N$57+Capex!O$57)/2,0)*'Input Data'!$C$24)</f>
        <v>120225764</v>
      </c>
      <c r="L156" s="41">
        <f>+L152+(ROUND((Capex!O$57+Capex!P$57)/2,0)*'Input Data'!$C$24)</f>
        <v>115608646</v>
      </c>
      <c r="M156" s="41">
        <f>+M152+(ROUND((Capex!P$57+Capex!Q$57)/2,0)*'Input Data'!$C$24)</f>
        <v>111581626</v>
      </c>
      <c r="N156" s="41">
        <f>+N152+(ROUND((Capex!Q$57+Capex!R$57)/2,0)*'Input Data'!$C$24)</f>
        <v>108720973</v>
      </c>
      <c r="O156" s="41">
        <f>+O152+(ROUND((Capex!R$57+Capex!S$57)/2,0)*'Input Data'!$C$24)</f>
        <v>106443505</v>
      </c>
      <c r="P156" s="41">
        <f>+P152+(ROUND((Capex!S$57+Capex!T$57)/2,0)*'Input Data'!$C$24)</f>
        <v>104166203</v>
      </c>
      <c r="Q156" s="41">
        <f>+Q152+(ROUND((Capex!T$57+Capex!U$57)/2,0)*'Input Data'!$C$24)</f>
        <v>101889072</v>
      </c>
      <c r="R156" s="41">
        <f>+R152+(ROUND((Capex!U$57+Capex!V$57)/2,0)*'Input Data'!$C$24)</f>
        <v>99621425</v>
      </c>
      <c r="S156" s="41">
        <f>+S152+(ROUND((Capex!V$57+Capex!W$57)/2,0)*'Input Data'!$C$24)</f>
        <v>97363367</v>
      </c>
      <c r="T156" s="41">
        <f>+T152+(ROUND((Capex!W$57+Capex!X$57)/2,0)*'Input Data'!$C$24)</f>
        <v>95105700</v>
      </c>
      <c r="U156" s="41">
        <f>+U152+(ROUND((Capex!X$57+Capex!Y$57)/2,0)*'Input Data'!$C$24)</f>
        <v>92848437</v>
      </c>
      <c r="V156" s="41">
        <f>+V152+(ROUND((Capex!Y$57+Capex!Z$57)/2,0)*'Input Data'!$C$24)</f>
        <v>90591588</v>
      </c>
      <c r="W156" s="41">
        <f>+W152+(ROUND((Capex!Z$57+Capex!AA$57)/2,0)*'Input Data'!$C$24)</f>
        <v>88335167</v>
      </c>
      <c r="X156" s="41">
        <f>+X152+(ROUND((Capex!AA$57+Capex!AB$57)/2,0)*'Input Data'!$C$24)</f>
        <v>86079185</v>
      </c>
      <c r="Y156" s="41">
        <f>+Y152+(ROUND((Capex!AB$57+Capex!AC$57)/2,0)*'Input Data'!$C$24)</f>
        <v>83823658</v>
      </c>
      <c r="Z156" s="41">
        <f>+Z152+(ROUND((Capex!AC$57+Capex!AD$57)/2,0)*'Input Data'!$C$24)</f>
        <v>81568597</v>
      </c>
      <c r="AA156" s="41">
        <f>+AA152+(ROUND((Capex!AD$57+Capex!AE$57)/2,0)*'Input Data'!$C$24)</f>
        <v>79314018</v>
      </c>
      <c r="AB156" s="41">
        <f>+AB152+(ROUND((Capex!AE$57+Capex!AF$57)/2,0)*'Input Data'!$C$24)</f>
        <v>77059934</v>
      </c>
      <c r="AC156" s="41">
        <f>+AC152+(ROUND((Capex!AF$57+Capex!AG$57)/2,0)*'Input Data'!$C$24)</f>
        <v>74806361</v>
      </c>
      <c r="AD156" s="41">
        <f>+AD152+(ROUND((Capex!AG$57+Capex!AH$57)/2,0)*'Input Data'!$C$24)</f>
        <v>72553313</v>
      </c>
      <c r="AE156" s="41">
        <f>+AE152+(ROUND((Capex!AH$57+Capex!AI$57)/2,0)*'Input Data'!$C$24)</f>
        <v>70300806</v>
      </c>
      <c r="AF156" s="41">
        <f>+AF152+(ROUND((Capex!AI$57+Capex!AJ$57)/2,0)*'Input Data'!$C$24)</f>
        <v>68048858</v>
      </c>
      <c r="AG156" s="4"/>
    </row>
    <row r="157" spans="1:33">
      <c r="A157" s="60"/>
      <c r="B157" s="58"/>
      <c r="C157" s="41"/>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row>
    <row r="158" spans="1:33">
      <c r="A158" s="1" t="s">
        <v>293</v>
      </c>
      <c r="B158" s="1"/>
      <c r="C158" s="294"/>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row>
    <row r="159" spans="1:33">
      <c r="A159" s="2" t="s">
        <v>294</v>
      </c>
      <c r="C159" s="295">
        <f>+'Input Data'!C24</f>
        <v>0.54</v>
      </c>
      <c r="D159" s="70">
        <f>IF(D4&gt;'Input Data'!$C$15+'Input Data'!$C$19,0,C159)</f>
        <v>0.54</v>
      </c>
      <c r="E159" s="70">
        <f>IF(E4&gt;'Input Data'!$C$15+'Input Data'!$C$19,0,D159)</f>
        <v>0.54</v>
      </c>
      <c r="F159" s="70">
        <f>IF(F4&gt;'Input Data'!$C$15+'Input Data'!$C$19,0,E159)</f>
        <v>0.54</v>
      </c>
      <c r="G159" s="70">
        <f>IF(G4&gt;'Input Data'!$C$15+'Input Data'!$C$19,0,F159)</f>
        <v>0.54</v>
      </c>
      <c r="H159" s="70">
        <f>IF(H4&gt;'Input Data'!$C$15+'Input Data'!$C$19,0,G159)</f>
        <v>0.54</v>
      </c>
      <c r="I159" s="70">
        <f>IF(I4&gt;'Input Data'!$C$15+'Input Data'!$C$19,0,H159)</f>
        <v>0.54</v>
      </c>
      <c r="J159" s="70">
        <f>IF(J4&gt;'Input Data'!$C$15+'Input Data'!$C$19,0,I159)</f>
        <v>0.54</v>
      </c>
      <c r="K159" s="70">
        <f>IF(K4&gt;'Input Data'!$C$15+'Input Data'!$C$19,0,J159)</f>
        <v>0.54</v>
      </c>
      <c r="L159" s="70">
        <f>IF(L4&gt;'Input Data'!$C$15+'Input Data'!$C$19,0,K159)</f>
        <v>0.54</v>
      </c>
      <c r="M159" s="70">
        <f>IF(M4&gt;'Input Data'!$C$15+'Input Data'!$C$19,0,L159)</f>
        <v>0.54</v>
      </c>
      <c r="N159" s="70">
        <f>IF(N4&gt;'Input Data'!$C$15+'Input Data'!$C$19,0,M159)</f>
        <v>0.54</v>
      </c>
      <c r="O159" s="70">
        <f>IF(O4&gt;'Input Data'!$C$15+'Input Data'!$C$19,0,N159)</f>
        <v>0.54</v>
      </c>
      <c r="P159" s="70">
        <f>IF(P4&gt;'Input Data'!$C$15+'Input Data'!$C$19,0,O159)</f>
        <v>0.54</v>
      </c>
      <c r="Q159" s="70">
        <f>IF(Q4&gt;'Input Data'!$C$15+'Input Data'!$C$19,0,P159)</f>
        <v>0.54</v>
      </c>
      <c r="R159" s="70">
        <f>IF(R4&gt;'Input Data'!$C$15+'Input Data'!$C$19,0,Q159)</f>
        <v>0.54</v>
      </c>
      <c r="S159" s="70">
        <f>IF(S4&gt;'Input Data'!$C$15+'Input Data'!$C$19,0,R159)</f>
        <v>0.54</v>
      </c>
      <c r="T159" s="70">
        <f>IF(T4&gt;'Input Data'!$C$15+'Input Data'!$C$19,0,S159)</f>
        <v>0.54</v>
      </c>
      <c r="U159" s="70">
        <f>IF(U4&gt;'Input Data'!$C$15+'Input Data'!$C$19,0,T159)</f>
        <v>0.54</v>
      </c>
      <c r="V159" s="70">
        <f>IF(V4&gt;'Input Data'!$C$15+'Input Data'!$C$19,0,U159)</f>
        <v>0.54</v>
      </c>
      <c r="W159" s="70">
        <f>IF(W4&gt;'Input Data'!$C$15+'Input Data'!$C$19,0,V159)</f>
        <v>0.54</v>
      </c>
      <c r="X159" s="70">
        <f>IF(X4&gt;'Input Data'!$C$15+'Input Data'!$C$19,0,W159)</f>
        <v>0.54</v>
      </c>
      <c r="Y159" s="70">
        <f>IF(Y4&gt;'Input Data'!$C$15+'Input Data'!$C$19,0,X159)</f>
        <v>0.54</v>
      </c>
      <c r="Z159" s="70">
        <f>IF(Z4&gt;'Input Data'!$C$15+'Input Data'!$C$19,0,Y159)</f>
        <v>0.54</v>
      </c>
      <c r="AA159" s="70">
        <f>IF(AA4&gt;'Input Data'!$C$15+'Input Data'!$C$19,0,Z159)</f>
        <v>0.54</v>
      </c>
      <c r="AB159" s="70">
        <f>IF(AB4&gt;'Input Data'!$C$15+'Input Data'!$C$19,0,AA159)</f>
        <v>0.54</v>
      </c>
      <c r="AC159" s="70">
        <f>IF(AC4&gt;'Input Data'!$C$15+'Input Data'!$C$19,0,AB159)</f>
        <v>0.54</v>
      </c>
      <c r="AD159" s="70">
        <f>IF(AD4&gt;'Input Data'!$C$15+'Input Data'!$C$19,0,AC159)</f>
        <v>0.54</v>
      </c>
      <c r="AE159" s="70">
        <f>IF(AE4&gt;'Input Data'!$C$15+'Input Data'!$C$19,0,AD159)</f>
        <v>0.54</v>
      </c>
      <c r="AF159" s="70">
        <f>IF(AF4&gt;'Input Data'!$C$15+'Input Data'!$C$19,0,AE159)</f>
        <v>0.54</v>
      </c>
      <c r="AG159" s="58"/>
    </row>
    <row r="160" spans="1:33">
      <c r="A160" s="2" t="s">
        <v>295</v>
      </c>
      <c r="C160" s="78">
        <f>1-C159</f>
        <v>0.45999999999999996</v>
      </c>
      <c r="D160" s="78">
        <f>IF(D4&gt;'Input Data'!$C$15+'Input Data'!$C$19,0,1-D159)</f>
        <v>0.45999999999999996</v>
      </c>
      <c r="E160" s="78">
        <f>IF(E4&gt;'Input Data'!$C$15+'Input Data'!$C$19,0,1-E159)</f>
        <v>0.45999999999999996</v>
      </c>
      <c r="F160" s="78">
        <f>IF(F4&gt;'Input Data'!$C$15+'Input Data'!$C$19,0,1-F159)</f>
        <v>0.45999999999999996</v>
      </c>
      <c r="G160" s="78">
        <f>IF(G4&gt;'Input Data'!$C$15+'Input Data'!$C$19,0,1-G159)</f>
        <v>0.45999999999999996</v>
      </c>
      <c r="H160" s="78">
        <f>IF(H4&gt;'Input Data'!$C$15+'Input Data'!$C$19,0,1-H159)</f>
        <v>0.45999999999999996</v>
      </c>
      <c r="I160" s="78">
        <f>IF(I4&gt;'Input Data'!$C$15+'Input Data'!$C$19,0,1-I159)</f>
        <v>0.45999999999999996</v>
      </c>
      <c r="J160" s="78">
        <f>IF(J4&gt;'Input Data'!$C$15+'Input Data'!$C$19,0,1-J159)</f>
        <v>0.45999999999999996</v>
      </c>
      <c r="K160" s="78">
        <f>IF(K4&gt;'Input Data'!$C$15+'Input Data'!$C$19,0,1-K159)</f>
        <v>0.45999999999999996</v>
      </c>
      <c r="L160" s="78">
        <f>IF(L4&gt;'Input Data'!$C$15+'Input Data'!$C$19,0,1-L159)</f>
        <v>0.45999999999999996</v>
      </c>
      <c r="M160" s="78">
        <f>IF(M4&gt;'Input Data'!$C$15+'Input Data'!$C$19,0,1-M159)</f>
        <v>0.45999999999999996</v>
      </c>
      <c r="N160" s="78">
        <f>IF(N4&gt;'Input Data'!$C$15+'Input Data'!$C$19,0,1-N159)</f>
        <v>0.45999999999999996</v>
      </c>
      <c r="O160" s="78">
        <f>IF(O4&gt;'Input Data'!$C$15+'Input Data'!$C$19,0,1-O159)</f>
        <v>0.45999999999999996</v>
      </c>
      <c r="P160" s="78">
        <f>IF(P4&gt;'Input Data'!$C$15+'Input Data'!$C$19,0,1-P159)</f>
        <v>0.45999999999999996</v>
      </c>
      <c r="Q160" s="78">
        <f>IF(Q4&gt;'Input Data'!$C$15+'Input Data'!$C$19,0,1-Q159)</f>
        <v>0.45999999999999996</v>
      </c>
      <c r="R160" s="78">
        <f>IF(R4&gt;'Input Data'!$C$15+'Input Data'!$C$19,0,1-R159)</f>
        <v>0.45999999999999996</v>
      </c>
      <c r="S160" s="78">
        <f>IF(S4&gt;'Input Data'!$C$15+'Input Data'!$C$19,0,1-S159)</f>
        <v>0.45999999999999996</v>
      </c>
      <c r="T160" s="78">
        <f>IF(T4&gt;'Input Data'!$C$15+'Input Data'!$C$19,0,1-T159)</f>
        <v>0.45999999999999996</v>
      </c>
      <c r="U160" s="78">
        <f>IF(U4&gt;'Input Data'!$C$15+'Input Data'!$C$19,0,1-U159)</f>
        <v>0.45999999999999996</v>
      </c>
      <c r="V160" s="78">
        <f>IF(V4&gt;'Input Data'!$C$15+'Input Data'!$C$19,0,1-V159)</f>
        <v>0.45999999999999996</v>
      </c>
      <c r="W160" s="78">
        <f>IF(W4&gt;'Input Data'!$C$15+'Input Data'!$C$19,0,1-W159)</f>
        <v>0.45999999999999996</v>
      </c>
      <c r="X160" s="78">
        <f>IF(X4&gt;'Input Data'!$C$15+'Input Data'!$C$19,0,1-X159)</f>
        <v>0.45999999999999996</v>
      </c>
      <c r="Y160" s="78">
        <f>IF(Y4&gt;'Input Data'!$C$15+'Input Data'!$C$19,0,1-Y159)</f>
        <v>0.45999999999999996</v>
      </c>
      <c r="Z160" s="78">
        <f>IF(Z4&gt;'Input Data'!$C$15+'Input Data'!$C$19,0,1-Z159)</f>
        <v>0.45999999999999996</v>
      </c>
      <c r="AA160" s="78">
        <f>IF(AA4&gt;'Input Data'!$C$15+'Input Data'!$C$19,0,1-AA159)</f>
        <v>0.45999999999999996</v>
      </c>
      <c r="AB160" s="78">
        <f>IF(AB4&gt;'Input Data'!$C$15+'Input Data'!$C$19,0,1-AB159)</f>
        <v>0.45999999999999996</v>
      </c>
      <c r="AC160" s="78">
        <f>IF(AC4&gt;'Input Data'!$C$15+'Input Data'!$C$19,0,1-AC159)</f>
        <v>0.45999999999999996</v>
      </c>
      <c r="AD160" s="78">
        <f>IF(AD4&gt;'Input Data'!$C$15+'Input Data'!$C$19,0,1-AD159)</f>
        <v>0.45999999999999996</v>
      </c>
      <c r="AE160" s="78">
        <f>IF(AE4&gt;'Input Data'!$C$15+'Input Data'!$C$19,0,1-AE159)</f>
        <v>0.45999999999999996</v>
      </c>
      <c r="AF160" s="78">
        <f>IF(AF4&gt;'Input Data'!$C$15+'Input Data'!$C$19,0,1-AF159)</f>
        <v>0.45999999999999996</v>
      </c>
      <c r="AG160" s="58"/>
    </row>
    <row r="162" spans="1:32">
      <c r="C162" s="252"/>
      <c r="D162" s="252"/>
      <c r="E162" s="252"/>
      <c r="F162" s="252"/>
      <c r="G162" s="252"/>
      <c r="H162" s="252"/>
      <c r="I162" s="252"/>
      <c r="J162" s="252"/>
    </row>
    <row r="163" spans="1:32">
      <c r="A163" s="2" t="s">
        <v>296</v>
      </c>
      <c r="C163" s="4">
        <f>+C151-C155</f>
        <v>13655908.322995428</v>
      </c>
      <c r="D163" s="4">
        <f t="shared" ref="D163:AF163" si="108">+D151-D155</f>
        <v>30938021.279999997</v>
      </c>
      <c r="E163" s="4">
        <f t="shared" si="108"/>
        <v>42419622.659999996</v>
      </c>
      <c r="F163" s="4">
        <f t="shared" si="108"/>
        <v>18309555.719999999</v>
      </c>
      <c r="G163" s="4">
        <f t="shared" si="108"/>
        <v>0</v>
      </c>
      <c r="H163" s="4">
        <f t="shared" si="108"/>
        <v>0</v>
      </c>
      <c r="I163" s="4">
        <f t="shared" si="108"/>
        <v>0</v>
      </c>
      <c r="J163" s="4">
        <f t="shared" si="108"/>
        <v>0</v>
      </c>
      <c r="K163" s="4">
        <f t="shared" si="108"/>
        <v>0</v>
      </c>
      <c r="L163" s="4">
        <f t="shared" si="108"/>
        <v>0</v>
      </c>
      <c r="M163" s="4">
        <f t="shared" si="108"/>
        <v>0</v>
      </c>
      <c r="N163" s="4">
        <f t="shared" si="108"/>
        <v>0</v>
      </c>
      <c r="O163" s="4">
        <f t="shared" si="108"/>
        <v>0</v>
      </c>
      <c r="P163" s="4">
        <f t="shared" si="108"/>
        <v>0</v>
      </c>
      <c r="Q163" s="4">
        <f t="shared" si="108"/>
        <v>0</v>
      </c>
      <c r="R163" s="4">
        <f t="shared" si="108"/>
        <v>0</v>
      </c>
      <c r="S163" s="4">
        <f t="shared" si="108"/>
        <v>0</v>
      </c>
      <c r="T163" s="4">
        <f t="shared" si="108"/>
        <v>0</v>
      </c>
      <c r="U163" s="4">
        <f t="shared" si="108"/>
        <v>0</v>
      </c>
      <c r="V163" s="4">
        <f t="shared" si="108"/>
        <v>0</v>
      </c>
      <c r="W163" s="4">
        <f t="shared" si="108"/>
        <v>0</v>
      </c>
      <c r="X163" s="4">
        <f t="shared" si="108"/>
        <v>0</v>
      </c>
      <c r="Y163" s="4">
        <f t="shared" si="108"/>
        <v>0</v>
      </c>
      <c r="Z163" s="4">
        <f t="shared" si="108"/>
        <v>0</v>
      </c>
      <c r="AA163" s="4">
        <f t="shared" si="108"/>
        <v>0</v>
      </c>
      <c r="AB163" s="4">
        <f t="shared" si="108"/>
        <v>0</v>
      </c>
      <c r="AC163" s="4">
        <f t="shared" si="108"/>
        <v>0</v>
      </c>
      <c r="AD163" s="4">
        <f t="shared" si="108"/>
        <v>0</v>
      </c>
      <c r="AE163" s="4">
        <f t="shared" si="108"/>
        <v>0</v>
      </c>
      <c r="AF163" s="4">
        <f t="shared" si="108"/>
        <v>0</v>
      </c>
    </row>
    <row r="164" spans="1:32">
      <c r="A164" s="2" t="s">
        <v>297</v>
      </c>
      <c r="C164" s="4">
        <f>+C163*$B$85</f>
        <v>639779.30493233562</v>
      </c>
      <c r="D164" s="4">
        <f t="shared" ref="D164:AF164" si="109">+D163*$B$85</f>
        <v>1449446.2969679995</v>
      </c>
      <c r="E164" s="4">
        <f t="shared" si="109"/>
        <v>1987359.3216209994</v>
      </c>
      <c r="F164" s="4">
        <f t="shared" si="109"/>
        <v>857802.68548199977</v>
      </c>
      <c r="G164" s="4">
        <f t="shared" si="109"/>
        <v>0</v>
      </c>
      <c r="H164" s="4">
        <f t="shared" si="109"/>
        <v>0</v>
      </c>
      <c r="I164" s="4">
        <f t="shared" si="109"/>
        <v>0</v>
      </c>
      <c r="J164" s="4">
        <f t="shared" si="109"/>
        <v>0</v>
      </c>
      <c r="K164" s="4">
        <f t="shared" si="109"/>
        <v>0</v>
      </c>
      <c r="L164" s="4">
        <f t="shared" si="109"/>
        <v>0</v>
      </c>
      <c r="M164" s="4">
        <f t="shared" si="109"/>
        <v>0</v>
      </c>
      <c r="N164" s="4">
        <f t="shared" si="109"/>
        <v>0</v>
      </c>
      <c r="O164" s="4">
        <f t="shared" si="109"/>
        <v>0</v>
      </c>
      <c r="P164" s="4">
        <f t="shared" si="109"/>
        <v>0</v>
      </c>
      <c r="Q164" s="4">
        <f t="shared" si="109"/>
        <v>0</v>
      </c>
      <c r="R164" s="4">
        <f t="shared" si="109"/>
        <v>0</v>
      </c>
      <c r="S164" s="4">
        <f t="shared" si="109"/>
        <v>0</v>
      </c>
      <c r="T164" s="4">
        <f t="shared" si="109"/>
        <v>0</v>
      </c>
      <c r="U164" s="4">
        <f t="shared" si="109"/>
        <v>0</v>
      </c>
      <c r="V164" s="4">
        <f t="shared" si="109"/>
        <v>0</v>
      </c>
      <c r="W164" s="4">
        <f t="shared" si="109"/>
        <v>0</v>
      </c>
      <c r="X164" s="4">
        <f t="shared" si="109"/>
        <v>0</v>
      </c>
      <c r="Y164" s="4">
        <f t="shared" si="109"/>
        <v>0</v>
      </c>
      <c r="Z164" s="4">
        <f t="shared" si="109"/>
        <v>0</v>
      </c>
      <c r="AA164" s="4">
        <f t="shared" si="109"/>
        <v>0</v>
      </c>
      <c r="AB164" s="4">
        <f t="shared" si="109"/>
        <v>0</v>
      </c>
      <c r="AC164" s="4">
        <f t="shared" si="109"/>
        <v>0</v>
      </c>
      <c r="AD164" s="4">
        <f t="shared" si="109"/>
        <v>0</v>
      </c>
      <c r="AE164" s="4">
        <f t="shared" si="109"/>
        <v>0</v>
      </c>
      <c r="AF164" s="4">
        <f t="shared" si="109"/>
        <v>0</v>
      </c>
    </row>
    <row r="165" spans="1:32" ht="15" thickBot="1">
      <c r="A165" s="2" t="s">
        <v>298</v>
      </c>
      <c r="C165" s="43">
        <f>+C164*(1-C95)</f>
        <v>477627.24009723519</v>
      </c>
      <c r="D165" s="43">
        <f t="shared" ref="D165:AF165" si="110">+D164*(1-D95)</f>
        <v>1082084.1330014602</v>
      </c>
      <c r="E165" s="43">
        <f t="shared" si="110"/>
        <v>1483663.1015561572</v>
      </c>
      <c r="F165" s="43">
        <f t="shared" si="110"/>
        <v>640392.59484658693</v>
      </c>
      <c r="G165" s="43">
        <f t="shared" si="110"/>
        <v>0</v>
      </c>
      <c r="H165" s="43">
        <f t="shared" si="110"/>
        <v>0</v>
      </c>
      <c r="I165" s="43">
        <f t="shared" si="110"/>
        <v>0</v>
      </c>
      <c r="J165" s="43">
        <f t="shared" si="110"/>
        <v>0</v>
      </c>
      <c r="K165" s="43">
        <f t="shared" si="110"/>
        <v>0</v>
      </c>
      <c r="L165" s="43">
        <f t="shared" si="110"/>
        <v>0</v>
      </c>
      <c r="M165" s="43">
        <f t="shared" si="110"/>
        <v>0</v>
      </c>
      <c r="N165" s="43">
        <f t="shared" si="110"/>
        <v>0</v>
      </c>
      <c r="O165" s="43">
        <f t="shared" si="110"/>
        <v>0</v>
      </c>
      <c r="P165" s="43">
        <f t="shared" si="110"/>
        <v>0</v>
      </c>
      <c r="Q165" s="43">
        <f t="shared" si="110"/>
        <v>0</v>
      </c>
      <c r="R165" s="43">
        <f t="shared" si="110"/>
        <v>0</v>
      </c>
      <c r="S165" s="43">
        <f t="shared" si="110"/>
        <v>0</v>
      </c>
      <c r="T165" s="43">
        <f t="shared" si="110"/>
        <v>0</v>
      </c>
      <c r="U165" s="43">
        <f t="shared" si="110"/>
        <v>0</v>
      </c>
      <c r="V165" s="43">
        <f t="shared" si="110"/>
        <v>0</v>
      </c>
      <c r="W165" s="43">
        <f t="shared" si="110"/>
        <v>0</v>
      </c>
      <c r="X165" s="43">
        <f t="shared" si="110"/>
        <v>0</v>
      </c>
      <c r="Y165" s="43">
        <f t="shared" si="110"/>
        <v>0</v>
      </c>
      <c r="Z165" s="43">
        <f t="shared" si="110"/>
        <v>0</v>
      </c>
      <c r="AA165" s="43">
        <f t="shared" si="110"/>
        <v>0</v>
      </c>
      <c r="AB165" s="43">
        <f t="shared" si="110"/>
        <v>0</v>
      </c>
      <c r="AC165" s="43">
        <f t="shared" si="110"/>
        <v>0</v>
      </c>
      <c r="AD165" s="43">
        <f t="shared" si="110"/>
        <v>0</v>
      </c>
      <c r="AE165" s="43">
        <f t="shared" si="110"/>
        <v>0</v>
      </c>
      <c r="AF165" s="43">
        <f t="shared" si="110"/>
        <v>0</v>
      </c>
    </row>
    <row r="166" spans="1:32">
      <c r="D166" s="252"/>
      <c r="E166" s="252"/>
      <c r="F166" s="252"/>
      <c r="G166" s="252"/>
      <c r="H166" s="252"/>
      <c r="I166" s="252"/>
      <c r="J166" s="252"/>
    </row>
    <row r="170" spans="1:32">
      <c r="A170" s="524" t="s">
        <v>288</v>
      </c>
      <c r="B170" s="525"/>
      <c r="C170" s="529">
        <f>IF('Input Data'!C54=TRUE,ROUND((C128)/2,C128),C128)</f>
        <v>13655908.322995428</v>
      </c>
      <c r="D170" s="529">
        <f>IF(D4&gt;'Input Data'!$C$15+'Input Data'!$C$19,0,ROUND((D128+C128)/2,0))</f>
        <v>30938021</v>
      </c>
      <c r="E170" s="529">
        <f>IF(E4&gt;'Input Data'!$C$15+'Input Data'!$C$19,0,ROUND((E128+D128)/2,0))</f>
        <v>75443104</v>
      </c>
      <c r="F170" s="529">
        <f>IF(F4&gt;'Input Data'!$C$15+'Input Data'!$C$19,0,ROUND((F128+E128)/2,0))</f>
        <v>111942718</v>
      </c>
      <c r="G170" s="529">
        <f>IF(G4&gt;'Input Data'!$C$15+'Input Data'!$C$19,0,ROUND((G128+F128)/2,0))</f>
        <v>118946683</v>
      </c>
      <c r="H170" s="529">
        <f>IF(H4&gt;'Input Data'!$C$15+'Input Data'!$C$19,0,ROUND((H128+G128)/2,0))</f>
        <v>114537644</v>
      </c>
      <c r="I170" s="529">
        <f>IF(I4&gt;'Input Data'!$C$15+'Input Data'!$C$19,0,ROUND((I128+H128)/2,0))</f>
        <v>110362300</v>
      </c>
      <c r="J170" s="529">
        <f>IF(J4&gt;'Input Data'!$C$15+'Input Data'!$C$19,0,ROUND((J128+I128)/2,0))</f>
        <v>106353658</v>
      </c>
      <c r="K170" s="529">
        <f>IF(K4&gt;'Input Data'!$C$15+'Input Data'!$C$19,0,ROUND((K128+J128)/2,0))</f>
        <v>102414540</v>
      </c>
      <c r="L170" s="529">
        <f>IF(L4&gt;'Input Data'!$C$15+'Input Data'!$C$19,0,ROUND((L128+K128)/2,0))</f>
        <v>98481439</v>
      </c>
      <c r="M170" s="529">
        <f>IF(M4&gt;'Input Data'!$C$15+'Input Data'!$C$19,0,ROUND((M128+L128)/2,0))</f>
        <v>95051015</v>
      </c>
      <c r="N170" s="529">
        <f>IF(N4&gt;'Input Data'!$C$15+'Input Data'!$C$19,0,ROUND((N128+M128)/2,0))</f>
        <v>92614162</v>
      </c>
      <c r="O170" s="529">
        <f>IF(O4&gt;'Input Data'!$C$15+'Input Data'!$C$19,0,ROUND((O128+N128)/2,0))</f>
        <v>90674097</v>
      </c>
      <c r="P170" s="529">
        <f>IF(P4&gt;'Input Data'!$C$15+'Input Data'!$C$19,0,ROUND((P128+O128)/2,0))</f>
        <v>88734173</v>
      </c>
      <c r="Q170" s="529">
        <f>IF(Q4&gt;'Input Data'!$C$15+'Input Data'!$C$19,0,ROUND((Q128+P128)/2,0))</f>
        <v>86794395</v>
      </c>
      <c r="R170" s="529">
        <f>IF(R4&gt;'Input Data'!$C$15+'Input Data'!$C$19,0,ROUND((R128+Q128)/2,0))</f>
        <v>84862695</v>
      </c>
      <c r="S170" s="529">
        <f>IF(S4&gt;'Input Data'!$C$15+'Input Data'!$C$19,0,ROUND((S128+R128)/2,0))</f>
        <v>82939164</v>
      </c>
      <c r="T170" s="529">
        <f>IF(T4&gt;'Input Data'!$C$15+'Input Data'!$C$19,0,ROUND((T128+S128)/2,0))</f>
        <v>81015967</v>
      </c>
      <c r="U170" s="529">
        <f>IF(U4&gt;'Input Data'!$C$15+'Input Data'!$C$19,0,ROUND((U128+T128)/2,0))</f>
        <v>79093113</v>
      </c>
      <c r="V170" s="529">
        <f>IF(V4&gt;'Input Data'!$C$15+'Input Data'!$C$19,0,ROUND((V128+U128)/2,0))</f>
        <v>77170612</v>
      </c>
      <c r="W170" s="529">
        <f>IF(W4&gt;'Input Data'!$C$15+'Input Data'!$C$19,0,ROUND((W128+V128)/2,0))</f>
        <v>75248475</v>
      </c>
      <c r="X170" s="529">
        <f>IF(X4&gt;'Input Data'!$C$15+'Input Data'!$C$19,0,ROUND((X128+W128)/2,0))</f>
        <v>73326714</v>
      </c>
      <c r="Y170" s="529">
        <f>IF(Y4&gt;'Input Data'!$C$15+'Input Data'!$C$19,0,ROUND((Y128+X128)/2,0))</f>
        <v>71405338</v>
      </c>
      <c r="Z170" s="529">
        <f>IF(Z4&gt;'Input Data'!$C$15+'Input Data'!$C$19,0,ROUND((Z128+Y128)/2,0))</f>
        <v>69484361</v>
      </c>
      <c r="AA170" s="529">
        <f>IF(AA4&gt;'Input Data'!$C$15+'Input Data'!$C$19,0,ROUND((AA128+Z128)/2,0))</f>
        <v>67563793</v>
      </c>
      <c r="AB170" s="529">
        <f>IF(AB4&gt;'Input Data'!$C$15+'Input Data'!$C$19,0,ROUND((AB128+AA128)/2,0))</f>
        <v>65643648</v>
      </c>
      <c r="AC170" s="529">
        <f>IF(AC4&gt;'Input Data'!$C$15+'Input Data'!$C$19,0,ROUND((AC128+AB128)/2,0))</f>
        <v>63723937</v>
      </c>
      <c r="AD170" s="529">
        <f>IF(AD4&gt;'Input Data'!$C$15+'Input Data'!$C$19,0,ROUND((AD128+AC128)/2,0))</f>
        <v>61804674</v>
      </c>
      <c r="AE170" s="529">
        <f>IF(AE4&gt;'Input Data'!$C$15+'Input Data'!$C$19,0,ROUND((AE128+AD128)/2,0))</f>
        <v>59885872</v>
      </c>
      <c r="AF170" s="529">
        <f>IF(AF4&gt;'Input Data'!$C$15+'Input Data'!$C$19,0,ROUND((AF128+AE128)/2,0))</f>
        <v>57967545</v>
      </c>
    </row>
    <row r="171" spans="1:32">
      <c r="A171" s="527" t="s">
        <v>289</v>
      </c>
      <c r="B171" s="528"/>
      <c r="C171" s="529">
        <f>IF('Input Data'!C54=TRUE,ROUND((C146)/2,C146),C146)</f>
        <v>16030848.900907677</v>
      </c>
      <c r="D171" s="529">
        <f>IF(D4&gt;'Input Data'!$C$15+'Input Data'!$C$19,0,ROUND((D146+C146)/2,0))</f>
        <v>36318547</v>
      </c>
      <c r="E171" s="529">
        <f>IF(E4&gt;'Input Data'!$C$15+'Input Data'!$C$19,0,ROUND((E146+D146)/2,0))</f>
        <v>88563644</v>
      </c>
      <c r="F171" s="529">
        <f>IF(F4&gt;'Input Data'!$C$15+'Input Data'!$C$19,0,ROUND((F146+E146)/2,0))</f>
        <v>131411017</v>
      </c>
      <c r="G171" s="529">
        <f>IF(G4&gt;'Input Data'!$C$15+'Input Data'!$C$19,0,ROUND((G146+F146)/2,0))</f>
        <v>139633063</v>
      </c>
      <c r="H171" s="529">
        <f>IF(H4&gt;'Input Data'!$C$15+'Input Data'!$C$19,0,ROUND((H146+G146)/2,0))</f>
        <v>134457235</v>
      </c>
      <c r="I171" s="529">
        <f>IF(I4&gt;'Input Data'!$C$15+'Input Data'!$C$19,0,ROUND((I146+H146)/2,0))</f>
        <v>129555744</v>
      </c>
      <c r="J171" s="529">
        <f>IF(J4&gt;'Input Data'!$C$15+'Input Data'!$C$19,0,ROUND((J146+I146)/2,0))</f>
        <v>124849946</v>
      </c>
      <c r="K171" s="529">
        <f>IF(K4&gt;'Input Data'!$C$15+'Input Data'!$C$19,0,ROUND((K146+J146)/2,0))</f>
        <v>120225764</v>
      </c>
      <c r="L171" s="529">
        <f>IF(L4&gt;'Input Data'!$C$15+'Input Data'!$C$19,0,ROUND((L146+K146)/2,0))</f>
        <v>115608646</v>
      </c>
      <c r="M171" s="529">
        <f>IF(M4&gt;'Input Data'!$C$15+'Input Data'!$C$19,0,ROUND((M146+L146)/2,0))</f>
        <v>111581626</v>
      </c>
      <c r="N171" s="529">
        <f>IF(N4&gt;'Input Data'!$C$15+'Input Data'!$C$19,0,ROUND((N146+M146)/2,0))</f>
        <v>108720973</v>
      </c>
      <c r="O171" s="529">
        <f>IF(O4&gt;'Input Data'!$C$15+'Input Data'!$C$19,0,ROUND((O146+N146)/2,0))</f>
        <v>106443505</v>
      </c>
      <c r="P171" s="529">
        <f>IF(P4&gt;'Input Data'!$C$15+'Input Data'!$C$19,0,ROUND((P146+O146)/2,0))</f>
        <v>104166203</v>
      </c>
      <c r="Q171" s="529">
        <f>IF(Q4&gt;'Input Data'!$C$15+'Input Data'!$C$19,0,ROUND((Q146+P146)/2,0))</f>
        <v>101889072</v>
      </c>
      <c r="R171" s="529">
        <f>IF(R4&gt;'Input Data'!$C$15+'Input Data'!$C$19,0,ROUND((R146+Q146)/2,0))</f>
        <v>99621425</v>
      </c>
      <c r="S171" s="529">
        <f>IF(S4&gt;'Input Data'!$C$15+'Input Data'!$C$19,0,ROUND((S146+R146)/2,0))</f>
        <v>97363367</v>
      </c>
      <c r="T171" s="529">
        <f>IF(T4&gt;'Input Data'!$C$15+'Input Data'!$C$19,0,ROUND((T146+S146)/2,0))</f>
        <v>95105700</v>
      </c>
      <c r="U171" s="529">
        <f>IF(U4&gt;'Input Data'!$C$15+'Input Data'!$C$19,0,ROUND((U146+T146)/2,0))</f>
        <v>92848437</v>
      </c>
      <c r="V171" s="529">
        <f>IF(V4&gt;'Input Data'!$C$15+'Input Data'!$C$19,0,ROUND((V146+U146)/2,0))</f>
        <v>90591588</v>
      </c>
      <c r="W171" s="529">
        <f>IF(W4&gt;'Input Data'!$C$15+'Input Data'!$C$19,0,ROUND((W146+V146)/2,0))</f>
        <v>88335167</v>
      </c>
      <c r="X171" s="529">
        <f>IF(X4&gt;'Input Data'!$C$15+'Input Data'!$C$19,0,ROUND((X146+W146)/2,0))</f>
        <v>86079185</v>
      </c>
      <c r="Y171" s="529">
        <f>IF(Y4&gt;'Input Data'!$C$15+'Input Data'!$C$19,0,ROUND((Y146+X146)/2,0))</f>
        <v>83823658</v>
      </c>
      <c r="Z171" s="529">
        <f>IF(Z4&gt;'Input Data'!$C$15+'Input Data'!$C$19,0,ROUND((Z146+Y146)/2,0))</f>
        <v>81568597</v>
      </c>
      <c r="AA171" s="529">
        <f>IF(AA4&gt;'Input Data'!$C$15+'Input Data'!$C$19,0,ROUND((AA146+Z146)/2,0))</f>
        <v>79314018</v>
      </c>
      <c r="AB171" s="529">
        <f>IF(AB4&gt;'Input Data'!$C$15+'Input Data'!$C$19,0,ROUND((AB146+AA146)/2,0))</f>
        <v>77059934</v>
      </c>
      <c r="AC171" s="529">
        <f>IF(AC4&gt;'Input Data'!$C$15+'Input Data'!$C$19,0,ROUND((AC146+AB146)/2,0))</f>
        <v>74806361</v>
      </c>
      <c r="AD171" s="529">
        <f>IF(AD4&gt;'Input Data'!$C$15+'Input Data'!$C$19,0,ROUND((AD146+AC146)/2,0))</f>
        <v>72553313</v>
      </c>
      <c r="AE171" s="529">
        <f>IF(AE4&gt;'Input Data'!$C$15+'Input Data'!$C$19,0,ROUND((AE146+AD146)/2,0))</f>
        <v>70300806</v>
      </c>
      <c r="AF171" s="529">
        <f>IF(AF4&gt;'Input Data'!$C$15+'Input Data'!$C$19,0,ROUND((AF146+AE146)/2,0))</f>
        <v>68048858</v>
      </c>
    </row>
    <row r="172" spans="1:32">
      <c r="A172" s="524" t="s">
        <v>299</v>
      </c>
      <c r="B172" s="525"/>
      <c r="C172" s="526">
        <v>13655908.322995428</v>
      </c>
      <c r="D172" s="529">
        <v>30938021</v>
      </c>
      <c r="E172" s="529">
        <v>75443104</v>
      </c>
      <c r="F172" s="529">
        <v>111942718</v>
      </c>
      <c r="G172" s="529">
        <v>118946683</v>
      </c>
      <c r="H172" s="529">
        <v>114537644</v>
      </c>
      <c r="I172" s="529">
        <v>110362300</v>
      </c>
      <c r="J172" s="529">
        <v>106353658</v>
      </c>
      <c r="K172" s="529">
        <v>102414540</v>
      </c>
      <c r="L172" s="529">
        <v>98481439</v>
      </c>
      <c r="M172" s="529">
        <v>95051015</v>
      </c>
      <c r="N172" s="529">
        <v>92614162</v>
      </c>
      <c r="O172" s="529">
        <v>90674097</v>
      </c>
      <c r="P172" s="529">
        <v>88734173</v>
      </c>
      <c r="Q172" s="529">
        <v>86794395</v>
      </c>
      <c r="R172" s="529">
        <v>84862695</v>
      </c>
      <c r="S172" s="529">
        <v>82939164</v>
      </c>
      <c r="T172" s="529">
        <v>81015967</v>
      </c>
      <c r="U172" s="529">
        <v>79093113</v>
      </c>
      <c r="V172" s="529">
        <v>77170612</v>
      </c>
      <c r="W172" s="529">
        <v>75248475</v>
      </c>
      <c r="X172" s="529">
        <v>73326714</v>
      </c>
      <c r="Y172" s="529">
        <v>71405338</v>
      </c>
      <c r="Z172" s="529">
        <v>69484361</v>
      </c>
      <c r="AA172" s="529">
        <v>67563793</v>
      </c>
      <c r="AB172" s="529">
        <v>65643648</v>
      </c>
      <c r="AC172" s="529">
        <v>63723937</v>
      </c>
      <c r="AD172" s="529">
        <v>61804674</v>
      </c>
      <c r="AE172" s="529">
        <v>59885872</v>
      </c>
      <c r="AF172" s="529">
        <v>57967545</v>
      </c>
    </row>
    <row r="173" spans="1:32">
      <c r="A173" s="524" t="s">
        <v>300</v>
      </c>
      <c r="B173" s="525"/>
      <c r="C173" s="526">
        <v>16030848.900907677</v>
      </c>
      <c r="D173" s="529">
        <v>36318547</v>
      </c>
      <c r="E173" s="529">
        <v>88563644</v>
      </c>
      <c r="F173" s="529">
        <v>131411017</v>
      </c>
      <c r="G173" s="529">
        <v>139633063</v>
      </c>
      <c r="H173" s="529">
        <v>134457235</v>
      </c>
      <c r="I173" s="529">
        <v>129555744</v>
      </c>
      <c r="J173" s="529">
        <v>124849946</v>
      </c>
      <c r="K173" s="529">
        <v>120225764</v>
      </c>
      <c r="L173" s="529">
        <v>115608646</v>
      </c>
      <c r="M173" s="529">
        <v>111581626</v>
      </c>
      <c r="N173" s="529">
        <v>108720973</v>
      </c>
      <c r="O173" s="529">
        <v>106443505</v>
      </c>
      <c r="P173" s="529">
        <v>104166203</v>
      </c>
      <c r="Q173" s="529">
        <v>101889072</v>
      </c>
      <c r="R173" s="529">
        <v>99621425</v>
      </c>
      <c r="S173" s="529">
        <v>97363367</v>
      </c>
      <c r="T173" s="529">
        <v>95105700</v>
      </c>
      <c r="U173" s="529">
        <v>92848437</v>
      </c>
      <c r="V173" s="529">
        <v>90591588</v>
      </c>
      <c r="W173" s="529">
        <v>88335167</v>
      </c>
      <c r="X173" s="529">
        <v>86079185</v>
      </c>
      <c r="Y173" s="529">
        <v>83823658</v>
      </c>
      <c r="Z173" s="529">
        <v>81568597</v>
      </c>
      <c r="AA173" s="529">
        <v>79314018</v>
      </c>
      <c r="AB173" s="529">
        <v>77059934</v>
      </c>
      <c r="AC173" s="529">
        <v>74806361</v>
      </c>
      <c r="AD173" s="529">
        <v>72553313</v>
      </c>
      <c r="AE173" s="529">
        <v>70300806</v>
      </c>
      <c r="AF173" s="529">
        <v>68048858</v>
      </c>
    </row>
    <row r="175" spans="1:32">
      <c r="B175" s="531" t="s">
        <v>301</v>
      </c>
      <c r="C175" s="564">
        <f>D175</f>
        <v>0</v>
      </c>
      <c r="D175" s="532">
        <f>SUM(C170:AF171)-SUM(C172:AF173)</f>
        <v>0</v>
      </c>
    </row>
    <row r="176" spans="1:32">
      <c r="C176" s="252"/>
    </row>
    <row r="177" spans="1:2" hidden="1">
      <c r="A177" s="2" t="s">
        <v>301</v>
      </c>
      <c r="B177" s="530" cm="1">
        <f t="array" ref="B177:B178">IF(ABS(C175:C176)&gt;0.0001,1,0)</f>
        <v>0</v>
      </c>
    </row>
    <row r="178" spans="1:2" hidden="1">
      <c r="B178" s="2">
        <v>0</v>
      </c>
    </row>
    <row r="22672" spans="4:33">
      <c r="D22672" s="298"/>
      <c r="E22672" s="298"/>
      <c r="F22672" s="298"/>
      <c r="G22672" s="298"/>
      <c r="H22672" s="298"/>
      <c r="I22672" s="298"/>
      <c r="J22672" s="298"/>
      <c r="K22672" s="298"/>
      <c r="L22672" s="298"/>
      <c r="M22672" s="298"/>
      <c r="N22672" s="298"/>
      <c r="O22672" s="298"/>
      <c r="P22672" s="298"/>
      <c r="Q22672" s="298"/>
      <c r="R22672" s="298"/>
      <c r="S22672" s="298"/>
      <c r="T22672" s="298"/>
      <c r="U22672" s="298"/>
      <c r="V22672" s="298"/>
      <c r="W22672" s="298"/>
      <c r="X22672" s="298"/>
      <c r="Y22672" s="298"/>
      <c r="Z22672" s="298"/>
      <c r="AA22672" s="298"/>
      <c r="AB22672" s="298"/>
      <c r="AC22672" s="298"/>
      <c r="AD22672" s="298"/>
      <c r="AE22672" s="298"/>
      <c r="AF22672" s="298"/>
      <c r="AG22672" s="298"/>
    </row>
  </sheetData>
  <protectedRanges>
    <protectedRange sqref="B2" name="Range1"/>
  </protectedRanges>
  <conditionalFormatting sqref="C1">
    <cfRule type="expression" dxfId="19" priority="1">
      <formula>$D$175=0</formula>
    </cfRule>
  </conditionalFormatting>
  <pageMargins left="0.7" right="0.7" top="0.75" bottom="0.75" header="0.3" footer="0.3"/>
  <pageSetup paperSize="5" scale="56" fitToHeight="0" pageOrder="overThenDown" orientation="landscape" r:id="rId1"/>
  <rowBreaks count="3" manualBreakCount="3">
    <brk id="57" max="32" man="1"/>
    <brk id="75" max="27" man="1"/>
    <brk id="10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6339" r:id="rId4" name="Button 259">
              <controlPr defaultSize="0" print="0" autoFill="0" autoPict="0" macro="[0]!SolveDebt">
                <anchor moveWithCells="1">
                  <from>
                    <xdr:col>0</xdr:col>
                    <xdr:colOff>2362200</xdr:colOff>
                    <xdr:row>1</xdr:row>
                    <xdr:rowOff>53340</xdr:rowOff>
                  </from>
                  <to>
                    <xdr:col>1</xdr:col>
                    <xdr:colOff>868680</xdr:colOff>
                    <xdr:row>2</xdr:row>
                    <xdr:rowOff>137160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B6" sqref="B6"/>
    </sheetView>
  </sheetViews>
  <sheetFormatPr defaultRowHeight="1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123"/>
  <sheetViews>
    <sheetView showGridLines="0" topLeftCell="A4" workbookViewId="0">
      <selection activeCell="J76" sqref="J76"/>
    </sheetView>
  </sheetViews>
  <sheetFormatPr defaultColWidth="8.90625" defaultRowHeight="15.6"/>
  <cols>
    <col min="1" max="10" width="8.90625" style="192"/>
    <col min="11" max="11" width="10.08984375" style="192" bestFit="1" customWidth="1"/>
    <col min="12" max="16384" width="8.90625" style="192"/>
  </cols>
  <sheetData>
    <row r="1" spans="1:8">
      <c r="A1" s="624"/>
      <c r="B1" s="624"/>
      <c r="C1" s="624"/>
      <c r="D1" s="624"/>
      <c r="E1" s="624"/>
      <c r="F1" s="624"/>
      <c r="G1" s="624"/>
      <c r="H1" s="624"/>
    </row>
    <row r="2" spans="1:8">
      <c r="A2" s="624"/>
      <c r="B2" s="624"/>
      <c r="C2" s="624"/>
      <c r="D2" s="624"/>
      <c r="E2" s="624"/>
      <c r="F2" s="624"/>
      <c r="G2" s="624"/>
      <c r="H2" s="624"/>
    </row>
    <row r="3" spans="1:8">
      <c r="A3" s="624"/>
      <c r="B3" s="624"/>
      <c r="C3" s="624"/>
      <c r="D3" s="624"/>
      <c r="E3" s="624"/>
      <c r="F3" s="624"/>
      <c r="G3" s="624"/>
      <c r="H3" s="624"/>
    </row>
    <row r="4" spans="1:8">
      <c r="A4" s="624"/>
      <c r="B4" s="624"/>
      <c r="C4" s="624"/>
      <c r="D4" s="624"/>
      <c r="E4" s="624"/>
      <c r="F4" s="624"/>
      <c r="G4" s="624"/>
      <c r="H4" s="624"/>
    </row>
    <row r="5" spans="1:8">
      <c r="A5" s="624"/>
      <c r="B5" s="624"/>
      <c r="C5" s="624"/>
      <c r="D5" s="624"/>
      <c r="E5" s="624"/>
      <c r="F5" s="624"/>
      <c r="G5" s="624"/>
      <c r="H5" s="624"/>
    </row>
    <row r="6" spans="1:8">
      <c r="A6" s="624"/>
      <c r="B6" s="624"/>
      <c r="C6" s="624"/>
      <c r="D6" s="624"/>
      <c r="E6" s="624"/>
      <c r="F6" s="624"/>
      <c r="G6" s="624"/>
      <c r="H6" s="624"/>
    </row>
    <row r="7" spans="1:8">
      <c r="A7" s="624"/>
      <c r="B7" s="624"/>
      <c r="C7" s="624"/>
      <c r="D7" s="624"/>
      <c r="E7" s="624"/>
      <c r="F7" s="624"/>
      <c r="G7" s="624"/>
      <c r="H7" s="624"/>
    </row>
    <row r="8" spans="1:8">
      <c r="A8" s="624"/>
      <c r="B8" s="624"/>
      <c r="C8" s="624"/>
      <c r="D8" s="624"/>
      <c r="E8" s="624"/>
      <c r="F8" s="624"/>
      <c r="G8" s="624"/>
      <c r="H8" s="624"/>
    </row>
    <row r="9" spans="1:8">
      <c r="A9" s="624"/>
      <c r="B9" s="624"/>
      <c r="C9" s="624"/>
      <c r="D9" s="624"/>
      <c r="E9" s="624"/>
      <c r="F9" s="624"/>
      <c r="G9" s="624"/>
      <c r="H9" s="624"/>
    </row>
    <row r="10" spans="1:8">
      <c r="A10" s="624"/>
      <c r="B10" s="624"/>
      <c r="C10" s="624"/>
      <c r="D10" s="624"/>
      <c r="E10" s="624"/>
      <c r="F10" s="624"/>
      <c r="G10" s="624"/>
      <c r="H10" s="624"/>
    </row>
    <row r="11" spans="1:8">
      <c r="A11" s="624"/>
      <c r="B11" s="624"/>
      <c r="C11" s="624"/>
      <c r="D11" s="624"/>
      <c r="E11" s="624"/>
      <c r="F11" s="624"/>
      <c r="G11" s="624"/>
      <c r="H11" s="624"/>
    </row>
    <row r="12" spans="1:8">
      <c r="A12" s="624"/>
      <c r="B12" s="624"/>
      <c r="C12" s="624"/>
      <c r="D12" s="624"/>
      <c r="E12" s="624"/>
      <c r="F12" s="624"/>
      <c r="G12" s="624"/>
      <c r="H12" s="624"/>
    </row>
    <row r="13" spans="1:8">
      <c r="A13" s="624"/>
      <c r="B13" s="624"/>
      <c r="C13" s="624"/>
      <c r="D13" s="624"/>
      <c r="E13" s="624"/>
      <c r="F13" s="624"/>
      <c r="G13" s="624"/>
      <c r="H13" s="624"/>
    </row>
    <row r="14" spans="1:8">
      <c r="A14" s="624"/>
      <c r="B14" s="624"/>
      <c r="C14" s="624"/>
      <c r="D14" s="624"/>
      <c r="E14" s="624"/>
      <c r="F14" s="624"/>
      <c r="G14" s="624"/>
      <c r="H14" s="624"/>
    </row>
    <row r="15" spans="1:8">
      <c r="A15" s="624"/>
      <c r="B15" s="624"/>
      <c r="C15" s="624"/>
      <c r="D15" s="624"/>
      <c r="E15" s="624"/>
      <c r="F15" s="624"/>
      <c r="G15" s="624"/>
      <c r="H15" s="624"/>
    </row>
    <row r="16" spans="1:8">
      <c r="A16" s="624"/>
      <c r="B16" s="624"/>
      <c r="C16" s="624"/>
      <c r="D16" s="624"/>
      <c r="E16" s="624"/>
      <c r="F16" s="624"/>
      <c r="G16" s="624"/>
      <c r="H16" s="624"/>
    </row>
    <row r="17" spans="1:8">
      <c r="A17" s="624"/>
      <c r="B17" s="624"/>
      <c r="C17" s="624"/>
      <c r="D17" s="624"/>
      <c r="E17" s="624"/>
      <c r="F17" s="624"/>
      <c r="G17" s="624"/>
      <c r="H17" s="624"/>
    </row>
    <row r="18" spans="1:8">
      <c r="A18" s="624"/>
      <c r="B18" s="624"/>
      <c r="C18" s="624"/>
      <c r="D18" s="624"/>
      <c r="E18" s="624"/>
      <c r="F18" s="624"/>
      <c r="G18" s="624"/>
      <c r="H18" s="624"/>
    </row>
    <row r="19" spans="1:8">
      <c r="A19" s="624"/>
      <c r="B19" s="624"/>
      <c r="C19" s="624"/>
      <c r="D19" s="624"/>
      <c r="E19" s="624"/>
      <c r="F19" s="624"/>
      <c r="G19" s="624"/>
      <c r="H19" s="624"/>
    </row>
    <row r="20" spans="1:8">
      <c r="A20" s="624"/>
      <c r="B20" s="624"/>
      <c r="C20" s="624"/>
      <c r="D20" s="624"/>
      <c r="E20" s="624"/>
      <c r="F20" s="624"/>
      <c r="G20" s="624"/>
      <c r="H20" s="624"/>
    </row>
    <row r="21" spans="1:8">
      <c r="A21" s="624"/>
      <c r="B21" s="624"/>
      <c r="C21" s="624"/>
      <c r="D21" s="624"/>
      <c r="E21" s="624"/>
      <c r="F21" s="624"/>
      <c r="G21" s="624"/>
      <c r="H21" s="624"/>
    </row>
    <row r="22" spans="1:8">
      <c r="A22" s="624"/>
      <c r="B22" s="624"/>
      <c r="C22" s="624"/>
      <c r="D22" s="624"/>
      <c r="E22" s="624"/>
      <c r="F22" s="624"/>
      <c r="G22" s="624"/>
      <c r="H22" s="624"/>
    </row>
    <row r="23" spans="1:8">
      <c r="A23" s="624"/>
      <c r="B23" s="624"/>
      <c r="C23" s="624"/>
      <c r="D23" s="624"/>
      <c r="E23" s="624"/>
      <c r="F23" s="624"/>
      <c r="G23" s="624"/>
      <c r="H23" s="624"/>
    </row>
    <row r="24" spans="1:8">
      <c r="A24" s="624"/>
      <c r="B24" s="624"/>
      <c r="C24" s="624"/>
      <c r="D24" s="624"/>
      <c r="E24" s="624"/>
      <c r="F24" s="624"/>
      <c r="G24" s="624"/>
      <c r="H24" s="624"/>
    </row>
    <row r="25" spans="1:8">
      <c r="A25" s="624"/>
      <c r="B25" s="624"/>
      <c r="C25" s="624"/>
      <c r="D25" s="624"/>
      <c r="E25" s="624"/>
      <c r="F25" s="624"/>
      <c r="G25" s="624"/>
      <c r="H25" s="624"/>
    </row>
    <row r="26" spans="1:8">
      <c r="A26" s="624"/>
      <c r="B26" s="624"/>
      <c r="C26" s="624"/>
      <c r="D26" s="624"/>
      <c r="E26" s="624"/>
      <c r="F26" s="624"/>
      <c r="G26" s="624"/>
      <c r="H26" s="624"/>
    </row>
    <row r="27" spans="1:8">
      <c r="A27" s="625" t="s">
        <v>302</v>
      </c>
      <c r="B27" s="624"/>
      <c r="C27" s="624"/>
      <c r="D27" s="624"/>
      <c r="E27" s="624"/>
      <c r="F27" s="624"/>
      <c r="G27" s="624"/>
      <c r="H27" s="624"/>
    </row>
    <row r="28" spans="1:8">
      <c r="A28" s="624"/>
      <c r="B28" s="624"/>
      <c r="C28" s="624"/>
      <c r="D28" s="624"/>
      <c r="E28" s="624"/>
      <c r="F28" s="624"/>
      <c r="G28" s="624"/>
      <c r="H28" s="624"/>
    </row>
    <row r="29" spans="1:8">
      <c r="A29" s="624"/>
      <c r="B29" s="624"/>
      <c r="C29" s="624"/>
      <c r="D29" s="624"/>
      <c r="E29" s="624"/>
      <c r="F29" s="624"/>
      <c r="G29" s="624"/>
      <c r="H29" s="624"/>
    </row>
    <row r="30" spans="1:8">
      <c r="A30" s="624"/>
      <c r="B30" s="624"/>
      <c r="C30" s="624"/>
      <c r="D30" s="624"/>
      <c r="E30" s="624"/>
      <c r="F30" s="624"/>
      <c r="G30" s="624"/>
      <c r="H30" s="624"/>
    </row>
    <row r="31" spans="1:8">
      <c r="A31" s="624"/>
      <c r="B31" s="624"/>
      <c r="C31" s="624"/>
      <c r="D31" s="624"/>
      <c r="E31" s="624"/>
      <c r="F31" s="624"/>
      <c r="G31" s="624"/>
      <c r="H31" s="624"/>
    </row>
    <row r="32" spans="1:8">
      <c r="A32" s="624"/>
      <c r="B32" s="624"/>
      <c r="C32" s="624"/>
      <c r="D32" s="624"/>
      <c r="E32" s="624"/>
      <c r="F32" s="624"/>
      <c r="G32" s="624"/>
      <c r="H32" s="624"/>
    </row>
    <row r="33" spans="1:8">
      <c r="A33" s="624"/>
      <c r="B33" s="624"/>
      <c r="C33" s="624"/>
      <c r="D33" s="624"/>
      <c r="E33" s="624"/>
      <c r="F33" s="624"/>
      <c r="G33" s="624"/>
      <c r="H33" s="624"/>
    </row>
    <row r="34" spans="1:8">
      <c r="A34" s="624"/>
      <c r="B34" s="624"/>
      <c r="C34" s="624"/>
      <c r="D34" s="624"/>
      <c r="E34" s="624"/>
      <c r="F34" s="624"/>
      <c r="G34" s="624"/>
      <c r="H34" s="624"/>
    </row>
    <row r="35" spans="1:8">
      <c r="A35" s="624"/>
      <c r="B35" s="624"/>
      <c r="C35" s="624"/>
      <c r="D35" s="624"/>
      <c r="E35" s="624"/>
      <c r="F35" s="624"/>
      <c r="G35" s="624"/>
      <c r="H35" s="624"/>
    </row>
    <row r="36" spans="1:8">
      <c r="A36" s="624"/>
      <c r="B36" s="624"/>
      <c r="C36" s="624"/>
      <c r="D36" s="624"/>
      <c r="E36" s="624"/>
      <c r="F36" s="624"/>
      <c r="G36" s="624"/>
      <c r="H36" s="624"/>
    </row>
    <row r="37" spans="1:8">
      <c r="A37" s="624"/>
      <c r="B37" s="624"/>
      <c r="C37" s="624"/>
      <c r="D37" s="624"/>
      <c r="E37" s="624"/>
      <c r="F37" s="624"/>
      <c r="G37" s="624"/>
      <c r="H37" s="624"/>
    </row>
    <row r="38" spans="1:8">
      <c r="A38" s="624"/>
      <c r="B38" s="624"/>
      <c r="C38" s="624"/>
      <c r="D38" s="624"/>
      <c r="E38" s="624"/>
      <c r="F38" s="624"/>
      <c r="G38" s="624"/>
      <c r="H38" s="624"/>
    </row>
    <row r="39" spans="1:8">
      <c r="A39" s="624"/>
      <c r="B39" s="624"/>
      <c r="C39" s="624"/>
      <c r="D39" s="624"/>
      <c r="E39" s="624"/>
      <c r="F39" s="624"/>
      <c r="G39" s="624"/>
      <c r="H39" s="624"/>
    </row>
    <row r="40" spans="1:8">
      <c r="A40" s="624"/>
      <c r="B40" s="624"/>
      <c r="C40" s="624"/>
      <c r="D40" s="624"/>
      <c r="E40" s="624"/>
      <c r="F40" s="624"/>
      <c r="G40" s="624"/>
      <c r="H40" s="624"/>
    </row>
    <row r="41" spans="1:8">
      <c r="A41" s="624"/>
      <c r="B41" s="624"/>
      <c r="C41" s="624"/>
      <c r="D41" s="624"/>
      <c r="E41" s="624"/>
      <c r="F41" s="624"/>
      <c r="G41" s="624"/>
      <c r="H41" s="624"/>
    </row>
    <row r="42" spans="1:8">
      <c r="A42" s="624"/>
      <c r="B42" s="624"/>
      <c r="C42" s="624"/>
      <c r="D42" s="624"/>
      <c r="E42" s="624"/>
      <c r="F42" s="624"/>
      <c r="G42" s="624"/>
      <c r="H42" s="624"/>
    </row>
    <row r="43" spans="1:8">
      <c r="A43" s="624"/>
      <c r="B43" s="624"/>
      <c r="C43" s="624"/>
      <c r="D43" s="624"/>
      <c r="E43" s="624"/>
      <c r="F43" s="624"/>
      <c r="G43" s="624"/>
      <c r="H43" s="624"/>
    </row>
    <row r="44" spans="1:8">
      <c r="A44" s="624"/>
      <c r="B44" s="624"/>
      <c r="C44" s="624"/>
      <c r="D44" s="624"/>
      <c r="E44" s="624"/>
      <c r="F44" s="624"/>
      <c r="G44" s="624"/>
      <c r="H44" s="624"/>
    </row>
    <row r="45" spans="1:8">
      <c r="A45" s="624"/>
      <c r="B45" s="624"/>
      <c r="C45" s="624"/>
      <c r="D45" s="624"/>
      <c r="E45" s="624"/>
      <c r="F45" s="624"/>
      <c r="G45" s="624"/>
      <c r="H45" s="624"/>
    </row>
    <row r="46" spans="1:8">
      <c r="A46" s="624"/>
      <c r="B46" s="624"/>
      <c r="C46" s="624"/>
      <c r="D46" s="624"/>
      <c r="E46" s="624"/>
      <c r="F46" s="624"/>
      <c r="G46" s="624"/>
      <c r="H46" s="624"/>
    </row>
    <row r="47" spans="1:8">
      <c r="A47" s="624"/>
      <c r="B47" s="624"/>
      <c r="C47" s="624"/>
      <c r="D47" s="624"/>
      <c r="E47" s="624"/>
      <c r="F47" s="624"/>
      <c r="G47" s="624"/>
      <c r="H47" s="624"/>
    </row>
    <row r="48" spans="1:8">
      <c r="A48" s="624"/>
      <c r="B48" s="624"/>
      <c r="C48" s="624"/>
      <c r="D48" s="624"/>
      <c r="E48" s="624"/>
      <c r="F48" s="624"/>
      <c r="G48" s="624"/>
      <c r="H48" s="624"/>
    </row>
    <row r="49" spans="1:8">
      <c r="A49" s="624"/>
      <c r="B49" s="624"/>
      <c r="C49" s="624"/>
      <c r="D49" s="624"/>
      <c r="E49" s="624"/>
      <c r="F49" s="624"/>
      <c r="G49" s="624"/>
      <c r="H49" s="624"/>
    </row>
    <row r="50" spans="1:8">
      <c r="A50" s="624"/>
      <c r="B50" s="624"/>
      <c r="C50" s="624"/>
      <c r="D50" s="624"/>
      <c r="E50" s="624"/>
      <c r="F50" s="624"/>
      <c r="G50" s="624"/>
      <c r="H50" s="624"/>
    </row>
    <row r="51" spans="1:8">
      <c r="A51" s="624"/>
      <c r="B51" s="624"/>
      <c r="C51" s="624"/>
      <c r="D51" s="624"/>
      <c r="E51" s="624"/>
      <c r="F51" s="624"/>
      <c r="G51" s="624"/>
      <c r="H51" s="624"/>
    </row>
    <row r="52" spans="1:8">
      <c r="A52" s="624"/>
      <c r="B52" s="624"/>
      <c r="C52" s="624"/>
      <c r="D52" s="624"/>
      <c r="E52" s="624"/>
      <c r="F52" s="624"/>
      <c r="G52" s="624"/>
      <c r="H52" s="624"/>
    </row>
    <row r="53" spans="1:8">
      <c r="A53" s="624"/>
      <c r="B53" s="624"/>
      <c r="C53" s="624"/>
      <c r="D53" s="624"/>
      <c r="E53" s="624"/>
      <c r="F53" s="624"/>
      <c r="G53" s="624"/>
      <c r="H53" s="624"/>
    </row>
    <row r="54" spans="1:8">
      <c r="A54" s="624"/>
      <c r="B54" s="624"/>
      <c r="C54" s="624"/>
      <c r="D54" s="624"/>
      <c r="E54" s="624"/>
      <c r="F54" s="624"/>
      <c r="G54" s="624"/>
      <c r="H54" s="624"/>
    </row>
    <row r="55" spans="1:8">
      <c r="A55" s="624"/>
      <c r="B55" s="624"/>
      <c r="C55" s="624"/>
      <c r="D55" s="624"/>
      <c r="E55" s="624"/>
      <c r="F55" s="624"/>
      <c r="G55" s="624"/>
      <c r="H55" s="624"/>
    </row>
    <row r="56" spans="1:8">
      <c r="A56" s="624"/>
      <c r="B56" s="624"/>
      <c r="C56" s="624"/>
      <c r="D56" s="624"/>
      <c r="E56" s="624"/>
      <c r="F56" s="624"/>
      <c r="G56" s="624"/>
      <c r="H56" s="624"/>
    </row>
    <row r="57" spans="1:8">
      <c r="A57" s="624"/>
      <c r="B57" s="624"/>
      <c r="C57" s="624"/>
      <c r="D57" s="624"/>
      <c r="E57" s="624"/>
      <c r="F57" s="624"/>
      <c r="G57" s="624"/>
      <c r="H57" s="624"/>
    </row>
    <row r="58" spans="1:8">
      <c r="A58" s="624"/>
      <c r="B58" s="624"/>
      <c r="C58" s="624"/>
      <c r="D58" s="624"/>
      <c r="E58" s="624"/>
      <c r="F58" s="624"/>
      <c r="G58" s="624"/>
      <c r="H58" s="624"/>
    </row>
    <row r="59" spans="1:8">
      <c r="A59" s="624"/>
      <c r="B59" s="624"/>
      <c r="C59" s="624"/>
      <c r="D59" s="624"/>
      <c r="E59" s="624"/>
      <c r="F59" s="624"/>
      <c r="G59" s="624"/>
      <c r="H59" s="624"/>
    </row>
    <row r="60" spans="1:8">
      <c r="A60" s="624"/>
      <c r="B60" s="624"/>
      <c r="C60" s="624"/>
      <c r="D60" s="624"/>
      <c r="E60" s="624"/>
      <c r="F60" s="624"/>
      <c r="G60" s="624"/>
      <c r="H60" s="624"/>
    </row>
    <row r="61" spans="1:8">
      <c r="A61" s="624"/>
      <c r="B61" s="624"/>
      <c r="C61" s="624"/>
      <c r="D61" s="624"/>
      <c r="E61" s="624"/>
      <c r="F61" s="624"/>
      <c r="G61" s="624"/>
      <c r="H61" s="624"/>
    </row>
    <row r="62" spans="1:8">
      <c r="A62" s="624"/>
      <c r="B62" s="624"/>
      <c r="C62" s="624"/>
      <c r="D62" s="624"/>
      <c r="E62" s="624"/>
      <c r="F62" s="624"/>
      <c r="G62" s="624"/>
      <c r="H62" s="624"/>
    </row>
    <row r="63" spans="1:8">
      <c r="A63" s="624"/>
      <c r="B63" s="624"/>
      <c r="C63" s="624"/>
      <c r="D63" s="624"/>
      <c r="E63" s="624"/>
      <c r="F63" s="624"/>
      <c r="G63" s="624"/>
      <c r="H63" s="624"/>
    </row>
    <row r="64" spans="1:8">
      <c r="A64" s="624"/>
      <c r="B64" s="624"/>
      <c r="C64" s="624"/>
      <c r="D64" s="624"/>
      <c r="E64" s="624"/>
      <c r="F64" s="624"/>
      <c r="G64" s="624"/>
      <c r="H64" s="624"/>
    </row>
    <row r="65" spans="1:15">
      <c r="A65" s="624"/>
      <c r="B65" s="624"/>
      <c r="C65" s="624"/>
      <c r="D65" s="624"/>
      <c r="E65" s="624"/>
      <c r="F65" s="624"/>
      <c r="G65" s="624"/>
      <c r="H65" s="624"/>
    </row>
    <row r="66" spans="1:15">
      <c r="A66" s="624"/>
      <c r="B66" s="624"/>
      <c r="C66" s="624"/>
      <c r="D66" s="624"/>
      <c r="E66" s="624"/>
      <c r="F66" s="624"/>
      <c r="G66" s="624"/>
      <c r="H66" s="624"/>
    </row>
    <row r="67" spans="1:15">
      <c r="A67" s="625" t="s">
        <v>303</v>
      </c>
      <c r="B67" s="624"/>
      <c r="C67" s="624"/>
      <c r="D67" s="624"/>
      <c r="E67" s="624"/>
      <c r="F67" s="624"/>
      <c r="G67" s="624"/>
      <c r="H67" s="624"/>
    </row>
    <row r="68" spans="1:15">
      <c r="A68" s="624"/>
      <c r="B68" s="624"/>
      <c r="C68" s="624"/>
      <c r="D68" s="624"/>
      <c r="E68" s="624"/>
      <c r="F68" s="624"/>
      <c r="G68" s="624"/>
      <c r="H68" s="624"/>
    </row>
    <row r="69" spans="1:15">
      <c r="A69" s="624"/>
      <c r="B69" s="624"/>
      <c r="C69" s="624"/>
      <c r="D69" s="624"/>
      <c r="E69" s="624"/>
      <c r="F69" s="624"/>
      <c r="G69" s="624"/>
      <c r="H69" s="624"/>
    </row>
    <row r="70" spans="1:15">
      <c r="A70" s="624"/>
      <c r="B70" s="624"/>
      <c r="C70" s="624"/>
      <c r="D70" s="624"/>
      <c r="E70" s="624"/>
      <c r="F70" s="624"/>
      <c r="G70" s="624"/>
      <c r="H70" s="624"/>
    </row>
    <row r="71" spans="1:15">
      <c r="A71" s="624"/>
      <c r="B71" s="624"/>
      <c r="C71" s="624"/>
      <c r="D71" s="624"/>
      <c r="E71" s="624"/>
      <c r="F71" s="624"/>
      <c r="G71" s="624"/>
      <c r="H71" s="624"/>
    </row>
    <row r="72" spans="1:15">
      <c r="A72" s="624"/>
      <c r="B72" s="624"/>
      <c r="C72" s="624"/>
      <c r="D72" s="624"/>
      <c r="E72" s="624"/>
      <c r="F72" s="624"/>
      <c r="G72" s="624"/>
      <c r="H72" s="624"/>
    </row>
    <row r="73" spans="1:15">
      <c r="A73" s="624"/>
      <c r="B73" s="624"/>
      <c r="C73" s="624"/>
      <c r="D73" s="624"/>
      <c r="E73" s="624"/>
      <c r="F73" s="624"/>
      <c r="G73" s="624"/>
      <c r="H73" s="624"/>
    </row>
    <row r="74" spans="1:15">
      <c r="A74" s="624"/>
      <c r="B74" s="624"/>
      <c r="C74" s="624"/>
      <c r="D74" s="624"/>
      <c r="E74" s="624"/>
      <c r="F74" s="624"/>
      <c r="G74" s="624"/>
      <c r="H74" s="624"/>
    </row>
    <row r="75" spans="1:15">
      <c r="A75" s="624"/>
      <c r="B75" s="624"/>
      <c r="C75" s="624"/>
      <c r="D75" s="624"/>
      <c r="E75" s="624"/>
      <c r="F75" s="624"/>
      <c r="G75" s="624"/>
      <c r="H75" s="624"/>
      <c r="I75" s="379">
        <f>+'O&amp;M'!B29</f>
        <v>265000</v>
      </c>
      <c r="J75" s="192" t="s">
        <v>304</v>
      </c>
    </row>
    <row r="76" spans="1:15" ht="31.2">
      <c r="A76" s="624"/>
      <c r="B76" s="624"/>
      <c r="C76" s="624"/>
      <c r="D76" s="624"/>
      <c r="E76" s="624"/>
      <c r="F76" s="624"/>
      <c r="G76" s="624"/>
      <c r="H76" s="624"/>
      <c r="J76" s="314" t="s">
        <v>305</v>
      </c>
      <c r="K76" s="314" t="s">
        <v>306</v>
      </c>
      <c r="M76" s="681" t="s">
        <v>307</v>
      </c>
      <c r="N76" s="681"/>
      <c r="O76" s="681"/>
    </row>
    <row r="77" spans="1:15">
      <c r="A77" s="624"/>
      <c r="B77" s="624"/>
      <c r="C77" s="624"/>
      <c r="D77" s="624"/>
      <c r="E77" s="624"/>
      <c r="F77" s="624"/>
      <c r="G77" s="624"/>
      <c r="H77" s="624"/>
      <c r="I77" s="192">
        <v>2026</v>
      </c>
      <c r="J77" s="589">
        <v>0</v>
      </c>
      <c r="K77" s="491">
        <f t="shared" ref="K77:K102" si="0">+$I$75*J77</f>
        <v>0</v>
      </c>
      <c r="M77" s="682">
        <v>0</v>
      </c>
      <c r="N77" s="683"/>
      <c r="O77" s="683"/>
    </row>
    <row r="78" spans="1:15">
      <c r="A78" s="624"/>
      <c r="B78" s="624"/>
      <c r="C78" s="624"/>
      <c r="D78" s="624"/>
      <c r="E78" s="624"/>
      <c r="F78" s="624"/>
      <c r="G78" s="624"/>
      <c r="H78" s="624"/>
      <c r="I78" s="192">
        <f>+I77+1</f>
        <v>2027</v>
      </c>
      <c r="J78" s="589">
        <v>0</v>
      </c>
      <c r="K78" s="491">
        <f t="shared" si="0"/>
        <v>0</v>
      </c>
      <c r="L78" s="325"/>
      <c r="M78" s="682">
        <v>0</v>
      </c>
      <c r="N78" s="684"/>
      <c r="O78" s="683"/>
    </row>
    <row r="79" spans="1:15">
      <c r="A79" s="624"/>
      <c r="B79" s="624"/>
      <c r="C79" s="624"/>
      <c r="D79" s="624"/>
      <c r="E79" s="624"/>
      <c r="F79" s="624"/>
      <c r="G79" s="624"/>
      <c r="H79" s="624"/>
      <c r="I79" s="192">
        <f t="shared" ref="I79:I102" si="1">+I78+1</f>
        <v>2028</v>
      </c>
      <c r="J79" s="589">
        <v>0</v>
      </c>
      <c r="K79" s="491">
        <f t="shared" si="0"/>
        <v>0</v>
      </c>
      <c r="L79" s="325"/>
      <c r="M79" s="682">
        <v>0</v>
      </c>
      <c r="N79" s="684"/>
      <c r="O79" s="683"/>
    </row>
    <row r="80" spans="1:15">
      <c r="A80" s="624"/>
      <c r="B80" s="624"/>
      <c r="C80" s="624"/>
      <c r="D80" s="624"/>
      <c r="E80" s="624"/>
      <c r="F80" s="624"/>
      <c r="G80" s="624"/>
      <c r="H80" s="624"/>
      <c r="I80" s="192">
        <f t="shared" si="1"/>
        <v>2029</v>
      </c>
      <c r="J80" s="589">
        <v>0</v>
      </c>
      <c r="K80" s="491">
        <f t="shared" si="0"/>
        <v>0</v>
      </c>
      <c r="L80" s="325"/>
      <c r="M80" s="682">
        <v>0</v>
      </c>
      <c r="N80" s="684"/>
      <c r="O80" s="683"/>
    </row>
    <row r="81" spans="1:15">
      <c r="A81" s="624"/>
      <c r="B81" s="624"/>
      <c r="C81" s="624"/>
      <c r="D81" s="624"/>
      <c r="E81" s="624"/>
      <c r="F81" s="624"/>
      <c r="G81" s="624"/>
      <c r="H81" s="624"/>
      <c r="I81" s="192">
        <f t="shared" si="1"/>
        <v>2030</v>
      </c>
      <c r="J81" s="589">
        <v>0</v>
      </c>
      <c r="K81" s="491">
        <f t="shared" si="0"/>
        <v>0</v>
      </c>
      <c r="L81" s="325"/>
      <c r="M81" s="682">
        <v>0</v>
      </c>
      <c r="N81" s="684"/>
      <c r="O81" s="683"/>
    </row>
    <row r="82" spans="1:15">
      <c r="A82" s="624"/>
      <c r="B82" s="624"/>
      <c r="C82" s="624"/>
      <c r="D82" s="624"/>
      <c r="E82" s="624"/>
      <c r="F82" s="624"/>
      <c r="G82" s="624"/>
      <c r="H82" s="624"/>
      <c r="I82" s="192">
        <f t="shared" si="1"/>
        <v>2031</v>
      </c>
      <c r="J82" s="680">
        <v>0.1</v>
      </c>
      <c r="K82" s="491">
        <f t="shared" si="0"/>
        <v>26500</v>
      </c>
      <c r="M82" s="682">
        <v>0.1</v>
      </c>
      <c r="N82" s="684"/>
      <c r="O82" s="683"/>
    </row>
    <row r="83" spans="1:15">
      <c r="A83" s="624"/>
      <c r="B83" s="624"/>
      <c r="C83" s="624"/>
      <c r="D83" s="624"/>
      <c r="E83" s="624"/>
      <c r="F83" s="624"/>
      <c r="G83" s="624"/>
      <c r="H83" s="624"/>
      <c r="I83" s="192">
        <f t="shared" si="1"/>
        <v>2032</v>
      </c>
      <c r="J83" s="680">
        <v>0.10299999999999999</v>
      </c>
      <c r="K83" s="491">
        <f t="shared" si="0"/>
        <v>27295</v>
      </c>
      <c r="M83" s="682">
        <f>28325/$I$75</f>
        <v>0.10688679245283018</v>
      </c>
      <c r="N83" s="684">
        <f>+M83/M82-1</f>
        <v>6.8867924528301705E-2</v>
      </c>
      <c r="O83" s="683"/>
    </row>
    <row r="84" spans="1:15">
      <c r="A84" s="624"/>
      <c r="B84" s="624"/>
      <c r="C84" s="624"/>
      <c r="D84" s="624"/>
      <c r="E84" s="624"/>
      <c r="F84" s="624"/>
      <c r="G84" s="624"/>
      <c r="H84" s="624"/>
      <c r="I84" s="192">
        <f t="shared" si="1"/>
        <v>2033</v>
      </c>
      <c r="J84" s="680">
        <v>0.1070366909090909</v>
      </c>
      <c r="K84" s="491">
        <f t="shared" si="0"/>
        <v>28364.72309090909</v>
      </c>
      <c r="M84" s="682">
        <f>29435.09/$I$75</f>
        <v>0.11107581132075471</v>
      </c>
      <c r="N84" s="684">
        <f t="shared" ref="N84:N102" si="2">+M84/M83-1</f>
        <v>3.9191173874669083E-2</v>
      </c>
      <c r="O84" s="683"/>
    </row>
    <row r="85" spans="1:15">
      <c r="A85" s="624"/>
      <c r="B85" s="624"/>
      <c r="C85" s="624"/>
      <c r="D85" s="624"/>
      <c r="E85" s="624"/>
      <c r="F85" s="624"/>
      <c r="G85" s="624"/>
      <c r="H85" s="624"/>
      <c r="I85" s="192">
        <f t="shared" si="1"/>
        <v>2034</v>
      </c>
      <c r="J85" s="680">
        <v>0.11024781818181818</v>
      </c>
      <c r="K85" s="491">
        <f t="shared" si="0"/>
        <v>29215.671818181818</v>
      </c>
      <c r="M85" s="682">
        <f>30318.15/$I$75</f>
        <v>0.11440811320754718</v>
      </c>
      <c r="N85" s="684">
        <f t="shared" si="2"/>
        <v>3.0000248003318575E-2</v>
      </c>
      <c r="O85" s="683"/>
    </row>
    <row r="86" spans="1:15">
      <c r="A86" s="624"/>
      <c r="B86" s="624"/>
      <c r="C86" s="624"/>
      <c r="D86" s="624"/>
      <c r="E86" s="624"/>
      <c r="F86" s="624"/>
      <c r="G86" s="624"/>
      <c r="H86" s="624"/>
      <c r="I86" s="192">
        <f t="shared" si="1"/>
        <v>2035</v>
      </c>
      <c r="J86" s="680">
        <v>0.11355523636363636</v>
      </c>
      <c r="K86" s="491">
        <f t="shared" si="0"/>
        <v>30092.137636363637</v>
      </c>
      <c r="M86" s="682">
        <f>31227.69/$I$75</f>
        <v>0.11784033962264151</v>
      </c>
      <c r="N86" s="684">
        <f t="shared" si="2"/>
        <v>2.9999851574056935E-2</v>
      </c>
      <c r="O86" s="683"/>
    </row>
    <row r="87" spans="1:15">
      <c r="A87" s="624"/>
      <c r="B87" s="624"/>
      <c r="C87" s="624"/>
      <c r="D87" s="624"/>
      <c r="E87" s="624"/>
      <c r="F87" s="624"/>
      <c r="G87" s="624"/>
      <c r="H87" s="624"/>
      <c r="I87" s="192">
        <f t="shared" si="1"/>
        <v>2036</v>
      </c>
      <c r="J87" s="680">
        <v>0.11696189090909091</v>
      </c>
      <c r="K87" s="491">
        <f t="shared" si="0"/>
        <v>30994.90109090909</v>
      </c>
      <c r="M87" s="682">
        <f>32164.52/$I$75</f>
        <v>0.12137554716981132</v>
      </c>
      <c r="N87" s="684">
        <f t="shared" si="2"/>
        <v>2.9999977583996751E-2</v>
      </c>
      <c r="O87" s="683"/>
    </row>
    <row r="88" spans="1:15">
      <c r="A88" s="624"/>
      <c r="B88" s="624"/>
      <c r="C88" s="624"/>
      <c r="D88" s="624"/>
      <c r="E88" s="624"/>
      <c r="F88" s="624"/>
      <c r="G88" s="624"/>
      <c r="H88" s="624"/>
      <c r="I88" s="192">
        <f t="shared" si="1"/>
        <v>2037</v>
      </c>
      <c r="J88" s="680">
        <v>0.25223090909090912</v>
      </c>
      <c r="K88" s="491">
        <f t="shared" si="0"/>
        <v>66841.190909090918</v>
      </c>
      <c r="M88" s="682">
        <f>69363.5/$I$75</f>
        <v>0.26174905660377357</v>
      </c>
      <c r="N88" s="684">
        <f t="shared" si="2"/>
        <v>1.156522155468199</v>
      </c>
      <c r="O88" s="683"/>
    </row>
    <row r="89" spans="1:15">
      <c r="A89" s="624"/>
      <c r="B89" s="624"/>
      <c r="C89" s="624"/>
      <c r="D89" s="624"/>
      <c r="E89" s="624"/>
      <c r="F89" s="624"/>
      <c r="G89" s="624"/>
      <c r="H89" s="624"/>
      <c r="I89" s="192">
        <f t="shared" si="1"/>
        <v>2038</v>
      </c>
      <c r="J89" s="680">
        <v>0.25979785454545457</v>
      </c>
      <c r="K89" s="491">
        <f t="shared" si="0"/>
        <v>68846.431454545454</v>
      </c>
      <c r="M89" s="682">
        <f>71444.41/$I$75</f>
        <v>0.26960154716981133</v>
      </c>
      <c r="N89" s="684">
        <f t="shared" si="2"/>
        <v>3.0000072084021223E-2</v>
      </c>
      <c r="O89" s="683"/>
    </row>
    <row r="90" spans="1:15">
      <c r="A90" s="624"/>
      <c r="B90" s="624"/>
      <c r="C90" s="624"/>
      <c r="D90" s="624"/>
      <c r="E90" s="624"/>
      <c r="F90" s="624"/>
      <c r="G90" s="624"/>
      <c r="H90" s="624"/>
      <c r="I90" s="192">
        <f t="shared" si="1"/>
        <v>2039</v>
      </c>
      <c r="J90" s="680">
        <v>0.26759178181818183</v>
      </c>
      <c r="K90" s="491">
        <f t="shared" si="0"/>
        <v>70911.822181818177</v>
      </c>
      <c r="M90" s="682">
        <f>73587.74/$I$75</f>
        <v>0.27768958490566042</v>
      </c>
      <c r="N90" s="684">
        <f t="shared" si="2"/>
        <v>2.9999967807138539E-2</v>
      </c>
      <c r="O90" s="683"/>
    </row>
    <row r="91" spans="1:15">
      <c r="A91" s="624"/>
      <c r="B91" s="624"/>
      <c r="C91" s="624"/>
      <c r="D91" s="624"/>
      <c r="E91" s="624"/>
      <c r="F91" s="624"/>
      <c r="G91" s="624"/>
      <c r="H91" s="624"/>
      <c r="I91" s="192">
        <f t="shared" si="1"/>
        <v>2040</v>
      </c>
      <c r="J91" s="680">
        <v>0.27561952727272726</v>
      </c>
      <c r="K91" s="491">
        <f t="shared" si="0"/>
        <v>73039.174727272723</v>
      </c>
      <c r="M91" s="682">
        <f>75795.37/$I$75</f>
        <v>0.28602026415094339</v>
      </c>
      <c r="N91" s="684">
        <f t="shared" si="2"/>
        <v>2.9999970103715468E-2</v>
      </c>
      <c r="O91" s="683"/>
    </row>
    <row r="92" spans="1:15">
      <c r="A92" s="624"/>
      <c r="B92" s="624"/>
      <c r="C92" s="624"/>
      <c r="D92" s="624"/>
      <c r="E92" s="624"/>
      <c r="F92" s="624"/>
      <c r="G92" s="624"/>
      <c r="H92" s="624"/>
      <c r="I92" s="192">
        <f t="shared" si="1"/>
        <v>2041</v>
      </c>
      <c r="J92" s="680">
        <v>0.28388810909090906</v>
      </c>
      <c r="K92" s="491">
        <f t="shared" si="0"/>
        <v>75230.348909090899</v>
      </c>
      <c r="M92" s="682">
        <f>78069.23/$I$75</f>
        <v>0.29460086792452828</v>
      </c>
      <c r="N92" s="684">
        <f t="shared" si="2"/>
        <v>2.9999985487240144E-2</v>
      </c>
      <c r="O92" s="683"/>
    </row>
    <row r="93" spans="1:15">
      <c r="A93" s="624"/>
      <c r="B93" s="624"/>
      <c r="C93" s="624"/>
      <c r="D93" s="624"/>
      <c r="E93" s="624"/>
      <c r="F93" s="624"/>
      <c r="G93" s="624"/>
      <c r="H93" s="624"/>
      <c r="I93" s="192">
        <f t="shared" si="1"/>
        <v>2042</v>
      </c>
      <c r="J93" s="680">
        <v>0.29240476363636364</v>
      </c>
      <c r="K93" s="491">
        <f t="shared" si="0"/>
        <v>77487.262363636371</v>
      </c>
      <c r="M93" s="682">
        <f>80411.31/$I$75</f>
        <v>0.30343890566037734</v>
      </c>
      <c r="N93" s="684">
        <f t="shared" si="2"/>
        <v>3.0000039708346193E-2</v>
      </c>
      <c r="O93" s="683"/>
    </row>
    <row r="94" spans="1:15">
      <c r="A94" s="624"/>
      <c r="B94" s="624"/>
      <c r="C94" s="624"/>
      <c r="D94" s="624"/>
      <c r="E94" s="624"/>
      <c r="F94" s="624"/>
      <c r="G94" s="624"/>
      <c r="H94" s="624"/>
      <c r="I94" s="192">
        <f t="shared" si="1"/>
        <v>2043</v>
      </c>
      <c r="J94" s="680">
        <v>0.30117690909090905</v>
      </c>
      <c r="K94" s="491">
        <f t="shared" si="0"/>
        <v>79811.880909090905</v>
      </c>
      <c r="M94" s="682">
        <f>82823.65/$I$75</f>
        <v>0.3125420754716981</v>
      </c>
      <c r="N94" s="684">
        <f t="shared" si="2"/>
        <v>3.0000008705242998E-2</v>
      </c>
      <c r="O94" s="683"/>
    </row>
    <row r="95" spans="1:15">
      <c r="A95" s="624"/>
      <c r="B95" s="624"/>
      <c r="C95" s="624"/>
      <c r="D95" s="624"/>
      <c r="E95" s="624"/>
      <c r="F95" s="624"/>
      <c r="G95" s="624"/>
      <c r="H95" s="624"/>
      <c r="I95" s="192">
        <f t="shared" si="1"/>
        <v>2044</v>
      </c>
      <c r="J95" s="680">
        <v>0.31021221818181821</v>
      </c>
      <c r="K95" s="491">
        <f t="shared" si="0"/>
        <v>82206.23781818182</v>
      </c>
      <c r="M95" s="682">
        <f>85308.36/$I$75</f>
        <v>0.32191833962264149</v>
      </c>
      <c r="N95" s="684">
        <f t="shared" si="2"/>
        <v>3.0000006036922988E-2</v>
      </c>
      <c r="O95" s="683"/>
    </row>
    <row r="96" spans="1:15">
      <c r="A96" s="624"/>
      <c r="B96" s="624"/>
      <c r="C96" s="624"/>
      <c r="D96" s="624"/>
      <c r="E96" s="624"/>
      <c r="F96" s="624"/>
      <c r="G96" s="624"/>
      <c r="H96" s="624"/>
      <c r="I96" s="192">
        <f t="shared" si="1"/>
        <v>2045</v>
      </c>
      <c r="J96" s="680">
        <v>0.31951858181818182</v>
      </c>
      <c r="K96" s="491">
        <f t="shared" si="0"/>
        <v>84672.424181818176</v>
      </c>
      <c r="M96" s="682">
        <f>87867.61/$I$75</f>
        <v>0.33157588679245281</v>
      </c>
      <c r="N96" s="684">
        <f t="shared" si="2"/>
        <v>2.9999990622255446E-2</v>
      </c>
      <c r="O96" s="683"/>
    </row>
    <row r="97" spans="1:15">
      <c r="A97" s="624"/>
      <c r="B97" s="624"/>
      <c r="C97" s="624"/>
      <c r="D97" s="624"/>
      <c r="E97" s="624"/>
      <c r="F97" s="624"/>
      <c r="G97" s="624"/>
      <c r="H97" s="624"/>
      <c r="I97" s="192">
        <f t="shared" si="1"/>
        <v>2046</v>
      </c>
      <c r="J97" s="680">
        <v>0.32910410909090909</v>
      </c>
      <c r="K97" s="491">
        <f t="shared" si="0"/>
        <v>87212.588909090904</v>
      </c>
      <c r="M97" s="682">
        <f>90503.63/$I$75</f>
        <v>0.34152313207547169</v>
      </c>
      <c r="N97" s="684">
        <f t="shared" si="2"/>
        <v>2.9999905539709104E-2</v>
      </c>
      <c r="O97" s="683"/>
    </row>
    <row r="98" spans="1:15">
      <c r="A98" s="624"/>
      <c r="B98" s="624"/>
      <c r="C98" s="624"/>
      <c r="D98" s="624"/>
      <c r="E98" s="624"/>
      <c r="F98" s="624"/>
      <c r="G98" s="624"/>
      <c r="H98" s="624"/>
      <c r="I98" s="192">
        <f t="shared" si="1"/>
        <v>2047</v>
      </c>
      <c r="J98" s="680">
        <v>0.33897723636363636</v>
      </c>
      <c r="K98" s="491">
        <f t="shared" si="0"/>
        <v>89828.967636363639</v>
      </c>
      <c r="M98" s="682">
        <f>93218.74/$I$75</f>
        <v>0.35176883018867927</v>
      </c>
      <c r="N98" s="684">
        <f t="shared" si="2"/>
        <v>3.0000012154208777E-2</v>
      </c>
      <c r="O98" s="683"/>
    </row>
    <row r="99" spans="1:15">
      <c r="A99" s="624"/>
      <c r="B99" s="624"/>
      <c r="C99" s="624"/>
      <c r="D99" s="624"/>
      <c r="E99" s="624"/>
      <c r="F99" s="624"/>
      <c r="G99" s="624"/>
      <c r="H99" s="624"/>
      <c r="I99" s="192">
        <f t="shared" si="1"/>
        <v>2048</v>
      </c>
      <c r="J99" s="680">
        <v>0.34914658181818181</v>
      </c>
      <c r="K99" s="491">
        <f t="shared" si="0"/>
        <v>92523.844181818175</v>
      </c>
      <c r="M99" s="682">
        <f>96015.31/$I$75</f>
        <v>0.36232192452830186</v>
      </c>
      <c r="N99" s="684">
        <f t="shared" si="2"/>
        <v>3.0000083674162292E-2</v>
      </c>
      <c r="O99" s="683"/>
    </row>
    <row r="100" spans="1:15">
      <c r="A100" s="624"/>
      <c r="B100" s="624"/>
      <c r="C100" s="624"/>
      <c r="D100" s="624"/>
      <c r="E100" s="624"/>
      <c r="F100" s="624"/>
      <c r="G100" s="624"/>
      <c r="H100" s="624"/>
      <c r="I100" s="192">
        <f t="shared" si="1"/>
        <v>2049</v>
      </c>
      <c r="J100" s="680">
        <v>0.35962098181818181</v>
      </c>
      <c r="K100" s="491">
        <f t="shared" si="0"/>
        <v>95299.560181818175</v>
      </c>
      <c r="M100" s="682">
        <f>98895.77/$I$75</f>
        <v>0.3731915849056604</v>
      </c>
      <c r="N100" s="684">
        <f t="shared" si="2"/>
        <v>3.0000007290504005E-2</v>
      </c>
      <c r="O100" s="683"/>
    </row>
    <row r="101" spans="1:15">
      <c r="A101" s="624"/>
      <c r="B101" s="624"/>
      <c r="C101" s="624"/>
      <c r="D101" s="624"/>
      <c r="E101" s="624"/>
      <c r="F101" s="624"/>
      <c r="G101" s="624"/>
      <c r="H101" s="624"/>
      <c r="I101" s="192">
        <f t="shared" si="1"/>
        <v>2050</v>
      </c>
      <c r="J101" s="680">
        <v>0.37040960000000001</v>
      </c>
      <c r="K101" s="491">
        <f t="shared" si="0"/>
        <v>98158.543999999994</v>
      </c>
      <c r="M101" s="682">
        <f>101862.64/$I$75</f>
        <v>0.38438732075471699</v>
      </c>
      <c r="N101" s="684">
        <f t="shared" si="2"/>
        <v>2.999996865386656E-2</v>
      </c>
      <c r="O101" s="683"/>
    </row>
    <row r="102" spans="1:15">
      <c r="A102" s="624"/>
      <c r="B102" s="624"/>
      <c r="C102" s="624"/>
      <c r="D102" s="624"/>
      <c r="E102" s="624"/>
      <c r="F102" s="624"/>
      <c r="G102" s="624"/>
      <c r="H102" s="624"/>
      <c r="I102" s="192">
        <f t="shared" si="1"/>
        <v>2051</v>
      </c>
      <c r="J102" s="680">
        <v>0.38152189090909094</v>
      </c>
      <c r="K102" s="491">
        <f t="shared" si="0"/>
        <v>101103.3010909091</v>
      </c>
      <c r="M102" s="682">
        <f>104918.52/$I$75</f>
        <v>0.39591894339622641</v>
      </c>
      <c r="N102" s="684">
        <f t="shared" si="2"/>
        <v>3.0000007853713484E-2</v>
      </c>
      <c r="O102" s="683"/>
    </row>
    <row r="103" spans="1:15">
      <c r="A103" s="624"/>
      <c r="B103" s="624"/>
      <c r="C103" s="624"/>
      <c r="D103" s="624"/>
      <c r="E103" s="624"/>
      <c r="F103" s="624"/>
      <c r="G103" s="624"/>
      <c r="H103" s="624"/>
    </row>
    <row r="105" spans="1:15">
      <c r="A105" s="626" t="s">
        <v>308</v>
      </c>
      <c r="B105" s="624"/>
      <c r="C105" s="624"/>
      <c r="D105" s="624"/>
      <c r="E105" s="624"/>
      <c r="F105" s="624"/>
      <c r="G105" s="624"/>
      <c r="H105" s="624"/>
      <c r="I105" s="624"/>
      <c r="J105" s="624"/>
      <c r="K105" s="624"/>
      <c r="L105" s="624"/>
    </row>
    <row r="106" spans="1:15">
      <c r="A106" s="624"/>
      <c r="B106" s="624"/>
      <c r="C106" s="624"/>
      <c r="D106" s="624"/>
      <c r="E106" s="624"/>
      <c r="F106" s="624"/>
      <c r="G106" s="624"/>
      <c r="H106" s="624"/>
      <c r="I106" s="624"/>
      <c r="J106" s="624"/>
      <c r="K106" s="624"/>
      <c r="L106" s="624"/>
    </row>
    <row r="107" spans="1:15">
      <c r="A107" s="624"/>
      <c r="B107" s="624"/>
      <c r="C107" s="624"/>
      <c r="D107" s="624"/>
      <c r="E107" s="624"/>
      <c r="F107" s="624"/>
      <c r="G107" s="624"/>
      <c r="H107" s="624"/>
      <c r="I107" s="624"/>
      <c r="J107" s="624"/>
      <c r="K107" s="624"/>
      <c r="L107" s="624"/>
    </row>
    <row r="108" spans="1:15">
      <c r="A108" s="624"/>
      <c r="B108" s="624"/>
      <c r="C108" s="624"/>
      <c r="D108" s="624"/>
      <c r="E108" s="624"/>
      <c r="F108" s="624"/>
      <c r="G108" s="624"/>
      <c r="H108" s="624"/>
      <c r="I108" s="624"/>
      <c r="J108" s="624"/>
      <c r="K108" s="624"/>
      <c r="L108" s="624"/>
    </row>
    <row r="109" spans="1:15">
      <c r="A109" s="624"/>
      <c r="B109" s="624"/>
      <c r="C109" s="624"/>
      <c r="D109" s="624"/>
      <c r="E109" s="624"/>
      <c r="F109" s="624"/>
      <c r="G109" s="624"/>
      <c r="H109" s="624"/>
      <c r="I109" s="624"/>
      <c r="J109" s="624"/>
      <c r="K109" s="624"/>
      <c r="L109" s="624"/>
    </row>
    <row r="110" spans="1:15">
      <c r="A110" s="624"/>
      <c r="B110" s="624"/>
      <c r="C110" s="624"/>
      <c r="D110" s="624"/>
      <c r="E110" s="624"/>
      <c r="F110" s="624"/>
      <c r="G110" s="624"/>
      <c r="H110" s="624"/>
      <c r="I110" s="624"/>
      <c r="J110" s="624"/>
      <c r="K110" s="624"/>
      <c r="L110" s="624"/>
    </row>
    <row r="111" spans="1:15">
      <c r="A111" s="624"/>
      <c r="B111" s="624"/>
      <c r="C111" s="624"/>
      <c r="D111" s="624"/>
      <c r="E111" s="624"/>
      <c r="F111" s="624"/>
      <c r="G111" s="624"/>
      <c r="H111" s="624"/>
      <c r="I111" s="624"/>
      <c r="J111" s="624"/>
      <c r="K111" s="624"/>
      <c r="L111" s="624"/>
    </row>
    <row r="112" spans="1:15">
      <c r="A112" s="624"/>
      <c r="B112" s="624"/>
      <c r="C112" s="624"/>
      <c r="D112" s="624"/>
      <c r="E112" s="624"/>
      <c r="F112" s="624"/>
      <c r="G112" s="624"/>
      <c r="H112" s="624"/>
      <c r="I112" s="624"/>
      <c r="J112" s="624"/>
      <c r="K112" s="624"/>
      <c r="L112" s="624"/>
    </row>
    <row r="113" spans="1:12">
      <c r="A113" s="624"/>
      <c r="B113" s="624"/>
      <c r="C113" s="624"/>
      <c r="D113" s="624"/>
      <c r="E113" s="624"/>
      <c r="F113" s="624"/>
      <c r="G113" s="624"/>
      <c r="H113" s="624"/>
      <c r="I113" s="624"/>
      <c r="J113" s="624"/>
      <c r="K113" s="624"/>
      <c r="L113" s="624"/>
    </row>
    <row r="114" spans="1:12">
      <c r="A114" s="624"/>
      <c r="B114" s="624"/>
      <c r="C114" s="624"/>
      <c r="D114" s="624"/>
      <c r="E114" s="624"/>
      <c r="F114" s="624"/>
      <c r="G114" s="624"/>
      <c r="H114" s="624"/>
      <c r="I114" s="624"/>
      <c r="J114" s="624"/>
      <c r="K114" s="624"/>
      <c r="L114" s="624"/>
    </row>
    <row r="115" spans="1:12">
      <c r="A115" s="624"/>
      <c r="B115" s="624"/>
      <c r="C115" s="624"/>
      <c r="D115" s="624"/>
      <c r="E115" s="624"/>
      <c r="F115" s="624"/>
      <c r="G115" s="624"/>
      <c r="H115" s="624"/>
      <c r="I115" s="624"/>
      <c r="J115" s="624"/>
      <c r="K115" s="624"/>
      <c r="L115" s="624"/>
    </row>
    <row r="116" spans="1:12">
      <c r="A116" s="624"/>
      <c r="B116" s="624"/>
      <c r="C116" s="624"/>
      <c r="D116" s="624"/>
      <c r="E116" s="624"/>
      <c r="F116" s="624"/>
      <c r="G116" s="624"/>
      <c r="H116" s="624"/>
      <c r="I116" s="624"/>
      <c r="J116" s="624"/>
      <c r="K116" s="624"/>
      <c r="L116" s="624"/>
    </row>
    <row r="117" spans="1:12">
      <c r="A117" s="624"/>
      <c r="B117" s="624"/>
      <c r="C117" s="624"/>
      <c r="D117" s="624"/>
      <c r="E117" s="624"/>
      <c r="F117" s="624"/>
      <c r="G117" s="624"/>
      <c r="H117" s="624"/>
      <c r="I117" s="624"/>
      <c r="J117" s="624"/>
      <c r="K117" s="624"/>
      <c r="L117" s="624"/>
    </row>
    <row r="118" spans="1:12">
      <c r="A118" s="624"/>
      <c r="B118" s="624"/>
      <c r="C118" s="624"/>
      <c r="D118" s="624"/>
      <c r="E118" s="624"/>
      <c r="F118" s="624"/>
      <c r="G118" s="624"/>
      <c r="H118" s="624"/>
      <c r="I118" s="624"/>
      <c r="J118" s="624"/>
      <c r="K118" s="624"/>
      <c r="L118" s="624"/>
    </row>
    <row r="119" spans="1:12">
      <c r="A119" s="624"/>
      <c r="B119" s="624"/>
      <c r="C119" s="624"/>
      <c r="D119" s="624"/>
      <c r="E119" s="624"/>
      <c r="F119" s="624"/>
      <c r="G119" s="624"/>
      <c r="H119" s="624"/>
      <c r="I119" s="624"/>
      <c r="J119" s="624"/>
      <c r="K119" s="624"/>
      <c r="L119" s="624"/>
    </row>
    <row r="120" spans="1:12">
      <c r="A120" s="624"/>
      <c r="B120" s="624"/>
      <c r="C120" s="624"/>
      <c r="D120" s="624"/>
      <c r="E120" s="624"/>
      <c r="F120" s="624"/>
      <c r="G120" s="624"/>
      <c r="H120" s="624"/>
      <c r="I120" s="624"/>
      <c r="J120" s="624"/>
      <c r="K120" s="624"/>
      <c r="L120" s="624"/>
    </row>
    <row r="121" spans="1:12">
      <c r="A121" s="624"/>
      <c r="B121" s="624"/>
      <c r="C121" s="624"/>
      <c r="D121" s="624"/>
      <c r="E121" s="624"/>
      <c r="F121" s="624"/>
      <c r="G121" s="624"/>
      <c r="H121" s="624"/>
      <c r="I121" s="624"/>
      <c r="J121" s="624"/>
      <c r="K121" s="624"/>
      <c r="L121" s="624"/>
    </row>
    <row r="122" spans="1:12">
      <c r="A122" s="624"/>
      <c r="B122" s="624"/>
      <c r="C122" s="624"/>
      <c r="D122" s="624"/>
      <c r="E122" s="624"/>
      <c r="F122" s="624"/>
      <c r="G122" s="624"/>
      <c r="H122" s="624"/>
      <c r="I122" s="624"/>
      <c r="J122" s="624"/>
      <c r="K122" s="624"/>
      <c r="L122" s="624"/>
    </row>
    <row r="123" spans="1:12">
      <c r="A123" s="624"/>
      <c r="B123" s="624"/>
      <c r="C123" s="624"/>
      <c r="D123" s="624"/>
      <c r="E123" s="624"/>
      <c r="F123" s="624"/>
      <c r="G123" s="624"/>
      <c r="H123" s="624"/>
      <c r="I123" s="624"/>
      <c r="J123" s="624"/>
      <c r="K123" s="624"/>
      <c r="L123" s="624"/>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117"/>
  <sheetViews>
    <sheetView showGridLines="0" zoomScaleNormal="100" zoomScaleSheetLayoutView="90" workbookViewId="0">
      <selection activeCell="H12" sqref="H12:H16"/>
    </sheetView>
  </sheetViews>
  <sheetFormatPr defaultColWidth="10.90625" defaultRowHeight="14.4"/>
  <cols>
    <col min="1" max="3" width="10.90625" style="628"/>
    <col min="4" max="18" width="12.81640625" style="628" customWidth="1"/>
    <col min="19" max="19" width="18.6328125" style="628" customWidth="1"/>
    <col min="20" max="16384" width="10.90625" style="628"/>
  </cols>
  <sheetData>
    <row r="1" spans="1:12">
      <c r="A1" s="622" t="s">
        <v>309</v>
      </c>
      <c r="B1" s="690"/>
      <c r="C1" s="690"/>
      <c r="D1" s="690"/>
      <c r="E1" s="690"/>
      <c r="F1" s="690"/>
      <c r="G1" s="690"/>
      <c r="H1" s="690"/>
      <c r="I1" s="690"/>
      <c r="J1" s="690"/>
      <c r="K1" s="690"/>
      <c r="L1" s="690"/>
    </row>
    <row r="3" spans="1:12">
      <c r="A3" s="690"/>
      <c r="B3" s="690"/>
      <c r="C3" s="690"/>
      <c r="D3" s="597">
        <v>2022</v>
      </c>
      <c r="E3" s="597">
        <f>+D3+1</f>
        <v>2023</v>
      </c>
      <c r="F3" s="597">
        <f t="shared" ref="F3:G3" si="0">+E3+1</f>
        <v>2024</v>
      </c>
      <c r="G3" s="597">
        <f t="shared" si="0"/>
        <v>2025</v>
      </c>
      <c r="H3" s="597" t="s">
        <v>191</v>
      </c>
      <c r="I3" s="690"/>
      <c r="J3" s="690"/>
      <c r="K3" s="690"/>
      <c r="L3" s="690"/>
    </row>
    <row r="4" spans="1:12">
      <c r="A4" s="622" t="s">
        <v>310</v>
      </c>
      <c r="B4" s="690"/>
      <c r="C4" s="690"/>
      <c r="D4" s="690"/>
      <c r="E4" s="690"/>
      <c r="F4" s="690"/>
      <c r="G4" s="690"/>
      <c r="H4" s="690"/>
      <c r="I4" s="690"/>
      <c r="J4" s="690"/>
      <c r="K4" s="690"/>
      <c r="L4" s="690"/>
    </row>
    <row r="5" spans="1:12">
      <c r="A5" s="690" t="s">
        <v>311</v>
      </c>
      <c r="B5" s="690"/>
      <c r="C5" s="690"/>
      <c r="D5" s="656">
        <v>0</v>
      </c>
      <c r="E5" s="656">
        <v>0</v>
      </c>
      <c r="F5" s="656">
        <v>49649141.742796153</v>
      </c>
      <c r="G5" s="656">
        <v>23899228</v>
      </c>
      <c r="H5" s="691">
        <f>SUM(D5:G5)</f>
        <v>73548369.742796153</v>
      </c>
      <c r="I5" s="691"/>
      <c r="J5" s="690"/>
      <c r="K5" s="690"/>
      <c r="L5" s="690"/>
    </row>
    <row r="6" spans="1:12">
      <c r="A6" s="690" t="s">
        <v>312</v>
      </c>
      <c r="B6" s="690"/>
      <c r="C6" s="690"/>
      <c r="D6" s="656">
        <v>2037334.25</v>
      </c>
      <c r="E6" s="656">
        <v>2812572</v>
      </c>
      <c r="F6" s="656">
        <v>2781684</v>
      </c>
      <c r="G6" s="656">
        <v>1171708</v>
      </c>
      <c r="H6" s="691">
        <f t="shared" ref="H6:H8" si="1">SUM(D6:G6)</f>
        <v>8803298.25</v>
      </c>
      <c r="I6" s="691"/>
      <c r="J6" s="691"/>
      <c r="K6" s="690"/>
      <c r="L6" s="690"/>
    </row>
    <row r="7" spans="1:12">
      <c r="A7" s="690" t="s">
        <v>313</v>
      </c>
      <c r="B7" s="690"/>
      <c r="C7" s="690"/>
      <c r="D7" s="656">
        <v>0</v>
      </c>
      <c r="E7" s="656">
        <v>0</v>
      </c>
      <c r="F7" s="656">
        <v>15007796.25</v>
      </c>
      <c r="G7" s="656">
        <v>17416151.75</v>
      </c>
      <c r="H7" s="691">
        <f t="shared" si="1"/>
        <v>32423948</v>
      </c>
      <c r="I7" s="691"/>
      <c r="J7" s="690"/>
      <c r="K7" s="690"/>
      <c r="L7" s="690"/>
    </row>
    <row r="8" spans="1:12">
      <c r="A8" s="690" t="s">
        <v>314</v>
      </c>
      <c r="B8" s="690"/>
      <c r="C8" s="690"/>
      <c r="D8" s="657">
        <v>0</v>
      </c>
      <c r="E8" s="657">
        <v>0</v>
      </c>
      <c r="F8" s="657">
        <v>960000</v>
      </c>
      <c r="G8" s="657">
        <v>524388</v>
      </c>
      <c r="H8" s="691">
        <f t="shared" si="1"/>
        <v>1484388</v>
      </c>
      <c r="I8" s="691"/>
      <c r="J8" s="690"/>
      <c r="K8" s="690"/>
      <c r="L8" s="690"/>
    </row>
    <row r="9" spans="1:12" ht="15" thickBot="1">
      <c r="A9" s="690" t="s">
        <v>191</v>
      </c>
      <c r="B9" s="690"/>
      <c r="C9" s="690"/>
      <c r="D9" s="692">
        <f>SUM(D5:D8)</f>
        <v>2037334.25</v>
      </c>
      <c r="E9" s="692">
        <f t="shared" ref="E9:H9" si="2">SUM(E5:E8)</f>
        <v>2812572</v>
      </c>
      <c r="F9" s="692">
        <f t="shared" si="2"/>
        <v>68398621.992796153</v>
      </c>
      <c r="G9" s="692">
        <f t="shared" si="2"/>
        <v>43011475.75</v>
      </c>
      <c r="H9" s="692">
        <f t="shared" si="2"/>
        <v>116260003.99279615</v>
      </c>
      <c r="I9" s="691"/>
      <c r="J9" s="690"/>
      <c r="K9" s="690"/>
      <c r="L9" s="690"/>
    </row>
    <row r="10" spans="1:12">
      <c r="A10" s="690"/>
      <c r="B10" s="690"/>
      <c r="C10" s="690"/>
      <c r="D10" s="690"/>
      <c r="E10" s="690"/>
      <c r="F10" s="690"/>
      <c r="G10" s="693" t="s">
        <v>315</v>
      </c>
      <c r="H10" s="694">
        <f>+H9-H8-1200000*0</f>
        <v>114775615.99279615</v>
      </c>
      <c r="I10" s="695" t="s">
        <v>316</v>
      </c>
      <c r="J10" s="690"/>
      <c r="K10" s="690"/>
      <c r="L10" s="690"/>
    </row>
    <row r="11" spans="1:12">
      <c r="A11" s="622" t="s">
        <v>317</v>
      </c>
      <c r="B11" s="690"/>
      <c r="C11" s="690"/>
      <c r="D11" s="621"/>
      <c r="E11" s="621"/>
      <c r="F11" s="621"/>
      <c r="G11" s="621"/>
      <c r="H11" s="621"/>
      <c r="I11" s="641" t="s">
        <v>318</v>
      </c>
      <c r="J11" s="690"/>
      <c r="K11" s="690"/>
      <c r="L11" s="690"/>
    </row>
    <row r="12" spans="1:12">
      <c r="A12" s="690" t="s">
        <v>319</v>
      </c>
      <c r="B12" s="690"/>
      <c r="C12" s="690"/>
      <c r="D12" s="307">
        <v>11956243</v>
      </c>
      <c r="E12" s="307">
        <v>0</v>
      </c>
      <c r="F12" s="307">
        <v>0</v>
      </c>
      <c r="G12" s="307">
        <v>0</v>
      </c>
      <c r="H12" s="691">
        <f>SUM(D12:G12)</f>
        <v>11956243</v>
      </c>
      <c r="I12" s="694">
        <v>0</v>
      </c>
      <c r="J12" s="690"/>
      <c r="K12" s="690"/>
      <c r="L12" s="690"/>
    </row>
    <row r="13" spans="1:12">
      <c r="A13" s="659" t="s">
        <v>320</v>
      </c>
      <c r="B13" s="690"/>
      <c r="C13" s="690"/>
      <c r="D13" s="658"/>
      <c r="E13" s="658"/>
      <c r="F13" s="658"/>
      <c r="G13" s="658"/>
      <c r="H13" s="690"/>
      <c r="I13" s="690"/>
      <c r="J13" s="641" t="s">
        <v>321</v>
      </c>
      <c r="K13" s="690"/>
      <c r="L13" s="690"/>
    </row>
    <row r="14" spans="1:12">
      <c r="A14" s="690" t="s">
        <v>322</v>
      </c>
      <c r="B14" s="690"/>
      <c r="C14" s="690"/>
      <c r="D14" s="307">
        <v>7711310</v>
      </c>
      <c r="E14" s="307">
        <v>44284380.713333331</v>
      </c>
      <c r="F14" s="307">
        <v>27469116</v>
      </c>
      <c r="G14" s="307">
        <v>0</v>
      </c>
      <c r="H14" s="691">
        <f>SUM(D14:G14)</f>
        <v>79464806.713333338</v>
      </c>
      <c r="I14" s="694">
        <v>7983728.7133333385</v>
      </c>
      <c r="J14" s="696">
        <f>+I14/(H14+H16)</f>
        <v>8.5129417868211557E-2</v>
      </c>
      <c r="K14" s="697"/>
      <c r="L14" s="698"/>
    </row>
    <row r="15" spans="1:12">
      <c r="A15" s="690" t="s">
        <v>323</v>
      </c>
      <c r="B15" s="690"/>
      <c r="C15" s="690"/>
      <c r="D15" s="307">
        <v>4073040</v>
      </c>
      <c r="E15" s="307">
        <v>437028</v>
      </c>
      <c r="F15" s="307">
        <v>2477820.75</v>
      </c>
      <c r="G15" s="307">
        <v>0</v>
      </c>
      <c r="H15" s="691">
        <f>SUM(D15:G15)</f>
        <v>6987888.75</v>
      </c>
      <c r="I15" s="694">
        <v>1369887.75</v>
      </c>
      <c r="J15" s="696">
        <f>+I15/H15</f>
        <v>0.19603742976016897</v>
      </c>
      <c r="K15" s="690"/>
      <c r="L15" s="690"/>
    </row>
    <row r="16" spans="1:12">
      <c r="A16" s="690" t="s">
        <v>324</v>
      </c>
      <c r="B16" s="690"/>
      <c r="C16" s="690"/>
      <c r="D16" s="307">
        <v>3052327</v>
      </c>
      <c r="E16" s="307">
        <v>7525919.583333333</v>
      </c>
      <c r="F16" s="307">
        <v>3740375.666666667</v>
      </c>
      <c r="G16" s="307">
        <v>0</v>
      </c>
      <c r="H16" s="691">
        <f>SUM(D16:G16)</f>
        <v>14318622.25</v>
      </c>
      <c r="I16" s="691">
        <v>1438098.3499999996</v>
      </c>
      <c r="J16" s="696">
        <f>+I16/H16</f>
        <v>0.10043552549198646</v>
      </c>
      <c r="K16" s="690"/>
      <c r="L16" s="690"/>
    </row>
    <row r="17" spans="1:18">
      <c r="A17" s="690" t="s">
        <v>325</v>
      </c>
      <c r="B17" s="690"/>
      <c r="C17" s="690"/>
      <c r="D17" s="699">
        <f t="shared" ref="D17:I17" si="3">SUM(D14:D16)</f>
        <v>14836677</v>
      </c>
      <c r="E17" s="699">
        <f t="shared" si="3"/>
        <v>52247328.296666667</v>
      </c>
      <c r="F17" s="699">
        <f t="shared" si="3"/>
        <v>33687312.416666664</v>
      </c>
      <c r="G17" s="699">
        <f t="shared" si="3"/>
        <v>0</v>
      </c>
      <c r="H17" s="699">
        <f t="shared" si="3"/>
        <v>100771317.71333334</v>
      </c>
      <c r="I17" s="699">
        <f t="shared" si="3"/>
        <v>10791714.813333338</v>
      </c>
      <c r="J17" s="696">
        <f>+I17/H17</f>
        <v>0.1070911352378342</v>
      </c>
      <c r="K17" s="690"/>
      <c r="L17" s="690"/>
      <c r="M17" s="690"/>
      <c r="N17" s="690"/>
      <c r="O17" s="690"/>
      <c r="P17" s="690"/>
      <c r="Q17" s="690"/>
      <c r="R17" s="690"/>
    </row>
    <row r="18" spans="1:18">
      <c r="A18" s="659" t="s">
        <v>326</v>
      </c>
      <c r="B18" s="690"/>
      <c r="C18" s="690"/>
      <c r="D18" s="691"/>
      <c r="E18" s="691"/>
      <c r="F18" s="691"/>
      <c r="G18" s="691"/>
      <c r="H18" s="691"/>
      <c r="I18" s="690"/>
      <c r="J18" s="696"/>
      <c r="K18" s="690"/>
      <c r="L18" s="690"/>
      <c r="M18" s="690"/>
      <c r="N18" s="690"/>
      <c r="O18" s="690"/>
      <c r="P18" s="690"/>
      <c r="Q18" s="690"/>
      <c r="R18" s="690"/>
    </row>
    <row r="19" spans="1:18">
      <c r="A19" s="690" t="s">
        <v>327</v>
      </c>
      <c r="B19" s="690"/>
      <c r="C19" s="690"/>
      <c r="D19" s="691">
        <f>D7</f>
        <v>0</v>
      </c>
      <c r="E19" s="691">
        <f t="shared" ref="E19:G19" si="4">E7</f>
        <v>0</v>
      </c>
      <c r="F19" s="691">
        <f t="shared" si="4"/>
        <v>15007796.25</v>
      </c>
      <c r="G19" s="691">
        <f t="shared" si="4"/>
        <v>17416151.75</v>
      </c>
      <c r="H19" s="691">
        <f>SUM(D19:G19)</f>
        <v>32423948</v>
      </c>
      <c r="I19" s="694">
        <v>3062541.14</v>
      </c>
      <c r="J19" s="696">
        <f>+I19/H19</f>
        <v>9.445306105228149E-2</v>
      </c>
      <c r="K19" s="690"/>
      <c r="L19" s="690"/>
      <c r="M19" s="690"/>
      <c r="N19" s="690"/>
      <c r="O19" s="690"/>
      <c r="P19" s="690"/>
      <c r="Q19" s="690"/>
      <c r="R19" s="690"/>
    </row>
    <row r="20" spans="1:18">
      <c r="A20" s="690" t="s">
        <v>328</v>
      </c>
      <c r="B20" s="690"/>
      <c r="C20" s="690"/>
      <c r="D20" s="691">
        <f>+D5</f>
        <v>0</v>
      </c>
      <c r="E20" s="691">
        <f t="shared" ref="E20:G20" si="5">+E5</f>
        <v>0</v>
      </c>
      <c r="F20" s="691">
        <f t="shared" si="5"/>
        <v>49649141.742796153</v>
      </c>
      <c r="G20" s="691">
        <f t="shared" si="5"/>
        <v>23899228</v>
      </c>
      <c r="H20" s="691">
        <f t="shared" ref="H20:H22" si="6">SUM(D20:G20)</f>
        <v>73548369.742796153</v>
      </c>
      <c r="I20" s="694">
        <v>16543188.937796153</v>
      </c>
      <c r="J20" s="696">
        <f>+I20/H20</f>
        <v>0.22492937634986138</v>
      </c>
      <c r="K20" s="700">
        <f>+I28+I14</f>
        <v>7984124.7133333385</v>
      </c>
      <c r="L20" s="690"/>
      <c r="M20" s="690"/>
      <c r="N20" s="690"/>
      <c r="O20" s="690"/>
      <c r="P20" s="690"/>
      <c r="Q20" s="690"/>
      <c r="R20" s="690"/>
    </row>
    <row r="21" spans="1:18">
      <c r="A21" s="690" t="s">
        <v>329</v>
      </c>
      <c r="B21" s="690"/>
      <c r="C21" s="690"/>
      <c r="D21" s="691">
        <f>+D6</f>
        <v>2037334.25</v>
      </c>
      <c r="E21" s="691">
        <f t="shared" ref="E21:G21" si="7">+E6</f>
        <v>2812572</v>
      </c>
      <c r="F21" s="691">
        <f t="shared" si="7"/>
        <v>2781684</v>
      </c>
      <c r="G21" s="691">
        <f t="shared" si="7"/>
        <v>1171708</v>
      </c>
      <c r="H21" s="691">
        <f t="shared" si="6"/>
        <v>8803298.25</v>
      </c>
      <c r="I21" s="694">
        <v>0</v>
      </c>
      <c r="J21" s="696">
        <f>+I21/H21</f>
        <v>0</v>
      </c>
      <c r="K21" s="700">
        <v>102591525</v>
      </c>
      <c r="L21" s="690"/>
      <c r="M21" s="690"/>
      <c r="N21" s="690"/>
      <c r="O21" s="690"/>
      <c r="P21" s="690"/>
      <c r="Q21" s="690"/>
      <c r="R21" s="690"/>
    </row>
    <row r="22" spans="1:18">
      <c r="A22" s="690" t="s">
        <v>330</v>
      </c>
      <c r="B22" s="690"/>
      <c r="C22" s="690"/>
      <c r="D22" s="694">
        <f>+D8</f>
        <v>0</v>
      </c>
      <c r="E22" s="694">
        <f>+E8</f>
        <v>0</v>
      </c>
      <c r="F22" s="694">
        <f>+F8</f>
        <v>960000</v>
      </c>
      <c r="G22" s="694">
        <f>+G8</f>
        <v>524388</v>
      </c>
      <c r="H22" s="691">
        <f t="shared" si="6"/>
        <v>1484388</v>
      </c>
      <c r="I22" s="694">
        <v>0</v>
      </c>
      <c r="J22" s="696">
        <f>+I22/H22</f>
        <v>0</v>
      </c>
      <c r="K22" s="701">
        <f>+K20/K21</f>
        <v>7.7824408140276094E-2</v>
      </c>
      <c r="L22" s="690"/>
      <c r="M22" s="690"/>
      <c r="N22" s="690"/>
      <c r="O22" s="690"/>
      <c r="P22" s="690"/>
      <c r="Q22" s="690"/>
      <c r="R22" s="690"/>
    </row>
    <row r="23" spans="1:18">
      <c r="A23" s="690" t="s">
        <v>331</v>
      </c>
      <c r="B23" s="690"/>
      <c r="C23" s="690"/>
      <c r="D23" s="702">
        <f>SUM(D19:D22)</f>
        <v>2037334.25</v>
      </c>
      <c r="E23" s="702">
        <f t="shared" ref="E23:I23" si="8">SUM(E19:E22)</f>
        <v>2812572</v>
      </c>
      <c r="F23" s="702">
        <f t="shared" si="8"/>
        <v>68398621.992796153</v>
      </c>
      <c r="G23" s="702">
        <f t="shared" si="8"/>
        <v>43011475.75</v>
      </c>
      <c r="H23" s="702">
        <f t="shared" si="8"/>
        <v>116260003.99279615</v>
      </c>
      <c r="I23" s="702">
        <f t="shared" si="8"/>
        <v>19605730.077796154</v>
      </c>
      <c r="J23" s="696">
        <f>+I23/H23</f>
        <v>0.16863692933479504</v>
      </c>
      <c r="K23" s="690"/>
      <c r="L23" s="690"/>
      <c r="M23" s="690"/>
      <c r="N23" s="690"/>
      <c r="O23" s="690"/>
      <c r="P23" s="690"/>
      <c r="Q23" s="690"/>
      <c r="R23" s="690"/>
    </row>
    <row r="24" spans="1:18">
      <c r="A24" s="690"/>
      <c r="B24" s="690"/>
      <c r="C24" s="690"/>
      <c r="D24" s="694"/>
      <c r="E24" s="694"/>
      <c r="F24" s="694"/>
      <c r="G24" s="694"/>
      <c r="H24" s="691"/>
      <c r="I24" s="694"/>
      <c r="J24" s="696"/>
      <c r="K24" s="690"/>
      <c r="L24" s="690"/>
      <c r="M24" s="690"/>
      <c r="N24" s="690"/>
      <c r="O24" s="690"/>
      <c r="P24" s="690"/>
      <c r="Q24" s="690"/>
      <c r="R24" s="690"/>
    </row>
    <row r="25" spans="1:18" ht="15" thickBot="1">
      <c r="A25" s="690" t="s">
        <v>332</v>
      </c>
      <c r="B25" s="690"/>
      <c r="C25" s="690"/>
      <c r="D25" s="703">
        <f>+D12+D17+D23</f>
        <v>28830254.25</v>
      </c>
      <c r="E25" s="703">
        <f t="shared" ref="E25:I25" si="9">+E12+E17+E23</f>
        <v>55059900.296666667</v>
      </c>
      <c r="F25" s="703">
        <f t="shared" si="9"/>
        <v>102085934.40946281</v>
      </c>
      <c r="G25" s="703">
        <f t="shared" si="9"/>
        <v>43011475.75</v>
      </c>
      <c r="H25" s="703">
        <f t="shared" si="9"/>
        <v>228987564.70612949</v>
      </c>
      <c r="I25" s="703">
        <f t="shared" si="9"/>
        <v>30397444.891129494</v>
      </c>
      <c r="J25" s="696"/>
      <c r="K25" s="690"/>
      <c r="L25" s="690"/>
      <c r="M25" s="690"/>
      <c r="N25" s="690"/>
      <c r="O25" s="690"/>
      <c r="P25" s="690"/>
      <c r="Q25" s="690"/>
      <c r="R25" s="690"/>
    </row>
    <row r="26" spans="1:18">
      <c r="A26" s="690"/>
      <c r="B26" s="690"/>
      <c r="C26" s="690"/>
      <c r="D26" s="694"/>
      <c r="E26" s="694"/>
      <c r="F26" s="694"/>
      <c r="G26" s="694"/>
      <c r="H26" s="694"/>
      <c r="I26" s="694"/>
      <c r="J26" s="696"/>
      <c r="K26" s="690"/>
      <c r="L26" s="690"/>
      <c r="M26" s="690"/>
      <c r="N26" s="690"/>
      <c r="O26" s="690"/>
      <c r="P26" s="690"/>
      <c r="Q26" s="690"/>
      <c r="R26" s="690"/>
    </row>
    <row r="27" spans="1:18">
      <c r="A27" s="690" t="s">
        <v>333</v>
      </c>
      <c r="B27" s="674"/>
      <c r="C27" s="690"/>
      <c r="D27" s="623">
        <f>(255000000-$H$25-$H$28)*(D25+D28)/($H$25+$H$28)</f>
        <v>579001.52937609062</v>
      </c>
      <c r="E27" s="623">
        <f>(255000000-$H$25-$H$28)*(E25+E28)/($H$25+$H$28)</f>
        <v>1399707.2992935854</v>
      </c>
      <c r="F27" s="623">
        <f>(255000000-$H$25-$H$28)*(F25+F28)/($H$25+$H$28)</f>
        <v>2174286.0849136435</v>
      </c>
      <c r="G27" s="623">
        <f>(255000000-$H$25-$H$28)*(G25+G28)/($H$25+$H$28)</f>
        <v>863044.38028718892</v>
      </c>
      <c r="H27" s="691">
        <f>SUM(D27:G27)</f>
        <v>5016039.2938705087</v>
      </c>
      <c r="I27" s="694"/>
      <c r="J27" s="696"/>
      <c r="K27" s="690"/>
      <c r="L27" s="690"/>
      <c r="M27" s="690"/>
      <c r="N27" s="690"/>
      <c r="O27" s="690"/>
      <c r="P27" s="690"/>
      <c r="Q27" s="690"/>
      <c r="R27" s="690"/>
    </row>
    <row r="28" spans="1:18">
      <c r="A28" s="690" t="s">
        <v>334</v>
      </c>
      <c r="B28" s="690"/>
      <c r="C28" s="690"/>
      <c r="D28" s="307">
        <v>25400</v>
      </c>
      <c r="E28" s="686">
        <v>14697203.666666668</v>
      </c>
      <c r="F28" s="307">
        <v>6273792.333333333</v>
      </c>
      <c r="G28" s="307">
        <v>0</v>
      </c>
      <c r="H28" s="691">
        <f>SUM(D28:G28)</f>
        <v>20996396</v>
      </c>
      <c r="I28" s="694">
        <v>396</v>
      </c>
      <c r="J28" s="696">
        <f>+I28/H28</f>
        <v>1.8860379657537419E-5</v>
      </c>
      <c r="K28" s="690"/>
      <c r="L28" s="690"/>
      <c r="M28" s="690"/>
      <c r="N28" s="690"/>
      <c r="O28" s="690"/>
      <c r="P28" s="690"/>
      <c r="Q28" s="690"/>
      <c r="R28" s="690"/>
    </row>
    <row r="29" spans="1:18">
      <c r="A29" s="690"/>
      <c r="B29" s="690"/>
      <c r="C29" s="690"/>
      <c r="D29" s="690"/>
      <c r="E29" s="690"/>
      <c r="F29" s="690"/>
      <c r="G29" s="690"/>
      <c r="H29" s="690"/>
      <c r="I29" s="694"/>
      <c r="J29" s="690"/>
      <c r="K29" s="690"/>
      <c r="L29" s="690"/>
      <c r="M29" s="690"/>
      <c r="N29" s="690"/>
      <c r="O29" s="690"/>
      <c r="P29" s="690"/>
      <c r="Q29" s="690"/>
      <c r="R29" s="690"/>
    </row>
    <row r="30" spans="1:18" ht="15" thickBot="1">
      <c r="A30" s="690" t="s">
        <v>335</v>
      </c>
      <c r="B30" s="690"/>
      <c r="C30" s="690"/>
      <c r="D30" s="704">
        <f>+D25+D27+D28</f>
        <v>29434655.77937609</v>
      </c>
      <c r="E30" s="704">
        <f t="shared" ref="E30:I30" si="10">+E25+E27+E28</f>
        <v>71156811.262626916</v>
      </c>
      <c r="F30" s="704">
        <f t="shared" si="10"/>
        <v>110534012.82770978</v>
      </c>
      <c r="G30" s="704">
        <f t="shared" si="10"/>
        <v>43874520.130287185</v>
      </c>
      <c r="H30" s="704">
        <f t="shared" si="10"/>
        <v>255000000</v>
      </c>
      <c r="I30" s="704">
        <f t="shared" si="10"/>
        <v>30397840.891129494</v>
      </c>
      <c r="J30" s="696">
        <f>+I30/H30</f>
        <v>0.11920721918089998</v>
      </c>
      <c r="K30" s="690"/>
      <c r="L30" s="690"/>
      <c r="M30" s="690"/>
      <c r="N30" s="690"/>
      <c r="O30" s="690"/>
      <c r="P30" s="690"/>
      <c r="Q30" s="690"/>
      <c r="R30" s="690"/>
    </row>
    <row r="31" spans="1:18" ht="15" thickTop="1">
      <c r="A31" s="690"/>
      <c r="B31" s="690"/>
      <c r="C31" s="690"/>
      <c r="D31" s="705">
        <v>0</v>
      </c>
      <c r="E31" s="690"/>
      <c r="F31" s="690"/>
      <c r="G31" s="690"/>
      <c r="H31" s="690"/>
      <c r="I31" s="690"/>
      <c r="J31" s="690"/>
      <c r="K31" s="690"/>
      <c r="L31" s="690"/>
      <c r="M31" s="690"/>
      <c r="N31" s="690"/>
      <c r="O31" s="690"/>
      <c r="P31" s="690"/>
      <c r="Q31" s="690"/>
      <c r="R31" s="690"/>
    </row>
    <row r="32" spans="1:18" ht="16.2" customHeight="1">
      <c r="A32" s="640" t="s">
        <v>336</v>
      </c>
      <c r="B32" s="640"/>
      <c r="C32" s="640"/>
      <c r="D32" s="639"/>
      <c r="E32" s="639"/>
      <c r="F32" s="639"/>
      <c r="G32" s="639"/>
      <c r="H32" s="639"/>
      <c r="I32" s="639"/>
      <c r="J32" s="639"/>
      <c r="K32" s="639"/>
      <c r="L32" s="639"/>
      <c r="M32" s="639"/>
      <c r="N32" s="639"/>
      <c r="O32" s="639"/>
      <c r="P32" s="639"/>
      <c r="Q32" s="639"/>
      <c r="R32" s="639"/>
    </row>
    <row r="33" spans="1:19">
      <c r="A33" s="706"/>
      <c r="B33" s="635"/>
      <c r="C33" s="635"/>
      <c r="D33" s="721"/>
      <c r="E33" s="721"/>
      <c r="F33" s="721"/>
      <c r="G33" s="660"/>
      <c r="H33" s="660"/>
      <c r="I33" s="660"/>
      <c r="J33" s="660"/>
      <c r="K33" s="660"/>
      <c r="L33" s="660"/>
      <c r="M33" s="660"/>
      <c r="N33" s="660"/>
      <c r="O33" s="660"/>
      <c r="P33" s="660"/>
      <c r="Q33" s="660"/>
      <c r="R33" s="707"/>
      <c r="S33" s="2"/>
    </row>
    <row r="34" spans="1:19">
      <c r="A34" s="706"/>
      <c r="B34" s="635"/>
      <c r="C34" s="635"/>
      <c r="D34" s="720"/>
      <c r="E34" s="720"/>
      <c r="F34" s="720"/>
      <c r="G34" s="660"/>
      <c r="H34" s="660"/>
      <c r="I34" s="660"/>
      <c r="J34" s="660"/>
      <c r="K34" s="660"/>
      <c r="L34" s="660"/>
      <c r="M34" s="660"/>
      <c r="N34" s="660"/>
      <c r="O34" s="660"/>
      <c r="P34" s="660"/>
      <c r="Q34" s="660"/>
      <c r="R34" s="708"/>
      <c r="S34" s="2"/>
    </row>
    <row r="35" spans="1:19" ht="16.2">
      <c r="A35" s="706"/>
      <c r="B35" s="635"/>
      <c r="C35" s="635"/>
      <c r="D35" s="635"/>
      <c r="E35" s="635"/>
      <c r="F35" s="635"/>
      <c r="G35" s="661"/>
      <c r="H35" s="661"/>
      <c r="I35" s="661"/>
      <c r="J35" s="661"/>
      <c r="K35" s="661"/>
      <c r="L35" s="661"/>
      <c r="M35" s="661"/>
      <c r="N35" s="661"/>
      <c r="O35" s="661"/>
      <c r="P35" s="662"/>
      <c r="Q35" s="662"/>
      <c r="R35" s="708"/>
      <c r="S35" s="2"/>
    </row>
    <row r="36" spans="1:19" ht="16.2">
      <c r="A36" s="706"/>
      <c r="B36" s="635"/>
      <c r="C36" s="663"/>
      <c r="D36" s="664"/>
      <c r="E36" s="665"/>
      <c r="F36" s="635"/>
      <c r="G36" s="634"/>
      <c r="H36" s="666"/>
      <c r="I36" s="666"/>
      <c r="J36" s="666"/>
      <c r="K36" s="666"/>
      <c r="L36" s="666"/>
      <c r="M36" s="666"/>
      <c r="N36" s="666"/>
      <c r="O36" s="666"/>
      <c r="P36" s="634"/>
      <c r="Q36" s="634"/>
      <c r="R36" s="643"/>
      <c r="S36" s="2"/>
    </row>
    <row r="37" spans="1:19">
      <c r="A37" s="706"/>
      <c r="B37" s="635"/>
      <c r="C37" s="667"/>
      <c r="D37" s="635"/>
      <c r="E37" s="635"/>
      <c r="F37" s="635"/>
      <c r="G37" s="634"/>
      <c r="H37" s="634"/>
      <c r="I37" s="634"/>
      <c r="J37" s="634"/>
      <c r="K37" s="634"/>
      <c r="L37" s="634"/>
      <c r="M37" s="634"/>
      <c r="N37" s="634"/>
      <c r="O37" s="634"/>
      <c r="P37" s="634"/>
      <c r="Q37" s="634"/>
      <c r="R37" s="642"/>
      <c r="S37" s="2"/>
    </row>
    <row r="38" spans="1:19">
      <c r="A38" s="706"/>
      <c r="B38" s="635"/>
      <c r="C38" s="635"/>
      <c r="D38" s="664"/>
      <c r="E38" s="635"/>
      <c r="F38" s="635"/>
      <c r="G38" s="634"/>
      <c r="H38" s="634"/>
      <c r="I38" s="634"/>
      <c r="J38" s="634"/>
      <c r="K38" s="634"/>
      <c r="L38" s="634"/>
      <c r="M38" s="634"/>
      <c r="N38" s="634"/>
      <c r="O38" s="634"/>
      <c r="P38" s="634"/>
      <c r="Q38" s="634"/>
      <c r="R38" s="642"/>
      <c r="S38" s="2"/>
    </row>
    <row r="39" spans="1:19">
      <c r="A39" s="706"/>
      <c r="B39" s="635"/>
      <c r="C39" s="635"/>
      <c r="D39" s="668"/>
      <c r="E39" s="635"/>
      <c r="F39" s="635"/>
      <c r="G39" s="634"/>
      <c r="H39" s="634"/>
      <c r="I39" s="634"/>
      <c r="J39" s="634"/>
      <c r="K39" s="634"/>
      <c r="L39" s="634"/>
      <c r="M39" s="634"/>
      <c r="N39" s="634"/>
      <c r="O39" s="634"/>
      <c r="P39" s="634"/>
      <c r="Q39" s="634"/>
      <c r="R39" s="638"/>
      <c r="S39" s="2"/>
    </row>
    <row r="40" spans="1:19">
      <c r="A40" s="706"/>
      <c r="B40" s="635"/>
      <c r="C40" s="635"/>
      <c r="D40" s="668"/>
      <c r="E40" s="635"/>
      <c r="F40" s="635"/>
      <c r="G40" s="634"/>
      <c r="H40" s="634"/>
      <c r="I40" s="634"/>
      <c r="J40" s="634"/>
      <c r="K40" s="634"/>
      <c r="L40" s="634"/>
      <c r="M40" s="634"/>
      <c r="N40" s="634"/>
      <c r="O40" s="634"/>
      <c r="P40" s="634"/>
      <c r="Q40" s="634"/>
      <c r="R40" s="638"/>
      <c r="S40" s="2"/>
    </row>
    <row r="41" spans="1:19">
      <c r="A41" s="706"/>
      <c r="B41" s="635"/>
      <c r="C41" s="635"/>
      <c r="D41" s="669"/>
      <c r="E41" s="635"/>
      <c r="F41" s="635"/>
      <c r="G41" s="634"/>
      <c r="H41" s="634"/>
      <c r="I41" s="634"/>
      <c r="J41" s="634"/>
      <c r="K41" s="634"/>
      <c r="L41" s="634"/>
      <c r="M41" s="634"/>
      <c r="N41" s="634"/>
      <c r="O41" s="634"/>
      <c r="P41" s="634"/>
      <c r="Q41" s="634"/>
      <c r="R41" s="638"/>
      <c r="S41" s="2"/>
    </row>
    <row r="42" spans="1:19">
      <c r="A42" s="706"/>
      <c r="B42" s="635"/>
      <c r="C42" s="635"/>
      <c r="D42" s="669"/>
      <c r="E42" s="635"/>
      <c r="F42" s="635"/>
      <c r="G42" s="634"/>
      <c r="H42" s="634"/>
      <c r="I42" s="634"/>
      <c r="J42" s="634"/>
      <c r="K42" s="634"/>
      <c r="L42" s="634"/>
      <c r="M42" s="634"/>
      <c r="N42" s="634"/>
      <c r="O42" s="634"/>
      <c r="P42" s="634"/>
      <c r="Q42" s="634"/>
      <c r="R42" s="638"/>
      <c r="S42" s="2"/>
    </row>
    <row r="43" spans="1:19">
      <c r="A43" s="706"/>
      <c r="B43" s="635"/>
      <c r="C43" s="635"/>
      <c r="D43" s="669"/>
      <c r="E43" s="635"/>
      <c r="F43" s="635"/>
      <c r="G43" s="634"/>
      <c r="H43" s="634"/>
      <c r="I43" s="634"/>
      <c r="J43" s="634"/>
      <c r="K43" s="634"/>
      <c r="L43" s="634"/>
      <c r="M43" s="634"/>
      <c r="N43" s="634"/>
      <c r="O43" s="634"/>
      <c r="P43" s="634"/>
      <c r="Q43" s="634"/>
      <c r="R43" s="638"/>
      <c r="S43" s="2"/>
    </row>
    <row r="44" spans="1:19">
      <c r="A44" s="706"/>
      <c r="B44" s="635"/>
      <c r="C44" s="635"/>
      <c r="D44" s="669"/>
      <c r="E44" s="635"/>
      <c r="F44" s="635"/>
      <c r="G44" s="634"/>
      <c r="H44" s="634"/>
      <c r="I44" s="634"/>
      <c r="J44" s="634"/>
      <c r="K44" s="634"/>
      <c r="L44" s="634"/>
      <c r="M44" s="634"/>
      <c r="N44" s="634"/>
      <c r="O44" s="634"/>
      <c r="P44" s="634"/>
      <c r="Q44" s="634"/>
      <c r="R44" s="638"/>
      <c r="S44" s="2"/>
    </row>
    <row r="45" spans="1:19">
      <c r="A45" s="706"/>
      <c r="B45" s="635"/>
      <c r="C45" s="635"/>
      <c r="D45" s="669"/>
      <c r="E45" s="635"/>
      <c r="F45" s="635"/>
      <c r="G45" s="634"/>
      <c r="H45" s="634"/>
      <c r="I45" s="634"/>
      <c r="J45" s="634"/>
      <c r="K45" s="634"/>
      <c r="L45" s="634"/>
      <c r="M45" s="634"/>
      <c r="N45" s="634"/>
      <c r="O45" s="634"/>
      <c r="P45" s="634"/>
      <c r="Q45" s="634"/>
      <c r="R45" s="638"/>
      <c r="S45" s="670"/>
    </row>
    <row r="46" spans="1:19">
      <c r="A46" s="706"/>
      <c r="B46" s="635"/>
      <c r="C46" s="635"/>
      <c r="D46" s="664"/>
      <c r="E46" s="635"/>
      <c r="F46" s="635"/>
      <c r="G46" s="634"/>
      <c r="H46" s="634"/>
      <c r="I46" s="634"/>
      <c r="J46" s="634"/>
      <c r="K46" s="634"/>
      <c r="L46" s="634"/>
      <c r="M46" s="634"/>
      <c r="N46" s="634"/>
      <c r="O46" s="634"/>
      <c r="P46" s="634"/>
      <c r="Q46" s="634"/>
      <c r="R46" s="671"/>
      <c r="S46" s="670"/>
    </row>
    <row r="47" spans="1:19">
      <c r="A47" s="706"/>
      <c r="B47" s="635"/>
      <c r="C47" s="635"/>
      <c r="D47" s="664"/>
      <c r="E47" s="635"/>
      <c r="F47" s="635"/>
      <c r="G47" s="634"/>
      <c r="H47" s="634"/>
      <c r="I47" s="634"/>
      <c r="J47" s="634"/>
      <c r="K47" s="634"/>
      <c r="L47" s="634"/>
      <c r="M47" s="634"/>
      <c r="N47" s="634"/>
      <c r="O47" s="634"/>
      <c r="P47" s="634"/>
      <c r="Q47" s="634"/>
      <c r="R47" s="638"/>
      <c r="S47" s="2"/>
    </row>
    <row r="48" spans="1:19">
      <c r="A48" s="706"/>
      <c r="B48" s="635"/>
      <c r="C48" s="635"/>
      <c r="D48" s="664"/>
      <c r="E48" s="635"/>
      <c r="F48" s="635"/>
      <c r="G48" s="634"/>
      <c r="H48" s="634"/>
      <c r="I48" s="634"/>
      <c r="J48" s="634"/>
      <c r="K48" s="634"/>
      <c r="L48" s="634"/>
      <c r="M48" s="634"/>
      <c r="N48" s="634"/>
      <c r="O48" s="634"/>
      <c r="P48" s="634"/>
      <c r="Q48" s="634"/>
      <c r="R48" s="638"/>
      <c r="S48" s="2"/>
    </row>
    <row r="49" spans="1:19">
      <c r="A49" s="706"/>
      <c r="B49" s="635"/>
      <c r="C49" s="635"/>
      <c r="D49" s="668"/>
      <c r="E49" s="635"/>
      <c r="F49" s="635"/>
      <c r="G49" s="634"/>
      <c r="H49" s="634"/>
      <c r="I49" s="634"/>
      <c r="J49" s="634"/>
      <c r="K49" s="634"/>
      <c r="L49" s="634"/>
      <c r="M49" s="634"/>
      <c r="N49" s="634"/>
      <c r="O49" s="634"/>
      <c r="P49" s="634"/>
      <c r="Q49" s="634"/>
      <c r="R49" s="638"/>
      <c r="S49" s="2"/>
    </row>
    <row r="50" spans="1:19">
      <c r="A50" s="706"/>
      <c r="B50" s="635"/>
      <c r="C50" s="635"/>
      <c r="D50" s="668"/>
      <c r="E50" s="635"/>
      <c r="F50" s="635"/>
      <c r="G50" s="634"/>
      <c r="H50" s="634"/>
      <c r="I50" s="634"/>
      <c r="J50" s="634"/>
      <c r="K50" s="634"/>
      <c r="L50" s="634"/>
      <c r="M50" s="634"/>
      <c r="N50" s="634"/>
      <c r="O50" s="634"/>
      <c r="P50" s="634"/>
      <c r="Q50" s="634"/>
      <c r="R50" s="638"/>
      <c r="S50" s="2"/>
    </row>
    <row r="51" spans="1:19">
      <c r="A51" s="706"/>
      <c r="B51" s="635"/>
      <c r="C51" s="635"/>
      <c r="D51" s="668"/>
      <c r="E51" s="635"/>
      <c r="F51" s="635"/>
      <c r="G51" s="634"/>
      <c r="H51" s="634"/>
      <c r="I51" s="634"/>
      <c r="J51" s="634"/>
      <c r="K51" s="634"/>
      <c r="L51" s="634"/>
      <c r="M51" s="634"/>
      <c r="N51" s="634"/>
      <c r="O51" s="634"/>
      <c r="P51" s="634"/>
      <c r="Q51" s="634"/>
      <c r="R51" s="638"/>
      <c r="S51" s="2"/>
    </row>
    <row r="52" spans="1:19">
      <c r="A52" s="706"/>
      <c r="B52" s="635"/>
      <c r="C52" s="635"/>
      <c r="D52" s="668"/>
      <c r="E52" s="635"/>
      <c r="F52" s="635"/>
      <c r="G52" s="634"/>
      <c r="H52" s="634"/>
      <c r="I52" s="634"/>
      <c r="J52" s="634"/>
      <c r="K52" s="634"/>
      <c r="L52" s="634"/>
      <c r="M52" s="634"/>
      <c r="N52" s="634"/>
      <c r="O52" s="634"/>
      <c r="P52" s="634"/>
      <c r="Q52" s="634"/>
      <c r="R52" s="638"/>
      <c r="S52" s="2"/>
    </row>
    <row r="53" spans="1:19">
      <c r="A53" s="706"/>
      <c r="B53" s="635"/>
      <c r="C53" s="635"/>
      <c r="D53" s="668"/>
      <c r="E53" s="635"/>
      <c r="F53" s="635"/>
      <c r="G53" s="634"/>
      <c r="H53" s="634"/>
      <c r="I53" s="634"/>
      <c r="J53" s="634"/>
      <c r="K53" s="634"/>
      <c r="L53" s="634"/>
      <c r="M53" s="634"/>
      <c r="N53" s="634"/>
      <c r="O53" s="634"/>
      <c r="P53" s="634"/>
      <c r="Q53" s="634"/>
      <c r="R53" s="638"/>
      <c r="S53" s="2"/>
    </row>
    <row r="54" spans="1:19">
      <c r="A54" s="706"/>
      <c r="B54" s="635"/>
      <c r="C54" s="635"/>
      <c r="D54" s="668"/>
      <c r="E54" s="635"/>
      <c r="F54" s="635"/>
      <c r="G54" s="634"/>
      <c r="H54" s="634"/>
      <c r="I54" s="634"/>
      <c r="J54" s="634"/>
      <c r="K54" s="634"/>
      <c r="L54" s="634"/>
      <c r="M54" s="634"/>
      <c r="N54" s="634"/>
      <c r="O54" s="634"/>
      <c r="P54" s="634"/>
      <c r="Q54" s="634"/>
      <c r="R54" s="638"/>
      <c r="S54" s="2"/>
    </row>
    <row r="55" spans="1:19">
      <c r="A55" s="706"/>
      <c r="B55" s="635"/>
      <c r="C55" s="635"/>
      <c r="D55" s="668"/>
      <c r="E55" s="635"/>
      <c r="F55" s="635"/>
      <c r="G55" s="634"/>
      <c r="H55" s="634"/>
      <c r="I55" s="634"/>
      <c r="J55" s="634"/>
      <c r="K55" s="634"/>
      <c r="L55" s="634"/>
      <c r="M55" s="634"/>
      <c r="N55" s="634"/>
      <c r="O55" s="634"/>
      <c r="P55" s="634"/>
      <c r="Q55" s="634"/>
      <c r="R55" s="638"/>
      <c r="S55" s="2"/>
    </row>
    <row r="56" spans="1:19">
      <c r="A56" s="706"/>
      <c r="B56" s="635"/>
      <c r="C56" s="635"/>
      <c r="D56" s="668"/>
      <c r="E56" s="635"/>
      <c r="F56" s="635"/>
      <c r="G56" s="634"/>
      <c r="H56" s="634"/>
      <c r="I56" s="634"/>
      <c r="J56" s="634"/>
      <c r="K56" s="634"/>
      <c r="L56" s="634"/>
      <c r="M56" s="634"/>
      <c r="N56" s="634"/>
      <c r="O56" s="634"/>
      <c r="P56" s="634"/>
      <c r="Q56" s="634"/>
      <c r="R56" s="638"/>
      <c r="S56" s="2"/>
    </row>
    <row r="57" spans="1:19">
      <c r="A57" s="706"/>
      <c r="B57" s="635"/>
      <c r="C57" s="635"/>
      <c r="D57" s="668"/>
      <c r="E57" s="635"/>
      <c r="F57" s="635"/>
      <c r="G57" s="634"/>
      <c r="H57" s="634"/>
      <c r="I57" s="634"/>
      <c r="J57" s="634"/>
      <c r="K57" s="634"/>
      <c r="L57" s="634"/>
      <c r="M57" s="634"/>
      <c r="N57" s="634"/>
      <c r="O57" s="634"/>
      <c r="P57" s="634"/>
      <c r="Q57" s="634"/>
      <c r="R57" s="638"/>
      <c r="S57" s="2"/>
    </row>
    <row r="58" spans="1:19">
      <c r="A58" s="706"/>
      <c r="B58" s="635"/>
      <c r="C58" s="635"/>
      <c r="D58" s="668"/>
      <c r="E58" s="635"/>
      <c r="F58" s="635"/>
      <c r="G58" s="634"/>
      <c r="H58" s="634"/>
      <c r="I58" s="634"/>
      <c r="J58" s="634"/>
      <c r="K58" s="634"/>
      <c r="L58" s="634"/>
      <c r="M58" s="634"/>
      <c r="N58" s="634"/>
      <c r="O58" s="634"/>
      <c r="P58" s="634"/>
      <c r="Q58" s="634"/>
      <c r="R58" s="638"/>
      <c r="S58" s="2"/>
    </row>
    <row r="59" spans="1:19">
      <c r="A59" s="706"/>
      <c r="B59" s="635"/>
      <c r="C59" s="635"/>
      <c r="D59" s="668"/>
      <c r="E59" s="635"/>
      <c r="F59" s="635"/>
      <c r="G59" s="634"/>
      <c r="H59" s="634"/>
      <c r="I59" s="634"/>
      <c r="J59" s="634"/>
      <c r="K59" s="634"/>
      <c r="L59" s="634"/>
      <c r="M59" s="634"/>
      <c r="N59" s="634"/>
      <c r="O59" s="634"/>
      <c r="P59" s="634"/>
      <c r="Q59" s="634"/>
      <c r="R59" s="638"/>
      <c r="S59" s="2"/>
    </row>
    <row r="60" spans="1:19">
      <c r="A60" s="706"/>
      <c r="B60" s="635"/>
      <c r="C60" s="635"/>
      <c r="D60" s="668"/>
      <c r="E60" s="635"/>
      <c r="F60" s="635"/>
      <c r="G60" s="634"/>
      <c r="H60" s="634"/>
      <c r="I60" s="634"/>
      <c r="J60" s="634"/>
      <c r="K60" s="634"/>
      <c r="L60" s="634"/>
      <c r="M60" s="634"/>
      <c r="N60" s="634"/>
      <c r="O60" s="634"/>
      <c r="P60" s="634"/>
      <c r="Q60" s="634"/>
      <c r="R60" s="638"/>
      <c r="S60" s="2"/>
    </row>
    <row r="61" spans="1:19">
      <c r="A61" s="706"/>
      <c r="B61" s="635"/>
      <c r="C61" s="635"/>
      <c r="D61" s="668"/>
      <c r="E61" s="635"/>
      <c r="F61" s="635"/>
      <c r="G61" s="634"/>
      <c r="H61" s="634"/>
      <c r="I61" s="634"/>
      <c r="J61" s="634"/>
      <c r="K61" s="634"/>
      <c r="L61" s="634"/>
      <c r="M61" s="634"/>
      <c r="N61" s="634"/>
      <c r="O61" s="634"/>
      <c r="P61" s="634"/>
      <c r="Q61" s="634"/>
      <c r="R61" s="638"/>
      <c r="S61" s="2"/>
    </row>
    <row r="62" spans="1:19">
      <c r="A62" s="706"/>
      <c r="B62" s="635"/>
      <c r="C62" s="635"/>
      <c r="D62" s="668"/>
      <c r="E62" s="635"/>
      <c r="F62" s="635"/>
      <c r="G62" s="634"/>
      <c r="H62" s="634"/>
      <c r="I62" s="634"/>
      <c r="J62" s="634"/>
      <c r="K62" s="634"/>
      <c r="L62" s="634"/>
      <c r="M62" s="634"/>
      <c r="N62" s="634"/>
      <c r="O62" s="634"/>
      <c r="P62" s="634"/>
      <c r="Q62" s="634"/>
      <c r="R62" s="638"/>
      <c r="S62" s="2"/>
    </row>
    <row r="63" spans="1:19">
      <c r="A63" s="706"/>
      <c r="B63" s="635"/>
      <c r="C63" s="635"/>
      <c r="D63" s="668"/>
      <c r="E63" s="635"/>
      <c r="F63" s="635"/>
      <c r="G63" s="634"/>
      <c r="H63" s="634"/>
      <c r="I63" s="634"/>
      <c r="J63" s="634"/>
      <c r="K63" s="634"/>
      <c r="L63" s="634"/>
      <c r="M63" s="634"/>
      <c r="N63" s="634"/>
      <c r="O63" s="634"/>
      <c r="P63" s="634"/>
      <c r="Q63" s="634"/>
      <c r="R63" s="638"/>
      <c r="S63" s="2"/>
    </row>
    <row r="64" spans="1:19">
      <c r="A64" s="706"/>
      <c r="B64" s="635"/>
      <c r="C64" s="635"/>
      <c r="D64" s="668"/>
      <c r="E64" s="635"/>
      <c r="F64" s="635"/>
      <c r="G64" s="634"/>
      <c r="H64" s="634"/>
      <c r="I64" s="634"/>
      <c r="J64" s="634"/>
      <c r="K64" s="634"/>
      <c r="L64" s="634"/>
      <c r="M64" s="634"/>
      <c r="N64" s="634"/>
      <c r="O64" s="634"/>
      <c r="P64" s="634"/>
      <c r="Q64" s="634"/>
      <c r="R64" s="638"/>
      <c r="S64" s="2"/>
    </row>
    <row r="65" spans="1:19">
      <c r="A65" s="706"/>
      <c r="B65" s="635"/>
      <c r="C65" s="635"/>
      <c r="D65" s="668"/>
      <c r="E65" s="635"/>
      <c r="F65" s="635"/>
      <c r="G65" s="634"/>
      <c r="H65" s="634"/>
      <c r="I65" s="634"/>
      <c r="J65" s="634"/>
      <c r="K65" s="634"/>
      <c r="L65" s="634"/>
      <c r="M65" s="634"/>
      <c r="N65" s="634"/>
      <c r="O65" s="634"/>
      <c r="P65" s="634"/>
      <c r="Q65" s="634"/>
      <c r="R65" s="638"/>
      <c r="S65" s="670"/>
    </row>
    <row r="66" spans="1:19">
      <c r="A66" s="706"/>
      <c r="B66" s="635"/>
      <c r="C66" s="635"/>
      <c r="D66" s="664"/>
      <c r="E66" s="635"/>
      <c r="F66" s="635"/>
      <c r="G66" s="634"/>
      <c r="H66" s="634"/>
      <c r="I66" s="634"/>
      <c r="J66" s="634"/>
      <c r="K66" s="634"/>
      <c r="L66" s="634"/>
      <c r="M66" s="634"/>
      <c r="N66" s="634"/>
      <c r="O66" s="634"/>
      <c r="P66" s="634"/>
      <c r="Q66" s="634"/>
      <c r="R66" s="671"/>
      <c r="S66" s="670"/>
    </row>
    <row r="67" spans="1:19">
      <c r="A67" s="706"/>
      <c r="B67" s="635"/>
      <c r="C67" s="635"/>
      <c r="D67" s="709"/>
      <c r="E67" s="635"/>
      <c r="F67" s="635"/>
      <c r="G67" s="634"/>
      <c r="H67" s="634"/>
      <c r="I67" s="634"/>
      <c r="J67" s="634"/>
      <c r="K67" s="634"/>
      <c r="L67" s="634"/>
      <c r="M67" s="634"/>
      <c r="N67" s="634"/>
      <c r="O67" s="634"/>
      <c r="P67" s="634"/>
      <c r="Q67" s="634"/>
      <c r="R67" s="710"/>
      <c r="S67" s="2"/>
    </row>
    <row r="68" spans="1:19">
      <c r="A68" s="706"/>
      <c r="B68" s="635"/>
      <c r="C68" s="635"/>
      <c r="D68" s="672"/>
      <c r="E68" s="635"/>
      <c r="F68" s="635"/>
      <c r="G68" s="634"/>
      <c r="H68" s="634"/>
      <c r="I68" s="634"/>
      <c r="J68" s="634"/>
      <c r="K68" s="634"/>
      <c r="L68" s="634"/>
      <c r="M68" s="634"/>
      <c r="N68" s="634"/>
      <c r="O68" s="634"/>
      <c r="P68" s="634"/>
      <c r="Q68" s="634"/>
      <c r="R68" s="638"/>
      <c r="S68" s="2"/>
    </row>
    <row r="69" spans="1:19">
      <c r="A69" s="706"/>
      <c r="B69" s="635"/>
      <c r="C69" s="635"/>
      <c r="D69" s="672"/>
      <c r="E69" s="635"/>
      <c r="F69" s="635"/>
      <c r="G69" s="634"/>
      <c r="H69" s="634"/>
      <c r="I69" s="634"/>
      <c r="J69" s="634"/>
      <c r="K69" s="634"/>
      <c r="L69" s="634"/>
      <c r="M69" s="634"/>
      <c r="N69" s="634"/>
      <c r="O69" s="634"/>
      <c r="P69" s="634"/>
      <c r="Q69" s="634"/>
      <c r="R69" s="638"/>
      <c r="S69" s="2"/>
    </row>
    <row r="70" spans="1:19">
      <c r="A70" s="706"/>
      <c r="B70" s="635"/>
      <c r="C70" s="635"/>
      <c r="D70" s="711"/>
      <c r="E70" s="707"/>
      <c r="F70" s="707"/>
      <c r="G70" s="634"/>
      <c r="H70" s="634"/>
      <c r="I70" s="634"/>
      <c r="J70" s="634"/>
      <c r="K70" s="634"/>
      <c r="L70" s="634"/>
      <c r="M70" s="634"/>
      <c r="N70" s="634"/>
      <c r="O70" s="634"/>
      <c r="P70" s="634"/>
      <c r="Q70" s="634"/>
      <c r="R70" s="638"/>
      <c r="S70" s="2"/>
    </row>
    <row r="71" spans="1:19">
      <c r="A71" s="706"/>
      <c r="B71" s="635"/>
      <c r="C71" s="635"/>
      <c r="D71" s="711"/>
      <c r="E71" s="707"/>
      <c r="F71" s="707"/>
      <c r="G71" s="634"/>
      <c r="H71" s="634"/>
      <c r="I71" s="634"/>
      <c r="J71" s="634"/>
      <c r="K71" s="634"/>
      <c r="L71" s="634"/>
      <c r="M71" s="634"/>
      <c r="N71" s="634"/>
      <c r="O71" s="634"/>
      <c r="P71" s="634"/>
      <c r="Q71" s="634"/>
      <c r="R71" s="671"/>
      <c r="S71" s="2"/>
    </row>
    <row r="72" spans="1:19">
      <c r="A72" s="706"/>
      <c r="B72" s="635"/>
      <c r="C72" s="635"/>
      <c r="D72" s="635"/>
      <c r="E72" s="635"/>
      <c r="F72" s="635"/>
      <c r="G72" s="634"/>
      <c r="H72" s="634"/>
      <c r="I72" s="634"/>
      <c r="J72" s="634"/>
      <c r="K72" s="634"/>
      <c r="L72" s="634"/>
      <c r="M72" s="634"/>
      <c r="N72" s="634"/>
      <c r="O72" s="634"/>
      <c r="P72" s="634"/>
      <c r="Q72" s="634"/>
      <c r="R72" s="710"/>
      <c r="S72" s="2"/>
    </row>
    <row r="73" spans="1:19">
      <c r="A73" s="706"/>
      <c r="B73" s="635"/>
      <c r="C73" s="635"/>
      <c r="D73" s="719"/>
      <c r="E73" s="719"/>
      <c r="F73" s="719"/>
      <c r="G73" s="673"/>
      <c r="H73" s="673"/>
      <c r="I73" s="673"/>
      <c r="J73" s="673"/>
      <c r="K73" s="673"/>
      <c r="L73" s="673"/>
      <c r="M73" s="634"/>
      <c r="N73" s="634"/>
      <c r="O73" s="634"/>
      <c r="P73" s="673"/>
      <c r="Q73" s="673"/>
      <c r="R73" s="706"/>
      <c r="S73" s="690"/>
    </row>
    <row r="74" spans="1:19">
      <c r="A74" s="706"/>
      <c r="B74" s="635"/>
      <c r="C74" s="635"/>
      <c r="D74" s="261"/>
      <c r="E74" s="261"/>
      <c r="F74" s="261"/>
      <c r="G74" s="634"/>
      <c r="H74" s="634"/>
      <c r="I74" s="634"/>
      <c r="J74" s="634"/>
      <c r="K74" s="634"/>
      <c r="L74" s="634"/>
      <c r="M74" s="634"/>
      <c r="N74" s="634"/>
      <c r="O74" s="634"/>
      <c r="P74" s="634"/>
      <c r="Q74" s="634"/>
      <c r="R74" s="706"/>
      <c r="S74" s="690"/>
    </row>
    <row r="75" spans="1:19">
      <c r="A75" s="706"/>
      <c r="B75" s="635"/>
      <c r="C75" s="635"/>
      <c r="D75" s="719"/>
      <c r="E75" s="719"/>
      <c r="F75" s="719"/>
      <c r="G75" s="634"/>
      <c r="H75" s="634"/>
      <c r="I75" s="634"/>
      <c r="J75" s="634"/>
      <c r="K75" s="634"/>
      <c r="L75" s="634"/>
      <c r="M75" s="673"/>
      <c r="N75" s="673"/>
      <c r="O75" s="673"/>
      <c r="P75" s="673"/>
      <c r="Q75" s="673"/>
      <c r="R75" s="706"/>
      <c r="S75" s="690"/>
    </row>
    <row r="76" spans="1:19">
      <c r="A76" s="706"/>
      <c r="B76" s="635"/>
      <c r="C76" s="635"/>
      <c r="D76" s="635"/>
      <c r="E76" s="635"/>
      <c r="F76" s="635"/>
      <c r="G76" s="634"/>
      <c r="H76" s="634"/>
      <c r="I76" s="634"/>
      <c r="J76" s="634"/>
      <c r="K76" s="634"/>
      <c r="L76" s="634"/>
      <c r="M76" s="634"/>
      <c r="N76" s="634"/>
      <c r="O76" s="634"/>
      <c r="P76" s="634"/>
      <c r="Q76" s="634"/>
      <c r="R76" s="706"/>
      <c r="S76" s="690"/>
    </row>
    <row r="77" spans="1:19">
      <c r="A77" s="706"/>
      <c r="B77" s="635"/>
      <c r="C77" s="635"/>
      <c r="D77" s="720"/>
      <c r="E77" s="720"/>
      <c r="F77" s="720"/>
      <c r="G77" s="673"/>
      <c r="H77" s="673"/>
      <c r="I77" s="673"/>
      <c r="J77" s="673"/>
      <c r="K77" s="673"/>
      <c r="L77" s="673"/>
      <c r="M77" s="634"/>
      <c r="N77" s="634"/>
      <c r="O77" s="634"/>
      <c r="P77" s="673"/>
      <c r="Q77" s="673"/>
      <c r="R77" s="706"/>
      <c r="S77" s="690"/>
    </row>
    <row r="78" spans="1:19">
      <c r="A78" s="690"/>
      <c r="B78" s="644"/>
      <c r="C78" s="644"/>
      <c r="D78" s="690" t="s">
        <v>337</v>
      </c>
      <c r="E78" s="644"/>
      <c r="F78" s="644"/>
      <c r="G78" s="631"/>
      <c r="H78" s="631"/>
      <c r="I78" s="631"/>
      <c r="J78" s="631"/>
      <c r="K78" s="631"/>
      <c r="L78" s="631"/>
      <c r="M78" s="631"/>
      <c r="N78" s="631"/>
      <c r="O78" s="631"/>
      <c r="P78" s="631"/>
      <c r="Q78" s="690"/>
      <c r="R78" s="645">
        <f>+H30</f>
        <v>255000000</v>
      </c>
      <c r="S78" s="712"/>
    </row>
    <row r="79" spans="1:19">
      <c r="A79" s="690"/>
      <c r="B79" s="644"/>
      <c r="C79" s="644"/>
      <c r="D79" s="690" t="s">
        <v>338</v>
      </c>
      <c r="E79" s="644"/>
      <c r="F79" s="644"/>
      <c r="G79" s="631"/>
      <c r="H79" s="631"/>
      <c r="I79" s="631"/>
      <c r="J79" s="631"/>
      <c r="K79" s="631"/>
      <c r="L79" s="633"/>
      <c r="M79" s="631"/>
      <c r="N79" s="631"/>
      <c r="O79" s="631"/>
      <c r="P79" s="631"/>
      <c r="Q79" s="690"/>
      <c r="R79" s="645">
        <f>-H28</f>
        <v>-20996396</v>
      </c>
      <c r="S79" s="690"/>
    </row>
    <row r="80" spans="1:19">
      <c r="A80" s="690"/>
      <c r="B80" s="690"/>
      <c r="C80" s="644"/>
      <c r="D80" s="690" t="s">
        <v>339</v>
      </c>
      <c r="E80" s="644"/>
      <c r="F80" s="644"/>
      <c r="G80" s="631"/>
      <c r="H80" s="631"/>
      <c r="I80" s="631"/>
      <c r="J80" s="631"/>
      <c r="K80" s="631"/>
      <c r="L80" s="633"/>
      <c r="M80" s="631"/>
      <c r="N80" s="631"/>
      <c r="O80" s="631"/>
      <c r="P80" s="631"/>
      <c r="Q80" s="690"/>
      <c r="R80" s="713"/>
      <c r="S80" s="690"/>
    </row>
    <row r="81" spans="1:21">
      <c r="A81" s="690"/>
      <c r="B81" s="690"/>
      <c r="C81" s="690"/>
      <c r="D81" s="690" t="s">
        <v>340</v>
      </c>
      <c r="E81" s="690"/>
      <c r="F81" s="690"/>
      <c r="G81" s="690"/>
      <c r="H81" s="690"/>
      <c r="I81" s="690"/>
      <c r="J81" s="690"/>
      <c r="K81" s="690"/>
      <c r="L81" s="633"/>
      <c r="M81" s="631"/>
      <c r="N81" s="631"/>
      <c r="O81" s="631"/>
      <c r="P81" s="631"/>
      <c r="Q81" s="690"/>
      <c r="R81" s="713"/>
      <c r="S81" s="690"/>
      <c r="T81" s="690"/>
      <c r="U81" s="690"/>
    </row>
    <row r="82" spans="1:21">
      <c r="A82" s="690"/>
      <c r="B82" s="690"/>
      <c r="C82" s="690"/>
      <c r="D82" s="690" t="s">
        <v>341</v>
      </c>
      <c r="E82" s="690"/>
      <c r="F82" s="690"/>
      <c r="G82" s="690"/>
      <c r="H82" s="690"/>
      <c r="I82" s="690"/>
      <c r="J82" s="690"/>
      <c r="K82" s="690"/>
      <c r="L82" s="690"/>
      <c r="M82" s="690"/>
      <c r="N82" s="690"/>
      <c r="O82" s="690"/>
      <c r="P82" s="690"/>
      <c r="Q82" s="690"/>
      <c r="R82" s="646"/>
      <c r="S82" s="690"/>
      <c r="T82" s="690"/>
      <c r="U82" s="690"/>
    </row>
    <row r="83" spans="1:21">
      <c r="A83" s="690"/>
      <c r="B83" s="690"/>
      <c r="C83" s="690"/>
      <c r="D83" s="690" t="s">
        <v>342</v>
      </c>
      <c r="E83" s="690"/>
      <c r="F83" s="690"/>
      <c r="G83" s="690"/>
      <c r="H83" s="690"/>
      <c r="I83" s="690"/>
      <c r="J83" s="690"/>
      <c r="K83" s="690"/>
      <c r="L83" s="690"/>
      <c r="M83" s="690"/>
      <c r="N83" s="690"/>
      <c r="O83" s="690"/>
      <c r="P83" s="690"/>
      <c r="Q83" s="690"/>
      <c r="R83" s="645">
        <f>SUM(R78:R82)</f>
        <v>234003604</v>
      </c>
      <c r="S83" s="690"/>
      <c r="T83" s="690"/>
      <c r="U83" s="690"/>
    </row>
    <row r="84" spans="1:21">
      <c r="A84" s="690"/>
      <c r="B84" s="690"/>
      <c r="C84" s="690"/>
      <c r="D84" s="690" t="s">
        <v>334</v>
      </c>
      <c r="E84" s="690"/>
      <c r="F84" s="690"/>
      <c r="G84" s="690"/>
      <c r="H84" s="690"/>
      <c r="I84" s="690"/>
      <c r="J84" s="690"/>
      <c r="K84" s="690"/>
      <c r="L84" s="690"/>
      <c r="M84" s="690"/>
      <c r="N84" s="690"/>
      <c r="O84" s="690"/>
      <c r="P84" s="690"/>
      <c r="Q84" s="690"/>
      <c r="R84" s="646">
        <f>-R79</f>
        <v>20996396</v>
      </c>
      <c r="S84" s="690"/>
      <c r="T84" s="690"/>
      <c r="U84" s="690"/>
    </row>
    <row r="85" spans="1:21">
      <c r="A85" s="690"/>
      <c r="B85" s="690"/>
      <c r="C85" s="690"/>
      <c r="D85" s="690" t="s">
        <v>343</v>
      </c>
      <c r="E85" s="690"/>
      <c r="F85" s="690"/>
      <c r="G85" s="690"/>
      <c r="H85" s="690"/>
      <c r="I85" s="690"/>
      <c r="J85" s="690"/>
      <c r="K85" s="690"/>
      <c r="L85" s="690"/>
      <c r="M85" s="690"/>
      <c r="N85" s="690"/>
      <c r="O85" s="690"/>
      <c r="P85" s="690"/>
      <c r="Q85" s="690"/>
      <c r="R85" s="645">
        <f>SUM(R83:R84)</f>
        <v>255000000</v>
      </c>
      <c r="S85" s="690"/>
      <c r="T85" s="690"/>
      <c r="U85" s="690"/>
    </row>
    <row r="86" spans="1:21">
      <c r="A86" s="690"/>
      <c r="B86" s="690"/>
      <c r="C86" s="690"/>
      <c r="D86" s="690" t="s">
        <v>344</v>
      </c>
      <c r="E86" s="690"/>
      <c r="F86" s="714"/>
      <c r="G86" s="691">
        <f>(G46-G45)*$F$86</f>
        <v>0</v>
      </c>
      <c r="H86" s="691">
        <f t="shared" ref="H86:Q86" si="11">(H46-H45)*$F$86</f>
        <v>0</v>
      </c>
      <c r="I86" s="691">
        <f t="shared" si="11"/>
        <v>0</v>
      </c>
      <c r="J86" s="691">
        <f t="shared" si="11"/>
        <v>0</v>
      </c>
      <c r="K86" s="691">
        <f t="shared" si="11"/>
        <v>0</v>
      </c>
      <c r="L86" s="691">
        <f t="shared" si="11"/>
        <v>0</v>
      </c>
      <c r="M86" s="691">
        <f t="shared" si="11"/>
        <v>0</v>
      </c>
      <c r="N86" s="691">
        <f t="shared" si="11"/>
        <v>0</v>
      </c>
      <c r="O86" s="691">
        <f t="shared" si="11"/>
        <v>0</v>
      </c>
      <c r="P86" s="691">
        <f>(P46-P45)*$F$86</f>
        <v>0</v>
      </c>
      <c r="Q86" s="691">
        <f t="shared" si="11"/>
        <v>0</v>
      </c>
      <c r="R86" s="691">
        <f>SUM(G86:Q86)</f>
        <v>0</v>
      </c>
      <c r="S86" s="690"/>
      <c r="T86" s="690"/>
      <c r="U86" s="690"/>
    </row>
    <row r="87" spans="1:21">
      <c r="A87" s="690"/>
      <c r="B87" s="690"/>
      <c r="C87" s="690"/>
      <c r="D87" s="690" t="s">
        <v>345</v>
      </c>
      <c r="E87" s="690"/>
      <c r="F87" s="714">
        <v>0.03</v>
      </c>
      <c r="G87" s="691"/>
      <c r="H87" s="690"/>
      <c r="I87" s="690"/>
      <c r="J87" s="690"/>
      <c r="K87" s="690"/>
      <c r="L87" s="690"/>
      <c r="M87" s="690"/>
      <c r="N87" s="690"/>
      <c r="O87" s="691"/>
      <c r="P87" s="691"/>
      <c r="Q87" s="691">
        <f>$T$87*$F$87</f>
        <v>0</v>
      </c>
      <c r="R87" s="691">
        <f>SUM(G87:Q87)</f>
        <v>0</v>
      </c>
      <c r="S87" s="648" t="s">
        <v>346</v>
      </c>
      <c r="T87" s="715">
        <f>+R36+R46+R66-R63-R64</f>
        <v>0</v>
      </c>
      <c r="U87" s="690"/>
    </row>
    <row r="88" spans="1:21">
      <c r="A88" s="690"/>
      <c r="B88" s="690"/>
      <c r="C88" s="690"/>
      <c r="D88" s="690" t="s">
        <v>347</v>
      </c>
      <c r="E88" s="690"/>
      <c r="F88" s="714"/>
      <c r="G88" s="623"/>
      <c r="H88" s="623"/>
      <c r="I88" s="623"/>
      <c r="J88" s="623"/>
      <c r="K88" s="623"/>
      <c r="L88" s="623"/>
      <c r="M88" s="623"/>
      <c r="N88" s="623"/>
      <c r="O88" s="623"/>
      <c r="P88" s="623"/>
      <c r="Q88" s="623"/>
      <c r="R88" s="691">
        <f>SUM(G88:Q88)</f>
        <v>0</v>
      </c>
      <c r="S88" s="653" t="s">
        <v>348</v>
      </c>
      <c r="T88" s="653"/>
      <c r="U88" s="653"/>
    </row>
    <row r="89" spans="1:21">
      <c r="A89" s="690"/>
      <c r="B89" s="690"/>
      <c r="C89" s="690"/>
      <c r="D89" s="690" t="s">
        <v>349</v>
      </c>
      <c r="E89" s="690"/>
      <c r="F89" s="690"/>
      <c r="G89" s="690"/>
      <c r="H89" s="690"/>
      <c r="I89" s="690"/>
      <c r="J89" s="690"/>
      <c r="K89" s="690"/>
      <c r="L89" s="690"/>
      <c r="M89" s="690"/>
      <c r="N89" s="690"/>
      <c r="O89" s="690"/>
      <c r="P89" s="690"/>
      <c r="Q89" s="690"/>
      <c r="R89" s="645">
        <f>+H9</f>
        <v>116260003.99279615</v>
      </c>
      <c r="S89" s="690"/>
      <c r="T89" s="690"/>
      <c r="U89" s="690"/>
    </row>
    <row r="90" spans="1:21">
      <c r="A90" s="690"/>
      <c r="B90" s="690"/>
      <c r="C90" s="690"/>
      <c r="D90" s="690" t="s">
        <v>350</v>
      </c>
      <c r="E90" s="690"/>
      <c r="F90" s="690"/>
      <c r="G90" s="690"/>
      <c r="H90" s="690"/>
      <c r="I90" s="690"/>
      <c r="J90" s="690"/>
      <c r="K90" s="690"/>
      <c r="L90" s="690"/>
      <c r="M90" s="690"/>
      <c r="N90" s="690"/>
      <c r="O90" s="690"/>
      <c r="P90" s="690"/>
      <c r="Q90" s="694"/>
      <c r="R90" s="691">
        <f>+H20-H5</f>
        <v>0</v>
      </c>
      <c r="S90" s="690"/>
      <c r="T90" s="690"/>
      <c r="U90" s="690"/>
    </row>
    <row r="91" spans="1:21">
      <c r="A91" s="690"/>
      <c r="B91" s="690"/>
      <c r="C91" s="690"/>
      <c r="D91" s="690" t="s">
        <v>351</v>
      </c>
      <c r="E91" s="690"/>
      <c r="F91" s="690"/>
      <c r="G91" s="690"/>
      <c r="H91" s="690"/>
      <c r="I91" s="690"/>
      <c r="J91" s="690"/>
      <c r="K91" s="690"/>
      <c r="L91" s="690"/>
      <c r="M91" s="690"/>
      <c r="N91" s="690"/>
      <c r="O91" s="690"/>
      <c r="P91" s="690"/>
      <c r="Q91" s="694"/>
      <c r="R91" s="691">
        <f>+H21-H6</f>
        <v>0</v>
      </c>
      <c r="S91" s="690"/>
      <c r="T91" s="690"/>
      <c r="U91" s="690"/>
    </row>
    <row r="92" spans="1:21">
      <c r="A92" s="690"/>
      <c r="B92" s="690"/>
      <c r="C92" s="690"/>
      <c r="D92" s="690" t="s">
        <v>352</v>
      </c>
      <c r="E92" s="690"/>
      <c r="F92" s="690"/>
      <c r="G92" s="690"/>
      <c r="H92" s="690"/>
      <c r="I92" s="690"/>
      <c r="J92" s="690"/>
      <c r="K92" s="690"/>
      <c r="L92" s="690"/>
      <c r="M92" s="690"/>
      <c r="N92" s="690"/>
      <c r="O92" s="690"/>
      <c r="P92" s="690"/>
      <c r="Q92" s="690"/>
      <c r="R92" s="645">
        <f>+H27</f>
        <v>5016039.2938705087</v>
      </c>
      <c r="S92" s="690"/>
      <c r="T92" s="690"/>
      <c r="U92" s="690"/>
    </row>
    <row r="93" spans="1:21" ht="15" thickBot="1">
      <c r="A93" s="690"/>
      <c r="B93" s="690"/>
      <c r="C93" s="690"/>
      <c r="D93" s="690" t="s">
        <v>353</v>
      </c>
      <c r="E93" s="690"/>
      <c r="F93" s="690"/>
      <c r="G93" s="690"/>
      <c r="H93" s="690"/>
      <c r="I93" s="690"/>
      <c r="J93" s="690"/>
      <c r="K93" s="690"/>
      <c r="L93" s="690"/>
      <c r="M93" s="690"/>
      <c r="N93" s="690"/>
      <c r="O93" s="690"/>
      <c r="P93" s="690"/>
      <c r="Q93" s="690"/>
      <c r="R93" s="647">
        <f>SUM(R85:R92)</f>
        <v>376276043.28666669</v>
      </c>
      <c r="S93" s="691"/>
      <c r="T93" s="690"/>
      <c r="U93" s="690"/>
    </row>
    <row r="94" spans="1:21" ht="15" thickTop="1">
      <c r="A94" s="690"/>
      <c r="B94" s="690"/>
      <c r="C94" s="690"/>
      <c r="D94" s="690"/>
      <c r="E94" s="690"/>
      <c r="F94" s="690"/>
      <c r="G94" s="690"/>
      <c r="H94" s="690"/>
      <c r="I94" s="690"/>
      <c r="J94" s="690"/>
      <c r="K94" s="690"/>
      <c r="L94" s="690"/>
      <c r="M94" s="690"/>
      <c r="N94" s="690"/>
      <c r="O94" s="690"/>
      <c r="P94" s="690"/>
      <c r="Q94" s="630"/>
      <c r="R94" s="629"/>
      <c r="S94" s="690"/>
      <c r="T94" s="690"/>
      <c r="U94" s="690"/>
    </row>
    <row r="95" spans="1:21">
      <c r="A95" s="690"/>
      <c r="B95" s="690"/>
      <c r="C95" s="690"/>
      <c r="D95" s="690"/>
      <c r="E95" s="690"/>
      <c r="F95" s="690"/>
      <c r="G95" s="690"/>
      <c r="H95" s="690"/>
      <c r="I95" s="690"/>
      <c r="J95" s="690"/>
      <c r="K95" s="690"/>
      <c r="L95" s="632"/>
      <c r="M95" s="630"/>
      <c r="N95" s="630"/>
      <c r="O95" s="630"/>
      <c r="P95" s="630"/>
      <c r="Q95" s="630"/>
      <c r="R95" s="629"/>
      <c r="S95" s="690"/>
      <c r="T95" s="690"/>
      <c r="U95" s="690"/>
    </row>
    <row r="96" spans="1:21">
      <c r="A96" s="690"/>
      <c r="B96" s="690"/>
      <c r="C96" s="690"/>
      <c r="D96" s="690"/>
      <c r="E96" s="690"/>
      <c r="F96" s="690"/>
      <c r="G96" s="690"/>
      <c r="H96" s="690"/>
      <c r="I96" s="690"/>
      <c r="J96" s="690"/>
      <c r="K96" s="690"/>
      <c r="L96" s="632"/>
      <c r="M96" s="630"/>
      <c r="N96" s="630"/>
      <c r="O96" s="630"/>
      <c r="P96" s="630"/>
      <c r="Q96" s="630"/>
      <c r="R96" s="629"/>
      <c r="S96" s="690"/>
      <c r="T96" s="690"/>
      <c r="U96" s="690"/>
    </row>
    <row r="97" spans="12:18">
      <c r="L97" s="632"/>
      <c r="M97" s="630"/>
      <c r="N97" s="630"/>
      <c r="O97" s="630"/>
      <c r="P97" s="630"/>
      <c r="Q97" s="630"/>
      <c r="R97" s="629"/>
    </row>
    <row r="98" spans="12:18">
      <c r="L98" s="632"/>
      <c r="M98" s="630"/>
      <c r="N98" s="630"/>
      <c r="O98" s="630"/>
      <c r="P98" s="630"/>
      <c r="Q98" s="630"/>
      <c r="R98" s="629"/>
    </row>
    <row r="99" spans="12:18">
      <c r="L99" s="632"/>
      <c r="M99" s="630"/>
      <c r="N99" s="630"/>
      <c r="O99" s="630"/>
      <c r="P99" s="630"/>
      <c r="Q99" s="630"/>
      <c r="R99" s="629"/>
    </row>
    <row r="100" spans="12:18">
      <c r="L100" s="632"/>
      <c r="M100" s="690"/>
      <c r="N100" s="630"/>
      <c r="O100" s="630"/>
      <c r="P100" s="630"/>
      <c r="Q100" s="630"/>
      <c r="R100" s="629"/>
    </row>
    <row r="101" spans="12:18">
      <c r="L101" s="632"/>
      <c r="M101" s="630"/>
      <c r="N101" s="630"/>
      <c r="O101" s="630"/>
      <c r="P101" s="630"/>
      <c r="Q101" s="630"/>
      <c r="R101" s="629"/>
    </row>
    <row r="102" spans="12:18">
      <c r="L102" s="632"/>
      <c r="M102" s="630"/>
      <c r="N102" s="630"/>
      <c r="O102" s="630"/>
      <c r="P102" s="630"/>
      <c r="Q102" s="630"/>
      <c r="R102" s="629"/>
    </row>
    <row r="103" spans="12:18">
      <c r="L103" s="632"/>
      <c r="M103" s="630"/>
      <c r="N103" s="630"/>
      <c r="O103" s="630"/>
      <c r="P103" s="630"/>
      <c r="Q103" s="630"/>
      <c r="R103" s="629"/>
    </row>
    <row r="104" spans="12:18">
      <c r="L104" s="632"/>
      <c r="M104" s="630"/>
      <c r="N104" s="630"/>
      <c r="O104" s="630"/>
      <c r="P104" s="630"/>
      <c r="Q104" s="630"/>
      <c r="R104" s="629"/>
    </row>
    <row r="105" spans="12:18">
      <c r="L105" s="632"/>
      <c r="M105" s="630"/>
      <c r="N105" s="630"/>
      <c r="O105" s="630"/>
      <c r="P105" s="630"/>
      <c r="Q105" s="630"/>
      <c r="R105" s="629"/>
    </row>
    <row r="106" spans="12:18">
      <c r="L106" s="632"/>
      <c r="M106" s="630"/>
      <c r="N106" s="630"/>
      <c r="O106" s="630"/>
      <c r="P106" s="630"/>
      <c r="Q106" s="630"/>
      <c r="R106" s="629"/>
    </row>
    <row r="107" spans="12:18">
      <c r="L107" s="632"/>
      <c r="M107" s="630"/>
      <c r="N107" s="630"/>
      <c r="O107" s="630"/>
      <c r="P107" s="630"/>
      <c r="Q107" s="2"/>
      <c r="R107" s="690"/>
    </row>
    <row r="108" spans="12:18">
      <c r="L108" s="632"/>
      <c r="M108" s="630"/>
      <c r="N108" s="630"/>
      <c r="O108" s="630"/>
      <c r="P108" s="630"/>
      <c r="Q108" s="2"/>
      <c r="R108" s="690"/>
    </row>
    <row r="109" spans="12:18">
      <c r="L109" s="632"/>
      <c r="M109" s="630"/>
      <c r="N109" s="630"/>
      <c r="O109" s="630"/>
      <c r="P109" s="630"/>
      <c r="Q109" s="690"/>
      <c r="R109" s="690"/>
    </row>
    <row r="110" spans="12:18">
      <c r="L110" s="2"/>
      <c r="M110" s="2"/>
      <c r="N110" s="2"/>
      <c r="O110" s="2"/>
      <c r="P110" s="2"/>
      <c r="Q110" s="690"/>
      <c r="R110" s="690"/>
    </row>
    <row r="111" spans="12:18">
      <c r="L111" s="2"/>
      <c r="M111" s="2"/>
      <c r="N111" s="2"/>
      <c r="O111" s="2"/>
      <c r="P111" s="2"/>
      <c r="Q111" s="690"/>
      <c r="R111" s="690"/>
    </row>
    <row r="112" spans="12:18">
      <c r="L112" s="690"/>
      <c r="M112" s="716"/>
      <c r="N112" s="690"/>
      <c r="O112" s="690"/>
      <c r="P112" s="690"/>
      <c r="Q112" s="690"/>
      <c r="R112" s="690"/>
    </row>
    <row r="113" spans="2:13">
      <c r="B113" s="690"/>
      <c r="C113" s="690"/>
      <c r="D113" s="690"/>
      <c r="E113" s="690"/>
      <c r="F113" s="690"/>
      <c r="G113" s="690"/>
      <c r="H113" s="690"/>
      <c r="I113" s="690"/>
      <c r="J113" s="690"/>
      <c r="K113" s="690"/>
      <c r="L113" s="690"/>
      <c r="M113" s="716"/>
    </row>
    <row r="115" spans="2:13">
      <c r="B115" s="690"/>
      <c r="C115" s="690"/>
      <c r="D115" s="690"/>
      <c r="E115" s="694"/>
      <c r="F115" s="694"/>
      <c r="G115" s="694"/>
      <c r="H115" s="694"/>
      <c r="I115" s="691"/>
      <c r="J115" s="690"/>
      <c r="K115" s="690"/>
      <c r="L115" s="690"/>
      <c r="M115" s="690"/>
    </row>
    <row r="117" spans="2:13">
      <c r="B117" s="717"/>
      <c r="C117" s="690"/>
      <c r="D117" s="690"/>
      <c r="E117" s="690"/>
      <c r="F117" s="690"/>
      <c r="G117" s="690"/>
      <c r="H117" s="690"/>
      <c r="I117" s="690"/>
      <c r="J117" s="690"/>
      <c r="K117" s="690"/>
      <c r="L117" s="690"/>
      <c r="M117" s="690"/>
    </row>
  </sheetData>
  <mergeCells count="5">
    <mergeCell ref="D73:F73"/>
    <mergeCell ref="D75:F75"/>
    <mergeCell ref="D77:F77"/>
    <mergeCell ref="D33:F33"/>
    <mergeCell ref="D34:F34"/>
  </mergeCells>
  <pageMargins left="0.7" right="0.7" top="0.75" bottom="0.75" header="0.3" footer="0.3"/>
  <pageSetup scale="4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3:BE187"/>
  <sheetViews>
    <sheetView topLeftCell="F14" zoomScale="70" zoomScaleNormal="70" workbookViewId="0">
      <selection activeCell="P43" sqref="P43:BC43"/>
    </sheetView>
  </sheetViews>
  <sheetFormatPr defaultRowHeight="15"/>
  <cols>
    <col min="2" max="2" width="52.90625" bestFit="1" customWidth="1"/>
    <col min="3" max="3" width="12.6328125" bestFit="1" customWidth="1"/>
    <col min="4" max="4" width="8.54296875" bestFit="1" customWidth="1"/>
    <col min="5" max="5" width="12.453125" bestFit="1" customWidth="1"/>
    <col min="6" max="6" width="47.54296875" bestFit="1" customWidth="1"/>
    <col min="7" max="57" width="12.81640625" customWidth="1"/>
  </cols>
  <sheetData>
    <row r="3" spans="6:8" ht="46.8">
      <c r="F3" s="312" t="s">
        <v>354</v>
      </c>
      <c r="G3" s="314" t="s">
        <v>355</v>
      </c>
      <c r="H3" s="314" t="s">
        <v>356</v>
      </c>
    </row>
    <row r="4" spans="6:8" ht="15.6">
      <c r="F4" s="177" t="s">
        <v>357</v>
      </c>
      <c r="G4" s="322"/>
      <c r="H4" s="322"/>
    </row>
    <row r="5" spans="6:8" ht="15.6">
      <c r="F5" s="346" t="s">
        <v>358</v>
      </c>
      <c r="G5" s="347">
        <v>2022</v>
      </c>
      <c r="H5" s="347"/>
    </row>
    <row r="6" spans="6:8" ht="15.6">
      <c r="F6" s="346" t="s">
        <v>359</v>
      </c>
      <c r="G6" s="347">
        <v>2024</v>
      </c>
      <c r="H6" s="347"/>
    </row>
    <row r="7" spans="6:8" ht="15.6">
      <c r="F7" s="346" t="s">
        <v>360</v>
      </c>
      <c r="G7" s="347">
        <v>2024</v>
      </c>
      <c r="H7" s="347"/>
    </row>
    <row r="8" spans="6:8" ht="15.6">
      <c r="F8" s="346" t="s">
        <v>361</v>
      </c>
      <c r="G8" s="347">
        <v>2025</v>
      </c>
      <c r="H8" s="347"/>
    </row>
    <row r="9" spans="6:8" ht="15.6">
      <c r="F9" s="346" t="s">
        <v>314</v>
      </c>
      <c r="G9" s="347">
        <v>2025</v>
      </c>
      <c r="H9" s="347"/>
    </row>
    <row r="10" spans="6:8" ht="15.6">
      <c r="F10" s="346" t="s">
        <v>333</v>
      </c>
      <c r="G10" s="347">
        <v>2025</v>
      </c>
      <c r="H10" s="347"/>
    </row>
    <row r="11" spans="6:8" ht="15.6">
      <c r="F11" s="346" t="s">
        <v>362</v>
      </c>
      <c r="G11" s="347">
        <v>2024</v>
      </c>
      <c r="H11" s="347"/>
    </row>
    <row r="12" spans="6:8" ht="15.6">
      <c r="F12" s="346" t="s">
        <v>363</v>
      </c>
      <c r="G12" s="347">
        <v>2024</v>
      </c>
      <c r="H12" s="347"/>
    </row>
    <row r="13" spans="6:8" ht="15.6">
      <c r="F13" s="346" t="s">
        <v>364</v>
      </c>
      <c r="G13" s="347">
        <v>2025</v>
      </c>
      <c r="H13" s="347"/>
    </row>
    <row r="14" spans="6:8" ht="15.6">
      <c r="F14" s="349" t="s">
        <v>312</v>
      </c>
      <c r="G14" s="350">
        <v>2025</v>
      </c>
      <c r="H14" s="350"/>
    </row>
    <row r="17" spans="2:56" ht="15.6">
      <c r="E17" s="192"/>
      <c r="F17" s="312" t="s">
        <v>354</v>
      </c>
      <c r="G17" s="310">
        <v>2022</v>
      </c>
      <c r="H17" s="310">
        <f>+G17+1</f>
        <v>2023</v>
      </c>
      <c r="I17" s="310">
        <f>+H17+1</f>
        <v>2024</v>
      </c>
      <c r="J17" s="310">
        <f>+I17+1</f>
        <v>2025</v>
      </c>
      <c r="K17" s="310" t="s">
        <v>191</v>
      </c>
      <c r="L17" s="310" t="s">
        <v>95</v>
      </c>
      <c r="M17" s="310" t="s">
        <v>365</v>
      </c>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row>
    <row r="18" spans="2:56" ht="15.6">
      <c r="E18" s="192"/>
      <c r="F18" s="177" t="s">
        <v>357</v>
      </c>
      <c r="G18" s="309"/>
      <c r="H18" s="309"/>
      <c r="I18" s="309"/>
      <c r="J18" s="309"/>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row>
    <row r="19" spans="2:56" ht="15.6">
      <c r="E19" s="192"/>
      <c r="F19" s="675" t="str">
        <f>+F5</f>
        <v>Land Assumption</v>
      </c>
      <c r="G19" s="598">
        <f>+'Capital Costs'!D12</f>
        <v>11956243</v>
      </c>
      <c r="H19" s="598">
        <f>+'Capital Costs'!E12</f>
        <v>0</v>
      </c>
      <c r="I19" s="598">
        <f>+'Capital Costs'!F12</f>
        <v>0</v>
      </c>
      <c r="J19" s="598">
        <f>+'Capital Costs'!G12</f>
        <v>0</v>
      </c>
      <c r="K19" s="610">
        <f t="shared" ref="K19:K28" si="0">SUM(G19:J19)</f>
        <v>11956243</v>
      </c>
      <c r="L19" s="610">
        <f t="shared" ref="L19:L28" si="1">+L79</f>
        <v>1566493.507616967</v>
      </c>
      <c r="M19" s="610">
        <f t="shared" ref="M19:M28" si="2">+K19+L19</f>
        <v>13522736.507616967</v>
      </c>
      <c r="N19" s="315"/>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row>
    <row r="20" spans="2:56" ht="15.6">
      <c r="E20" s="192"/>
      <c r="F20" s="675" t="str">
        <f t="shared" ref="F20:F28" si="3">+F6</f>
        <v>Hard Costs</v>
      </c>
      <c r="G20" s="598">
        <f>+'Capital Costs'!D14</f>
        <v>7711310</v>
      </c>
      <c r="H20" s="598">
        <f>+'Capital Costs'!E14</f>
        <v>44284380.713333331</v>
      </c>
      <c r="I20" s="598">
        <f>+'Capital Costs'!F14</f>
        <v>27469116</v>
      </c>
      <c r="J20" s="598">
        <f>+'Capital Costs'!G14</f>
        <v>0</v>
      </c>
      <c r="K20" s="610">
        <f t="shared" si="0"/>
        <v>79464806.713333338</v>
      </c>
      <c r="L20" s="610">
        <f t="shared" si="1"/>
        <v>5760757.3536393791</v>
      </c>
      <c r="M20" s="610">
        <f t="shared" si="2"/>
        <v>85225564.066972718</v>
      </c>
      <c r="N20" s="315"/>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row>
    <row r="21" spans="2:56" ht="15.6">
      <c r="E21" s="192"/>
      <c r="F21" s="675" t="str">
        <f t="shared" si="3"/>
        <v>Soft Costs (excluding Int. Carry &amp; Debt/Equity Fees)</v>
      </c>
      <c r="G21" s="598">
        <f>+'Capital Costs'!D15</f>
        <v>4073040</v>
      </c>
      <c r="H21" s="598">
        <f>+'Capital Costs'!E15</f>
        <v>437028</v>
      </c>
      <c r="I21" s="598">
        <f>+'Capital Costs'!F15</f>
        <v>2477820.75</v>
      </c>
      <c r="J21" s="598">
        <f>+'Capital Costs'!G15</f>
        <v>0</v>
      </c>
      <c r="K21" s="610">
        <f t="shared" si="0"/>
        <v>6987888.75</v>
      </c>
      <c r="L21" s="610">
        <f t="shared" si="1"/>
        <v>664941.37698430126</v>
      </c>
      <c r="M21" s="610">
        <f t="shared" si="2"/>
        <v>7652830.126984301</v>
      </c>
      <c r="N21" s="315"/>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row>
    <row r="22" spans="2:56" ht="15.6">
      <c r="E22" s="192"/>
      <c r="F22" s="675" t="str">
        <f t="shared" si="3"/>
        <v>FFE (pruely building &amp; Interior design)</v>
      </c>
      <c r="G22" s="598">
        <f>+'Capital Costs'!D19</f>
        <v>0</v>
      </c>
      <c r="H22" s="598">
        <f>+'Capital Costs'!E19</f>
        <v>0</v>
      </c>
      <c r="I22" s="598">
        <f>+'Capital Costs'!F19</f>
        <v>15007796.25</v>
      </c>
      <c r="J22" s="598">
        <f>+'Capital Costs'!G19</f>
        <v>17416151.75</v>
      </c>
      <c r="K22" s="610">
        <f t="shared" si="0"/>
        <v>32423948</v>
      </c>
      <c r="L22" s="610">
        <f t="shared" si="1"/>
        <v>983778.22666912607</v>
      </c>
      <c r="M22" s="610">
        <f t="shared" si="2"/>
        <v>33407726.226669125</v>
      </c>
      <c r="N22" s="315"/>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row>
    <row r="23" spans="2:56" ht="15.6">
      <c r="E23" s="192"/>
      <c r="F23" s="675" t="str">
        <f t="shared" si="3"/>
        <v>LEED Design Costs</v>
      </c>
      <c r="G23" s="598">
        <f>+'Capital Costs'!D22</f>
        <v>0</v>
      </c>
      <c r="H23" s="598">
        <f>+'Capital Costs'!E22</f>
        <v>0</v>
      </c>
      <c r="I23" s="598">
        <f>+'Capital Costs'!F22</f>
        <v>960000</v>
      </c>
      <c r="J23" s="598">
        <f>+'Capital Costs'!G22</f>
        <v>524388</v>
      </c>
      <c r="K23" s="610">
        <f t="shared" si="0"/>
        <v>1484388</v>
      </c>
      <c r="L23" s="610">
        <f t="shared" si="1"/>
        <v>65707.512441885803</v>
      </c>
      <c r="M23" s="610">
        <f t="shared" si="2"/>
        <v>1550095.5124418859</v>
      </c>
      <c r="N23" s="315"/>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row>
    <row r="24" spans="2:56" ht="15.6">
      <c r="E24" s="192"/>
      <c r="F24" s="675" t="str">
        <f t="shared" si="3"/>
        <v>Capital Plug</v>
      </c>
      <c r="G24" s="598">
        <f>+'Capital Costs'!D27</f>
        <v>579001.52937609062</v>
      </c>
      <c r="H24" s="598">
        <f>+'Capital Costs'!E27</f>
        <v>1399707.2992935854</v>
      </c>
      <c r="I24" s="598">
        <f>+'Capital Costs'!F27</f>
        <v>2174286.0849136435</v>
      </c>
      <c r="J24" s="598">
        <f>+'Capital Costs'!G27</f>
        <v>863044.38028718892</v>
      </c>
      <c r="K24" s="610">
        <f t="shared" si="0"/>
        <v>5016039.2938705087</v>
      </c>
      <c r="L24" s="610">
        <f t="shared" si="1"/>
        <v>419950.94218564755</v>
      </c>
      <c r="M24" s="610">
        <f t="shared" si="2"/>
        <v>5435990.2360561565</v>
      </c>
      <c r="N24" s="315"/>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row>
    <row r="25" spans="2:56" ht="15.6">
      <c r="E25" s="192"/>
      <c r="F25" s="675" t="str">
        <f t="shared" si="3"/>
        <v>Parking Garage (1,000 Spaces)</v>
      </c>
      <c r="G25" s="598">
        <f>+'Capital Costs'!D28</f>
        <v>25400</v>
      </c>
      <c r="H25" s="598">
        <f>+'Capital Costs'!E28</f>
        <v>14697203.666666668</v>
      </c>
      <c r="I25" s="598">
        <f>+'Capital Costs'!F28</f>
        <v>6273792.333333333</v>
      </c>
      <c r="J25" s="598">
        <f>+'Capital Costs'!G28</f>
        <v>0</v>
      </c>
      <c r="K25" s="610">
        <f t="shared" si="0"/>
        <v>20996396</v>
      </c>
      <c r="L25" s="610">
        <f t="shared" si="1"/>
        <v>1501528.5841272799</v>
      </c>
      <c r="M25" s="610">
        <f t="shared" si="2"/>
        <v>22497924.584127281</v>
      </c>
      <c r="N25" s="315"/>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row>
    <row r="26" spans="2:56" ht="15.6">
      <c r="E26" s="192"/>
      <c r="F26" s="675" t="str">
        <f t="shared" si="3"/>
        <v>Developer Profit</v>
      </c>
      <c r="G26" s="598">
        <f>+'Capital Costs'!D16</f>
        <v>3052327</v>
      </c>
      <c r="H26" s="598">
        <f>+'Capital Costs'!E16</f>
        <v>7525919.583333333</v>
      </c>
      <c r="I26" s="598">
        <f>+'Capital Costs'!F16</f>
        <v>3740375.666666667</v>
      </c>
      <c r="J26" s="598">
        <f>+'Capital Costs'!G16</f>
        <v>0</v>
      </c>
      <c r="K26" s="610">
        <f t="shared" si="0"/>
        <v>14318622.25</v>
      </c>
      <c r="L26" s="610">
        <f t="shared" si="1"/>
        <v>1213411.3948422414</v>
      </c>
      <c r="M26" s="610">
        <f t="shared" si="2"/>
        <v>15532033.644842241</v>
      </c>
      <c r="N26" s="315"/>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row>
    <row r="27" spans="2:56" ht="15.6">
      <c r="E27" s="192"/>
      <c r="F27" s="675" t="str">
        <f t="shared" si="3"/>
        <v>Interior Construction Costs (less TI Allow)</v>
      </c>
      <c r="G27" s="598">
        <f>+'Capital Costs'!D20</f>
        <v>0</v>
      </c>
      <c r="H27" s="598">
        <f>+'Capital Costs'!E20</f>
        <v>0</v>
      </c>
      <c r="I27" s="598">
        <f>+'Capital Costs'!F20</f>
        <v>49649141.742796153</v>
      </c>
      <c r="J27" s="598">
        <f>+'Capital Costs'!G20</f>
        <v>23899228</v>
      </c>
      <c r="K27" s="610">
        <f t="shared" si="0"/>
        <v>73548369.742796153</v>
      </c>
      <c r="L27" s="610">
        <f t="shared" si="1"/>
        <v>2952589.5161835672</v>
      </c>
      <c r="M27" s="610">
        <f t="shared" si="2"/>
        <v>76500959.258979723</v>
      </c>
      <c r="N27" s="315"/>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row>
    <row r="28" spans="2:56" ht="15.6">
      <c r="E28" s="192"/>
      <c r="F28" s="675" t="str">
        <f t="shared" si="3"/>
        <v>Interior Soft Costs</v>
      </c>
      <c r="G28" s="598">
        <f>+'Capital Costs'!D21</f>
        <v>2037334.25</v>
      </c>
      <c r="H28" s="598">
        <f>+'Capital Costs'!E21</f>
        <v>2812572</v>
      </c>
      <c r="I28" s="598">
        <f>+'Capital Costs'!F21</f>
        <v>2781684</v>
      </c>
      <c r="J28" s="598">
        <f>+'Capital Costs'!G21</f>
        <v>1171708</v>
      </c>
      <c r="K28" s="610">
        <f t="shared" si="0"/>
        <v>8803298.25</v>
      </c>
      <c r="L28" s="610">
        <f t="shared" si="1"/>
        <v>898280.63211907051</v>
      </c>
      <c r="M28" s="610">
        <f t="shared" si="2"/>
        <v>9701578.8821190707</v>
      </c>
      <c r="N28" s="315"/>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row>
    <row r="29" spans="2:56" ht="16.2" thickBot="1">
      <c r="B29" s="192"/>
      <c r="C29" s="192"/>
      <c r="D29" s="192"/>
      <c r="E29" s="192"/>
      <c r="F29" s="192"/>
      <c r="G29" s="620">
        <f t="shared" ref="G29:M29" si="4">SUM(G19:G28)</f>
        <v>29434655.77937609</v>
      </c>
      <c r="H29" s="620">
        <f t="shared" si="4"/>
        <v>71156811.262626916</v>
      </c>
      <c r="I29" s="620">
        <f t="shared" si="4"/>
        <v>110534012.82770979</v>
      </c>
      <c r="J29" s="620">
        <f t="shared" si="4"/>
        <v>43874520.130287185</v>
      </c>
      <c r="K29" s="620">
        <f t="shared" si="4"/>
        <v>255000000</v>
      </c>
      <c r="L29" s="620">
        <f t="shared" si="4"/>
        <v>16027439.046809465</v>
      </c>
      <c r="M29" s="620">
        <f t="shared" si="4"/>
        <v>271027439.04680943</v>
      </c>
      <c r="N29" s="315"/>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row>
    <row r="30" spans="2:56" ht="15.6">
      <c r="B30" s="192"/>
      <c r="C30" s="192"/>
      <c r="D30" s="192"/>
      <c r="E30" s="192"/>
      <c r="F30" s="636" t="s">
        <v>366</v>
      </c>
      <c r="G30" s="637">
        <f>+G29-S45</f>
        <v>0</v>
      </c>
      <c r="H30" s="637">
        <f>+H29-AE45</f>
        <v>0</v>
      </c>
      <c r="I30" s="637">
        <f>+I29-AQ45</f>
        <v>0</v>
      </c>
      <c r="J30" s="637">
        <f>+J29-BC45</f>
        <v>0</v>
      </c>
      <c r="K30" s="637">
        <f>+K29-BD45</f>
        <v>0</v>
      </c>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row>
    <row r="31" spans="2:56" ht="15.6">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row>
    <row r="32" spans="2:56" ht="15.6">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row>
    <row r="33" spans="2:57" ht="15.6">
      <c r="B33" s="192"/>
      <c r="C33" s="192"/>
      <c r="D33" s="192"/>
      <c r="E33" s="192"/>
      <c r="F33" s="605" t="s">
        <v>367</v>
      </c>
      <c r="G33" s="604">
        <v>44531</v>
      </c>
      <c r="H33" s="604">
        <v>44562</v>
      </c>
      <c r="I33" s="604">
        <v>44593</v>
      </c>
      <c r="J33" s="604">
        <v>44621</v>
      </c>
      <c r="K33" s="604">
        <v>44652</v>
      </c>
      <c r="L33" s="604">
        <v>44682</v>
      </c>
      <c r="M33" s="604">
        <v>44713</v>
      </c>
      <c r="N33" s="604">
        <v>44743</v>
      </c>
      <c r="O33" s="604">
        <v>44774</v>
      </c>
      <c r="P33" s="604">
        <v>44805</v>
      </c>
      <c r="Q33" s="604">
        <v>44835</v>
      </c>
      <c r="R33" s="604">
        <v>44866</v>
      </c>
      <c r="S33" s="604">
        <v>44896</v>
      </c>
      <c r="T33" s="604">
        <v>44927</v>
      </c>
      <c r="U33" s="604">
        <v>44958</v>
      </c>
      <c r="V33" s="604">
        <v>44986</v>
      </c>
      <c r="W33" s="604">
        <v>45017</v>
      </c>
      <c r="X33" s="604">
        <v>45047</v>
      </c>
      <c r="Y33" s="604">
        <v>45078</v>
      </c>
      <c r="Z33" s="604">
        <v>45108</v>
      </c>
      <c r="AA33" s="604">
        <v>45139</v>
      </c>
      <c r="AB33" s="604">
        <v>45170</v>
      </c>
      <c r="AC33" s="604">
        <v>45200</v>
      </c>
      <c r="AD33" s="604">
        <v>45231</v>
      </c>
      <c r="AE33" s="604">
        <v>45261</v>
      </c>
      <c r="AF33" s="604">
        <v>45292</v>
      </c>
      <c r="AG33" s="604">
        <v>45323</v>
      </c>
      <c r="AH33" s="604">
        <v>45352</v>
      </c>
      <c r="AI33" s="604">
        <v>45383</v>
      </c>
      <c r="AJ33" s="604">
        <v>45413</v>
      </c>
      <c r="AK33" s="604">
        <v>45444</v>
      </c>
      <c r="AL33" s="604">
        <v>45474</v>
      </c>
      <c r="AM33" s="604">
        <v>45505</v>
      </c>
      <c r="AN33" s="604">
        <v>45536</v>
      </c>
      <c r="AO33" s="604">
        <v>45566</v>
      </c>
      <c r="AP33" s="604">
        <v>45597</v>
      </c>
      <c r="AQ33" s="604">
        <v>45627</v>
      </c>
      <c r="AR33" s="604">
        <v>45658</v>
      </c>
      <c r="AS33" s="604">
        <v>45689</v>
      </c>
      <c r="AT33" s="604">
        <v>45717</v>
      </c>
      <c r="AU33" s="604">
        <v>45748</v>
      </c>
      <c r="AV33" s="604">
        <v>45778</v>
      </c>
      <c r="AW33" s="604">
        <v>45809</v>
      </c>
      <c r="AX33" s="604">
        <v>45839</v>
      </c>
      <c r="AY33" s="604">
        <v>45870</v>
      </c>
      <c r="AZ33" s="604">
        <v>45901</v>
      </c>
      <c r="BA33" s="604">
        <v>45931</v>
      </c>
      <c r="BB33" s="604">
        <v>45962</v>
      </c>
      <c r="BC33" s="604">
        <v>45992</v>
      </c>
      <c r="BD33" s="310" t="s">
        <v>191</v>
      </c>
    </row>
    <row r="34" spans="2:57" ht="15.6">
      <c r="B34" s="192"/>
      <c r="C34" s="192"/>
      <c r="D34" s="192"/>
      <c r="E34" s="192"/>
      <c r="F34" s="676" t="str">
        <f>+F5</f>
        <v>Land Assumption</v>
      </c>
      <c r="G34" s="313">
        <v>0</v>
      </c>
      <c r="H34" s="457"/>
      <c r="I34" s="457"/>
      <c r="J34" s="457"/>
      <c r="K34" s="379"/>
      <c r="L34" s="379"/>
      <c r="M34" s="379"/>
      <c r="N34" s="379"/>
      <c r="O34" s="379"/>
      <c r="P34" s="596">
        <v>100000</v>
      </c>
      <c r="Q34" s="596">
        <v>0</v>
      </c>
      <c r="R34" s="596">
        <v>11856243</v>
      </c>
      <c r="S34" s="596">
        <v>0</v>
      </c>
      <c r="T34" s="596">
        <v>0</v>
      </c>
      <c r="U34" s="596">
        <v>0</v>
      </c>
      <c r="V34" s="596">
        <v>0</v>
      </c>
      <c r="W34" s="596">
        <v>0</v>
      </c>
      <c r="X34" s="596">
        <v>0</v>
      </c>
      <c r="Y34" s="596">
        <v>0</v>
      </c>
      <c r="Z34" s="596">
        <v>0</v>
      </c>
      <c r="AA34" s="596">
        <v>0</v>
      </c>
      <c r="AB34" s="596">
        <v>0</v>
      </c>
      <c r="AC34" s="596">
        <v>0</v>
      </c>
      <c r="AD34" s="596">
        <v>0</v>
      </c>
      <c r="AE34" s="596">
        <v>0</v>
      </c>
      <c r="AF34" s="596">
        <v>0</v>
      </c>
      <c r="AG34" s="596">
        <v>0</v>
      </c>
      <c r="AH34" s="596">
        <v>0</v>
      </c>
      <c r="AI34" s="596">
        <v>0</v>
      </c>
      <c r="AJ34" s="596">
        <v>0</v>
      </c>
      <c r="AK34" s="596">
        <v>0</v>
      </c>
      <c r="AL34" s="596">
        <v>0</v>
      </c>
      <c r="AM34" s="596">
        <v>0</v>
      </c>
      <c r="AN34" s="596">
        <v>0</v>
      </c>
      <c r="AO34" s="596">
        <v>0</v>
      </c>
      <c r="AP34" s="596">
        <v>0</v>
      </c>
      <c r="AQ34" s="596">
        <v>0</v>
      </c>
      <c r="AR34" s="596">
        <v>0</v>
      </c>
      <c r="AS34" s="596">
        <v>0</v>
      </c>
      <c r="AT34" s="596">
        <v>0</v>
      </c>
      <c r="AU34" s="596">
        <v>0</v>
      </c>
      <c r="AV34" s="596">
        <v>0</v>
      </c>
      <c r="AW34" s="596">
        <v>0</v>
      </c>
      <c r="AX34" s="596">
        <v>0</v>
      </c>
      <c r="AY34" s="596">
        <v>0</v>
      </c>
      <c r="AZ34" s="596">
        <v>0</v>
      </c>
      <c r="BA34" s="596">
        <v>0</v>
      </c>
      <c r="BB34" s="596">
        <v>0</v>
      </c>
      <c r="BC34" s="596">
        <v>0</v>
      </c>
      <c r="BD34" s="315">
        <f t="shared" ref="BD34:BD43" si="5">SUM(H34:BC34)</f>
        <v>11956243</v>
      </c>
      <c r="BE34" s="617">
        <f t="shared" ref="BE34:BE43" si="6">BD34-K19</f>
        <v>0</v>
      </c>
    </row>
    <row r="35" spans="2:57" ht="15.6">
      <c r="B35" s="192"/>
      <c r="C35" s="192"/>
      <c r="D35" s="192"/>
      <c r="E35" s="192"/>
      <c r="F35" s="676" t="str">
        <f t="shared" ref="F35:F43" si="7">+F6</f>
        <v>Hard Costs</v>
      </c>
      <c r="G35" s="313">
        <v>0</v>
      </c>
      <c r="H35" s="457"/>
      <c r="I35" s="457"/>
      <c r="J35" s="457"/>
      <c r="K35" s="379"/>
      <c r="L35" s="379"/>
      <c r="M35" s="379"/>
      <c r="N35" s="379"/>
      <c r="O35" s="379"/>
      <c r="P35" s="596">
        <v>625</v>
      </c>
      <c r="Q35" s="596">
        <v>625</v>
      </c>
      <c r="R35" s="596">
        <v>7710060</v>
      </c>
      <c r="S35" s="596">
        <v>0</v>
      </c>
      <c r="T35" s="596">
        <v>3690365.7133333334</v>
      </c>
      <c r="U35" s="596">
        <v>3690365</v>
      </c>
      <c r="V35" s="596">
        <v>3690365</v>
      </c>
      <c r="W35" s="596">
        <v>3690365</v>
      </c>
      <c r="X35" s="596">
        <v>3690365</v>
      </c>
      <c r="Y35" s="596">
        <v>3690365</v>
      </c>
      <c r="Z35" s="596">
        <v>3690365</v>
      </c>
      <c r="AA35" s="596">
        <v>3690365</v>
      </c>
      <c r="AB35" s="596">
        <v>3690365</v>
      </c>
      <c r="AC35" s="596">
        <v>3690365</v>
      </c>
      <c r="AD35" s="596">
        <v>3690365</v>
      </c>
      <c r="AE35" s="596">
        <v>3690365</v>
      </c>
      <c r="AF35" s="596">
        <v>2290100</v>
      </c>
      <c r="AG35" s="596">
        <v>2290100</v>
      </c>
      <c r="AH35" s="596">
        <v>2290100</v>
      </c>
      <c r="AI35" s="596">
        <v>2290100</v>
      </c>
      <c r="AJ35" s="596">
        <v>2290100</v>
      </c>
      <c r="AK35" s="596">
        <v>2290100</v>
      </c>
      <c r="AL35" s="596">
        <v>2290100</v>
      </c>
      <c r="AM35" s="596">
        <v>2290100</v>
      </c>
      <c r="AN35" s="596">
        <v>2290100</v>
      </c>
      <c r="AO35" s="596">
        <v>2290100</v>
      </c>
      <c r="AP35" s="596">
        <v>2290100</v>
      </c>
      <c r="AQ35" s="596">
        <v>2278016</v>
      </c>
      <c r="AR35" s="596">
        <v>0</v>
      </c>
      <c r="AS35" s="596">
        <v>0</v>
      </c>
      <c r="AT35" s="596">
        <v>0</v>
      </c>
      <c r="AU35" s="596">
        <v>0</v>
      </c>
      <c r="AV35" s="596">
        <v>0</v>
      </c>
      <c r="AW35" s="596">
        <v>0</v>
      </c>
      <c r="AX35" s="596">
        <v>0</v>
      </c>
      <c r="AY35" s="596">
        <v>0</v>
      </c>
      <c r="AZ35" s="596">
        <v>0</v>
      </c>
      <c r="BA35" s="596">
        <v>0</v>
      </c>
      <c r="BB35" s="596">
        <v>0</v>
      </c>
      <c r="BC35" s="596">
        <v>0</v>
      </c>
      <c r="BD35" s="315">
        <f t="shared" si="5"/>
        <v>79464806.713333338</v>
      </c>
      <c r="BE35" s="617">
        <f t="shared" si="6"/>
        <v>0</v>
      </c>
    </row>
    <row r="36" spans="2:57" ht="15.6">
      <c r="B36" s="192"/>
      <c r="C36" s="192"/>
      <c r="D36" s="192"/>
      <c r="E36" s="192"/>
      <c r="F36" s="676" t="str">
        <f t="shared" si="7"/>
        <v>Soft Costs (excluding Int. Carry &amp; Debt/Equity Fees)</v>
      </c>
      <c r="G36" s="313">
        <v>0</v>
      </c>
      <c r="H36" s="457"/>
      <c r="I36" s="457"/>
      <c r="J36" s="457"/>
      <c r="K36" s="379"/>
      <c r="L36" s="379"/>
      <c r="M36" s="379"/>
      <c r="N36" s="379"/>
      <c r="O36" s="379"/>
      <c r="P36" s="596">
        <v>2396421</v>
      </c>
      <c r="Q36" s="596">
        <v>532311</v>
      </c>
      <c r="R36" s="596">
        <v>46580</v>
      </c>
      <c r="S36" s="596">
        <v>1097728</v>
      </c>
      <c r="T36" s="596">
        <v>36419</v>
      </c>
      <c r="U36" s="596">
        <v>36419</v>
      </c>
      <c r="V36" s="596">
        <v>36419</v>
      </c>
      <c r="W36" s="596">
        <v>36419</v>
      </c>
      <c r="X36" s="596">
        <v>36419</v>
      </c>
      <c r="Y36" s="596">
        <v>36419</v>
      </c>
      <c r="Z36" s="596">
        <v>36419</v>
      </c>
      <c r="AA36" s="596">
        <v>36419</v>
      </c>
      <c r="AB36" s="596">
        <v>36419</v>
      </c>
      <c r="AC36" s="596">
        <v>36419</v>
      </c>
      <c r="AD36" s="596">
        <v>36419</v>
      </c>
      <c r="AE36" s="596">
        <v>36419</v>
      </c>
      <c r="AF36" s="596">
        <v>206485.75</v>
      </c>
      <c r="AG36" s="596">
        <v>206485</v>
      </c>
      <c r="AH36" s="596">
        <v>206485</v>
      </c>
      <c r="AI36" s="596">
        <v>206485</v>
      </c>
      <c r="AJ36" s="596">
        <v>206485</v>
      </c>
      <c r="AK36" s="596">
        <v>206485</v>
      </c>
      <c r="AL36" s="596">
        <v>206485</v>
      </c>
      <c r="AM36" s="596">
        <v>206485</v>
      </c>
      <c r="AN36" s="596">
        <v>206485</v>
      </c>
      <c r="AO36" s="596">
        <v>206485</v>
      </c>
      <c r="AP36" s="596">
        <v>206485</v>
      </c>
      <c r="AQ36" s="596">
        <v>206485</v>
      </c>
      <c r="AR36" s="596">
        <v>0</v>
      </c>
      <c r="AS36" s="596">
        <v>0</v>
      </c>
      <c r="AT36" s="596">
        <v>0</v>
      </c>
      <c r="AU36" s="596">
        <v>0</v>
      </c>
      <c r="AV36" s="596">
        <v>0</v>
      </c>
      <c r="AW36" s="596">
        <v>0</v>
      </c>
      <c r="AX36" s="596">
        <v>0</v>
      </c>
      <c r="AY36" s="596">
        <v>0</v>
      </c>
      <c r="AZ36" s="596">
        <v>0</v>
      </c>
      <c r="BA36" s="596">
        <v>0</v>
      </c>
      <c r="BB36" s="596">
        <v>0</v>
      </c>
      <c r="BC36" s="596">
        <v>0</v>
      </c>
      <c r="BD36" s="315">
        <f t="shared" si="5"/>
        <v>6987888.75</v>
      </c>
      <c r="BE36" s="617">
        <f t="shared" si="6"/>
        <v>0</v>
      </c>
    </row>
    <row r="37" spans="2:57" ht="15.6">
      <c r="B37" s="192"/>
      <c r="C37" s="192"/>
      <c r="D37" s="192"/>
      <c r="E37" s="192"/>
      <c r="F37" s="676" t="str">
        <f t="shared" si="7"/>
        <v>FFE (pruely building &amp; Interior design)</v>
      </c>
      <c r="G37" s="313">
        <v>0</v>
      </c>
      <c r="H37" s="457"/>
      <c r="I37" s="457"/>
      <c r="J37" s="457"/>
      <c r="K37" s="313"/>
      <c r="L37" s="313"/>
      <c r="M37" s="313"/>
      <c r="N37" s="313"/>
      <c r="O37" s="313"/>
      <c r="P37" s="596">
        <v>0</v>
      </c>
      <c r="Q37" s="596">
        <v>0</v>
      </c>
      <c r="R37" s="596">
        <v>0</v>
      </c>
      <c r="S37" s="596">
        <v>0</v>
      </c>
      <c r="T37" s="596">
        <v>0</v>
      </c>
      <c r="U37" s="596">
        <v>0</v>
      </c>
      <c r="V37" s="596">
        <v>0</v>
      </c>
      <c r="W37" s="596">
        <v>0</v>
      </c>
      <c r="X37" s="596">
        <v>0</v>
      </c>
      <c r="Y37" s="596">
        <v>0</v>
      </c>
      <c r="Z37" s="596">
        <v>0</v>
      </c>
      <c r="AA37" s="596">
        <v>0</v>
      </c>
      <c r="AB37" s="596">
        <v>0</v>
      </c>
      <c r="AC37" s="596">
        <v>0</v>
      </c>
      <c r="AD37" s="596">
        <v>0</v>
      </c>
      <c r="AE37" s="596">
        <v>0</v>
      </c>
      <c r="AF37" s="596">
        <v>0</v>
      </c>
      <c r="AG37" s="596">
        <v>0</v>
      </c>
      <c r="AH37" s="596">
        <v>220000</v>
      </c>
      <c r="AI37" s="596">
        <v>220000</v>
      </c>
      <c r="AJ37" s="596">
        <v>600581</v>
      </c>
      <c r="AK37" s="596">
        <v>2559200</v>
      </c>
      <c r="AL37" s="596">
        <v>4559200</v>
      </c>
      <c r="AM37" s="596">
        <v>559200</v>
      </c>
      <c r="AN37" s="596">
        <v>559200</v>
      </c>
      <c r="AO37" s="596">
        <v>1559200</v>
      </c>
      <c r="AP37" s="596">
        <v>2264382</v>
      </c>
      <c r="AQ37" s="596">
        <v>1906833.25</v>
      </c>
      <c r="AR37" s="596">
        <v>1656833.25</v>
      </c>
      <c r="AS37" s="596">
        <v>1556833.25</v>
      </c>
      <c r="AT37" s="596">
        <v>2756833.25</v>
      </c>
      <c r="AU37" s="596">
        <v>3636966</v>
      </c>
      <c r="AV37" s="596">
        <v>3691869</v>
      </c>
      <c r="AW37" s="596">
        <v>4116817</v>
      </c>
      <c r="AX37" s="596">
        <v>0</v>
      </c>
      <c r="AY37" s="596">
        <v>0</v>
      </c>
      <c r="AZ37" s="596">
        <v>0</v>
      </c>
      <c r="BA37" s="596">
        <v>0</v>
      </c>
      <c r="BB37" s="596">
        <v>0</v>
      </c>
      <c r="BC37" s="596">
        <v>0</v>
      </c>
      <c r="BD37" s="315">
        <f t="shared" si="5"/>
        <v>32423948</v>
      </c>
      <c r="BE37" s="617">
        <f t="shared" si="6"/>
        <v>0</v>
      </c>
    </row>
    <row r="38" spans="2:57" ht="15.6">
      <c r="B38" s="192"/>
      <c r="C38" s="192"/>
      <c r="D38" s="192"/>
      <c r="E38" s="192"/>
      <c r="F38" s="676" t="str">
        <f t="shared" si="7"/>
        <v>LEED Design Costs</v>
      </c>
      <c r="G38" s="619">
        <v>0</v>
      </c>
      <c r="H38" s="618"/>
      <c r="I38" s="618"/>
      <c r="J38" s="618"/>
      <c r="K38" s="618"/>
      <c r="L38" s="618"/>
      <c r="M38" s="618"/>
      <c r="N38" s="618"/>
      <c r="O38" s="618"/>
      <c r="P38" s="596">
        <v>0</v>
      </c>
      <c r="Q38" s="596">
        <v>0</v>
      </c>
      <c r="R38" s="596">
        <v>0</v>
      </c>
      <c r="S38" s="596">
        <v>0</v>
      </c>
      <c r="T38" s="596">
        <v>0</v>
      </c>
      <c r="U38" s="596">
        <v>0</v>
      </c>
      <c r="V38" s="596">
        <v>0</v>
      </c>
      <c r="W38" s="596">
        <v>0</v>
      </c>
      <c r="X38" s="596">
        <v>0</v>
      </c>
      <c r="Y38" s="596">
        <v>0</v>
      </c>
      <c r="Z38" s="596">
        <v>0</v>
      </c>
      <c r="AA38" s="596">
        <v>0</v>
      </c>
      <c r="AB38" s="596">
        <v>0</v>
      </c>
      <c r="AC38" s="596">
        <v>0</v>
      </c>
      <c r="AD38" s="596">
        <v>0</v>
      </c>
      <c r="AE38" s="596">
        <v>0</v>
      </c>
      <c r="AF38" s="596">
        <v>80000</v>
      </c>
      <c r="AG38" s="596">
        <v>80000</v>
      </c>
      <c r="AH38" s="596">
        <v>80000</v>
      </c>
      <c r="AI38" s="596">
        <v>80000</v>
      </c>
      <c r="AJ38" s="596">
        <v>80000</v>
      </c>
      <c r="AK38" s="596">
        <v>80000</v>
      </c>
      <c r="AL38" s="596">
        <v>80000</v>
      </c>
      <c r="AM38" s="596">
        <v>80000</v>
      </c>
      <c r="AN38" s="596">
        <v>80000</v>
      </c>
      <c r="AO38" s="596">
        <v>80000</v>
      </c>
      <c r="AP38" s="596">
        <v>80000</v>
      </c>
      <c r="AQ38" s="596">
        <v>80000</v>
      </c>
      <c r="AR38" s="596">
        <v>80000</v>
      </c>
      <c r="AS38" s="596">
        <v>80000</v>
      </c>
      <c r="AT38" s="596">
        <v>80000</v>
      </c>
      <c r="AU38" s="596">
        <v>80000</v>
      </c>
      <c r="AV38" s="596">
        <v>80000</v>
      </c>
      <c r="AW38" s="596">
        <v>80000</v>
      </c>
      <c r="AX38" s="596">
        <v>44388</v>
      </c>
      <c r="AY38" s="596">
        <v>0</v>
      </c>
      <c r="AZ38" s="596">
        <v>0</v>
      </c>
      <c r="BA38" s="596">
        <v>0</v>
      </c>
      <c r="BB38" s="596">
        <v>0</v>
      </c>
      <c r="BC38" s="596">
        <v>0</v>
      </c>
      <c r="BD38" s="315">
        <f t="shared" si="5"/>
        <v>1484388</v>
      </c>
      <c r="BE38" s="617">
        <f t="shared" si="6"/>
        <v>0</v>
      </c>
    </row>
    <row r="39" spans="2:57" ht="15.6">
      <c r="B39" s="192"/>
      <c r="C39" s="192"/>
      <c r="D39" s="192"/>
      <c r="E39" s="192"/>
      <c r="F39" s="676" t="str">
        <f t="shared" si="7"/>
        <v>Capital Plug</v>
      </c>
      <c r="G39" s="619">
        <v>0</v>
      </c>
      <c r="H39" s="618"/>
      <c r="I39" s="618"/>
      <c r="J39" s="618"/>
      <c r="K39" s="618"/>
      <c r="L39" s="618"/>
      <c r="M39" s="618"/>
      <c r="N39" s="618"/>
      <c r="O39" s="618"/>
      <c r="P39" s="457">
        <f>+G24/4</f>
        <v>144750.38234402266</v>
      </c>
      <c r="Q39" s="315">
        <f>+P39</f>
        <v>144750.38234402266</v>
      </c>
      <c r="R39" s="315">
        <f t="shared" ref="R39:S39" si="8">+Q39</f>
        <v>144750.38234402266</v>
      </c>
      <c r="S39" s="315">
        <f t="shared" si="8"/>
        <v>144750.38234402266</v>
      </c>
      <c r="T39" s="457">
        <f>+H24/12</f>
        <v>116642.27494113211</v>
      </c>
      <c r="U39" s="315">
        <f>+T39</f>
        <v>116642.27494113211</v>
      </c>
      <c r="V39" s="315">
        <f t="shared" ref="V39:AE39" si="9">+U39</f>
        <v>116642.27494113211</v>
      </c>
      <c r="W39" s="315">
        <f t="shared" si="9"/>
        <v>116642.27494113211</v>
      </c>
      <c r="X39" s="315">
        <f t="shared" si="9"/>
        <v>116642.27494113211</v>
      </c>
      <c r="Y39" s="315">
        <f t="shared" si="9"/>
        <v>116642.27494113211</v>
      </c>
      <c r="Z39" s="315">
        <f t="shared" si="9"/>
        <v>116642.27494113211</v>
      </c>
      <c r="AA39" s="315">
        <f t="shared" si="9"/>
        <v>116642.27494113211</v>
      </c>
      <c r="AB39" s="315">
        <f t="shared" si="9"/>
        <v>116642.27494113211</v>
      </c>
      <c r="AC39" s="315">
        <f t="shared" si="9"/>
        <v>116642.27494113211</v>
      </c>
      <c r="AD39" s="315">
        <f t="shared" si="9"/>
        <v>116642.27494113211</v>
      </c>
      <c r="AE39" s="315">
        <f t="shared" si="9"/>
        <v>116642.27494113211</v>
      </c>
      <c r="AF39" s="457">
        <f>+I24/12</f>
        <v>181190.50707613697</v>
      </c>
      <c r="AG39" s="315">
        <f>+AF39</f>
        <v>181190.50707613697</v>
      </c>
      <c r="AH39" s="315">
        <f t="shared" ref="AH39:AQ39" si="10">+AG39</f>
        <v>181190.50707613697</v>
      </c>
      <c r="AI39" s="315">
        <f t="shared" si="10"/>
        <v>181190.50707613697</v>
      </c>
      <c r="AJ39" s="315">
        <f t="shared" si="10"/>
        <v>181190.50707613697</v>
      </c>
      <c r="AK39" s="315">
        <f t="shared" si="10"/>
        <v>181190.50707613697</v>
      </c>
      <c r="AL39" s="315">
        <f t="shared" si="10"/>
        <v>181190.50707613697</v>
      </c>
      <c r="AM39" s="315">
        <f t="shared" si="10"/>
        <v>181190.50707613697</v>
      </c>
      <c r="AN39" s="315">
        <f t="shared" si="10"/>
        <v>181190.50707613697</v>
      </c>
      <c r="AO39" s="315">
        <f t="shared" si="10"/>
        <v>181190.50707613697</v>
      </c>
      <c r="AP39" s="315">
        <f t="shared" si="10"/>
        <v>181190.50707613697</v>
      </c>
      <c r="AQ39" s="315">
        <f t="shared" si="10"/>
        <v>181190.50707613697</v>
      </c>
      <c r="AR39" s="457">
        <f>+J24/6</f>
        <v>143840.73004786481</v>
      </c>
      <c r="AS39" s="315">
        <f>+AR39</f>
        <v>143840.73004786481</v>
      </c>
      <c r="AT39" s="315">
        <f t="shared" ref="AT39:AW39" si="11">+AS39</f>
        <v>143840.73004786481</v>
      </c>
      <c r="AU39" s="315">
        <f t="shared" si="11"/>
        <v>143840.73004786481</v>
      </c>
      <c r="AV39" s="315">
        <f t="shared" si="11"/>
        <v>143840.73004786481</v>
      </c>
      <c r="AW39" s="315">
        <f t="shared" si="11"/>
        <v>143840.73004786481</v>
      </c>
      <c r="AX39" s="618"/>
      <c r="AY39" s="618"/>
      <c r="AZ39" s="618"/>
      <c r="BA39" s="618"/>
      <c r="BB39" s="618"/>
      <c r="BC39" s="618"/>
      <c r="BD39" s="315">
        <f t="shared" si="5"/>
        <v>5016039.2938705068</v>
      </c>
      <c r="BE39" s="617">
        <f t="shared" si="6"/>
        <v>0</v>
      </c>
    </row>
    <row r="40" spans="2:57" ht="15.6">
      <c r="B40" s="192"/>
      <c r="C40" s="192"/>
      <c r="D40" s="192"/>
      <c r="E40" s="192"/>
      <c r="F40" s="676" t="str">
        <f t="shared" si="7"/>
        <v>Parking Garage (1,000 Spaces)</v>
      </c>
      <c r="G40" s="619">
        <v>0</v>
      </c>
      <c r="H40" s="618"/>
      <c r="I40" s="618"/>
      <c r="J40" s="618"/>
      <c r="K40" s="379"/>
      <c r="L40" s="379"/>
      <c r="M40" s="379"/>
      <c r="N40" s="379"/>
      <c r="O40" s="379"/>
      <c r="P40" s="596">
        <v>12700</v>
      </c>
      <c r="Q40" s="596">
        <v>12700</v>
      </c>
      <c r="R40" s="596">
        <v>0</v>
      </c>
      <c r="S40" s="596">
        <v>0</v>
      </c>
      <c r="T40" s="596">
        <v>1224766.6666666667</v>
      </c>
      <c r="U40" s="596">
        <v>1224767</v>
      </c>
      <c r="V40" s="596">
        <v>1224767</v>
      </c>
      <c r="W40" s="596">
        <v>1224767</v>
      </c>
      <c r="X40" s="596">
        <v>1224767</v>
      </c>
      <c r="Y40" s="596">
        <v>1224767</v>
      </c>
      <c r="Z40" s="596">
        <v>1224767</v>
      </c>
      <c r="AA40" s="596">
        <v>1224767</v>
      </c>
      <c r="AB40" s="596">
        <v>1224767</v>
      </c>
      <c r="AC40" s="596">
        <v>1224767</v>
      </c>
      <c r="AD40" s="596">
        <v>1224767</v>
      </c>
      <c r="AE40" s="596">
        <v>1224767</v>
      </c>
      <c r="AF40" s="596">
        <v>522816.33333333331</v>
      </c>
      <c r="AG40" s="596">
        <v>522816</v>
      </c>
      <c r="AH40" s="596">
        <v>522816</v>
      </c>
      <c r="AI40" s="596">
        <v>522816</v>
      </c>
      <c r="AJ40" s="596">
        <v>522816</v>
      </c>
      <c r="AK40" s="596">
        <v>522816</v>
      </c>
      <c r="AL40" s="596">
        <v>522816</v>
      </c>
      <c r="AM40" s="596">
        <v>522816</v>
      </c>
      <c r="AN40" s="596">
        <v>522816</v>
      </c>
      <c r="AO40" s="596">
        <v>522816</v>
      </c>
      <c r="AP40" s="596">
        <v>522816</v>
      </c>
      <c r="AQ40" s="596">
        <v>522816</v>
      </c>
      <c r="AR40" s="596">
        <v>0</v>
      </c>
      <c r="AS40" s="596">
        <v>0</v>
      </c>
      <c r="AT40" s="596">
        <v>0</v>
      </c>
      <c r="AU40" s="596">
        <v>0</v>
      </c>
      <c r="AV40" s="596">
        <v>0</v>
      </c>
      <c r="AW40" s="596">
        <v>0</v>
      </c>
      <c r="AX40" s="596">
        <v>0</v>
      </c>
      <c r="AY40" s="596">
        <v>0</v>
      </c>
      <c r="AZ40" s="596">
        <v>0</v>
      </c>
      <c r="BA40" s="596">
        <v>0</v>
      </c>
      <c r="BB40" s="596">
        <v>0</v>
      </c>
      <c r="BC40" s="596">
        <v>0</v>
      </c>
      <c r="BD40" s="315">
        <f t="shared" si="5"/>
        <v>20996396</v>
      </c>
      <c r="BE40" s="617">
        <f t="shared" si="6"/>
        <v>0</v>
      </c>
    </row>
    <row r="41" spans="2:57" ht="15.6">
      <c r="B41" s="192"/>
      <c r="C41" s="192"/>
      <c r="D41" s="192"/>
      <c r="E41" s="192"/>
      <c r="F41" s="676" t="str">
        <f t="shared" si="7"/>
        <v>Developer Profit</v>
      </c>
      <c r="G41" s="313">
        <v>0</v>
      </c>
      <c r="H41" s="457"/>
      <c r="I41" s="457"/>
      <c r="J41" s="457"/>
      <c r="K41" s="379"/>
      <c r="L41" s="379"/>
      <c r="M41" s="379"/>
      <c r="N41" s="379"/>
      <c r="O41" s="379"/>
      <c r="P41" s="596">
        <v>0</v>
      </c>
      <c r="Q41" s="596">
        <v>0</v>
      </c>
      <c r="R41" s="596">
        <v>2517988</v>
      </c>
      <c r="S41" s="596">
        <v>534339</v>
      </c>
      <c r="T41" s="596">
        <v>1168359.5833333333</v>
      </c>
      <c r="U41" s="596">
        <v>1168360</v>
      </c>
      <c r="V41" s="596">
        <v>518920</v>
      </c>
      <c r="W41" s="596">
        <v>518920</v>
      </c>
      <c r="X41" s="596">
        <v>518920</v>
      </c>
      <c r="Y41" s="596">
        <v>518920</v>
      </c>
      <c r="Z41" s="596">
        <v>518920</v>
      </c>
      <c r="AA41" s="596">
        <v>518920</v>
      </c>
      <c r="AB41" s="596">
        <v>518920</v>
      </c>
      <c r="AC41" s="596">
        <v>518920</v>
      </c>
      <c r="AD41" s="596">
        <v>518920</v>
      </c>
      <c r="AE41" s="596">
        <v>518920</v>
      </c>
      <c r="AF41" s="596">
        <v>311697.66666666669</v>
      </c>
      <c r="AG41" s="596">
        <v>311698</v>
      </c>
      <c r="AH41" s="596">
        <v>311698</v>
      </c>
      <c r="AI41" s="596">
        <v>311698</v>
      </c>
      <c r="AJ41" s="596">
        <v>311698</v>
      </c>
      <c r="AK41" s="596">
        <v>311698</v>
      </c>
      <c r="AL41" s="596">
        <v>311698</v>
      </c>
      <c r="AM41" s="596">
        <v>311698</v>
      </c>
      <c r="AN41" s="596">
        <v>311698</v>
      </c>
      <c r="AO41" s="596">
        <v>311698</v>
      </c>
      <c r="AP41" s="596">
        <v>311698</v>
      </c>
      <c r="AQ41" s="596">
        <v>311698</v>
      </c>
      <c r="AR41" s="596">
        <v>0</v>
      </c>
      <c r="AS41" s="596">
        <v>0</v>
      </c>
      <c r="AT41" s="596">
        <v>0</v>
      </c>
      <c r="AU41" s="596">
        <v>0</v>
      </c>
      <c r="AV41" s="596">
        <v>0</v>
      </c>
      <c r="AW41" s="596">
        <v>0</v>
      </c>
      <c r="AX41" s="596">
        <v>0</v>
      </c>
      <c r="AY41" s="596">
        <v>0</v>
      </c>
      <c r="AZ41" s="596">
        <v>0</v>
      </c>
      <c r="BA41" s="596">
        <v>0</v>
      </c>
      <c r="BB41" s="596">
        <v>0</v>
      </c>
      <c r="BC41" s="596">
        <v>0</v>
      </c>
      <c r="BD41" s="315">
        <f t="shared" si="5"/>
        <v>14318622.249999998</v>
      </c>
      <c r="BE41" s="617">
        <f t="shared" si="6"/>
        <v>0</v>
      </c>
    </row>
    <row r="42" spans="2:57" ht="15.6">
      <c r="B42" s="192"/>
      <c r="C42" s="192"/>
      <c r="D42" s="192"/>
      <c r="E42" s="192"/>
      <c r="F42" s="676" t="str">
        <f t="shared" si="7"/>
        <v>Interior Construction Costs (less TI Allow)</v>
      </c>
      <c r="G42" s="313">
        <v>0</v>
      </c>
      <c r="H42" s="618"/>
      <c r="I42" s="618"/>
      <c r="J42" s="618"/>
      <c r="K42" s="313"/>
      <c r="L42" s="313"/>
      <c r="M42" s="313"/>
      <c r="N42" s="313"/>
      <c r="O42" s="313"/>
      <c r="P42" s="596">
        <v>0</v>
      </c>
      <c r="Q42" s="596">
        <v>0</v>
      </c>
      <c r="R42" s="596">
        <v>0</v>
      </c>
      <c r="S42" s="596">
        <v>0</v>
      </c>
      <c r="T42" s="596">
        <v>0</v>
      </c>
      <c r="U42" s="596">
        <v>0</v>
      </c>
      <c r="V42" s="596">
        <v>0</v>
      </c>
      <c r="W42" s="596">
        <v>0</v>
      </c>
      <c r="X42" s="596">
        <v>0</v>
      </c>
      <c r="Y42" s="596">
        <v>0</v>
      </c>
      <c r="Z42" s="596">
        <v>0</v>
      </c>
      <c r="AA42" s="596">
        <v>0</v>
      </c>
      <c r="AB42" s="596">
        <v>0</v>
      </c>
      <c r="AC42" s="596">
        <v>0</v>
      </c>
      <c r="AD42" s="596">
        <v>0</v>
      </c>
      <c r="AE42" s="596">
        <v>0</v>
      </c>
      <c r="AF42" s="596">
        <v>0</v>
      </c>
      <c r="AG42" s="596">
        <v>0</v>
      </c>
      <c r="AH42" s="596">
        <v>0</v>
      </c>
      <c r="AI42" s="596">
        <v>4378885.7427961538</v>
      </c>
      <c r="AJ42" s="596">
        <v>3490032</v>
      </c>
      <c r="AK42" s="596">
        <v>4640032</v>
      </c>
      <c r="AL42" s="596">
        <v>4190032</v>
      </c>
      <c r="AM42" s="596">
        <v>5190032</v>
      </c>
      <c r="AN42" s="596">
        <v>6190032</v>
      </c>
      <c r="AO42" s="596">
        <v>6190032</v>
      </c>
      <c r="AP42" s="596">
        <v>7190032</v>
      </c>
      <c r="AQ42" s="596">
        <v>8190032</v>
      </c>
      <c r="AR42" s="596">
        <v>7190032</v>
      </c>
      <c r="AS42" s="596">
        <v>6190032</v>
      </c>
      <c r="AT42" s="596">
        <v>5190032</v>
      </c>
      <c r="AU42" s="596">
        <v>4189132</v>
      </c>
      <c r="AV42" s="596">
        <v>0</v>
      </c>
      <c r="AW42" s="596">
        <v>0</v>
      </c>
      <c r="AX42" s="596">
        <v>1140000</v>
      </c>
      <c r="AY42" s="596">
        <v>0</v>
      </c>
      <c r="AZ42" s="596">
        <v>0</v>
      </c>
      <c r="BA42" s="596">
        <v>0</v>
      </c>
      <c r="BB42" s="596">
        <v>0</v>
      </c>
      <c r="BC42" s="596">
        <v>0</v>
      </c>
      <c r="BD42" s="315">
        <f t="shared" si="5"/>
        <v>73548369.742796153</v>
      </c>
      <c r="BE42" s="617">
        <f t="shared" si="6"/>
        <v>0</v>
      </c>
    </row>
    <row r="43" spans="2:57" ht="15.6">
      <c r="B43" s="192"/>
      <c r="C43" s="192"/>
      <c r="D43" s="192"/>
      <c r="E43" s="192"/>
      <c r="F43" s="676" t="str">
        <f t="shared" si="7"/>
        <v>Interior Soft Costs</v>
      </c>
      <c r="G43" s="313">
        <v>0</v>
      </c>
      <c r="H43" s="457"/>
      <c r="I43" s="457"/>
      <c r="J43" s="457"/>
      <c r="K43" s="457"/>
      <c r="L43" s="457"/>
      <c r="M43" s="457"/>
      <c r="N43" s="457"/>
      <c r="O43" s="457"/>
      <c r="P43" s="596">
        <v>1247576.25</v>
      </c>
      <c r="Q43" s="596">
        <v>316324</v>
      </c>
      <c r="R43" s="596">
        <v>236717</v>
      </c>
      <c r="S43" s="596">
        <v>236717</v>
      </c>
      <c r="T43" s="596">
        <v>240381</v>
      </c>
      <c r="U43" s="596">
        <v>240381</v>
      </c>
      <c r="V43" s="596">
        <v>240381</v>
      </c>
      <c r="W43" s="596">
        <v>232381</v>
      </c>
      <c r="X43" s="596">
        <v>232381</v>
      </c>
      <c r="Y43" s="596">
        <v>232381</v>
      </c>
      <c r="Z43" s="596">
        <v>232381</v>
      </c>
      <c r="AA43" s="596">
        <v>232381</v>
      </c>
      <c r="AB43" s="596">
        <v>232381</v>
      </c>
      <c r="AC43" s="596">
        <v>232381</v>
      </c>
      <c r="AD43" s="596">
        <v>232381</v>
      </c>
      <c r="AE43" s="596">
        <v>232381</v>
      </c>
      <c r="AF43" s="596">
        <v>232807</v>
      </c>
      <c r="AG43" s="596">
        <v>218807</v>
      </c>
      <c r="AH43" s="596">
        <v>202807</v>
      </c>
      <c r="AI43" s="596">
        <v>202807</v>
      </c>
      <c r="AJ43" s="596">
        <v>202807</v>
      </c>
      <c r="AK43" s="596">
        <v>252807</v>
      </c>
      <c r="AL43" s="596">
        <v>252807</v>
      </c>
      <c r="AM43" s="596">
        <v>252807</v>
      </c>
      <c r="AN43" s="596">
        <v>252807</v>
      </c>
      <c r="AO43" s="596">
        <v>236807</v>
      </c>
      <c r="AP43" s="596">
        <v>236807</v>
      </c>
      <c r="AQ43" s="596">
        <v>236807</v>
      </c>
      <c r="AR43" s="596">
        <v>236807</v>
      </c>
      <c r="AS43" s="596">
        <v>261807</v>
      </c>
      <c r="AT43" s="596">
        <v>261807</v>
      </c>
      <c r="AU43" s="596">
        <v>241613</v>
      </c>
      <c r="AV43" s="596">
        <v>94674</v>
      </c>
      <c r="AW43" s="596">
        <v>25000</v>
      </c>
      <c r="AX43" s="596">
        <v>25000</v>
      </c>
      <c r="AY43" s="596">
        <v>25000</v>
      </c>
      <c r="AZ43" s="596">
        <v>0</v>
      </c>
      <c r="BA43" s="596">
        <v>0</v>
      </c>
      <c r="BB43" s="596">
        <v>0</v>
      </c>
      <c r="BC43" s="596">
        <v>0</v>
      </c>
      <c r="BD43" s="315">
        <f t="shared" si="5"/>
        <v>8803298.25</v>
      </c>
      <c r="BE43" s="617">
        <f t="shared" si="6"/>
        <v>0</v>
      </c>
    </row>
    <row r="44" spans="2:57" ht="16.2" thickBot="1">
      <c r="B44" s="192"/>
      <c r="C44" s="192"/>
      <c r="D44" s="192"/>
      <c r="E44" s="192"/>
      <c r="F44" s="192"/>
      <c r="G44" s="601">
        <f t="shared" ref="G44:AL44" si="12">SUM(G34:G43)</f>
        <v>0</v>
      </c>
      <c r="H44" s="601">
        <f t="shared" si="12"/>
        <v>0</v>
      </c>
      <c r="I44" s="601">
        <f t="shared" si="12"/>
        <v>0</v>
      </c>
      <c r="J44" s="601">
        <f t="shared" si="12"/>
        <v>0</v>
      </c>
      <c r="K44" s="601">
        <f t="shared" si="12"/>
        <v>0</v>
      </c>
      <c r="L44" s="601">
        <f t="shared" si="12"/>
        <v>0</v>
      </c>
      <c r="M44" s="601">
        <f t="shared" si="12"/>
        <v>0</v>
      </c>
      <c r="N44" s="601">
        <f t="shared" si="12"/>
        <v>0</v>
      </c>
      <c r="O44" s="601">
        <f t="shared" si="12"/>
        <v>0</v>
      </c>
      <c r="P44" s="601">
        <f t="shared" si="12"/>
        <v>3902072.6323440229</v>
      </c>
      <c r="Q44" s="601">
        <f t="shared" si="12"/>
        <v>1006710.3823440226</v>
      </c>
      <c r="R44" s="601">
        <f t="shared" si="12"/>
        <v>22512338.382344022</v>
      </c>
      <c r="S44" s="601">
        <f t="shared" si="12"/>
        <v>2013534.3823440226</v>
      </c>
      <c r="T44" s="601">
        <f t="shared" si="12"/>
        <v>6476934.2382744653</v>
      </c>
      <c r="U44" s="601">
        <f t="shared" si="12"/>
        <v>6476934.2749411315</v>
      </c>
      <c r="V44" s="601">
        <f t="shared" si="12"/>
        <v>5827494.2749411315</v>
      </c>
      <c r="W44" s="601">
        <f t="shared" si="12"/>
        <v>5819494.2749411315</v>
      </c>
      <c r="X44" s="601">
        <f t="shared" si="12"/>
        <v>5819494.2749411315</v>
      </c>
      <c r="Y44" s="601">
        <f t="shared" si="12"/>
        <v>5819494.2749411315</v>
      </c>
      <c r="Z44" s="601">
        <f t="shared" si="12"/>
        <v>5819494.2749411315</v>
      </c>
      <c r="AA44" s="601">
        <f t="shared" si="12"/>
        <v>5819494.2749411315</v>
      </c>
      <c r="AB44" s="601">
        <f t="shared" si="12"/>
        <v>5819494.2749411315</v>
      </c>
      <c r="AC44" s="601">
        <f t="shared" si="12"/>
        <v>5819494.2749411315</v>
      </c>
      <c r="AD44" s="601">
        <f t="shared" si="12"/>
        <v>5819494.2749411315</v>
      </c>
      <c r="AE44" s="601">
        <f t="shared" si="12"/>
        <v>5819494.2749411315</v>
      </c>
      <c r="AF44" s="601">
        <f t="shared" si="12"/>
        <v>3825097.2570761368</v>
      </c>
      <c r="AG44" s="601">
        <f t="shared" si="12"/>
        <v>3811096.5070761368</v>
      </c>
      <c r="AH44" s="601">
        <f t="shared" si="12"/>
        <v>4015096.5070761368</v>
      </c>
      <c r="AI44" s="601">
        <f t="shared" si="12"/>
        <v>8393982.2498722896</v>
      </c>
      <c r="AJ44" s="601">
        <f t="shared" si="12"/>
        <v>7885709.5070761368</v>
      </c>
      <c r="AK44" s="601">
        <f t="shared" si="12"/>
        <v>11044328.507076137</v>
      </c>
      <c r="AL44" s="601">
        <f t="shared" si="12"/>
        <v>12594328.507076137</v>
      </c>
      <c r="AM44" s="601">
        <f t="shared" ref="AM44:BE44" si="13">SUM(AM34:AM43)</f>
        <v>9594328.5070761368</v>
      </c>
      <c r="AN44" s="601">
        <f t="shared" si="13"/>
        <v>10594328.507076137</v>
      </c>
      <c r="AO44" s="601">
        <f t="shared" si="13"/>
        <v>11578328.507076137</v>
      </c>
      <c r="AP44" s="601">
        <f t="shared" si="13"/>
        <v>13283510.507076137</v>
      </c>
      <c r="AQ44" s="601">
        <f t="shared" si="13"/>
        <v>13913877.757076137</v>
      </c>
      <c r="AR44" s="601">
        <f t="shared" si="13"/>
        <v>9307512.9800478648</v>
      </c>
      <c r="AS44" s="601">
        <f t="shared" si="13"/>
        <v>8232512.9800478648</v>
      </c>
      <c r="AT44" s="601">
        <f t="shared" si="13"/>
        <v>8432512.9800478648</v>
      </c>
      <c r="AU44" s="601">
        <f t="shared" si="13"/>
        <v>8291551.7300478648</v>
      </c>
      <c r="AV44" s="601">
        <f t="shared" si="13"/>
        <v>4010383.7300478648</v>
      </c>
      <c r="AW44" s="601">
        <f t="shared" si="13"/>
        <v>4365657.7300478648</v>
      </c>
      <c r="AX44" s="601">
        <f t="shared" si="13"/>
        <v>1209388</v>
      </c>
      <c r="AY44" s="601">
        <f t="shared" si="13"/>
        <v>25000</v>
      </c>
      <c r="AZ44" s="601">
        <f t="shared" si="13"/>
        <v>0</v>
      </c>
      <c r="BA44" s="601">
        <f t="shared" si="13"/>
        <v>0</v>
      </c>
      <c r="BB44" s="601">
        <f t="shared" si="13"/>
        <v>0</v>
      </c>
      <c r="BC44" s="601">
        <f t="shared" si="13"/>
        <v>0</v>
      </c>
      <c r="BD44" s="601">
        <f t="shared" si="13"/>
        <v>255000000</v>
      </c>
      <c r="BE44" s="616">
        <f t="shared" si="13"/>
        <v>0</v>
      </c>
    </row>
    <row r="45" spans="2:57" ht="16.2" thickTop="1">
      <c r="B45" s="192"/>
      <c r="C45" s="192"/>
      <c r="D45" s="192"/>
      <c r="E45" s="192"/>
      <c r="F45" s="192"/>
      <c r="G45" s="610"/>
      <c r="H45" s="610"/>
      <c r="I45" s="610"/>
      <c r="J45" s="610"/>
      <c r="K45" s="610"/>
      <c r="L45" s="610"/>
      <c r="M45" s="610"/>
      <c r="N45" s="610"/>
      <c r="O45" s="610"/>
      <c r="P45" s="610"/>
      <c r="Q45" s="610"/>
      <c r="R45" s="615" t="s">
        <v>368</v>
      </c>
      <c r="S45" s="614">
        <f>SUM(H44:S44)</f>
        <v>29434655.77937609</v>
      </c>
      <c r="T45" s="610"/>
      <c r="U45" s="610"/>
      <c r="V45" s="610"/>
      <c r="W45" s="610"/>
      <c r="X45" s="610"/>
      <c r="Y45" s="610"/>
      <c r="Z45" s="610"/>
      <c r="AA45" s="610"/>
      <c r="AB45" s="610"/>
      <c r="AC45" s="610"/>
      <c r="AD45" s="615" t="s">
        <v>368</v>
      </c>
      <c r="AE45" s="614">
        <f>SUM(T44:AE44)</f>
        <v>71156811.262626916</v>
      </c>
      <c r="AF45" s="610"/>
      <c r="AG45" s="610"/>
      <c r="AH45" s="610"/>
      <c r="AI45" s="610"/>
      <c r="AJ45" s="610"/>
      <c r="AK45" s="610"/>
      <c r="AL45" s="610"/>
      <c r="AM45" s="610"/>
      <c r="AN45" s="610"/>
      <c r="AO45" s="610"/>
      <c r="AP45" s="615" t="s">
        <v>368</v>
      </c>
      <c r="AQ45" s="614">
        <f>SUM(AF44:AQ44)</f>
        <v>110534012.82770982</v>
      </c>
      <c r="AR45" s="610"/>
      <c r="AS45" s="610"/>
      <c r="AT45" s="610"/>
      <c r="AU45" s="610"/>
      <c r="AV45" s="610"/>
      <c r="AW45" s="610"/>
      <c r="AX45" s="610"/>
      <c r="AY45" s="610"/>
      <c r="AZ45" s="610"/>
      <c r="BA45" s="610"/>
      <c r="BB45" s="615" t="s">
        <v>368</v>
      </c>
      <c r="BC45" s="614">
        <f>SUM(AR44:BC44)</f>
        <v>43874520.130287193</v>
      </c>
      <c r="BD45" s="610">
        <f>+S45+AE45+AQ45+BC45</f>
        <v>255000000.00000003</v>
      </c>
      <c r="BE45" s="613"/>
    </row>
    <row r="46" spans="2:57" ht="15.6">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row>
    <row r="47" spans="2:57" ht="15.6">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row>
    <row r="48" spans="2:57" ht="15.6">
      <c r="B48" s="192"/>
      <c r="C48" s="192"/>
      <c r="D48" s="192"/>
      <c r="E48" s="192"/>
      <c r="F48" s="605" t="s">
        <v>369</v>
      </c>
      <c r="G48" s="612">
        <v>44531</v>
      </c>
      <c r="H48" s="612">
        <v>44562</v>
      </c>
      <c r="I48" s="612">
        <v>44593</v>
      </c>
      <c r="J48" s="612">
        <v>44621</v>
      </c>
      <c r="K48" s="612">
        <v>44652</v>
      </c>
      <c r="L48" s="612">
        <v>44682</v>
      </c>
      <c r="M48" s="612">
        <v>44713</v>
      </c>
      <c r="N48" s="612">
        <v>44743</v>
      </c>
      <c r="O48" s="612">
        <v>44774</v>
      </c>
      <c r="P48" s="612">
        <v>44805</v>
      </c>
      <c r="Q48" s="612">
        <v>44835</v>
      </c>
      <c r="R48" s="612">
        <v>44866</v>
      </c>
      <c r="S48" s="612">
        <v>44896</v>
      </c>
      <c r="T48" s="612">
        <v>44927</v>
      </c>
      <c r="U48" s="612">
        <v>44958</v>
      </c>
      <c r="V48" s="612">
        <v>44986</v>
      </c>
      <c r="W48" s="612">
        <v>45017</v>
      </c>
      <c r="X48" s="612">
        <v>45047</v>
      </c>
      <c r="Y48" s="612">
        <v>45078</v>
      </c>
      <c r="Z48" s="612">
        <v>45108</v>
      </c>
      <c r="AA48" s="612">
        <v>45139</v>
      </c>
      <c r="AB48" s="612">
        <v>45170</v>
      </c>
      <c r="AC48" s="612">
        <v>45200</v>
      </c>
      <c r="AD48" s="612">
        <v>45231</v>
      </c>
      <c r="AE48" s="612">
        <v>45261</v>
      </c>
      <c r="AF48" s="612">
        <v>45292</v>
      </c>
      <c r="AG48" s="612">
        <v>45323</v>
      </c>
      <c r="AH48" s="612">
        <v>45352</v>
      </c>
      <c r="AI48" s="612">
        <v>45383</v>
      </c>
      <c r="AJ48" s="612">
        <v>45413</v>
      </c>
      <c r="AK48" s="612">
        <v>45444</v>
      </c>
      <c r="AL48" s="612">
        <v>45474</v>
      </c>
      <c r="AM48" s="612">
        <v>45505</v>
      </c>
      <c r="AN48" s="612">
        <v>45536</v>
      </c>
      <c r="AO48" s="612">
        <v>45566</v>
      </c>
      <c r="AP48" s="612">
        <v>45597</v>
      </c>
      <c r="AQ48" s="612">
        <v>45627</v>
      </c>
      <c r="AR48" s="612">
        <v>45658</v>
      </c>
      <c r="AS48" s="612">
        <v>45689</v>
      </c>
      <c r="AT48" s="612">
        <v>45717</v>
      </c>
      <c r="AU48" s="612">
        <v>45748</v>
      </c>
      <c r="AV48" s="612">
        <v>45778</v>
      </c>
      <c r="AW48" s="612">
        <v>45809</v>
      </c>
      <c r="AX48" s="612">
        <v>45839</v>
      </c>
      <c r="AY48" s="612">
        <v>45870</v>
      </c>
      <c r="AZ48" s="612">
        <v>45901</v>
      </c>
      <c r="BA48" s="612">
        <v>45931</v>
      </c>
      <c r="BB48" s="612">
        <v>45962</v>
      </c>
      <c r="BC48" s="612">
        <v>45992</v>
      </c>
      <c r="BD48" s="192"/>
    </row>
    <row r="49" spans="2:56" ht="15.6">
      <c r="B49" s="192"/>
      <c r="C49" s="192"/>
      <c r="D49" s="192"/>
      <c r="E49" s="192"/>
      <c r="F49" s="676" t="str">
        <f>+F5</f>
        <v>Land Assumption</v>
      </c>
      <c r="G49" s="611"/>
      <c r="H49" s="315">
        <f>SUM($G34:G34)+H34/2+SUM($G64:G64)</f>
        <v>0</v>
      </c>
      <c r="I49" s="315">
        <f>SUM($G34:H34)+I34/2+SUM($G64:H64)</f>
        <v>0</v>
      </c>
      <c r="J49" s="315">
        <f>SUM($G34:I34)+J34/2+SUM($G64:I64)</f>
        <v>0</v>
      </c>
      <c r="K49" s="315">
        <f>SUM($G34:J34)+K34/2+SUM($G64:J64)</f>
        <v>0</v>
      </c>
      <c r="L49" s="315">
        <f>SUM($G34:K34)+L34/2+SUM($G64:K64)</f>
        <v>0</v>
      </c>
      <c r="M49" s="315">
        <f>SUM($G34:L34)+M34/2+SUM($G64:L64)</f>
        <v>0</v>
      </c>
      <c r="N49" s="315">
        <f>SUM($G34:M34)+N34/2+SUM($G64:M64)</f>
        <v>0</v>
      </c>
      <c r="O49" s="315">
        <f>SUM($G34:N34)+O34/2+SUM($G64:N64)</f>
        <v>0</v>
      </c>
      <c r="P49" s="315">
        <f>SUM($G34:O34)+P34/2+SUM($G64:O64)</f>
        <v>50000</v>
      </c>
      <c r="Q49" s="315">
        <f>SUM($G34:P34)+Q34/2+SUM($G64:P64)</f>
        <v>100246.66666666667</v>
      </c>
      <c r="R49" s="315">
        <f>SUM($G34:Q34)+R34/2+SUM($G64:Q64)</f>
        <v>6028862.7168888887</v>
      </c>
      <c r="S49" s="315">
        <f>SUM($G34:R34)+S34/2+SUM($G64:R64)</f>
        <v>11986726.606292207</v>
      </c>
      <c r="T49" s="315">
        <f>SUM($G34:S34)+T34/2+SUM($G64:S64)</f>
        <v>12045861.124216583</v>
      </c>
      <c r="U49" s="315">
        <f>SUM($G34:T34)+U34/2+SUM($G64:T64)</f>
        <v>12105287.372429384</v>
      </c>
      <c r="V49" s="315">
        <f>SUM($G34:U34)+V34/2+SUM($G64:U64)</f>
        <v>12165006.790133368</v>
      </c>
      <c r="W49" s="315">
        <f>SUM($G34:V34)+W34/2+SUM($G64:V64)</f>
        <v>12225020.823631361</v>
      </c>
      <c r="X49" s="315">
        <f>SUM($G34:W34)+X34/2+SUM($G64:W64)</f>
        <v>12285330.926361276</v>
      </c>
      <c r="Y49" s="315">
        <f>SUM($G34:X34)+Y34/2+SUM($G64:X64)</f>
        <v>12345938.558931325</v>
      </c>
      <c r="Z49" s="315">
        <f>SUM($G34:Y34)+Z34/2+SUM($G64:Y64)</f>
        <v>12406845.189155385</v>
      </c>
      <c r="AA49" s="315">
        <f>SUM($G34:Z34)+AA34/2+SUM($G64:Z64)</f>
        <v>12468052.292088551</v>
      </c>
      <c r="AB49" s="315">
        <f>SUM($G34:AA34)+AB34/2+SUM($G64:AA64)</f>
        <v>12529561.350062855</v>
      </c>
      <c r="AC49" s="315">
        <f>SUM($G34:AB34)+AC34/2+SUM($G64:AB64)</f>
        <v>12591373.852723166</v>
      </c>
      <c r="AD49" s="315">
        <f>SUM($G34:AC34)+AD34/2+SUM($G64:AC64)</f>
        <v>12653491.297063267</v>
      </c>
      <c r="AE49" s="315">
        <f>SUM($G34:AD34)+AE34/2+SUM($G64:AD64)</f>
        <v>12715915.187462112</v>
      </c>
      <c r="AF49" s="315">
        <f>SUM($G34:AE34)+AF34/2+SUM($G64:AE64)</f>
        <v>12778647.035720259</v>
      </c>
      <c r="AG49" s="315">
        <f>SUM($G34:AF34)+AG34/2+SUM($G64:AF64)</f>
        <v>12841688.361096479</v>
      </c>
      <c r="AH49" s="315">
        <f>SUM($G34:AG34)+AH34/2+SUM($G64:AG64)</f>
        <v>12905040.690344553</v>
      </c>
      <c r="AI49" s="315">
        <f>SUM($G34:AH34)+AI34/2+SUM($G64:AH64)</f>
        <v>12968705.557750255</v>
      </c>
      <c r="AJ49" s="315">
        <f>SUM($G34:AI34)+AJ34/2+SUM($G64:AI64)</f>
        <v>13032684.505168488</v>
      </c>
      <c r="AK49" s="315">
        <f>SUM($G34:AJ34)+AK34/2+SUM($G64:AJ64)</f>
        <v>13096979.082060654</v>
      </c>
      <c r="AL49" s="315">
        <f>SUM($G34:AK34)+AL34/2+SUM($G64:AK64)</f>
        <v>13161590.845532153</v>
      </c>
      <c r="AM49" s="315">
        <f>SUM($G34:AL34)+AM34/2+SUM($G64:AL64)</f>
        <v>13226521.360370111</v>
      </c>
      <c r="AN49" s="315">
        <f>SUM($G34:AM34)+AN34/2+SUM($G64:AM64)</f>
        <v>13291772.19908127</v>
      </c>
      <c r="AO49" s="315">
        <f>SUM($G34:AN34)+AO34/2+SUM($G64:AN64)</f>
        <v>13357344.941930071</v>
      </c>
      <c r="AP49" s="315">
        <f>SUM($G34:AO34)+AP34/2+SUM($G64:AO64)</f>
        <v>13423241.176976927</v>
      </c>
      <c r="AQ49" s="315">
        <f>SUM($G34:AP34)+AQ34/2+SUM($G64:AP64)</f>
        <v>13489462.50011668</v>
      </c>
      <c r="AR49" s="315">
        <f>SUM($G34:AQ34)+AR34/2+SUM($G64:AQ64)</f>
        <v>13522736.507616967</v>
      </c>
      <c r="AS49" s="315">
        <f>SUM($G34:AR34)+AS34/2+SUM($G64:AR64)</f>
        <v>13522736.507616967</v>
      </c>
      <c r="AT49" s="315">
        <f>SUM($G34:AS34)+AT34/2+SUM($G64:AS64)</f>
        <v>13522736.507616967</v>
      </c>
      <c r="AU49" s="315">
        <f>SUM($G34:AT34)+AU34/2+SUM($G64:AT64)</f>
        <v>13522736.507616967</v>
      </c>
      <c r="AV49" s="315">
        <f>SUM($G34:AU34)+AV34/2+SUM($G64:AU64)</f>
        <v>13522736.507616967</v>
      </c>
      <c r="AW49" s="315">
        <f>SUM($G34:AV34)+AW34/2+SUM($G64:AV64)</f>
        <v>13522736.507616967</v>
      </c>
      <c r="AX49" s="315">
        <f>SUM($G34:AW34)+AX34/2+SUM($G64:AW64)</f>
        <v>13522736.507616967</v>
      </c>
      <c r="AY49" s="315">
        <f>SUM($G34:AX34)+AY34/2+SUM($G64:AX64)</f>
        <v>13522736.507616967</v>
      </c>
      <c r="AZ49" s="315">
        <f>SUM($G34:AY34)+AZ34/2+SUM($G64:AY64)</f>
        <v>13522736.507616967</v>
      </c>
      <c r="BA49" s="315">
        <f>SUM($G34:AZ34)+BA34/2+SUM($G64:AZ64)</f>
        <v>13522736.507616967</v>
      </c>
      <c r="BB49" s="315">
        <f>SUM($G34:BA34)+BB34/2+SUM($G64:BA64)</f>
        <v>13522736.507616967</v>
      </c>
      <c r="BC49" s="315">
        <f>SUM($G34:BB34)+BC34/2+SUM($G64:BB64)</f>
        <v>13522736.507616967</v>
      </c>
      <c r="BD49" s="192"/>
    </row>
    <row r="50" spans="2:56" ht="15.6">
      <c r="B50" s="192"/>
      <c r="C50" s="192"/>
      <c r="D50" s="192"/>
      <c r="E50" s="192"/>
      <c r="F50" s="676" t="str">
        <f t="shared" ref="F50:F58" si="14">+F6</f>
        <v>Hard Costs</v>
      </c>
      <c r="G50" s="611"/>
      <c r="H50" s="315">
        <f>SUM($G35:G35)+H35/2+SUM($G65:G65)</f>
        <v>0</v>
      </c>
      <c r="I50" s="315">
        <f>SUM($G35:H35)+I35/2+SUM($G65:H65)</f>
        <v>0</v>
      </c>
      <c r="J50" s="315">
        <f>SUM($G35:I35)+J35/2+SUM($G65:I65)</f>
        <v>0</v>
      </c>
      <c r="K50" s="315">
        <f>SUM($G35:J35)+K35/2+SUM($G65:J65)</f>
        <v>0</v>
      </c>
      <c r="L50" s="315">
        <f>SUM($G35:K35)+L35/2+SUM($G65:K65)</f>
        <v>0</v>
      </c>
      <c r="M50" s="315">
        <f>SUM($G35:L35)+M35/2+SUM($G65:L65)</f>
        <v>0</v>
      </c>
      <c r="N50" s="315">
        <f>SUM($G35:M35)+N35/2+SUM($G65:M65)</f>
        <v>0</v>
      </c>
      <c r="O50" s="315">
        <f>SUM($G35:N35)+O35/2+SUM($G65:N65)</f>
        <v>0</v>
      </c>
      <c r="P50" s="315">
        <f>SUM($G35:O35)+P35/2+SUM($G65:O65)</f>
        <v>312.5</v>
      </c>
      <c r="Q50" s="315">
        <f>SUM($G35:P35)+Q35/2+SUM($G65:P65)</f>
        <v>939.04166666666663</v>
      </c>
      <c r="R50" s="315">
        <f>SUM($G35:Q35)+R35/2+SUM($G65:Q65)</f>
        <v>3856286.1742722224</v>
      </c>
      <c r="S50" s="315">
        <f>SUM($G35:R35)+S35/2+SUM($G65:R65)</f>
        <v>7730340.5193986315</v>
      </c>
      <c r="T50" s="315">
        <f>SUM($G35:S35)+T35/2+SUM($G65:S65)</f>
        <v>9613659.7226276658</v>
      </c>
      <c r="U50" s="315">
        <f>SUM($G35:T35)+U35/2+SUM($G65:T65)</f>
        <v>13351452.467259295</v>
      </c>
      <c r="V50" s="315">
        <f>SUM($G35:U35)+V35/2+SUM($G65:U65)</f>
        <v>17107684.63276444</v>
      </c>
      <c r="W50" s="315">
        <f>SUM($G35:V35)+W35/2+SUM($G65:V65)</f>
        <v>20882447.543619409</v>
      </c>
      <c r="X50" s="315">
        <f>SUM($G35:W35)+X35/2+SUM($G65:W65)</f>
        <v>24675832.618167933</v>
      </c>
      <c r="Y50" s="315">
        <f>SUM($G35:X35)+Y35/2+SUM($G65:X65)</f>
        <v>28487931.725750893</v>
      </c>
      <c r="Z50" s="315">
        <f>SUM($G35:Y35)+Z35/2+SUM($G65:Y65)</f>
        <v>32318837.188931264</v>
      </c>
      <c r="AA50" s="315">
        <f>SUM($G35:Z35)+AA35/2+SUM($G65:Z65)</f>
        <v>36168641.785729989</v>
      </c>
      <c r="AB50" s="315">
        <f>SUM($G35:AA35)+AB35/2+SUM($G65:AA65)</f>
        <v>40037438.751872927</v>
      </c>
      <c r="AC50" s="315">
        <f>SUM($G35:AB35)+AC35/2+SUM($G65:AB65)</f>
        <v>43925321.783048831</v>
      </c>
      <c r="AD50" s="315">
        <f>SUM($G35:AC35)+AD35/2+SUM($G65:AC65)</f>
        <v>47832385.037178539</v>
      </c>
      <c r="AE50" s="315">
        <f>SUM($G35:AD35)+AE35/2+SUM($G65:AD65)</f>
        <v>51758723.136695288</v>
      </c>
      <c r="AF50" s="315">
        <f>SUM($G35:AE35)+AF35/2+SUM($G65:AE65)</f>
        <v>55004298.670836322</v>
      </c>
      <c r="AG50" s="315">
        <f>SUM($G35:AF35)+AG35/2+SUM($G65:AF65)</f>
        <v>57565753.210945778</v>
      </c>
      <c r="AH50" s="315">
        <f>SUM($G35:AG35)+AH35/2+SUM($G65:AG65)</f>
        <v>60139844.260119781</v>
      </c>
      <c r="AI50" s="315">
        <f>SUM($G35:AH35)+AI35/2+SUM($G65:AH65)</f>
        <v>62726634.158469699</v>
      </c>
      <c r="AJ50" s="315">
        <f>SUM($G35:AI35)+AJ35/2+SUM($G65:AI65)</f>
        <v>65326185.553651482</v>
      </c>
      <c r="AK50" s="315">
        <f>SUM($G35:AJ35)+AK35/2+SUM($G65:AJ65)</f>
        <v>67938561.402382836</v>
      </c>
      <c r="AL50" s="315">
        <f>SUM($G35:AK35)+AL35/2+SUM($G65:AK65)</f>
        <v>70563824.971967921</v>
      </c>
      <c r="AM50" s="315">
        <f>SUM($G35:AL35)+AM35/2+SUM($G65:AL65)</f>
        <v>73202039.841829643</v>
      </c>
      <c r="AN50" s="315">
        <f>SUM($G35:AM35)+AN35/2+SUM($G65:AM65)</f>
        <v>75853269.905049324</v>
      </c>
      <c r="AO50" s="315">
        <f>SUM($G35:AN35)+AO35/2+SUM($G65:AN65)</f>
        <v>78517579.369914234</v>
      </c>
      <c r="AP50" s="315">
        <f>SUM($G35:AO35)+AP35/2+SUM($G65:AO65)</f>
        <v>81195032.761472479</v>
      </c>
      <c r="AQ50" s="315">
        <f>SUM($G35:AP35)+AQ35/2+SUM($G65:AP65)</f>
        <v>83879652.923095748</v>
      </c>
      <c r="AR50" s="315">
        <f>SUM($G35:AQ35)+AR35/2+SUM($G65:AQ65)</f>
        <v>85225564.066972718</v>
      </c>
      <c r="AS50" s="315">
        <f>SUM($G35:AR35)+AS35/2+SUM($G65:AR65)</f>
        <v>85225564.066972718</v>
      </c>
      <c r="AT50" s="315">
        <f>SUM($G35:AS35)+AT35/2+SUM($G65:AS65)</f>
        <v>85225564.066972718</v>
      </c>
      <c r="AU50" s="315">
        <f>SUM($G35:AT35)+AU35/2+SUM($G65:AT65)</f>
        <v>85225564.066972718</v>
      </c>
      <c r="AV50" s="315">
        <f>SUM($G35:AU35)+AV35/2+SUM($G65:AU65)</f>
        <v>85225564.066972718</v>
      </c>
      <c r="AW50" s="315">
        <f>SUM($G35:AV35)+AW35/2+SUM($G65:AV65)</f>
        <v>85225564.066972718</v>
      </c>
      <c r="AX50" s="315">
        <f>SUM($G35:AW35)+AX35/2+SUM($G65:AW65)</f>
        <v>85225564.066972718</v>
      </c>
      <c r="AY50" s="315">
        <f>SUM($G35:AX35)+AY35/2+SUM($G65:AX65)</f>
        <v>85225564.066972718</v>
      </c>
      <c r="AZ50" s="315">
        <f>SUM($G35:AY35)+AZ35/2+SUM($G65:AY65)</f>
        <v>85225564.066972718</v>
      </c>
      <c r="BA50" s="315">
        <f>SUM($G35:AZ35)+BA35/2+SUM($G65:AZ65)</f>
        <v>85225564.066972718</v>
      </c>
      <c r="BB50" s="315">
        <f>SUM($G35:BA35)+BB35/2+SUM($G65:BA65)</f>
        <v>85225564.066972718</v>
      </c>
      <c r="BC50" s="315">
        <f>SUM($G35:BB35)+BC35/2+SUM($G65:BB65)</f>
        <v>85225564.066972718</v>
      </c>
      <c r="BD50" s="192"/>
    </row>
    <row r="51" spans="2:56" ht="15.6">
      <c r="B51" s="192"/>
      <c r="C51" s="192"/>
      <c r="D51" s="192"/>
      <c r="E51" s="192"/>
      <c r="F51" s="676" t="str">
        <f t="shared" si="14"/>
        <v>Soft Costs (excluding Int. Carry &amp; Debt/Equity Fees)</v>
      </c>
      <c r="G51" s="611"/>
      <c r="H51" s="315">
        <f>SUM($G36:G36)+H36/2+SUM($G66:G66)</f>
        <v>0</v>
      </c>
      <c r="I51" s="315">
        <f>SUM($G36:H36)+I36/2+SUM($G66:H66)</f>
        <v>0</v>
      </c>
      <c r="J51" s="315">
        <f>SUM($G36:I36)+J36/2+SUM($G66:I66)</f>
        <v>0</v>
      </c>
      <c r="K51" s="315">
        <f>SUM($G36:J36)+K36/2+SUM($G66:J66)</f>
        <v>0</v>
      </c>
      <c r="L51" s="315">
        <f>SUM($G36:K36)+L36/2+SUM($G66:K66)</f>
        <v>0</v>
      </c>
      <c r="M51" s="315">
        <f>SUM($G36:L36)+M36/2+SUM($G66:L66)</f>
        <v>0</v>
      </c>
      <c r="N51" s="315">
        <f>SUM($G36:M36)+N36/2+SUM($G66:M66)</f>
        <v>0</v>
      </c>
      <c r="O51" s="315">
        <f>SUM($G36:N36)+O36/2+SUM($G66:N66)</f>
        <v>0</v>
      </c>
      <c r="P51" s="315">
        <f>SUM($G36:O36)+P36/2+SUM($G66:O66)</f>
        <v>1198210.5</v>
      </c>
      <c r="Q51" s="315">
        <f>SUM($G36:P36)+Q36/2+SUM($G66:P66)</f>
        <v>2668487.6718000001</v>
      </c>
      <c r="R51" s="315">
        <f>SUM($G36:Q36)+R36/2+SUM($G66:Q66)</f>
        <v>2971097.7109808801</v>
      </c>
      <c r="S51" s="315">
        <f>SUM($G36:R36)+S36/2+SUM($G66:R66)</f>
        <v>3557909.1263550525</v>
      </c>
      <c r="T51" s="315">
        <f>SUM($G36:S36)+T36/2+SUM($G66:S66)</f>
        <v>4142534.9780450705</v>
      </c>
      <c r="U51" s="315">
        <f>SUM($G36:T36)+U36/2+SUM($G66:T66)</f>
        <v>4199390.4839367596</v>
      </c>
      <c r="V51" s="315">
        <f>SUM($G36:U36)+V36/2+SUM($G66:U66)</f>
        <v>4256526.4769908478</v>
      </c>
      <c r="W51" s="315">
        <f>SUM($G36:V36)+W36/2+SUM($G66:V66)</f>
        <v>4313944.3409440024</v>
      </c>
      <c r="X51" s="315">
        <f>SUM($G36:W36)+X36/2+SUM($G66:W66)</f>
        <v>4371645.4663593266</v>
      </c>
      <c r="Y51" s="315">
        <f>SUM($G36:X36)+Y36/2+SUM($G66:X66)</f>
        <v>4429631.250660032</v>
      </c>
      <c r="Z51" s="315">
        <f>SUM($G36:Y36)+Z36/2+SUM($G66:Y66)</f>
        <v>4487903.0981632881</v>
      </c>
      <c r="AA51" s="315">
        <f>SUM($G36:Z36)+AA36/2+SUM($G66:Z66)</f>
        <v>4546462.4201142276</v>
      </c>
      <c r="AB51" s="315">
        <f>SUM($G36:AA36)+AB36/2+SUM($G66:AA66)</f>
        <v>4605310.6347201243</v>
      </c>
      <c r="AC51" s="315">
        <f>SUM($G36:AB36)+AC36/2+SUM($G66:AB66)</f>
        <v>4664449.1671847431</v>
      </c>
      <c r="AD51" s="315">
        <f>SUM($G36:AC36)+AD36/2+SUM($G66:AC66)</f>
        <v>4723879.4497428546</v>
      </c>
      <c r="AE51" s="315">
        <f>SUM($G36:AD36)+AE36/2+SUM($G66:AD66)</f>
        <v>4783602.9216949195</v>
      </c>
      <c r="AF51" s="315">
        <f>SUM($G36:AE36)+AF36/2+SUM($G66:AE66)</f>
        <v>4928654.404441948</v>
      </c>
      <c r="AG51" s="315">
        <f>SUM($G36:AF36)+AG36/2+SUM($G66:AF66)</f>
        <v>5159454.4745038617</v>
      </c>
      <c r="AH51" s="315">
        <f>SUM($G36:AG36)+AH36/2+SUM($G66:AG66)</f>
        <v>5391392.7832447477</v>
      </c>
      <c r="AI51" s="315">
        <f>SUM($G36:AH36)+AI36/2+SUM($G66:AH66)</f>
        <v>5624475.320975421</v>
      </c>
      <c r="AJ51" s="315">
        <f>SUM($G36:AI36)+AJ36/2+SUM($G66:AI66)</f>
        <v>5858707.7325589005</v>
      </c>
      <c r="AK51" s="315">
        <f>SUM($G36:AJ36)+AK36/2+SUM($G66:AJ66)</f>
        <v>6094095.6907061907</v>
      </c>
      <c r="AL51" s="315">
        <f>SUM($G36:AK36)+AL36/2+SUM($G66:AK66)</f>
        <v>6330644.8961136742</v>
      </c>
      <c r="AM51" s="315">
        <f>SUM($G36:AL36)+AM36/2+SUM($G66:AL66)</f>
        <v>6568361.0776011683</v>
      </c>
      <c r="AN51" s="315">
        <f>SUM($G36:AM36)+AN36/2+SUM($G66:AM66)</f>
        <v>6807249.9922506679</v>
      </c>
      <c r="AO51" s="315">
        <f>SUM($G36:AN36)+AO36/2+SUM($G66:AN66)</f>
        <v>7047317.4255457707</v>
      </c>
      <c r="AP51" s="315">
        <f>SUM($G36:AO36)+AP36/2+SUM($G66:AO66)</f>
        <v>7288569.1915117968</v>
      </c>
      <c r="AQ51" s="315">
        <f>SUM($G36:AP36)+AQ36/2+SUM($G66:AP66)</f>
        <v>7531011.1328565879</v>
      </c>
      <c r="AR51" s="315">
        <f>SUM($G36:AQ36)+AR36/2+SUM($G66:AQ66)</f>
        <v>7652830.126984301</v>
      </c>
      <c r="AS51" s="315">
        <f>SUM($G36:AR36)+AS36/2+SUM($G66:AR66)</f>
        <v>7652830.126984301</v>
      </c>
      <c r="AT51" s="315">
        <f>SUM($G36:AS36)+AT36/2+SUM($G66:AS66)</f>
        <v>7652830.126984301</v>
      </c>
      <c r="AU51" s="315">
        <f>SUM($G36:AT36)+AU36/2+SUM($G66:AT66)</f>
        <v>7652830.126984301</v>
      </c>
      <c r="AV51" s="315">
        <f>SUM($G36:AU36)+AV36/2+SUM($G66:AU66)</f>
        <v>7652830.126984301</v>
      </c>
      <c r="AW51" s="315">
        <f>SUM($G36:AV36)+AW36/2+SUM($G66:AV66)</f>
        <v>7652830.126984301</v>
      </c>
      <c r="AX51" s="315">
        <f>SUM($G36:AW36)+AX36/2+SUM($G66:AW66)</f>
        <v>7652830.126984301</v>
      </c>
      <c r="AY51" s="315">
        <f>SUM($G36:AX36)+AY36/2+SUM($G66:AX66)</f>
        <v>7652830.126984301</v>
      </c>
      <c r="AZ51" s="315">
        <f>SUM($G36:AY36)+AZ36/2+SUM($G66:AY66)</f>
        <v>7652830.126984301</v>
      </c>
      <c r="BA51" s="315">
        <f>SUM($G36:AZ36)+BA36/2+SUM($G66:AZ66)</f>
        <v>7652830.126984301</v>
      </c>
      <c r="BB51" s="315">
        <f>SUM($G36:BA36)+BB36/2+SUM($G66:BA66)</f>
        <v>7652830.126984301</v>
      </c>
      <c r="BC51" s="315">
        <f>SUM($G36:BB36)+BC36/2+SUM($G66:BB66)</f>
        <v>7652830.126984301</v>
      </c>
      <c r="BD51" s="192"/>
    </row>
    <row r="52" spans="2:56" ht="15.6">
      <c r="B52" s="192"/>
      <c r="C52" s="192"/>
      <c r="D52" s="192"/>
      <c r="E52" s="192"/>
      <c r="F52" s="676" t="str">
        <f t="shared" si="14"/>
        <v>FFE (pruely building &amp; Interior design)</v>
      </c>
      <c r="G52" s="611"/>
      <c r="H52" s="315">
        <f>SUM($G37:G37)+H37/2+SUM($G67:G67)</f>
        <v>0</v>
      </c>
      <c r="I52" s="315">
        <f>SUM($G37:H37)+I37/2+SUM($G67:H67)</f>
        <v>0</v>
      </c>
      <c r="J52" s="315">
        <f>SUM($G37:I37)+J37/2+SUM($G67:I67)</f>
        <v>0</v>
      </c>
      <c r="K52" s="315">
        <f>SUM($G37:J37)+K37/2+SUM($G67:J67)</f>
        <v>0</v>
      </c>
      <c r="L52" s="315">
        <f>SUM($G37:K37)+L37/2+SUM($G67:K67)</f>
        <v>0</v>
      </c>
      <c r="M52" s="315">
        <f>SUM($G37:L37)+M37/2+SUM($G67:L67)</f>
        <v>0</v>
      </c>
      <c r="N52" s="315">
        <f>SUM($G37:M37)+N37/2+SUM($G67:M67)</f>
        <v>0</v>
      </c>
      <c r="O52" s="315">
        <f>SUM($G37:N37)+O37/2+SUM($G67:N67)</f>
        <v>0</v>
      </c>
      <c r="P52" s="315">
        <f>SUM($G37:O37)+P37/2+SUM($G67:O67)</f>
        <v>0</v>
      </c>
      <c r="Q52" s="315">
        <f>SUM($G37:P37)+Q37/2+SUM($G67:P67)</f>
        <v>0</v>
      </c>
      <c r="R52" s="315">
        <f>SUM($G37:Q37)+R37/2+SUM($G67:Q67)</f>
        <v>0</v>
      </c>
      <c r="S52" s="315">
        <f>SUM($G37:R37)+S37/2+SUM($G67:R67)</f>
        <v>0</v>
      </c>
      <c r="T52" s="315">
        <f>SUM($G37:S37)+T37/2+SUM($G67:S67)</f>
        <v>0</v>
      </c>
      <c r="U52" s="315">
        <f>SUM($G37:T37)+U37/2+SUM($G67:T67)</f>
        <v>0</v>
      </c>
      <c r="V52" s="315">
        <f>SUM($G37:U37)+V37/2+SUM($G67:U67)</f>
        <v>0</v>
      </c>
      <c r="W52" s="315">
        <f>SUM($G37:V37)+W37/2+SUM($G67:V67)</f>
        <v>0</v>
      </c>
      <c r="X52" s="315">
        <f>SUM($G37:W37)+X37/2+SUM($G67:W67)</f>
        <v>0</v>
      </c>
      <c r="Y52" s="315">
        <f>SUM($G37:X37)+Y37/2+SUM($G67:X67)</f>
        <v>0</v>
      </c>
      <c r="Z52" s="315">
        <f>SUM($G37:Y37)+Z37/2+SUM($G67:Y67)</f>
        <v>0</v>
      </c>
      <c r="AA52" s="315">
        <f>SUM($G37:Z37)+AA37/2+SUM($G67:Z67)</f>
        <v>0</v>
      </c>
      <c r="AB52" s="315">
        <f>SUM($G37:AA37)+AB37/2+SUM($G67:AA67)</f>
        <v>0</v>
      </c>
      <c r="AC52" s="315">
        <f>SUM($G37:AB37)+AC37/2+SUM($G67:AB67)</f>
        <v>0</v>
      </c>
      <c r="AD52" s="315">
        <f>SUM($G37:AC37)+AD37/2+SUM($G67:AC67)</f>
        <v>0</v>
      </c>
      <c r="AE52" s="315">
        <f>SUM($G37:AD37)+AE37/2+SUM($G67:AD67)</f>
        <v>0</v>
      </c>
      <c r="AF52" s="315">
        <f>SUM($G37:AE37)+AF37/2+SUM($G67:AE67)</f>
        <v>0</v>
      </c>
      <c r="AG52" s="315">
        <f>SUM($G37:AF37)+AG37/2+SUM($G67:AF67)</f>
        <v>0</v>
      </c>
      <c r="AH52" s="315">
        <f>SUM($G37:AG37)+AH37/2+SUM($G67:AG67)</f>
        <v>110000</v>
      </c>
      <c r="AI52" s="315">
        <f>SUM($G37:AH37)+AI37/2+SUM($G67:AH67)</f>
        <v>330542.66666666669</v>
      </c>
      <c r="AJ52" s="315">
        <f>SUM($G37:AI37)+AJ37/2+SUM($G67:AI67)</f>
        <v>742463.8438222222</v>
      </c>
      <c r="AK52" s="315">
        <f>SUM($G37:AJ37)+AK37/2+SUM($G67:AJ67)</f>
        <v>2326017.165451745</v>
      </c>
      <c r="AL52" s="315">
        <f>SUM($G37:AK37)+AL37/2+SUM($G67:AK67)</f>
        <v>5896692.183467974</v>
      </c>
      <c r="AM52" s="315">
        <f>SUM($G37:AL37)+AM37/2+SUM($G67:AL67)</f>
        <v>8484982.5315730833</v>
      </c>
      <c r="AN52" s="315">
        <f>SUM($G37:AM37)+AN37/2+SUM($G67:AM67)</f>
        <v>9086041.7787288427</v>
      </c>
      <c r="AO52" s="315">
        <f>SUM($G37:AN37)+AO37/2+SUM($G67:AN67)</f>
        <v>10190066.251503905</v>
      </c>
      <c r="AP52" s="315">
        <f>SUM($G37:AO37)+AP37/2+SUM($G67:AO67)</f>
        <v>12152128.245011324</v>
      </c>
      <c r="AQ52" s="315">
        <f>SUM($G37:AP37)+AQ37/2+SUM($G67:AP67)</f>
        <v>14297686.36935338</v>
      </c>
      <c r="AR52" s="315">
        <f>SUM($G37:AQ37)+AR37/2+SUM($G67:AQ67)</f>
        <v>16150054.872108858</v>
      </c>
      <c r="AS52" s="315">
        <f>SUM($G37:AR37)+AS37/2+SUM($G67:AR67)</f>
        <v>17836561.726144593</v>
      </c>
      <c r="AT52" s="315">
        <f>SUM($G37:AS37)+AT37/2+SUM($G67:AS67)</f>
        <v>20081388.68066024</v>
      </c>
      <c r="AU52" s="315">
        <f>SUM($G37:AT37)+AU37/2+SUM($G67:AT67)</f>
        <v>23377356.489818163</v>
      </c>
      <c r="AV52" s="315">
        <f>SUM($G37:AU37)+AV37/2+SUM($G67:AU67)</f>
        <v>27157102.281834602</v>
      </c>
      <c r="AW52" s="315">
        <f>SUM($G37:AV37)+AW37/2+SUM($G67:AV67)</f>
        <v>31195420.319758318</v>
      </c>
      <c r="AX52" s="315">
        <f>SUM($G37:AW37)+AX37/2+SUM($G67:AW67)</f>
        <v>33407726.226669125</v>
      </c>
      <c r="AY52" s="315">
        <f>SUM($G37:AX37)+AY37/2+SUM($G67:AX67)</f>
        <v>33407726.226669125</v>
      </c>
      <c r="AZ52" s="315">
        <f>SUM($G37:AY37)+AZ37/2+SUM($G67:AY67)</f>
        <v>33407726.226669125</v>
      </c>
      <c r="BA52" s="315">
        <f>SUM($G37:AZ37)+BA37/2+SUM($G67:AZ67)</f>
        <v>33407726.226669125</v>
      </c>
      <c r="BB52" s="315">
        <f>SUM($G37:BA37)+BB37/2+SUM($G67:BA67)</f>
        <v>33407726.226669125</v>
      </c>
      <c r="BC52" s="315">
        <f>SUM($G37:BB37)+BC37/2+SUM($G67:BB67)</f>
        <v>33407726.226669125</v>
      </c>
      <c r="BD52" s="192"/>
    </row>
    <row r="53" spans="2:56" ht="15.6">
      <c r="B53" s="192"/>
      <c r="C53" s="192"/>
      <c r="D53" s="192"/>
      <c r="E53" s="192"/>
      <c r="F53" s="676" t="str">
        <f t="shared" si="14"/>
        <v>LEED Design Costs</v>
      </c>
      <c r="G53" s="611"/>
      <c r="H53" s="315">
        <f>SUM($G38:G38)+H38/2+SUM($G68:G68)</f>
        <v>0</v>
      </c>
      <c r="I53" s="315">
        <f>SUM($G38:H38)+I38/2+SUM($G68:H68)</f>
        <v>0</v>
      </c>
      <c r="J53" s="315">
        <f>SUM($G38:I38)+J38/2+SUM($G68:I68)</f>
        <v>0</v>
      </c>
      <c r="K53" s="315">
        <f>SUM($G38:J38)+K38/2+SUM($G68:J68)</f>
        <v>0</v>
      </c>
      <c r="L53" s="315">
        <f>SUM($G38:K38)+L38/2+SUM($G68:K68)</f>
        <v>0</v>
      </c>
      <c r="M53" s="315">
        <f>SUM($G38:L38)+M38/2+SUM($G68:L68)</f>
        <v>0</v>
      </c>
      <c r="N53" s="315">
        <f>SUM($G38:M38)+N38/2+SUM($G68:M68)</f>
        <v>0</v>
      </c>
      <c r="O53" s="315">
        <f>SUM($G38:N38)+O38/2+SUM($G68:N68)</f>
        <v>0</v>
      </c>
      <c r="P53" s="315">
        <f>SUM($G38:O38)+P38/2+SUM($G68:O68)</f>
        <v>0</v>
      </c>
      <c r="Q53" s="315">
        <f>SUM($G38:P38)+Q38/2+SUM($G68:P68)</f>
        <v>0</v>
      </c>
      <c r="R53" s="315">
        <f>SUM($G38:Q38)+R38/2+SUM($G68:Q68)</f>
        <v>0</v>
      </c>
      <c r="S53" s="315">
        <f>SUM($G38:R38)+S38/2+SUM($G68:R68)</f>
        <v>0</v>
      </c>
      <c r="T53" s="315">
        <f>SUM($G38:S38)+T38/2+SUM($G68:S68)</f>
        <v>0</v>
      </c>
      <c r="U53" s="315">
        <f>SUM($G38:T38)+U38/2+SUM($G68:T68)</f>
        <v>0</v>
      </c>
      <c r="V53" s="315">
        <f>SUM($G38:U38)+V38/2+SUM($G68:U68)</f>
        <v>0</v>
      </c>
      <c r="W53" s="315">
        <f>SUM($G38:V38)+W38/2+SUM($G68:V68)</f>
        <v>0</v>
      </c>
      <c r="X53" s="315">
        <f>SUM($G38:W38)+X38/2+SUM($G68:W68)</f>
        <v>0</v>
      </c>
      <c r="Y53" s="315">
        <f>SUM($G38:X38)+Y38/2+SUM($G68:X68)</f>
        <v>0</v>
      </c>
      <c r="Z53" s="315">
        <f>SUM($G38:Y38)+Z38/2+SUM($G68:Y68)</f>
        <v>0</v>
      </c>
      <c r="AA53" s="315">
        <f>SUM($G38:Z38)+AA38/2+SUM($G68:Z68)</f>
        <v>0</v>
      </c>
      <c r="AB53" s="315">
        <f>SUM($G38:AA38)+AB38/2+SUM($G68:AA68)</f>
        <v>0</v>
      </c>
      <c r="AC53" s="315">
        <f>SUM($G38:AB38)+AC38/2+SUM($G68:AB68)</f>
        <v>0</v>
      </c>
      <c r="AD53" s="315">
        <f>SUM($G38:AC38)+AD38/2+SUM($G68:AC68)</f>
        <v>0</v>
      </c>
      <c r="AE53" s="315">
        <f>SUM($G38:AD38)+AE38/2+SUM($G68:AD68)</f>
        <v>0</v>
      </c>
      <c r="AF53" s="315">
        <f>SUM($G38:AE38)+AF38/2+SUM($G68:AE68)</f>
        <v>40000</v>
      </c>
      <c r="AG53" s="315">
        <f>SUM($G38:AF38)+AG38/2+SUM($G68:AF68)</f>
        <v>120197.33333333333</v>
      </c>
      <c r="AH53" s="315">
        <f>SUM($G38:AG38)+AH38/2+SUM($G68:AG68)</f>
        <v>200790.30684444445</v>
      </c>
      <c r="AI53" s="315">
        <f>SUM($G38:AH38)+AI38/2+SUM($G68:AH68)</f>
        <v>281780.87235821038</v>
      </c>
      <c r="AJ53" s="315">
        <f>SUM($G38:AI38)+AJ38/2+SUM($G68:AI68)</f>
        <v>363170.99132851086</v>
      </c>
      <c r="AK53" s="315">
        <f>SUM($G38:AJ38)+AK38/2+SUM($G68:AJ68)</f>
        <v>444962.6348857315</v>
      </c>
      <c r="AL53" s="315">
        <f>SUM($G38:AK38)+AL38/2+SUM($G68:AK68)</f>
        <v>527157.78388450108</v>
      </c>
      <c r="AM53" s="315">
        <f>SUM($G38:AL38)+AM38/2+SUM($G68:AL68)</f>
        <v>609758.42895166471</v>
      </c>
      <c r="AN53" s="315">
        <f>SUM($G38:AM38)+AN38/2+SUM($G68:AM68)</f>
        <v>692766.57053449284</v>
      </c>
      <c r="AO53" s="315">
        <f>SUM($G38:AN38)+AO38/2+SUM($G68:AN68)</f>
        <v>776184.21894912969</v>
      </c>
      <c r="AP53" s="315">
        <f>SUM($G38:AO38)+AP38/2+SUM($G68:AO68)</f>
        <v>860013.39442927879</v>
      </c>
      <c r="AQ53" s="315">
        <f>SUM($G38:AP38)+AQ38/2+SUM($G68:AP68)</f>
        <v>944256.12717512983</v>
      </c>
      <c r="AR53" s="315">
        <f>SUM($G38:AQ38)+AR38/2+SUM($G68:AQ68)</f>
        <v>1028914.4574025272</v>
      </c>
      <c r="AS53" s="315">
        <f>SUM($G38:AR38)+AS38/2+SUM($G68:AR68)</f>
        <v>1113990.4353923798</v>
      </c>
      <c r="AT53" s="315">
        <f>SUM($G38:AS38)+AT38/2+SUM($G68:AS68)</f>
        <v>1199486.1215403154</v>
      </c>
      <c r="AU53" s="315">
        <f>SUM($G38:AT38)+AU38/2+SUM($G68:AT68)</f>
        <v>1285403.5864065809</v>
      </c>
      <c r="AV53" s="315">
        <f>SUM($G38:AU38)+AV38/2+SUM($G68:AU68)</f>
        <v>1371744.9107661867</v>
      </c>
      <c r="AW53" s="315">
        <f>SUM($G38:AV38)+AW38/2+SUM($G68:AV68)</f>
        <v>1458512.1856592998</v>
      </c>
      <c r="AX53" s="315">
        <f>SUM($G38:AW38)+AX38/2+SUM($G68:AW68)</f>
        <v>1527901.5124418859</v>
      </c>
      <c r="AY53" s="315">
        <f>SUM($G38:AX38)+AY38/2+SUM($G68:AX68)</f>
        <v>1550095.5124418859</v>
      </c>
      <c r="AZ53" s="315">
        <f>SUM($G38:AY38)+AZ38/2+SUM($G68:AY68)</f>
        <v>1550095.5124418859</v>
      </c>
      <c r="BA53" s="315">
        <f>SUM($G38:AZ38)+BA38/2+SUM($G68:AZ68)</f>
        <v>1550095.5124418859</v>
      </c>
      <c r="BB53" s="315">
        <f>SUM($G38:BA38)+BB38/2+SUM($G68:BA68)</f>
        <v>1550095.5124418859</v>
      </c>
      <c r="BC53" s="315">
        <f>SUM($G38:BB38)+BC38/2+SUM($G68:BB68)</f>
        <v>1550095.5124418859</v>
      </c>
      <c r="BD53" s="192"/>
    </row>
    <row r="54" spans="2:56" ht="15.6">
      <c r="B54" s="192"/>
      <c r="C54" s="192"/>
      <c r="D54" s="192"/>
      <c r="E54" s="192"/>
      <c r="F54" s="676" t="str">
        <f t="shared" si="14"/>
        <v>Capital Plug</v>
      </c>
      <c r="G54" s="611"/>
      <c r="H54" s="315">
        <f>SUM($G39:G39)+H39/2+SUM($G69:G69)</f>
        <v>0</v>
      </c>
      <c r="I54" s="315">
        <f>SUM($G39:H39)+I39/2+SUM($G69:H69)</f>
        <v>0</v>
      </c>
      <c r="J54" s="315">
        <f>SUM($G39:I39)+J39/2+SUM($G69:I69)</f>
        <v>0</v>
      </c>
      <c r="K54" s="315">
        <f>SUM($G39:J39)+K39/2+SUM($G69:J69)</f>
        <v>0</v>
      </c>
      <c r="L54" s="315">
        <f>SUM($G39:K39)+L39/2+SUM($G69:K69)</f>
        <v>0</v>
      </c>
      <c r="M54" s="315">
        <f>SUM($G39:L39)+M39/2+SUM($G69:L69)</f>
        <v>0</v>
      </c>
      <c r="N54" s="315">
        <f>SUM($G39:M39)+N39/2+SUM($G69:M69)</f>
        <v>0</v>
      </c>
      <c r="O54" s="315">
        <f>SUM($G39:N39)+O39/2+SUM($G69:N69)</f>
        <v>0</v>
      </c>
      <c r="P54" s="315">
        <f>SUM($G39:O39)+P39/2+SUM($G69:O69)</f>
        <v>72375.191172011328</v>
      </c>
      <c r="Q54" s="315">
        <f>SUM($G39:P39)+Q39/2+SUM($G69:P69)</f>
        <v>217482.62445914926</v>
      </c>
      <c r="R54" s="315">
        <f>SUM($G39:Q39)+R39/2+SUM($G69:Q69)</f>
        <v>363305.92108383699</v>
      </c>
      <c r="S54" s="315">
        <f>SUM($G39:R39)+S39/2+SUM($G69:R69)</f>
        <v>509848.61263853998</v>
      </c>
      <c r="T54" s="315">
        <f>SUM($G39:S39)+T39/2+SUM($G69:S69)</f>
        <v>643060.19443680078</v>
      </c>
      <c r="U54" s="315">
        <f>SUM($G39:T39)+U39/2+SUM($G69:T69)</f>
        <v>762874.89967048774</v>
      </c>
      <c r="V54" s="315">
        <f>SUM($G39:U39)+V39/2+SUM($G69:U69)</f>
        <v>883280.69078332768</v>
      </c>
      <c r="W54" s="315">
        <f>SUM($G39:V39)+W39/2+SUM($G69:V69)</f>
        <v>1004280.483798991</v>
      </c>
      <c r="X54" s="315">
        <f>SUM($G39:W39)+X39/2+SUM($G69:W69)</f>
        <v>1125877.2091268646</v>
      </c>
      <c r="Y54" s="315">
        <f>SUM($G39:X39)+Y39/2+SUM($G69:X69)</f>
        <v>1248073.8116330227</v>
      </c>
      <c r="Z54" s="315">
        <f>SUM($G39:Y39)+Z39/2+SUM($G69:Y69)</f>
        <v>1370873.2507115444</v>
      </c>
      <c r="AA54" s="315">
        <f>SUM($G39:Z39)+AA39/2+SUM($G69:Z69)</f>
        <v>1494278.5003561869</v>
      </c>
      <c r="AB54" s="315">
        <f>SUM($G39:AA39)+AB39/2+SUM($G69:AA69)</f>
        <v>1618292.5492324096</v>
      </c>
      <c r="AC54" s="315">
        <f>SUM($G39:AB39)+AC39/2+SUM($G69:AB69)</f>
        <v>1742918.4007497551</v>
      </c>
      <c r="AD54" s="315">
        <f>SUM($G39:AC39)+AD39/2+SUM($G69:AC69)</f>
        <v>1868159.073134586</v>
      </c>
      <c r="AE54" s="315">
        <f>SUM($G39:AD39)+AE39/2+SUM($G69:AD69)</f>
        <v>1994017.5995031821</v>
      </c>
      <c r="AF54" s="315">
        <f>SUM($G39:AE39)+AF39/2+SUM($G69:AE69)</f>
        <v>2152771.1440026988</v>
      </c>
      <c r="AG54" s="315">
        <f>SUM($G39:AF39)+AG39/2+SUM($G69:AF69)</f>
        <v>2344581.9887225823</v>
      </c>
      <c r="AH54" s="315">
        <f>SUM($G39:AG39)+AH39/2+SUM($G69:AG69)</f>
        <v>2537339.1002764171</v>
      </c>
      <c r="AI54" s="315">
        <f>SUM($G39:AH39)+AI39/2+SUM($G69:AH69)</f>
        <v>2731047.1469139177</v>
      </c>
      <c r="AJ54" s="315">
        <f>SUM($G39:AI39)+AJ39/2+SUM($G69:AI69)</f>
        <v>2925710.8199148299</v>
      </c>
      <c r="AK54" s="315">
        <f>SUM($G39:AJ39)+AK39/2+SUM($G69:AJ69)</f>
        <v>3121334.8337025465</v>
      </c>
      <c r="AL54" s="315">
        <f>SUM($G39:AK39)+AL39/2+SUM($G69:AK69)</f>
        <v>3317923.9259582823</v>
      </c>
      <c r="AM54" s="315">
        <f>SUM($G39:AL39)+AM39/2+SUM($G69:AL69)</f>
        <v>3515482.8577358136</v>
      </c>
      <c r="AN54" s="315">
        <f>SUM($G39:AM39)+AN39/2+SUM($G69:AM69)</f>
        <v>3714016.4135767804</v>
      </c>
      <c r="AO54" s="315">
        <f>SUM($G39:AN39)+AO39/2+SUM($G69:AN69)</f>
        <v>3913529.4016265622</v>
      </c>
      <c r="AP54" s="315">
        <f>SUM($G39:AO39)+AP39/2+SUM($G69:AO69)</f>
        <v>4114026.6537507237</v>
      </c>
      <c r="AQ54" s="315">
        <f>SUM($G39:AP39)+AQ39/2+SUM($G69:AP69)</f>
        <v>4315513.0256520305</v>
      </c>
      <c r="AR54" s="315">
        <f>SUM($G39:AQ39)+AR39/2+SUM($G69:AQ69)</f>
        <v>4499318.508473915</v>
      </c>
      <c r="AS54" s="315">
        <f>SUM($G39:AR39)+AS39/2+SUM($G69:AR69)</f>
        <v>4665355.8764969176</v>
      </c>
      <c r="AT54" s="315">
        <f>SUM($G39:AS39)+AT39/2+SUM($G69:AS69)</f>
        <v>4832212.3622021675</v>
      </c>
      <c r="AU54" s="315">
        <f>SUM($G39:AT39)+AU39/2+SUM($G69:AT69)</f>
        <v>4999892.0065702293</v>
      </c>
      <c r="AV54" s="315">
        <f>SUM($G39:AU39)+AV39/2+SUM($G69:AU69)</f>
        <v>5168398.8705171738</v>
      </c>
      <c r="AW54" s="315">
        <f>SUM($G39:AV39)+AW39/2+SUM($G69:AV69)</f>
        <v>5337737.034992924</v>
      </c>
      <c r="AX54" s="315">
        <f>SUM($G39:AW39)+AX39/2+SUM($G69:AW69)</f>
        <v>5435990.2360561546</v>
      </c>
      <c r="AY54" s="315">
        <f>SUM($G39:AX39)+AY39/2+SUM($G69:AX69)</f>
        <v>5435990.2360561546</v>
      </c>
      <c r="AZ54" s="315">
        <f>SUM($G39:AY39)+AZ39/2+SUM($G69:AY69)</f>
        <v>5435990.2360561546</v>
      </c>
      <c r="BA54" s="315">
        <f>SUM($G39:AZ39)+BA39/2+SUM($G69:AZ69)</f>
        <v>5435990.2360561546</v>
      </c>
      <c r="BB54" s="315">
        <f>SUM($G39:BA39)+BB39/2+SUM($G69:BA69)</f>
        <v>5435990.2360561546</v>
      </c>
      <c r="BC54" s="315">
        <f>SUM($G39:BB39)+BC39/2+SUM($G69:BB69)</f>
        <v>5435990.2360561546</v>
      </c>
      <c r="BD54" s="192"/>
    </row>
    <row r="55" spans="2:56" ht="15.6">
      <c r="B55" s="192"/>
      <c r="C55" s="192"/>
      <c r="D55" s="192"/>
      <c r="E55" s="192"/>
      <c r="F55" s="676" t="str">
        <f t="shared" si="14"/>
        <v>Parking Garage (1,000 Spaces)</v>
      </c>
      <c r="G55" s="611"/>
      <c r="H55" s="315">
        <f>SUM($G40:G40)+H40/2+SUM($G70:G70)</f>
        <v>0</v>
      </c>
      <c r="I55" s="315">
        <f>SUM($G40:H40)+I40/2+SUM($G70:H70)</f>
        <v>0</v>
      </c>
      <c r="J55" s="315">
        <f>SUM($G40:I40)+J40/2+SUM($G70:I70)</f>
        <v>0</v>
      </c>
      <c r="K55" s="315">
        <f>SUM($G40:J40)+K40/2+SUM($G70:J70)</f>
        <v>0</v>
      </c>
      <c r="L55" s="315">
        <f>SUM($G40:K40)+L40/2+SUM($G70:K70)</f>
        <v>0</v>
      </c>
      <c r="M55" s="315">
        <f>SUM($G40:L40)+M40/2+SUM($G70:L70)</f>
        <v>0</v>
      </c>
      <c r="N55" s="315">
        <f>SUM($G40:M40)+N40/2+SUM($G70:M70)</f>
        <v>0</v>
      </c>
      <c r="O55" s="315">
        <f>SUM($G40:N40)+O40/2+SUM($G70:N70)</f>
        <v>0</v>
      </c>
      <c r="P55" s="315">
        <f>SUM($G40:O40)+P40/2+SUM($G70:O70)</f>
        <v>6350</v>
      </c>
      <c r="Q55" s="315">
        <f>SUM($G40:P40)+Q40/2+SUM($G70:P70)</f>
        <v>19081.326666666668</v>
      </c>
      <c r="R55" s="315">
        <f>SUM($G40:Q40)+R40/2+SUM($G70:Q70)</f>
        <v>25525.461211555557</v>
      </c>
      <c r="S55" s="315">
        <f>SUM($G40:R40)+S40/2+SUM($G70:R70)</f>
        <v>25651.38682019923</v>
      </c>
      <c r="T55" s="315">
        <f>SUM($G40:S40)+T40/2+SUM($G70:S70)</f>
        <v>638161.26699517888</v>
      </c>
      <c r="U55" s="315">
        <f>SUM($G40:T40)+U40/2+SUM($G70:T70)</f>
        <v>1866076.3625790218</v>
      </c>
      <c r="V55" s="315">
        <f>SUM($G40:U40)+V40/2+SUM($G70:U70)</f>
        <v>3100049.3393010786</v>
      </c>
      <c r="W55" s="315">
        <f>SUM($G40:V40)+W40/2+SUM($G70:V70)</f>
        <v>4340109.9160416303</v>
      </c>
      <c r="X55" s="315">
        <f>SUM($G40:W40)+X40/2+SUM($G70:W70)</f>
        <v>5586288.124960769</v>
      </c>
      <c r="Y55" s="315">
        <f>SUM($G40:X40)+Y40/2+SUM($G70:X70)</f>
        <v>6838614.1463772422</v>
      </c>
      <c r="Z55" s="315">
        <f>SUM($G40:Y40)+Z40/2+SUM($G70:Y70)</f>
        <v>8097118.3094993699</v>
      </c>
      <c r="AA55" s="315">
        <f>SUM($G40:Z40)+AA40/2+SUM($G70:Z70)</f>
        <v>9361831.0931595676</v>
      </c>
      <c r="AB55" s="315">
        <f>SUM($G40:AA40)+AB40/2+SUM($G70:AA70)</f>
        <v>10632783.126552489</v>
      </c>
      <c r="AC55" s="315">
        <f>SUM($G40:AB40)+AC40/2+SUM($G70:AB70)</f>
        <v>11910005.189976813</v>
      </c>
      <c r="AD55" s="315">
        <f>SUM($G40:AC40)+AD40/2+SUM($G70:AC70)</f>
        <v>13193528.2155807</v>
      </c>
      <c r="AE55" s="315">
        <f>SUM($G40:AD40)+AE40/2+SUM($G70:AD70)</f>
        <v>14483383.288110897</v>
      </c>
      <c r="AF55" s="315">
        <f>SUM($G40:AE40)+AF40/2+SUM($G70:AE70)</f>
        <v>15428626.312332245</v>
      </c>
      <c r="AG55" s="315">
        <f>SUM($G40:AF40)+AG40/2+SUM($G70:AF70)</f>
        <v>16027557.035473084</v>
      </c>
      <c r="AH55" s="315">
        <f>SUM($G40:AG40)+AH40/2+SUM($G70:AG70)</f>
        <v>16629442.316848084</v>
      </c>
      <c r="AI55" s="315">
        <f>SUM($G40:AH40)+AI40/2+SUM($G70:AH70)</f>
        <v>17234296.898944534</v>
      </c>
      <c r="AJ55" s="315">
        <f>SUM($G40:AI40)+AJ40/2+SUM($G70:AI70)</f>
        <v>17842135.43031266</v>
      </c>
      <c r="AK55" s="315">
        <f>SUM($G40:AJ40)+AK40/2+SUM($G70:AJ70)</f>
        <v>18452972.631768871</v>
      </c>
      <c r="AL55" s="315">
        <f>SUM($G40:AK40)+AL40/2+SUM($G70:AK70)</f>
        <v>19066823.296752263</v>
      </c>
      <c r="AM55" s="315">
        <f>SUM($G40:AL40)+AM40/2+SUM($G70:AL70)</f>
        <v>19683702.291682906</v>
      </c>
      <c r="AN55" s="315">
        <f>SUM($G40:AM40)+AN40/2+SUM($G70:AM70)</f>
        <v>20303624.556321874</v>
      </c>
      <c r="AO55" s="315">
        <f>SUM($G40:AN40)+AO40/2+SUM($G70:AN70)</f>
        <v>20926605.104133062</v>
      </c>
      <c r="AP55" s="315">
        <f>SUM($G40:AO40)+AP40/2+SUM($G70:AO70)</f>
        <v>21552659.022646789</v>
      </c>
      <c r="AQ55" s="315">
        <f>SUM($G40:AP40)+AQ40/2+SUM($G70:AP70)</f>
        <v>22181801.473825179</v>
      </c>
      <c r="AR55" s="315">
        <f>SUM($G40:AQ40)+AR40/2+SUM($G70:AQ70)</f>
        <v>22497924.584127281</v>
      </c>
      <c r="AS55" s="315">
        <f>SUM($G40:AR40)+AS40/2+SUM($G70:AR70)</f>
        <v>22497924.584127281</v>
      </c>
      <c r="AT55" s="315">
        <f>SUM($G40:AS40)+AT40/2+SUM($G70:AS70)</f>
        <v>22497924.584127281</v>
      </c>
      <c r="AU55" s="315">
        <f>SUM($G40:AT40)+AU40/2+SUM($G70:AT70)</f>
        <v>22497924.584127281</v>
      </c>
      <c r="AV55" s="315">
        <f>SUM($G40:AU40)+AV40/2+SUM($G70:AU70)</f>
        <v>22497924.584127281</v>
      </c>
      <c r="AW55" s="315">
        <f>SUM($G40:AV40)+AW40/2+SUM($G70:AV70)</f>
        <v>22497924.584127281</v>
      </c>
      <c r="AX55" s="315">
        <f>SUM($G40:AW40)+AX40/2+SUM($G70:AW70)</f>
        <v>22497924.584127281</v>
      </c>
      <c r="AY55" s="315">
        <f>SUM($G40:AX40)+AY40/2+SUM($G70:AX70)</f>
        <v>22497924.584127281</v>
      </c>
      <c r="AZ55" s="315">
        <f>SUM($G40:AY40)+AZ40/2+SUM($G70:AY70)</f>
        <v>22497924.584127281</v>
      </c>
      <c r="BA55" s="315">
        <f>SUM($G40:AZ40)+BA40/2+SUM($G70:AZ70)</f>
        <v>22497924.584127281</v>
      </c>
      <c r="BB55" s="315">
        <f>SUM($G40:BA40)+BB40/2+SUM($G70:BA70)</f>
        <v>22497924.584127281</v>
      </c>
      <c r="BC55" s="315">
        <f>SUM($G40:BB40)+BC40/2+SUM($G70:BB70)</f>
        <v>22497924.584127281</v>
      </c>
      <c r="BD55" s="192"/>
    </row>
    <row r="56" spans="2:56" ht="15.6">
      <c r="B56" s="192"/>
      <c r="C56" s="192"/>
      <c r="D56" s="192"/>
      <c r="E56" s="192"/>
      <c r="F56" s="676" t="str">
        <f t="shared" si="14"/>
        <v>Developer Profit</v>
      </c>
      <c r="G56" s="611"/>
      <c r="H56" s="315">
        <f>SUM($G41:G41)+H41/2+SUM($G71:G71)</f>
        <v>0</v>
      </c>
      <c r="I56" s="315">
        <f>SUM($G41:H41)+I41/2+SUM($G71:H71)</f>
        <v>0</v>
      </c>
      <c r="J56" s="315">
        <f>SUM($G41:I41)+J41/2+SUM($G71:I71)</f>
        <v>0</v>
      </c>
      <c r="K56" s="315">
        <f>SUM($G41:J41)+K41/2+SUM($G71:J71)</f>
        <v>0</v>
      </c>
      <c r="L56" s="315">
        <f>SUM($G41:K41)+L41/2+SUM($G71:K71)</f>
        <v>0</v>
      </c>
      <c r="M56" s="315">
        <f>SUM($G41:L41)+M41/2+SUM($G71:L71)</f>
        <v>0</v>
      </c>
      <c r="N56" s="315">
        <f>SUM($G41:M41)+N41/2+SUM($G71:M71)</f>
        <v>0</v>
      </c>
      <c r="O56" s="315">
        <f>SUM($G41:N41)+O41/2+SUM($G71:N71)</f>
        <v>0</v>
      </c>
      <c r="P56" s="315">
        <f>SUM($G41:O41)+P41/2+SUM($G71:O71)</f>
        <v>0</v>
      </c>
      <c r="Q56" s="315">
        <f>SUM($G41:P41)+Q41/2+SUM($G71:P71)</f>
        <v>0</v>
      </c>
      <c r="R56" s="315">
        <f>SUM($G41:Q41)+R41/2+SUM($G71:Q71)</f>
        <v>1258994</v>
      </c>
      <c r="S56" s="315">
        <f>SUM($G41:R41)+S41/2+SUM($G71:R71)</f>
        <v>2791368.5370666669</v>
      </c>
      <c r="T56" s="315">
        <f>SUM($G41:S41)+T41/2+SUM($G71:S71)</f>
        <v>3656488.580182862</v>
      </c>
      <c r="U56" s="315">
        <f>SUM($G41:T41)+U41/2+SUM($G71:T71)</f>
        <v>4842887.0488450974</v>
      </c>
      <c r="V56" s="315">
        <f>SUM($G41:U41)+V41/2+SUM($G71:U71)</f>
        <v>5710418.6249527335</v>
      </c>
      <c r="W56" s="315">
        <f>SUM($G41:V41)+W41/2+SUM($G71:V71)</f>
        <v>6257510.0235024998</v>
      </c>
      <c r="X56" s="315">
        <f>SUM($G41:W41)+X41/2+SUM($G71:W71)</f>
        <v>6807300.4062851127</v>
      </c>
      <c r="Y56" s="315">
        <f>SUM($G41:X41)+Y41/2+SUM($G71:X71)</f>
        <v>7359803.0882894518</v>
      </c>
      <c r="Z56" s="315">
        <f>SUM($G41:Y41)+Z41/2+SUM($G71:Y71)</f>
        <v>7915031.4501916803</v>
      </c>
      <c r="AA56" s="315">
        <f>SUM($G41:Z41)+AA41/2+SUM($G71:Z71)</f>
        <v>8472998.9386792928</v>
      </c>
      <c r="AB56" s="315">
        <f>SUM($G41:AA41)+AB41/2+SUM($G71:AA71)</f>
        <v>9033719.0667767767</v>
      </c>
      <c r="AC56" s="315">
        <f>SUM($G41:AB41)+AC41/2+SUM($G71:AB71)</f>
        <v>9597205.4141728748</v>
      </c>
      <c r="AD56" s="315">
        <f>SUM($G41:AC41)+AD41/2+SUM($G71:AC71)</f>
        <v>10163471.62754946</v>
      </c>
      <c r="AE56" s="315">
        <f>SUM($G41:AD41)+AE41/2+SUM($G71:AD71)</f>
        <v>10732531.420912039</v>
      </c>
      <c r="AF56" s="315">
        <f>SUM($G41:AE41)+AF41/2+SUM($G71:AE71)</f>
        <v>11200787.409255205</v>
      </c>
      <c r="AG56" s="315">
        <f>SUM($G41:AF41)+AG41/2+SUM($G71:AF71)</f>
        <v>11567742.460474197</v>
      </c>
      <c r="AH56" s="315">
        <f>SUM($G41:AG41)+AH41/2+SUM($G71:AG71)</f>
        <v>11936507.989945868</v>
      </c>
      <c r="AI56" s="315">
        <f>SUM($G41:AH41)+AI41/2+SUM($G71:AH71)</f>
        <v>12307092.762696268</v>
      </c>
      <c r="AJ56" s="315">
        <f>SUM($G41:AI41)+AJ41/2+SUM($G71:AI71)</f>
        <v>12679505.753658904</v>
      </c>
      <c r="AK56" s="315">
        <f>SUM($G41:AJ41)+AK41/2+SUM($G71:AJ71)</f>
        <v>13053755.98204362</v>
      </c>
      <c r="AL56" s="315">
        <f>SUM($G41:AK41)+AL41/2+SUM($G71:AK71)</f>
        <v>13429852.511555037</v>
      </c>
      <c r="AM56" s="315">
        <f>SUM($G41:AL41)+AM41/2+SUM($G71:AL71)</f>
        <v>13807804.45061204</v>
      </c>
      <c r="AN56" s="315">
        <f>SUM($G41:AM41)+AN41/2+SUM($G71:AM71)</f>
        <v>14187620.952568393</v>
      </c>
      <c r="AO56" s="315">
        <f>SUM($G41:AN41)+AO41/2+SUM($G71:AN71)</f>
        <v>14569311.215934398</v>
      </c>
      <c r="AP56" s="315">
        <f>SUM($G41:AO41)+AP41/2+SUM($G71:AO71)</f>
        <v>14952884.484599674</v>
      </c>
      <c r="AQ56" s="315">
        <f>SUM($G41:AP41)+AQ41/2+SUM($G71:AP71)</f>
        <v>15338350.048057033</v>
      </c>
      <c r="AR56" s="315">
        <f>SUM($G41:AQ41)+AR41/2+SUM($G71:AQ71)</f>
        <v>15532033.644842239</v>
      </c>
      <c r="AS56" s="315">
        <f>SUM($G41:AR41)+AS41/2+SUM($G71:AR71)</f>
        <v>15532033.644842239</v>
      </c>
      <c r="AT56" s="315">
        <f>SUM($G41:AS41)+AT41/2+SUM($G71:AS71)</f>
        <v>15532033.644842239</v>
      </c>
      <c r="AU56" s="315">
        <f>SUM($G41:AT41)+AU41/2+SUM($G71:AT71)</f>
        <v>15532033.644842239</v>
      </c>
      <c r="AV56" s="315">
        <f>SUM($G41:AU41)+AV41/2+SUM($G71:AU71)</f>
        <v>15532033.644842239</v>
      </c>
      <c r="AW56" s="315">
        <f>SUM($G41:AV41)+AW41/2+SUM($G71:AV71)</f>
        <v>15532033.644842239</v>
      </c>
      <c r="AX56" s="315">
        <f>SUM($G41:AW41)+AX41/2+SUM($G71:AW71)</f>
        <v>15532033.644842239</v>
      </c>
      <c r="AY56" s="315">
        <f>SUM($G41:AX41)+AY41/2+SUM($G71:AX71)</f>
        <v>15532033.644842239</v>
      </c>
      <c r="AZ56" s="315">
        <f>SUM($G41:AY41)+AZ41/2+SUM($G71:AY71)</f>
        <v>15532033.644842239</v>
      </c>
      <c r="BA56" s="315">
        <f>SUM($G41:AZ41)+BA41/2+SUM($G71:AZ71)</f>
        <v>15532033.644842239</v>
      </c>
      <c r="BB56" s="315">
        <f>SUM($G41:BA41)+BB41/2+SUM($G71:BA71)</f>
        <v>15532033.644842239</v>
      </c>
      <c r="BC56" s="315">
        <f>SUM($G41:BB41)+BC41/2+SUM($G71:BB71)</f>
        <v>15532033.644842239</v>
      </c>
      <c r="BD56" s="192"/>
    </row>
    <row r="57" spans="2:56" ht="15.6">
      <c r="B57" s="192"/>
      <c r="C57" s="192"/>
      <c r="D57" s="192"/>
      <c r="E57" s="192"/>
      <c r="F57" s="676" t="str">
        <f t="shared" si="14"/>
        <v>Interior Construction Costs (less TI Allow)</v>
      </c>
      <c r="G57" s="611"/>
      <c r="H57" s="315">
        <f>SUM($G42:G42)+H42/2+SUM($G72:G72)</f>
        <v>0</v>
      </c>
      <c r="I57" s="315">
        <f>SUM($G42:H42)+I42/2+SUM($G72:H72)</f>
        <v>0</v>
      </c>
      <c r="J57" s="315">
        <f>SUM($G42:I42)+J42/2+SUM($G72:I72)</f>
        <v>0</v>
      </c>
      <c r="K57" s="315">
        <f>SUM($G42:J42)+K42/2+SUM($G72:J72)</f>
        <v>0</v>
      </c>
      <c r="L57" s="315">
        <f>SUM($G42:K42)+L42/2+SUM($G72:K72)</f>
        <v>0</v>
      </c>
      <c r="M57" s="315">
        <f>SUM($G42:L42)+M42/2+SUM($G72:L72)</f>
        <v>0</v>
      </c>
      <c r="N57" s="315">
        <f>SUM($G42:M42)+N42/2+SUM($G72:M72)</f>
        <v>0</v>
      </c>
      <c r="O57" s="315">
        <f>SUM($G42:N42)+O42/2+SUM($G72:N72)</f>
        <v>0</v>
      </c>
      <c r="P57" s="315">
        <f>SUM($G42:O42)+P42/2+SUM($G72:O72)</f>
        <v>0</v>
      </c>
      <c r="Q57" s="315">
        <f>SUM($G42:P42)+Q42/2+SUM($G72:P72)</f>
        <v>0</v>
      </c>
      <c r="R57" s="315">
        <f>SUM($G42:Q42)+R42/2+SUM($G72:Q72)</f>
        <v>0</v>
      </c>
      <c r="S57" s="315">
        <f>SUM($G42:R42)+S42/2+SUM($G72:R72)</f>
        <v>0</v>
      </c>
      <c r="T57" s="315">
        <f>SUM($G42:S42)+T42/2+SUM($G72:S72)</f>
        <v>0</v>
      </c>
      <c r="U57" s="315">
        <f>SUM($G42:T42)+U42/2+SUM($G72:T72)</f>
        <v>0</v>
      </c>
      <c r="V57" s="315">
        <f>SUM($G42:U42)+V42/2+SUM($G72:U72)</f>
        <v>0</v>
      </c>
      <c r="W57" s="315">
        <f>SUM($G42:V42)+W42/2+SUM($G72:V72)</f>
        <v>0</v>
      </c>
      <c r="X57" s="315">
        <f>SUM($G42:W42)+X42/2+SUM($G72:W72)</f>
        <v>0</v>
      </c>
      <c r="Y57" s="315">
        <f>SUM($G42:X42)+Y42/2+SUM($G72:X72)</f>
        <v>0</v>
      </c>
      <c r="Z57" s="315">
        <f>SUM($G42:Y42)+Z42/2+SUM($G72:Y72)</f>
        <v>0</v>
      </c>
      <c r="AA57" s="315">
        <f>SUM($G42:Z42)+AA42/2+SUM($G72:Z72)</f>
        <v>0</v>
      </c>
      <c r="AB57" s="315">
        <f>SUM($G42:AA42)+AB42/2+SUM($G72:AA72)</f>
        <v>0</v>
      </c>
      <c r="AC57" s="315">
        <f>SUM($G42:AB42)+AC42/2+SUM($G72:AB72)</f>
        <v>0</v>
      </c>
      <c r="AD57" s="315">
        <f>SUM($G42:AC42)+AD42/2+SUM($G72:AC72)</f>
        <v>0</v>
      </c>
      <c r="AE57" s="315">
        <f>SUM($G42:AD42)+AE42/2+SUM($G72:AD72)</f>
        <v>0</v>
      </c>
      <c r="AF57" s="315">
        <f>SUM($G42:AE42)+AF42/2+SUM($G72:AE72)</f>
        <v>0</v>
      </c>
      <c r="AG57" s="315">
        <f>SUM($G42:AF42)+AG42/2+SUM($G72:AF72)</f>
        <v>0</v>
      </c>
      <c r="AH57" s="315">
        <f>SUM($G42:AG42)+AH42/2+SUM($G72:AG72)</f>
        <v>0</v>
      </c>
      <c r="AI57" s="315">
        <f>SUM($G42:AH42)+AI42/2+SUM($G72:AH72)</f>
        <v>2189442.8713980769</v>
      </c>
      <c r="AJ57" s="315">
        <f>SUM($G42:AI42)+AJ42/2+SUM($G72:AI72)</f>
        <v>6134702.9942950513</v>
      </c>
      <c r="AK57" s="315">
        <f>SUM($G42:AJ42)+AK42/2+SUM($G72:AJ72)</f>
        <v>10229999.529066905</v>
      </c>
      <c r="AL57" s="315">
        <f>SUM($G42:AK42)+AL42/2+SUM($G72:AK72)</f>
        <v>14695499.526743636</v>
      </c>
      <c r="AM57" s="315">
        <f>SUM($G42:AL42)+AM42/2+SUM($G72:AL72)</f>
        <v>19458029.324408904</v>
      </c>
      <c r="AN57" s="315">
        <f>SUM($G42:AM42)+AN42/2+SUM($G72:AM72)</f>
        <v>25244054.26907599</v>
      </c>
      <c r="AO57" s="315">
        <f>SUM($G42:AN42)+AO42/2+SUM($G72:AN72)</f>
        <v>31558623.603470098</v>
      </c>
      <c r="AP57" s="315">
        <f>SUM($G42:AO42)+AP42/2+SUM($G72:AO72)</f>
        <v>38404344.813247219</v>
      </c>
      <c r="AQ57" s="315">
        <f>SUM($G42:AP42)+AQ42/2+SUM($G72:AP72)</f>
        <v>46283838.247659236</v>
      </c>
      <c r="AR57" s="315">
        <f>SUM($G42:AQ42)+AR42/2+SUM($G72:AQ72)</f>
        <v>54202203.84968102</v>
      </c>
      <c r="AS57" s="315">
        <f>SUM($G42:AR42)+AS42/2+SUM($G72:AR72)</f>
        <v>61159633.388672784</v>
      </c>
      <c r="AT57" s="315">
        <f>SUM($G42:AS42)+AT42/2+SUM($G72:AS72)</f>
        <v>67151386.246723562</v>
      </c>
      <c r="AU57" s="315">
        <f>SUM($G42:AT42)+AU42/2+SUM($G72:AT72)</f>
        <v>72172248.41887407</v>
      </c>
      <c r="AV57" s="315">
        <f>SUM($G42:AU42)+AV42/2+SUM($G72:AU72)</f>
        <v>74622864.177740514</v>
      </c>
      <c r="AW57" s="315">
        <f>SUM($G42:AV42)+AW42/2+SUM($G72:AV72)</f>
        <v>74991003.641017362</v>
      </c>
      <c r="AX57" s="315">
        <f>SUM($G42:AW42)+AX42/2+SUM($G72:AW72)</f>
        <v>75930959.258979723</v>
      </c>
      <c r="AY57" s="315">
        <f>SUM($G42:AX42)+AY42/2+SUM($G72:AX72)</f>
        <v>76500959.258979723</v>
      </c>
      <c r="AZ57" s="315">
        <f>SUM($G42:AY42)+AZ42/2+SUM($G72:AY72)</f>
        <v>76500959.258979723</v>
      </c>
      <c r="BA57" s="315">
        <f>SUM($G42:AZ42)+BA42/2+SUM($G72:AZ72)</f>
        <v>76500959.258979723</v>
      </c>
      <c r="BB57" s="315">
        <f>SUM($G42:BA42)+BB42/2+SUM($G72:BA72)</f>
        <v>76500959.258979723</v>
      </c>
      <c r="BC57" s="315">
        <f>SUM($G42:BB42)+BC42/2+SUM($G72:BB72)</f>
        <v>76500959.258979723</v>
      </c>
      <c r="BD57" s="192"/>
    </row>
    <row r="58" spans="2:56" ht="15.6">
      <c r="B58" s="192"/>
      <c r="C58" s="192"/>
      <c r="D58" s="192"/>
      <c r="E58" s="192"/>
      <c r="F58" s="676" t="str">
        <f t="shared" si="14"/>
        <v>Interior Soft Costs</v>
      </c>
      <c r="G58" s="611"/>
      <c r="H58" s="315">
        <f>SUM($G43:G43)+H43/2+SUM($G73:G73)</f>
        <v>0</v>
      </c>
      <c r="I58" s="315">
        <f>SUM($G43:H43)+I43/2+SUM($G73:H73)</f>
        <v>0</v>
      </c>
      <c r="J58" s="315">
        <f>SUM($G43:I43)+J43/2+SUM($G73:I73)</f>
        <v>0</v>
      </c>
      <c r="K58" s="315">
        <f>SUM($G43:J43)+K43/2+SUM($G73:J73)</f>
        <v>0</v>
      </c>
      <c r="L58" s="315">
        <f>SUM($G43:K43)+L43/2+SUM($G73:K73)</f>
        <v>0</v>
      </c>
      <c r="M58" s="315">
        <f>SUM($G43:L43)+M43/2+SUM($G73:L73)</f>
        <v>0</v>
      </c>
      <c r="N58" s="315">
        <f>SUM($G43:M43)+N43/2+SUM($G73:M73)</f>
        <v>0</v>
      </c>
      <c r="O58" s="315">
        <f>SUM($G43:N43)+O43/2+SUM($G73:N73)</f>
        <v>0</v>
      </c>
      <c r="P58" s="315">
        <f>SUM($G43:O43)+P43/2+SUM($G73:O73)</f>
        <v>623788.125</v>
      </c>
      <c r="Q58" s="315">
        <f>SUM($G43:P43)+Q43/2+SUM($G73:P73)</f>
        <v>1408815.6047499999</v>
      </c>
      <c r="R58" s="315">
        <f>SUM($G43:Q43)+R43/2+SUM($G73:Q73)</f>
        <v>1692286.2617334332</v>
      </c>
      <c r="S58" s="315">
        <f>SUM($G43:R43)+S43/2+SUM($G73:R73)</f>
        <v>1937351.8739579848</v>
      </c>
      <c r="T58" s="315">
        <f>SUM($G43:S43)+T43/2+SUM($G73:S73)</f>
        <v>2185458.4765361776</v>
      </c>
      <c r="U58" s="315">
        <f>SUM($G43:T43)+U43/2+SUM($G73:T73)</f>
        <v>2436621.0716870893</v>
      </c>
      <c r="V58" s="315">
        <f>SUM($G43:U43)+V43/2+SUM($G73:U73)</f>
        <v>2689022.7356407456</v>
      </c>
      <c r="W58" s="315">
        <f>SUM($G43:V43)+W43/2+SUM($G73:V73)</f>
        <v>2938669.5811365736</v>
      </c>
      <c r="X58" s="315">
        <f>SUM($G43:W43)+X43/2+SUM($G73:W73)</f>
        <v>3185548.017736847</v>
      </c>
      <c r="Y58" s="315">
        <f>SUM($G43:X43)+Y43/2+SUM($G73:X73)</f>
        <v>3433644.3879576824</v>
      </c>
      <c r="Z58" s="315">
        <f>SUM($G43:Y43)+Z43/2+SUM($G73:Y73)</f>
        <v>3682964.7002716069</v>
      </c>
      <c r="AA58" s="315">
        <f>SUM($G43:Z43)+AA43/2+SUM($G73:Z73)</f>
        <v>3933514.9927929468</v>
      </c>
      <c r="AB58" s="315">
        <f>SUM($G43:AA43)+AB43/2+SUM($G73:AA73)</f>
        <v>4185301.3334240587</v>
      </c>
      <c r="AC58" s="315">
        <f>SUM($G43:AB43)+AC43/2+SUM($G73:AB73)</f>
        <v>4438329.8200022839</v>
      </c>
      <c r="AD58" s="315">
        <f>SUM($G43:AC43)+AD43/2+SUM($G73:AC73)</f>
        <v>4692606.5804476291</v>
      </c>
      <c r="AE58" s="315">
        <f>SUM($G43:AD43)+AE43/2+SUM($G73:AD73)</f>
        <v>4948137.7729111705</v>
      </c>
      <c r="AF58" s="315">
        <f>SUM($G43:AE43)+AF43/2+SUM($G73:AE73)</f>
        <v>5205142.5859241989</v>
      </c>
      <c r="AG58" s="315">
        <f>SUM($G43:AF43)+AG43/2+SUM($G73:AF73)</f>
        <v>5456628.2893480919</v>
      </c>
      <c r="AH58" s="315">
        <f>SUM($G43:AG43)+AH43/2+SUM($G73:AG73)</f>
        <v>5694354.6555755418</v>
      </c>
      <c r="AI58" s="315">
        <f>SUM($G43:AH43)+AI43/2+SUM($G73:AH73)</f>
        <v>5925253.8052097149</v>
      </c>
      <c r="AJ58" s="315">
        <f>SUM($G43:AI43)+AJ43/2+SUM($G73:AI73)</f>
        <v>6157292.0573154157</v>
      </c>
      <c r="AK58" s="315">
        <f>SUM($G43:AJ43)+AK43/2+SUM($G73:AJ73)</f>
        <v>6415475.0314648384</v>
      </c>
      <c r="AL58" s="315">
        <f>SUM($G43:AK43)+AL43/2+SUM($G73:AK73)</f>
        <v>6699931.7082867315</v>
      </c>
      <c r="AM58" s="315">
        <f>SUM($G43:AL43)+AM43/2+SUM($G73:AL73)</f>
        <v>6985791.7047142796</v>
      </c>
      <c r="AN58" s="315">
        <f>SUM($G43:AM43)+AN43/2+SUM($G73:AM73)</f>
        <v>7273061.9437908698</v>
      </c>
      <c r="AO58" s="315">
        <f>SUM($G43:AN43)+AO43/2+SUM($G73:AN73)</f>
        <v>7553749.3827135721</v>
      </c>
      <c r="AP58" s="315">
        <f>SUM($G43:AO43)+AP43/2+SUM($G73:AO73)</f>
        <v>7827821.5463349586</v>
      </c>
      <c r="AQ58" s="315">
        <f>SUM($G43:AP43)+AQ43/2+SUM($G73:AP73)</f>
        <v>8103245.7992968783</v>
      </c>
      <c r="AR58" s="315">
        <f>SUM($G43:AQ43)+AR43/2+SUM($G73:AQ73)</f>
        <v>8380028.8119067429</v>
      </c>
      <c r="AS58" s="315">
        <f>SUM($G43:AR43)+AS43/2+SUM($G73:AR73)</f>
        <v>8670677.2873788159</v>
      </c>
      <c r="AT58" s="315">
        <f>SUM($G43:AS43)+AT43/2+SUM($G73:AS73)</f>
        <v>8975259.6286632176</v>
      </c>
      <c r="AU58" s="315">
        <f>SUM($G43:AT43)+AU43/2+SUM($G73:AT73)</f>
        <v>9271247.5761646237</v>
      </c>
      <c r="AV58" s="315">
        <f>SUM($G43:AU43)+AV43/2+SUM($G73:AU73)</f>
        <v>9485129.2308737021</v>
      </c>
      <c r="AW58" s="315">
        <f>SUM($G43:AV43)+AW43/2+SUM($G73:AV73)</f>
        <v>9591759.5350793451</v>
      </c>
      <c r="AX58" s="315">
        <f>SUM($G43:AW43)+AX43/2+SUM($G73:AW73)</f>
        <v>9664078.8821190707</v>
      </c>
      <c r="AY58" s="315">
        <f>SUM($G43:AX43)+AY43/2+SUM($G73:AX73)</f>
        <v>9689078.8821190707</v>
      </c>
      <c r="AZ58" s="315">
        <f>SUM($G43:AY43)+AZ43/2+SUM($G73:AY73)</f>
        <v>9701578.8821190707</v>
      </c>
      <c r="BA58" s="315">
        <f>SUM($G43:AZ43)+BA43/2+SUM($G73:AZ73)</f>
        <v>9701578.8821190707</v>
      </c>
      <c r="BB58" s="315">
        <f>SUM($G43:BA43)+BB43/2+SUM($G73:BA73)</f>
        <v>9701578.8821190707</v>
      </c>
      <c r="BC58" s="315">
        <f>SUM($G43:BB43)+BC43/2+SUM($G73:BB73)</f>
        <v>9701578.8821190707</v>
      </c>
      <c r="BD58" s="192"/>
    </row>
    <row r="59" spans="2:56" ht="16.2" thickBot="1">
      <c r="B59" s="192"/>
      <c r="C59" s="192"/>
      <c r="D59" s="192"/>
      <c r="E59" s="192"/>
      <c r="F59" s="192"/>
      <c r="G59" s="601">
        <f t="shared" ref="G59:AL59" si="15">SUM(G49:G58)</f>
        <v>0</v>
      </c>
      <c r="H59" s="601">
        <f t="shared" si="15"/>
        <v>0</v>
      </c>
      <c r="I59" s="601">
        <f t="shared" si="15"/>
        <v>0</v>
      </c>
      <c r="J59" s="601">
        <f t="shared" si="15"/>
        <v>0</v>
      </c>
      <c r="K59" s="601">
        <f t="shared" si="15"/>
        <v>0</v>
      </c>
      <c r="L59" s="601">
        <f t="shared" si="15"/>
        <v>0</v>
      </c>
      <c r="M59" s="601">
        <f t="shared" si="15"/>
        <v>0</v>
      </c>
      <c r="N59" s="601">
        <f t="shared" si="15"/>
        <v>0</v>
      </c>
      <c r="O59" s="601">
        <f t="shared" si="15"/>
        <v>0</v>
      </c>
      <c r="P59" s="601">
        <f t="shared" si="15"/>
        <v>1951036.3161720114</v>
      </c>
      <c r="Q59" s="601">
        <f t="shared" si="15"/>
        <v>4415052.93600915</v>
      </c>
      <c r="R59" s="601">
        <f t="shared" si="15"/>
        <v>16196358.246170817</v>
      </c>
      <c r="S59" s="601">
        <f t="shared" si="15"/>
        <v>28539196.662529286</v>
      </c>
      <c r="T59" s="601">
        <f t="shared" si="15"/>
        <v>32925224.343040336</v>
      </c>
      <c r="U59" s="601">
        <f t="shared" si="15"/>
        <v>39564589.706407137</v>
      </c>
      <c r="V59" s="601">
        <f t="shared" si="15"/>
        <v>45911989.290566549</v>
      </c>
      <c r="W59" s="601">
        <f t="shared" si="15"/>
        <v>51961982.712674461</v>
      </c>
      <c r="X59" s="601">
        <f t="shared" si="15"/>
        <v>58037822.768998131</v>
      </c>
      <c r="Y59" s="601">
        <f t="shared" si="15"/>
        <v>64143636.969599649</v>
      </c>
      <c r="Z59" s="601">
        <f t="shared" si="15"/>
        <v>70279573.18692413</v>
      </c>
      <c r="AA59" s="601">
        <f t="shared" si="15"/>
        <v>76445780.022920772</v>
      </c>
      <c r="AB59" s="601">
        <f t="shared" si="15"/>
        <v>82642406.81264165</v>
      </c>
      <c r="AC59" s="601">
        <f t="shared" si="15"/>
        <v>88869603.627858475</v>
      </c>
      <c r="AD59" s="601">
        <f t="shared" si="15"/>
        <v>95127521.280697033</v>
      </c>
      <c r="AE59" s="601">
        <f t="shared" si="15"/>
        <v>101416311.32728963</v>
      </c>
      <c r="AF59" s="601">
        <f t="shared" si="15"/>
        <v>106738927.56251289</v>
      </c>
      <c r="AG59" s="601">
        <f t="shared" si="15"/>
        <v>111083603.15389739</v>
      </c>
      <c r="AH59" s="601">
        <f t="shared" si="15"/>
        <v>115544712.10319944</v>
      </c>
      <c r="AI59" s="601">
        <f t="shared" si="15"/>
        <v>122319272.06138277</v>
      </c>
      <c r="AJ59" s="601">
        <f t="shared" si="15"/>
        <v>131062559.68202646</v>
      </c>
      <c r="AK59" s="601">
        <f t="shared" si="15"/>
        <v>141174153.98353395</v>
      </c>
      <c r="AL59" s="601">
        <f t="shared" si="15"/>
        <v>153689941.65026215</v>
      </c>
      <c r="AM59" s="601">
        <f t="shared" ref="AM59:BC59" si="16">SUM(AM49:AM58)</f>
        <v>165542473.86947963</v>
      </c>
      <c r="AN59" s="601">
        <f t="shared" si="16"/>
        <v>176453478.58097851</v>
      </c>
      <c r="AO59" s="601">
        <f t="shared" si="16"/>
        <v>188410310.91572079</v>
      </c>
      <c r="AP59" s="601">
        <f t="shared" si="16"/>
        <v>201770721.28998116</v>
      </c>
      <c r="AQ59" s="601">
        <f t="shared" si="16"/>
        <v>216364817.64708787</v>
      </c>
      <c r="AR59" s="601">
        <f t="shared" si="16"/>
        <v>228691609.43011659</v>
      </c>
      <c r="AS59" s="601">
        <f t="shared" si="16"/>
        <v>237877307.64462897</v>
      </c>
      <c r="AT59" s="601">
        <f t="shared" si="16"/>
        <v>246670821.97033298</v>
      </c>
      <c r="AU59" s="601">
        <f t="shared" si="16"/>
        <v>255537237.00837716</v>
      </c>
      <c r="AV59" s="601">
        <f t="shared" si="16"/>
        <v>262236328.40227568</v>
      </c>
      <c r="AW59" s="601">
        <f t="shared" si="16"/>
        <v>267005521.64705074</v>
      </c>
      <c r="AX59" s="601">
        <f t="shared" si="16"/>
        <v>270397745.04680943</v>
      </c>
      <c r="AY59" s="601">
        <f t="shared" si="16"/>
        <v>271014939.04680943</v>
      </c>
      <c r="AZ59" s="601">
        <f t="shared" si="16"/>
        <v>271027439.04680943</v>
      </c>
      <c r="BA59" s="601">
        <f t="shared" si="16"/>
        <v>271027439.04680943</v>
      </c>
      <c r="BB59" s="601">
        <f t="shared" si="16"/>
        <v>271027439.04680943</v>
      </c>
      <c r="BC59" s="601">
        <f t="shared" si="16"/>
        <v>271027439.04680943</v>
      </c>
      <c r="BD59" s="192"/>
    </row>
    <row r="60" spans="2:56" ht="16.2" thickTop="1">
      <c r="B60" s="192"/>
      <c r="C60" s="192"/>
      <c r="D60" s="192"/>
      <c r="E60" s="192"/>
      <c r="F60" s="192"/>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610"/>
      <c r="AN60" s="610"/>
      <c r="AO60" s="610"/>
      <c r="AP60" s="610"/>
      <c r="AQ60" s="610"/>
      <c r="AR60" s="610"/>
      <c r="AS60" s="610"/>
      <c r="AT60" s="610"/>
      <c r="AU60" s="610"/>
      <c r="AV60" s="610"/>
      <c r="AW60" s="610"/>
      <c r="AX60" s="610"/>
      <c r="AY60" s="610"/>
      <c r="AZ60" s="610"/>
      <c r="BA60" s="610"/>
      <c r="BB60" s="610"/>
      <c r="BC60" s="610"/>
      <c r="BD60" s="192"/>
    </row>
    <row r="61" spans="2:56" ht="15.6">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row>
    <row r="62" spans="2:56" ht="15.6">
      <c r="B62" s="192"/>
      <c r="C62" s="192"/>
      <c r="D62" s="192"/>
      <c r="F62" s="315"/>
      <c r="G62" s="609">
        <v>5.9200000000000003E-2</v>
      </c>
      <c r="H62" s="608" t="s">
        <v>370</v>
      </c>
      <c r="I62" s="607"/>
      <c r="J62" s="607"/>
      <c r="K62" s="607"/>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row>
    <row r="63" spans="2:56" ht="15.6">
      <c r="B63" s="603" t="s">
        <v>371</v>
      </c>
      <c r="C63" s="192"/>
      <c r="D63" s="192"/>
      <c r="E63" s="606" t="s">
        <v>372</v>
      </c>
      <c r="F63" s="605" t="s">
        <v>373</v>
      </c>
      <c r="G63" s="604">
        <v>44531</v>
      </c>
      <c r="H63" s="604">
        <v>44562</v>
      </c>
      <c r="I63" s="604">
        <v>44593</v>
      </c>
      <c r="J63" s="604">
        <v>44621</v>
      </c>
      <c r="K63" s="604">
        <v>44652</v>
      </c>
      <c r="L63" s="604">
        <v>44682</v>
      </c>
      <c r="M63" s="604">
        <v>44713</v>
      </c>
      <c r="N63" s="604">
        <v>44743</v>
      </c>
      <c r="O63" s="604">
        <v>44774</v>
      </c>
      <c r="P63" s="604">
        <v>44805</v>
      </c>
      <c r="Q63" s="604">
        <v>44835</v>
      </c>
      <c r="R63" s="604">
        <v>44866</v>
      </c>
      <c r="S63" s="604">
        <v>44896</v>
      </c>
      <c r="T63" s="604">
        <v>44927</v>
      </c>
      <c r="U63" s="604">
        <v>44958</v>
      </c>
      <c r="V63" s="604">
        <v>44986</v>
      </c>
      <c r="W63" s="604">
        <v>45017</v>
      </c>
      <c r="X63" s="604">
        <v>45047</v>
      </c>
      <c r="Y63" s="604">
        <v>45078</v>
      </c>
      <c r="Z63" s="604">
        <v>45108</v>
      </c>
      <c r="AA63" s="604">
        <v>45139</v>
      </c>
      <c r="AB63" s="604">
        <v>45170</v>
      </c>
      <c r="AC63" s="604">
        <v>45200</v>
      </c>
      <c r="AD63" s="604">
        <v>45231</v>
      </c>
      <c r="AE63" s="604">
        <v>45261</v>
      </c>
      <c r="AF63" s="604">
        <v>45292</v>
      </c>
      <c r="AG63" s="604">
        <v>45323</v>
      </c>
      <c r="AH63" s="604">
        <v>45352</v>
      </c>
      <c r="AI63" s="604">
        <v>45383</v>
      </c>
      <c r="AJ63" s="604">
        <v>45413</v>
      </c>
      <c r="AK63" s="604">
        <v>45444</v>
      </c>
      <c r="AL63" s="604">
        <v>45474</v>
      </c>
      <c r="AM63" s="604">
        <v>45505</v>
      </c>
      <c r="AN63" s="604">
        <v>45536</v>
      </c>
      <c r="AO63" s="604">
        <v>45566</v>
      </c>
      <c r="AP63" s="604">
        <v>45597</v>
      </c>
      <c r="AQ63" s="604">
        <v>45627</v>
      </c>
      <c r="AR63" s="604">
        <v>45658</v>
      </c>
      <c r="AS63" s="604">
        <v>45689</v>
      </c>
      <c r="AT63" s="604">
        <v>45717</v>
      </c>
      <c r="AU63" s="604">
        <v>45748</v>
      </c>
      <c r="AV63" s="604">
        <v>45778</v>
      </c>
      <c r="AW63" s="604">
        <v>45809</v>
      </c>
      <c r="AX63" s="604">
        <v>45839</v>
      </c>
      <c r="AY63" s="604">
        <v>45870</v>
      </c>
      <c r="AZ63" s="604">
        <v>45901</v>
      </c>
      <c r="BA63" s="604">
        <v>45931</v>
      </c>
      <c r="BB63" s="604">
        <v>45962</v>
      </c>
      <c r="BC63" s="604">
        <v>45992</v>
      </c>
      <c r="BD63" s="310" t="s">
        <v>191</v>
      </c>
    </row>
    <row r="64" spans="2:56" ht="15.6">
      <c r="B64" s="603" t="s">
        <v>374</v>
      </c>
      <c r="C64" s="192"/>
      <c r="D64" s="192"/>
      <c r="E64" s="602">
        <v>45627</v>
      </c>
      <c r="F64" s="676" t="str">
        <f>+F5</f>
        <v>Land Assumption</v>
      </c>
      <c r="G64" s="491">
        <f t="shared" ref="G64:G73" si="17">G49*$G$62/12</f>
        <v>0</v>
      </c>
      <c r="H64" s="313">
        <f t="shared" ref="H64:BC64" si="18">IF(H$63&lt;$E64,H49*$G$62/12,IF(H$63=$E64,H49*$G$62/12*50%,IF(H$63&gt;$E64,0)))</f>
        <v>0</v>
      </c>
      <c r="I64" s="313">
        <f t="shared" si="18"/>
        <v>0</v>
      </c>
      <c r="J64" s="313">
        <f t="shared" si="18"/>
        <v>0</v>
      </c>
      <c r="K64" s="313">
        <f t="shared" si="18"/>
        <v>0</v>
      </c>
      <c r="L64" s="313">
        <f t="shared" si="18"/>
        <v>0</v>
      </c>
      <c r="M64" s="313">
        <f t="shared" si="18"/>
        <v>0</v>
      </c>
      <c r="N64" s="313">
        <f t="shared" si="18"/>
        <v>0</v>
      </c>
      <c r="O64" s="313">
        <f t="shared" si="18"/>
        <v>0</v>
      </c>
      <c r="P64" s="313">
        <f t="shared" si="18"/>
        <v>246.66666666666666</v>
      </c>
      <c r="Q64" s="313">
        <f t="shared" si="18"/>
        <v>494.55022222222232</v>
      </c>
      <c r="R64" s="313">
        <f t="shared" si="18"/>
        <v>29742.389403318521</v>
      </c>
      <c r="S64" s="313">
        <f t="shared" si="18"/>
        <v>59134.517924374893</v>
      </c>
      <c r="T64" s="313">
        <f t="shared" si="18"/>
        <v>59426.248212801809</v>
      </c>
      <c r="U64" s="313">
        <f t="shared" si="18"/>
        <v>59719.417703984967</v>
      </c>
      <c r="V64" s="313">
        <f t="shared" si="18"/>
        <v>60014.03349799128</v>
      </c>
      <c r="W64" s="313">
        <f t="shared" si="18"/>
        <v>60310.102729914717</v>
      </c>
      <c r="X64" s="313">
        <f t="shared" si="18"/>
        <v>60607.632570048961</v>
      </c>
      <c r="Y64" s="313">
        <f t="shared" si="18"/>
        <v>60906.630224061206</v>
      </c>
      <c r="Z64" s="313">
        <f t="shared" si="18"/>
        <v>61207.10293316657</v>
      </c>
      <c r="AA64" s="313">
        <f t="shared" si="18"/>
        <v>61509.05797430352</v>
      </c>
      <c r="AB64" s="313">
        <f t="shared" si="18"/>
        <v>61812.502660310092</v>
      </c>
      <c r="AC64" s="313">
        <f t="shared" si="18"/>
        <v>62117.444340100956</v>
      </c>
      <c r="AD64" s="313">
        <f t="shared" si="18"/>
        <v>62423.890398845455</v>
      </c>
      <c r="AE64" s="313">
        <f t="shared" si="18"/>
        <v>62731.848258146427</v>
      </c>
      <c r="AF64" s="313">
        <f t="shared" si="18"/>
        <v>63041.325376219953</v>
      </c>
      <c r="AG64" s="313">
        <f t="shared" si="18"/>
        <v>63352.329248075963</v>
      </c>
      <c r="AH64" s="313">
        <f t="shared" si="18"/>
        <v>63664.867405699799</v>
      </c>
      <c r="AI64" s="313">
        <f t="shared" si="18"/>
        <v>63978.947418234595</v>
      </c>
      <c r="AJ64" s="313">
        <f t="shared" si="18"/>
        <v>64294.576892164543</v>
      </c>
      <c r="AK64" s="313">
        <f t="shared" si="18"/>
        <v>64611.763471499231</v>
      </c>
      <c r="AL64" s="313">
        <f t="shared" si="18"/>
        <v>64930.514837958624</v>
      </c>
      <c r="AM64" s="313">
        <f t="shared" si="18"/>
        <v>65250.838711159216</v>
      </c>
      <c r="AN64" s="313">
        <f t="shared" si="18"/>
        <v>65572.742848800932</v>
      </c>
      <c r="AO64" s="313">
        <f t="shared" si="18"/>
        <v>65896.235046855014</v>
      </c>
      <c r="AP64" s="313">
        <f t="shared" si="18"/>
        <v>66221.323139752843</v>
      </c>
      <c r="AQ64" s="313">
        <f t="shared" si="18"/>
        <v>33274.007500287807</v>
      </c>
      <c r="AR64" s="313">
        <f t="shared" si="18"/>
        <v>0</v>
      </c>
      <c r="AS64" s="313">
        <f t="shared" si="18"/>
        <v>0</v>
      </c>
      <c r="AT64" s="313">
        <f t="shared" si="18"/>
        <v>0</v>
      </c>
      <c r="AU64" s="313">
        <f t="shared" si="18"/>
        <v>0</v>
      </c>
      <c r="AV64" s="313">
        <f t="shared" si="18"/>
        <v>0</v>
      </c>
      <c r="AW64" s="313">
        <f t="shared" si="18"/>
        <v>0</v>
      </c>
      <c r="AX64" s="313">
        <f t="shared" si="18"/>
        <v>0</v>
      </c>
      <c r="AY64" s="313">
        <f t="shared" si="18"/>
        <v>0</v>
      </c>
      <c r="AZ64" s="313">
        <f t="shared" si="18"/>
        <v>0</v>
      </c>
      <c r="BA64" s="313">
        <f t="shared" si="18"/>
        <v>0</v>
      </c>
      <c r="BB64" s="313">
        <f t="shared" si="18"/>
        <v>0</v>
      </c>
      <c r="BC64" s="313">
        <f t="shared" si="18"/>
        <v>0</v>
      </c>
      <c r="BD64" s="315">
        <f t="shared" ref="BD64:BD73" si="19">SUM(H64:BC64)</f>
        <v>1566493.5076169667</v>
      </c>
    </row>
    <row r="65" spans="2:56" ht="15.6">
      <c r="B65" s="603" t="s">
        <v>375</v>
      </c>
      <c r="C65" s="192"/>
      <c r="D65" s="192"/>
      <c r="E65" s="602">
        <v>45627</v>
      </c>
      <c r="F65" s="676" t="str">
        <f t="shared" ref="F65:F73" si="20">+F6</f>
        <v>Hard Costs</v>
      </c>
      <c r="G65" s="491">
        <f t="shared" si="17"/>
        <v>0</v>
      </c>
      <c r="H65" s="313">
        <f t="shared" ref="H65:BC65" si="21">IF(H$63&lt;$E65,H50*$G$62/12,IF(H$63=$E65,H50*$G$62/12*50%,IF(H$63&gt;$E65,0)))</f>
        <v>0</v>
      </c>
      <c r="I65" s="313">
        <f t="shared" si="21"/>
        <v>0</v>
      </c>
      <c r="J65" s="313">
        <f t="shared" si="21"/>
        <v>0</v>
      </c>
      <c r="K65" s="313">
        <f t="shared" si="21"/>
        <v>0</v>
      </c>
      <c r="L65" s="313">
        <f t="shared" si="21"/>
        <v>0</v>
      </c>
      <c r="M65" s="313">
        <f t="shared" si="21"/>
        <v>0</v>
      </c>
      <c r="N65" s="313">
        <f t="shared" si="21"/>
        <v>0</v>
      </c>
      <c r="O65" s="313">
        <f t="shared" si="21"/>
        <v>0</v>
      </c>
      <c r="P65" s="313">
        <f t="shared" si="21"/>
        <v>1.5416666666666667</v>
      </c>
      <c r="Q65" s="313">
        <f t="shared" si="21"/>
        <v>4.6326055555555561</v>
      </c>
      <c r="R65" s="313">
        <f t="shared" si="21"/>
        <v>19024.345126409633</v>
      </c>
      <c r="S65" s="313">
        <f t="shared" si="21"/>
        <v>38136.346562366583</v>
      </c>
      <c r="T65" s="313">
        <f t="shared" si="21"/>
        <v>47427.387964963156</v>
      </c>
      <c r="U65" s="313">
        <f t="shared" si="21"/>
        <v>65867.165505145866</v>
      </c>
      <c r="V65" s="313">
        <f t="shared" si="21"/>
        <v>84397.91085497124</v>
      </c>
      <c r="W65" s="313">
        <f t="shared" si="21"/>
        <v>103020.07454852242</v>
      </c>
      <c r="X65" s="313">
        <f t="shared" si="21"/>
        <v>121734.10758296181</v>
      </c>
      <c r="Y65" s="313">
        <f t="shared" si="21"/>
        <v>140540.46318037107</v>
      </c>
      <c r="Z65" s="313">
        <f t="shared" si="21"/>
        <v>159439.59679872758</v>
      </c>
      <c r="AA65" s="313">
        <f t="shared" si="21"/>
        <v>178431.96614293463</v>
      </c>
      <c r="AB65" s="313">
        <f t="shared" si="21"/>
        <v>197518.03117590645</v>
      </c>
      <c r="AC65" s="313">
        <f t="shared" si="21"/>
        <v>216698.25412970758</v>
      </c>
      <c r="AD65" s="313">
        <f t="shared" si="21"/>
        <v>235973.09951674749</v>
      </c>
      <c r="AE65" s="313">
        <f t="shared" si="21"/>
        <v>255343.03414103008</v>
      </c>
      <c r="AF65" s="313">
        <f t="shared" si="21"/>
        <v>271354.54010945919</v>
      </c>
      <c r="AG65" s="313">
        <f t="shared" si="21"/>
        <v>283991.04917399917</v>
      </c>
      <c r="AH65" s="313">
        <f t="shared" si="21"/>
        <v>296689.8983499243</v>
      </c>
      <c r="AI65" s="313">
        <f t="shared" si="21"/>
        <v>309451.39518178388</v>
      </c>
      <c r="AJ65" s="313">
        <f t="shared" si="21"/>
        <v>322275.8487313473</v>
      </c>
      <c r="AK65" s="313">
        <f t="shared" si="21"/>
        <v>335163.5695850887</v>
      </c>
      <c r="AL65" s="313">
        <f t="shared" si="21"/>
        <v>348114.86986170843</v>
      </c>
      <c r="AM65" s="313">
        <f t="shared" si="21"/>
        <v>361130.06321969297</v>
      </c>
      <c r="AN65" s="313">
        <f t="shared" si="21"/>
        <v>374209.46486491006</v>
      </c>
      <c r="AO65" s="313">
        <f t="shared" si="21"/>
        <v>387353.3915582436</v>
      </c>
      <c r="AP65" s="313">
        <f t="shared" si="21"/>
        <v>400562.16162326426</v>
      </c>
      <c r="AQ65" s="313">
        <f t="shared" si="21"/>
        <v>206903.14387696949</v>
      </c>
      <c r="AR65" s="313">
        <f t="shared" si="21"/>
        <v>0</v>
      </c>
      <c r="AS65" s="313">
        <f t="shared" si="21"/>
        <v>0</v>
      </c>
      <c r="AT65" s="313">
        <f t="shared" si="21"/>
        <v>0</v>
      </c>
      <c r="AU65" s="313">
        <f t="shared" si="21"/>
        <v>0</v>
      </c>
      <c r="AV65" s="313">
        <f t="shared" si="21"/>
        <v>0</v>
      </c>
      <c r="AW65" s="313">
        <f t="shared" si="21"/>
        <v>0</v>
      </c>
      <c r="AX65" s="313">
        <f t="shared" si="21"/>
        <v>0</v>
      </c>
      <c r="AY65" s="313">
        <f t="shared" si="21"/>
        <v>0</v>
      </c>
      <c r="AZ65" s="313">
        <f t="shared" si="21"/>
        <v>0</v>
      </c>
      <c r="BA65" s="313">
        <f t="shared" si="21"/>
        <v>0</v>
      </c>
      <c r="BB65" s="313">
        <f t="shared" si="21"/>
        <v>0</v>
      </c>
      <c r="BC65" s="313">
        <f t="shared" si="21"/>
        <v>0</v>
      </c>
      <c r="BD65" s="315">
        <f t="shared" si="19"/>
        <v>5760757.3536393801</v>
      </c>
    </row>
    <row r="66" spans="2:56" ht="15.6">
      <c r="B66" s="603" t="s">
        <v>376</v>
      </c>
      <c r="C66" s="192"/>
      <c r="D66" s="192"/>
      <c r="E66" s="602">
        <v>45627</v>
      </c>
      <c r="F66" s="676" t="str">
        <f t="shared" si="20"/>
        <v>Soft Costs (excluding Int. Carry &amp; Debt/Equity Fees)</v>
      </c>
      <c r="G66" s="491">
        <f t="shared" si="17"/>
        <v>0</v>
      </c>
      <c r="H66" s="313">
        <f t="shared" ref="H66:BC66" si="22">IF(H$63&lt;$E66,H51*$G$62/12,IF(H$63=$E66,H51*$G$62/12*50%,IF(H$63&gt;$E66,0)))</f>
        <v>0</v>
      </c>
      <c r="I66" s="313">
        <f t="shared" si="22"/>
        <v>0</v>
      </c>
      <c r="J66" s="313">
        <f t="shared" si="22"/>
        <v>0</v>
      </c>
      <c r="K66" s="313">
        <f t="shared" si="22"/>
        <v>0</v>
      </c>
      <c r="L66" s="313">
        <f t="shared" si="22"/>
        <v>0</v>
      </c>
      <c r="M66" s="313">
        <f t="shared" si="22"/>
        <v>0</v>
      </c>
      <c r="N66" s="313">
        <f t="shared" si="22"/>
        <v>0</v>
      </c>
      <c r="O66" s="313">
        <f t="shared" si="22"/>
        <v>0</v>
      </c>
      <c r="P66" s="313">
        <f t="shared" si="22"/>
        <v>5911.1718000000001</v>
      </c>
      <c r="Q66" s="313">
        <f t="shared" si="22"/>
        <v>13164.53918088</v>
      </c>
      <c r="R66" s="313">
        <f t="shared" si="22"/>
        <v>14657.415374172342</v>
      </c>
      <c r="S66" s="313">
        <f t="shared" si="22"/>
        <v>17552.351690018259</v>
      </c>
      <c r="T66" s="313">
        <f t="shared" si="22"/>
        <v>20436.505891689016</v>
      </c>
      <c r="U66" s="313">
        <f t="shared" si="22"/>
        <v>20716.993054088016</v>
      </c>
      <c r="V66" s="313">
        <f t="shared" si="22"/>
        <v>20998.863953154851</v>
      </c>
      <c r="W66" s="313">
        <f t="shared" si="22"/>
        <v>21282.125415323746</v>
      </c>
      <c r="X66" s="313">
        <f t="shared" si="22"/>
        <v>21566.784300706011</v>
      </c>
      <c r="Y66" s="313">
        <f t="shared" si="22"/>
        <v>21852.847503256158</v>
      </c>
      <c r="Z66" s="313">
        <f t="shared" si="22"/>
        <v>22140.321950938887</v>
      </c>
      <c r="AA66" s="313">
        <f t="shared" si="22"/>
        <v>22429.214605896854</v>
      </c>
      <c r="AB66" s="313">
        <f t="shared" si="22"/>
        <v>22719.532464619278</v>
      </c>
      <c r="AC66" s="313">
        <f t="shared" si="22"/>
        <v>23011.282558111401</v>
      </c>
      <c r="AD66" s="313">
        <f t="shared" si="22"/>
        <v>23304.471952064749</v>
      </c>
      <c r="AE66" s="313">
        <f t="shared" si="22"/>
        <v>23599.107747028273</v>
      </c>
      <c r="AF66" s="313">
        <f t="shared" si="22"/>
        <v>24314.695061913615</v>
      </c>
      <c r="AG66" s="313">
        <f t="shared" si="22"/>
        <v>25453.308740885721</v>
      </c>
      <c r="AH66" s="313">
        <f t="shared" si="22"/>
        <v>26597.537730674088</v>
      </c>
      <c r="AI66" s="313">
        <f t="shared" si="22"/>
        <v>27747.411583478748</v>
      </c>
      <c r="AJ66" s="313">
        <f t="shared" si="22"/>
        <v>28902.958147290574</v>
      </c>
      <c r="AK66" s="313">
        <f t="shared" si="22"/>
        <v>30064.205407483878</v>
      </c>
      <c r="AL66" s="313">
        <f t="shared" si="22"/>
        <v>31231.18148749413</v>
      </c>
      <c r="AM66" s="313">
        <f t="shared" si="22"/>
        <v>32403.9146494991</v>
      </c>
      <c r="AN66" s="313">
        <f t="shared" si="22"/>
        <v>33582.433295103292</v>
      </c>
      <c r="AO66" s="313">
        <f t="shared" si="22"/>
        <v>34766.7659660258</v>
      </c>
      <c r="AP66" s="313">
        <f t="shared" si="22"/>
        <v>35956.941344791536</v>
      </c>
      <c r="AQ66" s="313">
        <f t="shared" si="22"/>
        <v>18576.494127712918</v>
      </c>
      <c r="AR66" s="313">
        <f t="shared" si="22"/>
        <v>0</v>
      </c>
      <c r="AS66" s="313">
        <f t="shared" si="22"/>
        <v>0</v>
      </c>
      <c r="AT66" s="313">
        <f t="shared" si="22"/>
        <v>0</v>
      </c>
      <c r="AU66" s="313">
        <f t="shared" si="22"/>
        <v>0</v>
      </c>
      <c r="AV66" s="313">
        <f t="shared" si="22"/>
        <v>0</v>
      </c>
      <c r="AW66" s="313">
        <f t="shared" si="22"/>
        <v>0</v>
      </c>
      <c r="AX66" s="313">
        <f t="shared" si="22"/>
        <v>0</v>
      </c>
      <c r="AY66" s="313">
        <f t="shared" si="22"/>
        <v>0</v>
      </c>
      <c r="AZ66" s="313">
        <f t="shared" si="22"/>
        <v>0</v>
      </c>
      <c r="BA66" s="313">
        <f t="shared" si="22"/>
        <v>0</v>
      </c>
      <c r="BB66" s="313">
        <f t="shared" si="22"/>
        <v>0</v>
      </c>
      <c r="BC66" s="313">
        <f t="shared" si="22"/>
        <v>0</v>
      </c>
      <c r="BD66" s="315">
        <f t="shared" si="19"/>
        <v>664941.37698430114</v>
      </c>
    </row>
    <row r="67" spans="2:56" ht="15.6">
      <c r="B67" s="603" t="s">
        <v>377</v>
      </c>
      <c r="C67" s="192"/>
      <c r="D67" s="192"/>
      <c r="E67" s="602">
        <v>45838</v>
      </c>
      <c r="F67" s="676" t="str">
        <f t="shared" si="20"/>
        <v>FFE (pruely building &amp; Interior design)</v>
      </c>
      <c r="G67" s="491">
        <f t="shared" si="17"/>
        <v>0</v>
      </c>
      <c r="H67" s="313">
        <f t="shared" ref="H67:BC67" si="23">IF(H$63&lt;$E67,H52*$G$62/12,IF(H$63=$E67,H52*$G$62/12*50%,IF(H$63&gt;$E67,0)))</f>
        <v>0</v>
      </c>
      <c r="I67" s="313">
        <f t="shared" si="23"/>
        <v>0</v>
      </c>
      <c r="J67" s="313">
        <f t="shared" si="23"/>
        <v>0</v>
      </c>
      <c r="K67" s="313">
        <f t="shared" si="23"/>
        <v>0</v>
      </c>
      <c r="L67" s="313">
        <f t="shared" si="23"/>
        <v>0</v>
      </c>
      <c r="M67" s="313">
        <f t="shared" si="23"/>
        <v>0</v>
      </c>
      <c r="N67" s="313">
        <f t="shared" si="23"/>
        <v>0</v>
      </c>
      <c r="O67" s="313">
        <f t="shared" si="23"/>
        <v>0</v>
      </c>
      <c r="P67" s="313">
        <f t="shared" si="23"/>
        <v>0</v>
      </c>
      <c r="Q67" s="313">
        <f t="shared" si="23"/>
        <v>0</v>
      </c>
      <c r="R67" s="313">
        <f t="shared" si="23"/>
        <v>0</v>
      </c>
      <c r="S67" s="313">
        <f t="shared" si="23"/>
        <v>0</v>
      </c>
      <c r="T67" s="313">
        <f t="shared" si="23"/>
        <v>0</v>
      </c>
      <c r="U67" s="313">
        <f t="shared" si="23"/>
        <v>0</v>
      </c>
      <c r="V67" s="313">
        <f t="shared" si="23"/>
        <v>0</v>
      </c>
      <c r="W67" s="313">
        <f t="shared" si="23"/>
        <v>0</v>
      </c>
      <c r="X67" s="313">
        <f t="shared" si="23"/>
        <v>0</v>
      </c>
      <c r="Y67" s="313">
        <f t="shared" si="23"/>
        <v>0</v>
      </c>
      <c r="Z67" s="313">
        <f t="shared" si="23"/>
        <v>0</v>
      </c>
      <c r="AA67" s="313">
        <f t="shared" si="23"/>
        <v>0</v>
      </c>
      <c r="AB67" s="313">
        <f t="shared" si="23"/>
        <v>0</v>
      </c>
      <c r="AC67" s="313">
        <f t="shared" si="23"/>
        <v>0</v>
      </c>
      <c r="AD67" s="313">
        <f t="shared" si="23"/>
        <v>0</v>
      </c>
      <c r="AE67" s="313">
        <f t="shared" si="23"/>
        <v>0</v>
      </c>
      <c r="AF67" s="313">
        <f t="shared" si="23"/>
        <v>0</v>
      </c>
      <c r="AG67" s="313">
        <f t="shared" si="23"/>
        <v>0</v>
      </c>
      <c r="AH67" s="313">
        <f t="shared" si="23"/>
        <v>542.66666666666663</v>
      </c>
      <c r="AI67" s="313">
        <f t="shared" si="23"/>
        <v>1630.6771555555558</v>
      </c>
      <c r="AJ67" s="313">
        <f t="shared" si="23"/>
        <v>3662.8216295229631</v>
      </c>
      <c r="AK67" s="313">
        <f t="shared" si="23"/>
        <v>11475.018016228611</v>
      </c>
      <c r="AL67" s="313">
        <f t="shared" si="23"/>
        <v>29090.348105108671</v>
      </c>
      <c r="AM67" s="313">
        <f t="shared" si="23"/>
        <v>41859.247155760546</v>
      </c>
      <c r="AN67" s="313">
        <f t="shared" si="23"/>
        <v>44824.472775062291</v>
      </c>
      <c r="AO67" s="313">
        <f t="shared" si="23"/>
        <v>50270.993507419269</v>
      </c>
      <c r="AP67" s="313">
        <f t="shared" si="23"/>
        <v>59950.499342055868</v>
      </c>
      <c r="AQ67" s="313">
        <f t="shared" si="23"/>
        <v>70535.252755476671</v>
      </c>
      <c r="AR67" s="313">
        <f t="shared" si="23"/>
        <v>79673.604035737037</v>
      </c>
      <c r="AS67" s="313">
        <f t="shared" si="23"/>
        <v>87993.704515646663</v>
      </c>
      <c r="AT67" s="313">
        <f t="shared" si="23"/>
        <v>99068.184157923853</v>
      </c>
      <c r="AU67" s="313">
        <f t="shared" si="23"/>
        <v>115328.29201643627</v>
      </c>
      <c r="AV67" s="313">
        <f t="shared" si="23"/>
        <v>133975.03792371738</v>
      </c>
      <c r="AW67" s="313">
        <f t="shared" si="23"/>
        <v>153897.40691080771</v>
      </c>
      <c r="AX67" s="313">
        <f t="shared" si="23"/>
        <v>0</v>
      </c>
      <c r="AY67" s="313">
        <f t="shared" si="23"/>
        <v>0</v>
      </c>
      <c r="AZ67" s="313">
        <f t="shared" si="23"/>
        <v>0</v>
      </c>
      <c r="BA67" s="313">
        <f t="shared" si="23"/>
        <v>0</v>
      </c>
      <c r="BB67" s="313">
        <f t="shared" si="23"/>
        <v>0</v>
      </c>
      <c r="BC67" s="313">
        <f t="shared" si="23"/>
        <v>0</v>
      </c>
      <c r="BD67" s="315">
        <f t="shared" si="19"/>
        <v>983778.22666912607</v>
      </c>
    </row>
    <row r="68" spans="2:56" ht="15.6">
      <c r="C68" s="192"/>
      <c r="D68" s="192"/>
      <c r="E68" s="602">
        <v>45838</v>
      </c>
      <c r="F68" s="676" t="str">
        <f t="shared" si="20"/>
        <v>LEED Design Costs</v>
      </c>
      <c r="G68" s="491">
        <f t="shared" si="17"/>
        <v>0</v>
      </c>
      <c r="H68" s="313">
        <f t="shared" ref="H68:BC68" si="24">IF(H$63&lt;$E68,H53*$G$62/12,IF(H$63=$E68,H53*$G$62/12*50%,IF(H$63&gt;$E68,0)))</f>
        <v>0</v>
      </c>
      <c r="I68" s="313">
        <f t="shared" si="24"/>
        <v>0</v>
      </c>
      <c r="J68" s="313">
        <f t="shared" si="24"/>
        <v>0</v>
      </c>
      <c r="K68" s="313">
        <f t="shared" si="24"/>
        <v>0</v>
      </c>
      <c r="L68" s="313">
        <f t="shared" si="24"/>
        <v>0</v>
      </c>
      <c r="M68" s="313">
        <f t="shared" si="24"/>
        <v>0</v>
      </c>
      <c r="N68" s="313">
        <f t="shared" si="24"/>
        <v>0</v>
      </c>
      <c r="O68" s="313">
        <f t="shared" si="24"/>
        <v>0</v>
      </c>
      <c r="P68" s="313">
        <f t="shared" si="24"/>
        <v>0</v>
      </c>
      <c r="Q68" s="313">
        <f t="shared" si="24"/>
        <v>0</v>
      </c>
      <c r="R68" s="313">
        <f t="shared" si="24"/>
        <v>0</v>
      </c>
      <c r="S68" s="313">
        <f t="shared" si="24"/>
        <v>0</v>
      </c>
      <c r="T68" s="313">
        <f t="shared" si="24"/>
        <v>0</v>
      </c>
      <c r="U68" s="313">
        <f t="shared" si="24"/>
        <v>0</v>
      </c>
      <c r="V68" s="313">
        <f t="shared" si="24"/>
        <v>0</v>
      </c>
      <c r="W68" s="313">
        <f t="shared" si="24"/>
        <v>0</v>
      </c>
      <c r="X68" s="313">
        <f t="shared" si="24"/>
        <v>0</v>
      </c>
      <c r="Y68" s="313">
        <f t="shared" si="24"/>
        <v>0</v>
      </c>
      <c r="Z68" s="313">
        <f t="shared" si="24"/>
        <v>0</v>
      </c>
      <c r="AA68" s="313">
        <f t="shared" si="24"/>
        <v>0</v>
      </c>
      <c r="AB68" s="313">
        <f t="shared" si="24"/>
        <v>0</v>
      </c>
      <c r="AC68" s="313">
        <f t="shared" si="24"/>
        <v>0</v>
      </c>
      <c r="AD68" s="313">
        <f t="shared" si="24"/>
        <v>0</v>
      </c>
      <c r="AE68" s="313">
        <f t="shared" si="24"/>
        <v>0</v>
      </c>
      <c r="AF68" s="313">
        <f t="shared" si="24"/>
        <v>197.33333333333334</v>
      </c>
      <c r="AG68" s="313">
        <f t="shared" si="24"/>
        <v>592.97351111111118</v>
      </c>
      <c r="AH68" s="313">
        <f t="shared" si="24"/>
        <v>990.56551376592597</v>
      </c>
      <c r="AI68" s="313">
        <f t="shared" si="24"/>
        <v>1390.1189703005048</v>
      </c>
      <c r="AJ68" s="313">
        <f t="shared" si="24"/>
        <v>1791.6435572206537</v>
      </c>
      <c r="AK68" s="313">
        <f t="shared" si="24"/>
        <v>2195.1489987696091</v>
      </c>
      <c r="AL68" s="313">
        <f t="shared" si="24"/>
        <v>2600.6450671635389</v>
      </c>
      <c r="AM68" s="313">
        <f t="shared" si="24"/>
        <v>3008.1415828282129</v>
      </c>
      <c r="AN68" s="313">
        <f t="shared" si="24"/>
        <v>3417.6484146368316</v>
      </c>
      <c r="AO68" s="313">
        <f t="shared" si="24"/>
        <v>3829.1754801490401</v>
      </c>
      <c r="AP68" s="313">
        <f t="shared" si="24"/>
        <v>4242.732745851109</v>
      </c>
      <c r="AQ68" s="313">
        <f t="shared" si="24"/>
        <v>4658.3302273973077</v>
      </c>
      <c r="AR68" s="313">
        <f t="shared" si="24"/>
        <v>5075.9779898524675</v>
      </c>
      <c r="AS68" s="313">
        <f t="shared" si="24"/>
        <v>5495.6861479357403</v>
      </c>
      <c r="AT68" s="313">
        <f t="shared" si="24"/>
        <v>5917.4648662655563</v>
      </c>
      <c r="AU68" s="313">
        <f t="shared" si="24"/>
        <v>6341.3243596057991</v>
      </c>
      <c r="AV68" s="313">
        <f t="shared" si="24"/>
        <v>6767.2748931131873</v>
      </c>
      <c r="AW68" s="313">
        <f t="shared" si="24"/>
        <v>7195.3267825858793</v>
      </c>
      <c r="AX68" s="313">
        <f t="shared" si="24"/>
        <v>0</v>
      </c>
      <c r="AY68" s="313">
        <f t="shared" si="24"/>
        <v>0</v>
      </c>
      <c r="AZ68" s="313">
        <f t="shared" si="24"/>
        <v>0</v>
      </c>
      <c r="BA68" s="313">
        <f t="shared" si="24"/>
        <v>0</v>
      </c>
      <c r="BB68" s="313">
        <f t="shared" si="24"/>
        <v>0</v>
      </c>
      <c r="BC68" s="313">
        <f t="shared" si="24"/>
        <v>0</v>
      </c>
      <c r="BD68" s="315">
        <f t="shared" si="19"/>
        <v>65707.512441885818</v>
      </c>
    </row>
    <row r="69" spans="2:56" ht="15.6">
      <c r="B69" s="192"/>
      <c r="C69" s="192"/>
      <c r="D69" s="192"/>
      <c r="E69" s="602">
        <v>45838</v>
      </c>
      <c r="F69" s="676" t="str">
        <f t="shared" si="20"/>
        <v>Capital Plug</v>
      </c>
      <c r="G69" s="491">
        <f t="shared" si="17"/>
        <v>0</v>
      </c>
      <c r="H69" s="313">
        <f t="shared" ref="H69:BC69" si="25">IF(H$63&lt;$E69,H54*$G$62/12,IF(H$63=$E69,H54*$G$62/12*50%,IF(H$63&gt;$E69,0)))</f>
        <v>0</v>
      </c>
      <c r="I69" s="313">
        <f t="shared" si="25"/>
        <v>0</v>
      </c>
      <c r="J69" s="313">
        <f t="shared" si="25"/>
        <v>0</v>
      </c>
      <c r="K69" s="313">
        <f t="shared" si="25"/>
        <v>0</v>
      </c>
      <c r="L69" s="313">
        <f t="shared" si="25"/>
        <v>0</v>
      </c>
      <c r="M69" s="313">
        <f t="shared" si="25"/>
        <v>0</v>
      </c>
      <c r="N69" s="313">
        <f t="shared" si="25"/>
        <v>0</v>
      </c>
      <c r="O69" s="313">
        <f t="shared" si="25"/>
        <v>0</v>
      </c>
      <c r="P69" s="313">
        <f t="shared" si="25"/>
        <v>357.0509431152559</v>
      </c>
      <c r="Q69" s="313">
        <f t="shared" si="25"/>
        <v>1072.9142806651364</v>
      </c>
      <c r="R69" s="313">
        <f t="shared" si="25"/>
        <v>1792.3092106802626</v>
      </c>
      <c r="S69" s="313">
        <f t="shared" si="25"/>
        <v>2515.2531556834642</v>
      </c>
      <c r="T69" s="313">
        <f t="shared" si="25"/>
        <v>3172.4302925548841</v>
      </c>
      <c r="U69" s="313">
        <f t="shared" si="25"/>
        <v>3763.5161717077394</v>
      </c>
      <c r="V69" s="313">
        <f t="shared" si="25"/>
        <v>4357.5180745310836</v>
      </c>
      <c r="W69" s="313">
        <f t="shared" si="25"/>
        <v>4954.4503867416888</v>
      </c>
      <c r="X69" s="313">
        <f t="shared" si="25"/>
        <v>5554.3275650258656</v>
      </c>
      <c r="Y69" s="313">
        <f t="shared" si="25"/>
        <v>6157.1641373895791</v>
      </c>
      <c r="Z69" s="313">
        <f t="shared" si="25"/>
        <v>6762.9747035102855</v>
      </c>
      <c r="AA69" s="313">
        <f t="shared" si="25"/>
        <v>7371.7739350905222</v>
      </c>
      <c r="AB69" s="313">
        <f t="shared" si="25"/>
        <v>7983.5765762132214</v>
      </c>
      <c r="AC69" s="313">
        <f t="shared" si="25"/>
        <v>8598.3974436987919</v>
      </c>
      <c r="AD69" s="313">
        <f t="shared" si="25"/>
        <v>9216.251427463958</v>
      </c>
      <c r="AE69" s="313">
        <f t="shared" si="25"/>
        <v>9837.1534908823651</v>
      </c>
      <c r="AF69" s="313">
        <f t="shared" si="25"/>
        <v>10620.337643746649</v>
      </c>
      <c r="AG69" s="313">
        <f t="shared" si="25"/>
        <v>11566.604477698073</v>
      </c>
      <c r="AH69" s="313">
        <f t="shared" si="25"/>
        <v>12517.539561363657</v>
      </c>
      <c r="AI69" s="313">
        <f t="shared" si="25"/>
        <v>13473.165924775329</v>
      </c>
      <c r="AJ69" s="313">
        <f t="shared" si="25"/>
        <v>14433.506711579828</v>
      </c>
      <c r="AK69" s="313">
        <f t="shared" si="25"/>
        <v>15398.585179599229</v>
      </c>
      <c r="AL69" s="313">
        <f t="shared" si="25"/>
        <v>16368.424701394193</v>
      </c>
      <c r="AM69" s="313">
        <f t="shared" si="25"/>
        <v>17343.048764830015</v>
      </c>
      <c r="AN69" s="313">
        <f t="shared" si="25"/>
        <v>18322.480973645452</v>
      </c>
      <c r="AO69" s="313">
        <f t="shared" si="25"/>
        <v>19306.745048024375</v>
      </c>
      <c r="AP69" s="313">
        <f t="shared" si="25"/>
        <v>20295.864825170236</v>
      </c>
      <c r="AQ69" s="313">
        <f t="shared" si="25"/>
        <v>21289.86425988335</v>
      </c>
      <c r="AR69" s="313">
        <f t="shared" si="25"/>
        <v>22196.637975137983</v>
      </c>
      <c r="AS69" s="313">
        <f t="shared" si="25"/>
        <v>23015.755657384794</v>
      </c>
      <c r="AT69" s="313">
        <f t="shared" si="25"/>
        <v>23838.91432019736</v>
      </c>
      <c r="AU69" s="313">
        <f t="shared" si="25"/>
        <v>24666.133899079799</v>
      </c>
      <c r="AV69" s="313">
        <f t="shared" si="25"/>
        <v>25497.434427884727</v>
      </c>
      <c r="AW69" s="313">
        <f t="shared" si="25"/>
        <v>26332.836039298429</v>
      </c>
      <c r="AX69" s="313">
        <f t="shared" si="25"/>
        <v>0</v>
      </c>
      <c r="AY69" s="313">
        <f t="shared" si="25"/>
        <v>0</v>
      </c>
      <c r="AZ69" s="313">
        <f t="shared" si="25"/>
        <v>0</v>
      </c>
      <c r="BA69" s="313">
        <f t="shared" si="25"/>
        <v>0</v>
      </c>
      <c r="BB69" s="313">
        <f t="shared" si="25"/>
        <v>0</v>
      </c>
      <c r="BC69" s="313">
        <f t="shared" si="25"/>
        <v>0</v>
      </c>
      <c r="BD69" s="315">
        <f t="shared" si="19"/>
        <v>419950.94218564767</v>
      </c>
    </row>
    <row r="70" spans="2:56" ht="15.6">
      <c r="B70" s="192"/>
      <c r="C70" s="192"/>
      <c r="D70" s="192"/>
      <c r="E70" s="602">
        <v>45627</v>
      </c>
      <c r="F70" s="676" t="str">
        <f t="shared" si="20"/>
        <v>Parking Garage (1,000 Spaces)</v>
      </c>
      <c r="G70" s="491">
        <f t="shared" si="17"/>
        <v>0</v>
      </c>
      <c r="H70" s="313">
        <f t="shared" ref="H70:BC70" si="26">IF(H$63&lt;$E70,H55*$G$62/12,IF(H$63=$E70,H55*$G$62/12*50%,IF(H$63&gt;$E70,0)))</f>
        <v>0</v>
      </c>
      <c r="I70" s="313">
        <f t="shared" si="26"/>
        <v>0</v>
      </c>
      <c r="J70" s="313">
        <f t="shared" si="26"/>
        <v>0</v>
      </c>
      <c r="K70" s="313">
        <f t="shared" si="26"/>
        <v>0</v>
      </c>
      <c r="L70" s="313">
        <f t="shared" si="26"/>
        <v>0</v>
      </c>
      <c r="M70" s="313">
        <f t="shared" si="26"/>
        <v>0</v>
      </c>
      <c r="N70" s="313">
        <f t="shared" si="26"/>
        <v>0</v>
      </c>
      <c r="O70" s="313">
        <f t="shared" si="26"/>
        <v>0</v>
      </c>
      <c r="P70" s="313">
        <f t="shared" si="26"/>
        <v>31.326666666666668</v>
      </c>
      <c r="Q70" s="313">
        <f t="shared" si="26"/>
        <v>94.134544888888897</v>
      </c>
      <c r="R70" s="313">
        <f t="shared" si="26"/>
        <v>125.92560864367408</v>
      </c>
      <c r="S70" s="313">
        <f t="shared" si="26"/>
        <v>126.5468416463162</v>
      </c>
      <c r="T70" s="313">
        <f t="shared" si="26"/>
        <v>3148.2622505095492</v>
      </c>
      <c r="U70" s="313">
        <f t="shared" si="26"/>
        <v>9205.9767220565082</v>
      </c>
      <c r="V70" s="313">
        <f t="shared" si="26"/>
        <v>15293.576740551987</v>
      </c>
      <c r="W70" s="313">
        <f t="shared" si="26"/>
        <v>21411.208919138709</v>
      </c>
      <c r="X70" s="313">
        <f t="shared" si="26"/>
        <v>27559.02141647313</v>
      </c>
      <c r="Y70" s="313">
        <f t="shared" si="26"/>
        <v>33737.163122127728</v>
      </c>
      <c r="Z70" s="313">
        <f t="shared" si="26"/>
        <v>39945.783660196896</v>
      </c>
      <c r="AA70" s="313">
        <f t="shared" si="26"/>
        <v>46185.033392920537</v>
      </c>
      <c r="AB70" s="313">
        <f t="shared" si="26"/>
        <v>52455.063424325614</v>
      </c>
      <c r="AC70" s="313">
        <f t="shared" si="26"/>
        <v>58756.025603885617</v>
      </c>
      <c r="AD70" s="313">
        <f t="shared" si="26"/>
        <v>65088.072530198122</v>
      </c>
      <c r="AE70" s="313">
        <f t="shared" si="26"/>
        <v>71451.35755468042</v>
      </c>
      <c r="AF70" s="313">
        <f t="shared" si="26"/>
        <v>76114.556474172408</v>
      </c>
      <c r="AG70" s="313">
        <f t="shared" si="26"/>
        <v>79069.281375000559</v>
      </c>
      <c r="AH70" s="313">
        <f t="shared" si="26"/>
        <v>82038.582096450555</v>
      </c>
      <c r="AI70" s="313">
        <f t="shared" si="26"/>
        <v>85022.53136812638</v>
      </c>
      <c r="AJ70" s="313">
        <f t="shared" si="26"/>
        <v>88021.201456209121</v>
      </c>
      <c r="AK70" s="313">
        <f t="shared" si="26"/>
        <v>91034.664983393101</v>
      </c>
      <c r="AL70" s="313">
        <f t="shared" si="26"/>
        <v>94062.994930644505</v>
      </c>
      <c r="AM70" s="313">
        <f t="shared" si="26"/>
        <v>97106.26463896902</v>
      </c>
      <c r="AN70" s="313">
        <f t="shared" si="26"/>
        <v>100164.54781118792</v>
      </c>
      <c r="AO70" s="313">
        <f t="shared" si="26"/>
        <v>103237.91851372311</v>
      </c>
      <c r="AP70" s="313">
        <f t="shared" si="26"/>
        <v>106326.45117839082</v>
      </c>
      <c r="AQ70" s="313">
        <f t="shared" si="26"/>
        <v>54715.110302102112</v>
      </c>
      <c r="AR70" s="313">
        <f t="shared" si="26"/>
        <v>0</v>
      </c>
      <c r="AS70" s="313">
        <f t="shared" si="26"/>
        <v>0</v>
      </c>
      <c r="AT70" s="313">
        <f t="shared" si="26"/>
        <v>0</v>
      </c>
      <c r="AU70" s="313">
        <f t="shared" si="26"/>
        <v>0</v>
      </c>
      <c r="AV70" s="313">
        <f t="shared" si="26"/>
        <v>0</v>
      </c>
      <c r="AW70" s="313">
        <f t="shared" si="26"/>
        <v>0</v>
      </c>
      <c r="AX70" s="313">
        <f t="shared" si="26"/>
        <v>0</v>
      </c>
      <c r="AY70" s="313">
        <f t="shared" si="26"/>
        <v>0</v>
      </c>
      <c r="AZ70" s="313">
        <f t="shared" si="26"/>
        <v>0</v>
      </c>
      <c r="BA70" s="313">
        <f t="shared" si="26"/>
        <v>0</v>
      </c>
      <c r="BB70" s="313">
        <f t="shared" si="26"/>
        <v>0</v>
      </c>
      <c r="BC70" s="313">
        <f t="shared" si="26"/>
        <v>0</v>
      </c>
      <c r="BD70" s="315">
        <f t="shared" si="19"/>
        <v>1501528.5841272799</v>
      </c>
    </row>
    <row r="71" spans="2:56" ht="15.6">
      <c r="B71" s="192"/>
      <c r="C71" s="192"/>
      <c r="D71" s="192"/>
      <c r="E71" s="602">
        <v>45627</v>
      </c>
      <c r="F71" s="676" t="str">
        <f t="shared" si="20"/>
        <v>Developer Profit</v>
      </c>
      <c r="G71" s="491">
        <f t="shared" si="17"/>
        <v>0</v>
      </c>
      <c r="H71" s="313">
        <f t="shared" ref="H71:BC71" si="27">IF(H$63&lt;$E71,H56*$G$62/12,IF(H$63=$E71,H56*$G$62/12*50%,IF(H$63&gt;$E71,0)))</f>
        <v>0</v>
      </c>
      <c r="I71" s="313">
        <f t="shared" si="27"/>
        <v>0</v>
      </c>
      <c r="J71" s="313">
        <f t="shared" si="27"/>
        <v>0</v>
      </c>
      <c r="K71" s="313">
        <f t="shared" si="27"/>
        <v>0</v>
      </c>
      <c r="L71" s="313">
        <f t="shared" si="27"/>
        <v>0</v>
      </c>
      <c r="M71" s="313">
        <f t="shared" si="27"/>
        <v>0</v>
      </c>
      <c r="N71" s="313">
        <f t="shared" si="27"/>
        <v>0</v>
      </c>
      <c r="O71" s="313">
        <f t="shared" si="27"/>
        <v>0</v>
      </c>
      <c r="P71" s="313">
        <f t="shared" si="27"/>
        <v>0</v>
      </c>
      <c r="Q71" s="313">
        <f t="shared" si="27"/>
        <v>0</v>
      </c>
      <c r="R71" s="313">
        <f t="shared" si="27"/>
        <v>6211.0370666666668</v>
      </c>
      <c r="S71" s="313">
        <f t="shared" si="27"/>
        <v>13770.751449528891</v>
      </c>
      <c r="T71" s="313">
        <f t="shared" si="27"/>
        <v>18038.676995568789</v>
      </c>
      <c r="U71" s="313">
        <f t="shared" si="27"/>
        <v>23891.576107635814</v>
      </c>
      <c r="V71" s="313">
        <f t="shared" si="27"/>
        <v>28171.398549766818</v>
      </c>
      <c r="W71" s="313">
        <f t="shared" si="27"/>
        <v>30870.382782612334</v>
      </c>
      <c r="X71" s="313">
        <f t="shared" si="27"/>
        <v>33582.682004339891</v>
      </c>
      <c r="Y71" s="313">
        <f t="shared" si="27"/>
        <v>36308.361902227967</v>
      </c>
      <c r="Z71" s="313">
        <f t="shared" si="27"/>
        <v>39047.488487612289</v>
      </c>
      <c r="AA71" s="313">
        <f t="shared" si="27"/>
        <v>41800.128097484514</v>
      </c>
      <c r="AB71" s="313">
        <f t="shared" si="27"/>
        <v>44566.347396098769</v>
      </c>
      <c r="AC71" s="313">
        <f t="shared" si="27"/>
        <v>47346.21337658618</v>
      </c>
      <c r="AD71" s="313">
        <f t="shared" si="27"/>
        <v>50139.793362577337</v>
      </c>
      <c r="AE71" s="313">
        <f t="shared" si="27"/>
        <v>52947.155009832728</v>
      </c>
      <c r="AF71" s="313">
        <f t="shared" si="27"/>
        <v>55257.217885659011</v>
      </c>
      <c r="AG71" s="313">
        <f t="shared" si="27"/>
        <v>57067.5294716727</v>
      </c>
      <c r="AH71" s="313">
        <f t="shared" si="27"/>
        <v>58886.772750399621</v>
      </c>
      <c r="AI71" s="313">
        <f t="shared" si="27"/>
        <v>60714.990962634918</v>
      </c>
      <c r="AJ71" s="313">
        <f t="shared" si="27"/>
        <v>62552.228384717258</v>
      </c>
      <c r="AK71" s="313">
        <f t="shared" si="27"/>
        <v>64398.529511415196</v>
      </c>
      <c r="AL71" s="313">
        <f t="shared" si="27"/>
        <v>66253.939057004856</v>
      </c>
      <c r="AM71" s="313">
        <f t="shared" si="27"/>
        <v>68118.501956352731</v>
      </c>
      <c r="AN71" s="313">
        <f t="shared" si="27"/>
        <v>69992.263366004074</v>
      </c>
      <c r="AO71" s="313">
        <f t="shared" si="27"/>
        <v>71875.268665276366</v>
      </c>
      <c r="AP71" s="313">
        <f t="shared" si="27"/>
        <v>73767.563457358396</v>
      </c>
      <c r="AQ71" s="313">
        <f t="shared" si="27"/>
        <v>37834.596785207345</v>
      </c>
      <c r="AR71" s="313">
        <f t="shared" si="27"/>
        <v>0</v>
      </c>
      <c r="AS71" s="313">
        <f t="shared" si="27"/>
        <v>0</v>
      </c>
      <c r="AT71" s="313">
        <f t="shared" si="27"/>
        <v>0</v>
      </c>
      <c r="AU71" s="313">
        <f t="shared" si="27"/>
        <v>0</v>
      </c>
      <c r="AV71" s="313">
        <f t="shared" si="27"/>
        <v>0</v>
      </c>
      <c r="AW71" s="313">
        <f t="shared" si="27"/>
        <v>0</v>
      </c>
      <c r="AX71" s="313">
        <f t="shared" si="27"/>
        <v>0</v>
      </c>
      <c r="AY71" s="313">
        <f t="shared" si="27"/>
        <v>0</v>
      </c>
      <c r="AZ71" s="313">
        <f t="shared" si="27"/>
        <v>0</v>
      </c>
      <c r="BA71" s="313">
        <f t="shared" si="27"/>
        <v>0</v>
      </c>
      <c r="BB71" s="313">
        <f t="shared" si="27"/>
        <v>0</v>
      </c>
      <c r="BC71" s="313">
        <f t="shared" si="27"/>
        <v>0</v>
      </c>
      <c r="BD71" s="315">
        <f t="shared" si="19"/>
        <v>1213411.3948422414</v>
      </c>
    </row>
    <row r="72" spans="2:56" ht="15.6">
      <c r="B72" s="192"/>
      <c r="C72" s="192"/>
      <c r="D72" s="192"/>
      <c r="E72" s="602">
        <v>45838</v>
      </c>
      <c r="F72" s="676" t="str">
        <f t="shared" si="20"/>
        <v>Interior Construction Costs (less TI Allow)</v>
      </c>
      <c r="G72" s="491">
        <f t="shared" si="17"/>
        <v>0</v>
      </c>
      <c r="H72" s="313">
        <f t="shared" ref="H72:BC72" si="28">IF(H$63&lt;$E72,H57*$G$62/12,IF(H$63=$E72,H57*$G$62/12*50%,IF(H$63&gt;$E72,0)))</f>
        <v>0</v>
      </c>
      <c r="I72" s="313">
        <f t="shared" si="28"/>
        <v>0</v>
      </c>
      <c r="J72" s="313">
        <f t="shared" si="28"/>
        <v>0</v>
      </c>
      <c r="K72" s="313">
        <f t="shared" si="28"/>
        <v>0</v>
      </c>
      <c r="L72" s="313">
        <f t="shared" si="28"/>
        <v>0</v>
      </c>
      <c r="M72" s="313">
        <f t="shared" si="28"/>
        <v>0</v>
      </c>
      <c r="N72" s="313">
        <f t="shared" si="28"/>
        <v>0</v>
      </c>
      <c r="O72" s="313">
        <f t="shared" si="28"/>
        <v>0</v>
      </c>
      <c r="P72" s="313">
        <f t="shared" si="28"/>
        <v>0</v>
      </c>
      <c r="Q72" s="313">
        <f t="shared" si="28"/>
        <v>0</v>
      </c>
      <c r="R72" s="313">
        <f t="shared" si="28"/>
        <v>0</v>
      </c>
      <c r="S72" s="313">
        <f t="shared" si="28"/>
        <v>0</v>
      </c>
      <c r="T72" s="313">
        <f t="shared" si="28"/>
        <v>0</v>
      </c>
      <c r="U72" s="313">
        <f t="shared" si="28"/>
        <v>0</v>
      </c>
      <c r="V72" s="313">
        <f t="shared" si="28"/>
        <v>0</v>
      </c>
      <c r="W72" s="313">
        <f t="shared" si="28"/>
        <v>0</v>
      </c>
      <c r="X72" s="313">
        <f t="shared" si="28"/>
        <v>0</v>
      </c>
      <c r="Y72" s="313">
        <f t="shared" si="28"/>
        <v>0</v>
      </c>
      <c r="Z72" s="313">
        <f t="shared" si="28"/>
        <v>0</v>
      </c>
      <c r="AA72" s="313">
        <f t="shared" si="28"/>
        <v>0</v>
      </c>
      <c r="AB72" s="313">
        <f t="shared" si="28"/>
        <v>0</v>
      </c>
      <c r="AC72" s="313">
        <f t="shared" si="28"/>
        <v>0</v>
      </c>
      <c r="AD72" s="313">
        <f t="shared" si="28"/>
        <v>0</v>
      </c>
      <c r="AE72" s="313">
        <f t="shared" si="28"/>
        <v>0</v>
      </c>
      <c r="AF72" s="313">
        <f t="shared" si="28"/>
        <v>0</v>
      </c>
      <c r="AG72" s="313">
        <f t="shared" si="28"/>
        <v>0</v>
      </c>
      <c r="AH72" s="313">
        <f t="shared" si="28"/>
        <v>0</v>
      </c>
      <c r="AI72" s="313">
        <f t="shared" si="28"/>
        <v>10801.25149889718</v>
      </c>
      <c r="AJ72" s="313">
        <f t="shared" si="28"/>
        <v>30264.534771855586</v>
      </c>
      <c r="AK72" s="313">
        <f t="shared" si="28"/>
        <v>50467.997676730069</v>
      </c>
      <c r="AL72" s="313">
        <f t="shared" si="28"/>
        <v>72497.797665268605</v>
      </c>
      <c r="AM72" s="313">
        <f t="shared" si="28"/>
        <v>95992.944667083924</v>
      </c>
      <c r="AN72" s="313">
        <f t="shared" si="28"/>
        <v>124537.33439410821</v>
      </c>
      <c r="AO72" s="313">
        <f t="shared" si="28"/>
        <v>155689.20977711916</v>
      </c>
      <c r="AP72" s="313">
        <f t="shared" si="28"/>
        <v>189461.43441201965</v>
      </c>
      <c r="AQ72" s="313">
        <f t="shared" si="28"/>
        <v>228333.60202178557</v>
      </c>
      <c r="AR72" s="313">
        <f t="shared" si="28"/>
        <v>267397.53899175971</v>
      </c>
      <c r="AS72" s="313">
        <f t="shared" si="28"/>
        <v>301720.85805078578</v>
      </c>
      <c r="AT72" s="313">
        <f t="shared" si="28"/>
        <v>331280.17215050291</v>
      </c>
      <c r="AU72" s="313">
        <f t="shared" si="28"/>
        <v>356049.75886644539</v>
      </c>
      <c r="AV72" s="313">
        <f t="shared" si="28"/>
        <v>368139.46327685326</v>
      </c>
      <c r="AW72" s="313">
        <f t="shared" si="28"/>
        <v>369955.61796235229</v>
      </c>
      <c r="AX72" s="313">
        <f t="shared" si="28"/>
        <v>0</v>
      </c>
      <c r="AY72" s="313">
        <f t="shared" si="28"/>
        <v>0</v>
      </c>
      <c r="AZ72" s="313">
        <f t="shared" si="28"/>
        <v>0</v>
      </c>
      <c r="BA72" s="313">
        <f t="shared" si="28"/>
        <v>0</v>
      </c>
      <c r="BB72" s="313">
        <f t="shared" si="28"/>
        <v>0</v>
      </c>
      <c r="BC72" s="313">
        <f t="shared" si="28"/>
        <v>0</v>
      </c>
      <c r="BD72" s="315">
        <f t="shared" si="19"/>
        <v>2952589.5161835672</v>
      </c>
    </row>
    <row r="73" spans="2:56" ht="15.6">
      <c r="B73" s="192"/>
      <c r="C73" s="192"/>
      <c r="D73" s="192"/>
      <c r="E73" s="602">
        <v>45838</v>
      </c>
      <c r="F73" s="676" t="str">
        <f t="shared" si="20"/>
        <v>Interior Soft Costs</v>
      </c>
      <c r="G73" s="491">
        <f t="shared" si="17"/>
        <v>0</v>
      </c>
      <c r="H73" s="313">
        <f t="shared" ref="H73:BC73" si="29">IF(H$63&lt;$E73,H58*$G$62/12,IF(H$63=$E73,H58*$G$62/12*50%,IF(H$63&gt;$E73,0)))</f>
        <v>0</v>
      </c>
      <c r="I73" s="313">
        <f t="shared" si="29"/>
        <v>0</v>
      </c>
      <c r="J73" s="313">
        <f t="shared" si="29"/>
        <v>0</v>
      </c>
      <c r="K73" s="313">
        <f t="shared" si="29"/>
        <v>0</v>
      </c>
      <c r="L73" s="313">
        <f t="shared" si="29"/>
        <v>0</v>
      </c>
      <c r="M73" s="313">
        <f t="shared" si="29"/>
        <v>0</v>
      </c>
      <c r="N73" s="313">
        <f t="shared" si="29"/>
        <v>0</v>
      </c>
      <c r="O73" s="313">
        <f t="shared" si="29"/>
        <v>0</v>
      </c>
      <c r="P73" s="313">
        <f t="shared" si="29"/>
        <v>3077.3547500000004</v>
      </c>
      <c r="Q73" s="313">
        <f t="shared" si="29"/>
        <v>6950.1569834333341</v>
      </c>
      <c r="R73" s="313">
        <f t="shared" si="29"/>
        <v>8348.6122245516035</v>
      </c>
      <c r="S73" s="313">
        <f t="shared" si="29"/>
        <v>9557.6025781927256</v>
      </c>
      <c r="T73" s="313">
        <f t="shared" si="29"/>
        <v>10781.595150911809</v>
      </c>
      <c r="U73" s="313">
        <f t="shared" si="29"/>
        <v>12020.663953656307</v>
      </c>
      <c r="V73" s="313">
        <f t="shared" si="29"/>
        <v>13265.845495827678</v>
      </c>
      <c r="W73" s="313">
        <f t="shared" si="29"/>
        <v>14497.436600273764</v>
      </c>
      <c r="X73" s="313">
        <f t="shared" si="29"/>
        <v>15715.370220835111</v>
      </c>
      <c r="Y73" s="313">
        <f t="shared" si="29"/>
        <v>16939.312313924569</v>
      </c>
      <c r="Z73" s="313">
        <f t="shared" si="29"/>
        <v>18169.292521339928</v>
      </c>
      <c r="AA73" s="313">
        <f t="shared" si="29"/>
        <v>19405.340631111871</v>
      </c>
      <c r="AB73" s="313">
        <f t="shared" si="29"/>
        <v>20647.486578225358</v>
      </c>
      <c r="AC73" s="313">
        <f t="shared" si="29"/>
        <v>21895.7604453446</v>
      </c>
      <c r="AD73" s="313">
        <f t="shared" si="29"/>
        <v>23150.192463541636</v>
      </c>
      <c r="AE73" s="313">
        <f t="shared" si="29"/>
        <v>24410.813013028441</v>
      </c>
      <c r="AF73" s="313">
        <f t="shared" si="29"/>
        <v>25678.703423892715</v>
      </c>
      <c r="AG73" s="313">
        <f t="shared" si="29"/>
        <v>26919.366227450588</v>
      </c>
      <c r="AH73" s="313">
        <f t="shared" si="29"/>
        <v>28092.149634172674</v>
      </c>
      <c r="AI73" s="313">
        <f t="shared" si="29"/>
        <v>29231.252105701264</v>
      </c>
      <c r="AJ73" s="313">
        <f t="shared" si="29"/>
        <v>30375.97414942272</v>
      </c>
      <c r="AK73" s="313">
        <f t="shared" si="29"/>
        <v>31649.676821893201</v>
      </c>
      <c r="AL73" s="313">
        <f t="shared" si="29"/>
        <v>33052.996427547878</v>
      </c>
      <c r="AM73" s="313">
        <f t="shared" si="29"/>
        <v>34463.239076590449</v>
      </c>
      <c r="AN73" s="313">
        <f t="shared" si="29"/>
        <v>35880.438922701629</v>
      </c>
      <c r="AO73" s="313">
        <f t="shared" si="29"/>
        <v>37265.163621386957</v>
      </c>
      <c r="AP73" s="313">
        <f t="shared" si="29"/>
        <v>38617.252961919126</v>
      </c>
      <c r="AQ73" s="313">
        <f t="shared" si="29"/>
        <v>39976.0126098646</v>
      </c>
      <c r="AR73" s="313">
        <f t="shared" si="29"/>
        <v>41341.475472073267</v>
      </c>
      <c r="AS73" s="313">
        <f t="shared" si="29"/>
        <v>42775.341284402159</v>
      </c>
      <c r="AT73" s="313">
        <f t="shared" si="29"/>
        <v>44277.947501405208</v>
      </c>
      <c r="AU73" s="313">
        <f t="shared" si="29"/>
        <v>45738.154709078808</v>
      </c>
      <c r="AV73" s="313">
        <f t="shared" si="29"/>
        <v>46793.304205643595</v>
      </c>
      <c r="AW73" s="313">
        <f t="shared" si="29"/>
        <v>47319.347039724766</v>
      </c>
      <c r="AX73" s="313">
        <f t="shared" si="29"/>
        <v>0</v>
      </c>
      <c r="AY73" s="313">
        <f t="shared" si="29"/>
        <v>0</v>
      </c>
      <c r="AZ73" s="313">
        <f t="shared" si="29"/>
        <v>0</v>
      </c>
      <c r="BA73" s="313">
        <f t="shared" si="29"/>
        <v>0</v>
      </c>
      <c r="BB73" s="313">
        <f t="shared" si="29"/>
        <v>0</v>
      </c>
      <c r="BC73" s="313">
        <f t="shared" si="29"/>
        <v>0</v>
      </c>
      <c r="BD73" s="315">
        <f t="shared" si="19"/>
        <v>898280.63211907062</v>
      </c>
    </row>
    <row r="74" spans="2:56" ht="16.2" thickBot="1">
      <c r="B74" s="192"/>
      <c r="C74" s="192"/>
      <c r="D74" s="192"/>
      <c r="E74" s="192"/>
      <c r="F74" s="192"/>
      <c r="G74" s="601">
        <f t="shared" ref="G74:AL74" si="30">SUM(G64:G73)</f>
        <v>0</v>
      </c>
      <c r="H74" s="599">
        <f t="shared" si="30"/>
        <v>0</v>
      </c>
      <c r="I74" s="599">
        <f t="shared" si="30"/>
        <v>0</v>
      </c>
      <c r="J74" s="599">
        <f t="shared" si="30"/>
        <v>0</v>
      </c>
      <c r="K74" s="599">
        <f t="shared" si="30"/>
        <v>0</v>
      </c>
      <c r="L74" s="599">
        <f t="shared" si="30"/>
        <v>0</v>
      </c>
      <c r="M74" s="599">
        <f t="shared" si="30"/>
        <v>0</v>
      </c>
      <c r="N74" s="599">
        <f t="shared" si="30"/>
        <v>0</v>
      </c>
      <c r="O74" s="599">
        <f t="shared" si="30"/>
        <v>0</v>
      </c>
      <c r="P74" s="599">
        <f t="shared" si="30"/>
        <v>9625.1124931152553</v>
      </c>
      <c r="Q74" s="599">
        <f t="shared" si="30"/>
        <v>21780.927817645137</v>
      </c>
      <c r="R74" s="599">
        <f t="shared" si="30"/>
        <v>79902.034014442703</v>
      </c>
      <c r="S74" s="599">
        <f t="shared" si="30"/>
        <v>140793.37020181111</v>
      </c>
      <c r="T74" s="599">
        <f t="shared" si="30"/>
        <v>162431.106758999</v>
      </c>
      <c r="U74" s="599">
        <f t="shared" si="30"/>
        <v>195185.30921827519</v>
      </c>
      <c r="V74" s="599">
        <f t="shared" si="30"/>
        <v>226499.14716679492</v>
      </c>
      <c r="W74" s="599">
        <f t="shared" si="30"/>
        <v>256345.78138252738</v>
      </c>
      <c r="X74" s="599">
        <f t="shared" si="30"/>
        <v>286319.9256603907</v>
      </c>
      <c r="Y74" s="599">
        <f t="shared" si="30"/>
        <v>316441.94238335826</v>
      </c>
      <c r="Z74" s="599">
        <f t="shared" si="30"/>
        <v>346712.56105549238</v>
      </c>
      <c r="AA74" s="599">
        <f t="shared" si="30"/>
        <v>377132.51477974252</v>
      </c>
      <c r="AB74" s="599">
        <f t="shared" si="30"/>
        <v>407702.54027569876</v>
      </c>
      <c r="AC74" s="599">
        <f t="shared" si="30"/>
        <v>438423.37789743522</v>
      </c>
      <c r="AD74" s="599">
        <f t="shared" si="30"/>
        <v>469295.77165143879</v>
      </c>
      <c r="AE74" s="599">
        <f t="shared" si="30"/>
        <v>500320.4692146288</v>
      </c>
      <c r="AF74" s="599">
        <f t="shared" si="30"/>
        <v>526578.70930839679</v>
      </c>
      <c r="AG74" s="599">
        <f t="shared" si="30"/>
        <v>548012.44222589384</v>
      </c>
      <c r="AH74" s="599">
        <f t="shared" si="30"/>
        <v>570020.5797091173</v>
      </c>
      <c r="AI74" s="599">
        <f t="shared" si="30"/>
        <v>603441.74216948845</v>
      </c>
      <c r="AJ74" s="599">
        <f t="shared" si="30"/>
        <v>646575.29443133052</v>
      </c>
      <c r="AK74" s="599">
        <f t="shared" si="30"/>
        <v>696459.15965210076</v>
      </c>
      <c r="AL74" s="599">
        <f t="shared" si="30"/>
        <v>758203.71214129345</v>
      </c>
      <c r="AM74" s="599">
        <f t="shared" ref="AM74:BD74" si="31">SUM(AM64:AM73)</f>
        <v>816676.20442276611</v>
      </c>
      <c r="AN74" s="599">
        <f t="shared" si="31"/>
        <v>870503.82766616065</v>
      </c>
      <c r="AO74" s="599">
        <f t="shared" si="31"/>
        <v>929490.86718422268</v>
      </c>
      <c r="AP74" s="599">
        <f t="shared" si="31"/>
        <v>995402.2250305739</v>
      </c>
      <c r="AQ74" s="599">
        <f t="shared" si="31"/>
        <v>716096.41446668725</v>
      </c>
      <c r="AR74" s="599">
        <f t="shared" si="31"/>
        <v>415685.23446456046</v>
      </c>
      <c r="AS74" s="599">
        <f t="shared" si="31"/>
        <v>461001.34565615514</v>
      </c>
      <c r="AT74" s="599">
        <f t="shared" si="31"/>
        <v>504382.68299629487</v>
      </c>
      <c r="AU74" s="599">
        <f t="shared" si="31"/>
        <v>548123.66385064612</v>
      </c>
      <c r="AV74" s="599">
        <f t="shared" si="31"/>
        <v>581172.51472721214</v>
      </c>
      <c r="AW74" s="599">
        <f t="shared" si="31"/>
        <v>604700.53473476914</v>
      </c>
      <c r="AX74" s="599">
        <f t="shared" si="31"/>
        <v>0</v>
      </c>
      <c r="AY74" s="599">
        <f t="shared" si="31"/>
        <v>0</v>
      </c>
      <c r="AZ74" s="599">
        <f t="shared" si="31"/>
        <v>0</v>
      </c>
      <c r="BA74" s="599">
        <f t="shared" si="31"/>
        <v>0</v>
      </c>
      <c r="BB74" s="599">
        <f t="shared" si="31"/>
        <v>0</v>
      </c>
      <c r="BC74" s="599">
        <f t="shared" si="31"/>
        <v>0</v>
      </c>
      <c r="BD74" s="599">
        <f t="shared" si="31"/>
        <v>16027439.046809465</v>
      </c>
    </row>
    <row r="75" spans="2:56" ht="16.2" thickTop="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row>
    <row r="76" spans="2:56" ht="15.6">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row>
    <row r="77" spans="2:56" ht="15.6">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row>
    <row r="78" spans="2:56" ht="15.6">
      <c r="B78" s="192"/>
      <c r="C78" s="192"/>
      <c r="D78" s="192"/>
      <c r="E78" s="192"/>
      <c r="F78" s="600" t="s">
        <v>378</v>
      </c>
      <c r="G78" s="310">
        <v>2021</v>
      </c>
      <c r="H78" s="310">
        <v>2022</v>
      </c>
      <c r="I78" s="310">
        <v>2023</v>
      </c>
      <c r="J78" s="310">
        <v>2024</v>
      </c>
      <c r="K78" s="310">
        <v>2025</v>
      </c>
      <c r="L78" s="310" t="s">
        <v>191</v>
      </c>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row>
    <row r="79" spans="2:56" ht="15.6">
      <c r="B79" s="192"/>
      <c r="C79" s="192"/>
      <c r="D79" s="192"/>
      <c r="E79" s="192"/>
      <c r="F79" s="675" t="str">
        <f>+F5</f>
        <v>Land Assumption</v>
      </c>
      <c r="G79" s="192"/>
      <c r="H79" s="313">
        <f t="shared" ref="H79:H88" si="32">SUM(H64:S64)</f>
        <v>89618.124216582306</v>
      </c>
      <c r="I79" s="313">
        <f t="shared" ref="I79:I88" si="33">SUM(T64:AE64)</f>
        <v>732785.91150367598</v>
      </c>
      <c r="J79" s="313">
        <f t="shared" ref="J79:J88" si="34">SUM(AF64:AQ64)</f>
        <v>744089.47189670859</v>
      </c>
      <c r="K79" s="313">
        <f t="shared" ref="K79:K88" si="35">SUM(AR64:BC64)</f>
        <v>0</v>
      </c>
      <c r="L79" s="315">
        <f t="shared" ref="L79:L88" si="36">SUM(G79:K79)</f>
        <v>1566493.507616967</v>
      </c>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row>
    <row r="80" spans="2:56" ht="15.6">
      <c r="B80" s="192"/>
      <c r="C80" s="192"/>
      <c r="D80" s="192"/>
      <c r="E80" s="192"/>
      <c r="F80" s="675" t="str">
        <f t="shared" ref="F80:F88" si="37">+F6</f>
        <v>Hard Costs</v>
      </c>
      <c r="G80" s="192"/>
      <c r="H80" s="313">
        <f t="shared" si="32"/>
        <v>57166.865960998439</v>
      </c>
      <c r="I80" s="313">
        <f t="shared" si="33"/>
        <v>1806391.0915419895</v>
      </c>
      <c r="J80" s="313">
        <f t="shared" si="34"/>
        <v>3897199.396136391</v>
      </c>
      <c r="K80" s="313">
        <f t="shared" si="35"/>
        <v>0</v>
      </c>
      <c r="L80" s="315">
        <f t="shared" si="36"/>
        <v>5760757.3536393791</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row>
    <row r="81" spans="2:56" ht="15.6">
      <c r="B81" s="192"/>
      <c r="C81" s="192"/>
      <c r="D81" s="192"/>
      <c r="E81" s="192"/>
      <c r="F81" s="675" t="str">
        <f t="shared" si="37"/>
        <v>Soft Costs (excluding Int. Carry &amp; Debt/Equity Fees)</v>
      </c>
      <c r="G81" s="192"/>
      <c r="H81" s="313">
        <f t="shared" si="32"/>
        <v>51285.478045070602</v>
      </c>
      <c r="I81" s="313">
        <f t="shared" si="33"/>
        <v>264058.05139687721</v>
      </c>
      <c r="J81" s="313">
        <f t="shared" si="34"/>
        <v>349597.84754235338</v>
      </c>
      <c r="K81" s="313">
        <f t="shared" si="35"/>
        <v>0</v>
      </c>
      <c r="L81" s="315">
        <f t="shared" si="36"/>
        <v>664941.37698430126</v>
      </c>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row>
    <row r="82" spans="2:56" ht="15.6">
      <c r="B82" s="192"/>
      <c r="C82" s="192"/>
      <c r="D82" s="192"/>
      <c r="E82" s="192"/>
      <c r="F82" s="675" t="str">
        <f t="shared" si="37"/>
        <v>FFE (pruely building &amp; Interior design)</v>
      </c>
      <c r="G82" s="192"/>
      <c r="H82" s="313">
        <f t="shared" si="32"/>
        <v>0</v>
      </c>
      <c r="I82" s="313">
        <f t="shared" si="33"/>
        <v>0</v>
      </c>
      <c r="J82" s="313">
        <f t="shared" si="34"/>
        <v>313841.99710885715</v>
      </c>
      <c r="K82" s="313">
        <f t="shared" si="35"/>
        <v>669936.22956026893</v>
      </c>
      <c r="L82" s="315">
        <f t="shared" si="36"/>
        <v>983778.22666912607</v>
      </c>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row>
    <row r="83" spans="2:56" ht="15.6">
      <c r="B83" s="192"/>
      <c r="C83" s="192"/>
      <c r="D83" s="192"/>
      <c r="E83" s="192"/>
      <c r="F83" s="675" t="str">
        <f t="shared" si="37"/>
        <v>LEED Design Costs</v>
      </c>
      <c r="G83" s="192"/>
      <c r="H83" s="313">
        <f t="shared" si="32"/>
        <v>0</v>
      </c>
      <c r="I83" s="313">
        <f t="shared" si="33"/>
        <v>0</v>
      </c>
      <c r="J83" s="313">
        <f t="shared" si="34"/>
        <v>28914.45740252718</v>
      </c>
      <c r="K83" s="313">
        <f t="shared" si="35"/>
        <v>36793.055039358631</v>
      </c>
      <c r="L83" s="315">
        <f t="shared" si="36"/>
        <v>65707.512441885803</v>
      </c>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row>
    <row r="84" spans="2:56" ht="15.6">
      <c r="B84" s="192"/>
      <c r="C84" s="192"/>
      <c r="D84" s="192"/>
      <c r="E84" s="192"/>
      <c r="F84" s="675" t="str">
        <f t="shared" si="37"/>
        <v>Capital Plug</v>
      </c>
      <c r="G84" s="192"/>
      <c r="H84" s="313">
        <f t="shared" si="32"/>
        <v>5737.5275901441191</v>
      </c>
      <c r="I84" s="313">
        <f t="shared" si="33"/>
        <v>77729.534204809985</v>
      </c>
      <c r="J84" s="313">
        <f t="shared" si="34"/>
        <v>190936.16807171039</v>
      </c>
      <c r="K84" s="313">
        <f t="shared" si="35"/>
        <v>145547.71231898307</v>
      </c>
      <c r="L84" s="315">
        <f t="shared" si="36"/>
        <v>419950.94218564755</v>
      </c>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row>
    <row r="85" spans="2:56" ht="15.6">
      <c r="B85" s="192"/>
      <c r="C85" s="192"/>
      <c r="D85" s="192"/>
      <c r="E85" s="192"/>
      <c r="F85" s="675" t="str">
        <f t="shared" si="37"/>
        <v>Parking Garage (1,000 Spaces)</v>
      </c>
      <c r="G85" s="192"/>
      <c r="H85" s="313">
        <f t="shared" si="32"/>
        <v>377.93366184554583</v>
      </c>
      <c r="I85" s="313">
        <f t="shared" si="33"/>
        <v>444236.54533706489</v>
      </c>
      <c r="J85" s="313">
        <f t="shared" si="34"/>
        <v>1056914.1051283695</v>
      </c>
      <c r="K85" s="313">
        <f t="shared" si="35"/>
        <v>0</v>
      </c>
      <c r="L85" s="315">
        <f t="shared" si="36"/>
        <v>1501528.5841272799</v>
      </c>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row>
    <row r="86" spans="2:56" ht="15.6">
      <c r="B86" s="192"/>
      <c r="C86" s="192"/>
      <c r="D86" s="192"/>
      <c r="E86" s="192"/>
      <c r="F86" s="675" t="str">
        <f t="shared" si="37"/>
        <v>Developer Profit</v>
      </c>
      <c r="G86" s="192"/>
      <c r="H86" s="313">
        <f t="shared" si="32"/>
        <v>19981.788516195556</v>
      </c>
      <c r="I86" s="313">
        <f t="shared" si="33"/>
        <v>446710.20407234342</v>
      </c>
      <c r="J86" s="313">
        <f t="shared" si="34"/>
        <v>746719.40225370252</v>
      </c>
      <c r="K86" s="313">
        <f t="shared" si="35"/>
        <v>0</v>
      </c>
      <c r="L86" s="315">
        <f t="shared" si="36"/>
        <v>1213411.3948422414</v>
      </c>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row>
    <row r="87" spans="2:56" ht="15.6">
      <c r="B87" s="192"/>
      <c r="C87" s="192"/>
      <c r="D87" s="192"/>
      <c r="E87" s="192"/>
      <c r="F87" s="675" t="str">
        <f t="shared" si="37"/>
        <v>Interior Construction Costs (less TI Allow)</v>
      </c>
      <c r="G87" s="192"/>
      <c r="H87" s="313">
        <f t="shared" si="32"/>
        <v>0</v>
      </c>
      <c r="I87" s="313">
        <f t="shared" si="33"/>
        <v>0</v>
      </c>
      <c r="J87" s="313">
        <f t="shared" si="34"/>
        <v>958046.106884868</v>
      </c>
      <c r="K87" s="313">
        <f t="shared" si="35"/>
        <v>1994543.4092986993</v>
      </c>
      <c r="L87" s="315">
        <f t="shared" si="36"/>
        <v>2952589.5161835672</v>
      </c>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row>
    <row r="88" spans="2:56" ht="15.6">
      <c r="B88" s="192"/>
      <c r="C88" s="192"/>
      <c r="D88" s="192"/>
      <c r="E88" s="192"/>
      <c r="F88" s="675" t="str">
        <f t="shared" si="37"/>
        <v>Interior Soft Costs</v>
      </c>
      <c r="G88" s="192"/>
      <c r="H88" s="313">
        <f t="shared" si="32"/>
        <v>27933.726536177659</v>
      </c>
      <c r="I88" s="313">
        <f t="shared" si="33"/>
        <v>210899.10938802108</v>
      </c>
      <c r="J88" s="313">
        <f t="shared" si="34"/>
        <v>391202.22598254384</v>
      </c>
      <c r="K88" s="313">
        <f t="shared" si="35"/>
        <v>268245.57021232782</v>
      </c>
      <c r="L88" s="315">
        <f t="shared" si="36"/>
        <v>898280.63211907051</v>
      </c>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row>
    <row r="89" spans="2:56" ht="16.2" thickBot="1">
      <c r="B89" s="192"/>
      <c r="C89" s="192"/>
      <c r="D89" s="192"/>
      <c r="E89" s="192"/>
      <c r="F89" s="192"/>
      <c r="G89" s="599">
        <f t="shared" ref="G89:L89" si="38">SUM(G79:G88)</f>
        <v>0</v>
      </c>
      <c r="H89" s="599">
        <f t="shared" si="38"/>
        <v>252101.44452701419</v>
      </c>
      <c r="I89" s="599">
        <f t="shared" si="38"/>
        <v>3982810.4474447821</v>
      </c>
      <c r="J89" s="599">
        <f t="shared" si="38"/>
        <v>8677461.1784080304</v>
      </c>
      <c r="K89" s="599">
        <f t="shared" si="38"/>
        <v>3115065.976429638</v>
      </c>
      <c r="L89" s="599">
        <f t="shared" si="38"/>
        <v>16027439.046809465</v>
      </c>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row>
    <row r="90" spans="2:56" ht="16.2" thickTop="1">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row>
    <row r="91" spans="2:56" ht="15.6">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row>
    <row r="92" spans="2:56" ht="15.6">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row>
    <row r="93" spans="2:56" ht="15.6">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row>
    <row r="94" spans="2:56" ht="15.6">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row>
    <row r="95" spans="2:56" ht="15.6">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row>
    <row r="96" spans="2:56" ht="15.6">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row>
    <row r="97" spans="2:56" ht="15.6">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row>
    <row r="98" spans="2:56" ht="15.6">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row>
    <row r="99" spans="2:56" ht="15.6">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row>
    <row r="100" spans="2:56" ht="15.6">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row>
    <row r="101" spans="2:56" ht="15.6">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row>
    <row r="102" spans="2:56" ht="15.6">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row>
    <row r="103" spans="2:56" ht="15.6">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row>
    <row r="104" spans="2:56" ht="15.6">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row>
    <row r="105" spans="2:56" ht="15.6">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row>
    <row r="106" spans="2:56" ht="15.6">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row>
    <row r="107" spans="2:56" ht="15.6">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row>
    <row r="108" spans="2:56" ht="15.6">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row>
    <row r="109" spans="2:56" ht="15.6">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row>
    <row r="110" spans="2:56" ht="15.6">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row>
    <row r="111" spans="2:56" ht="15.6">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row>
    <row r="112" spans="2:56" ht="15.6">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row>
    <row r="113" spans="2:56" ht="15.6">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row>
    <row r="114" spans="2:56" ht="15.6">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row>
    <row r="115" spans="2:56" ht="15.6">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row>
    <row r="116" spans="2:56" ht="15.6">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row>
    <row r="117" spans="2:56" ht="15.6">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row>
    <row r="118" spans="2:56" ht="15.6">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row>
    <row r="119" spans="2:56" ht="15.6">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row>
    <row r="120" spans="2:56" ht="15.6">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row>
    <row r="121" spans="2:56" ht="15.6">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row>
    <row r="122" spans="2:56" ht="15.6">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row>
    <row r="123" spans="2:56" ht="15.6">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row>
    <row r="124" spans="2:56" ht="15.6">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row>
    <row r="125" spans="2:56" ht="15.6">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row>
    <row r="126" spans="2:56" ht="15.6">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row>
    <row r="127" spans="2:56" ht="15.6">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row>
    <row r="128" spans="2:56" ht="15.6">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row>
    <row r="129" spans="2:56" ht="15.6">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row>
    <row r="130" spans="2:56" ht="15.6">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row>
    <row r="131" spans="2:56" ht="15.6">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row>
    <row r="132" spans="2:56" ht="15.6">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row>
    <row r="133" spans="2:56" ht="15.6">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row>
    <row r="134" spans="2:56" ht="15.6">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row>
    <row r="135" spans="2:56" ht="15.6">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row>
    <row r="136" spans="2:56" ht="15.6">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row>
    <row r="137" spans="2:56" ht="15.6">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row>
    <row r="138" spans="2:56" ht="15.6">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row>
    <row r="139" spans="2:56" ht="15.6">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row>
    <row r="140" spans="2:56" ht="15.6">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row>
    <row r="141" spans="2:56" ht="15.6">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row>
    <row r="142" spans="2:56" ht="15.6">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row>
    <row r="143" spans="2:56" ht="15.6">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row>
    <row r="144" spans="2:56" ht="15.6">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row>
    <row r="145" spans="2:56" ht="15.6">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row>
    <row r="146" spans="2:56" ht="15.6">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row>
    <row r="147" spans="2:56" ht="15.6">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row>
    <row r="148" spans="2:56" ht="15.6">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row>
    <row r="149" spans="2:56" ht="15.6">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row>
    <row r="150" spans="2:56" ht="15.6">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row>
    <row r="151" spans="2:56" ht="15.6">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row>
    <row r="152" spans="2:56" ht="15.6">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row>
    <row r="153" spans="2:56" ht="15.6">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row>
    <row r="154" spans="2:56" ht="15.6">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row>
    <row r="155" spans="2:56" ht="15.6">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row>
    <row r="156" spans="2:56" ht="15.6">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row>
    <row r="157" spans="2:56" ht="15.6">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row>
    <row r="158" spans="2:56" ht="15.6">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row>
    <row r="159" spans="2:56" ht="15.6">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row>
    <row r="160" spans="2:56" ht="15.6">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row>
    <row r="161" spans="2:56" ht="15.6">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row>
    <row r="162" spans="2:56" ht="15.6">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row>
    <row r="163" spans="2:56" ht="15.6">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row>
    <row r="164" spans="2:56" ht="15.6">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row>
    <row r="165" spans="2:56" ht="15.6">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row>
    <row r="166" spans="2:56" ht="15.6">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row>
    <row r="167" spans="2:56" ht="15.6">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row>
    <row r="168" spans="2:56" ht="15.6">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row>
    <row r="169" spans="2:56" ht="15.6">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row>
    <row r="170" spans="2:56" ht="15.6">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row>
    <row r="171" spans="2:56" ht="15.6">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row>
    <row r="172" spans="2:56" ht="15.6">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row>
    <row r="173" spans="2:56" ht="15.6">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row>
    <row r="174" spans="2:56" ht="15.6">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row>
    <row r="175" spans="2:56" ht="15.6">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row>
    <row r="176" spans="2:56" ht="15.6">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row>
    <row r="177" spans="2:56" ht="15.6">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row>
    <row r="178" spans="2:56" ht="15.6">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row>
    <row r="179" spans="2:56" ht="15.6">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row>
    <row r="180" spans="2:56" ht="15.6">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row>
    <row r="181" spans="2:56" ht="15.6">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row>
    <row r="182" spans="2:56" ht="15.6">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row>
    <row r="183" spans="2:56" ht="15.6">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row>
    <row r="184" spans="2:56" ht="15.6">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row>
    <row r="185" spans="2:56" ht="15.6">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row>
    <row r="186" spans="2:56" ht="15.6">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row>
    <row r="187" spans="2:56" ht="15.6">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
  <sheetViews>
    <sheetView workbookViewId="0">
      <selection activeCell="B6" sqref="B6"/>
    </sheetView>
  </sheetViews>
  <sheetFormatPr defaultRowHeight="1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25C4885EF66B48AAFD9E4A9CC8BF5E" ma:contentTypeVersion="4" ma:contentTypeDescription="Create a new document." ma:contentTypeScope="" ma:versionID="f75be072b016438776b4d2c94cc809dc">
  <xsd:schema xmlns:xsd="http://www.w3.org/2001/XMLSchema" xmlns:xs="http://www.w3.org/2001/XMLSchema" xmlns:p="http://schemas.microsoft.com/office/2006/metadata/properties" xmlns:ns2="6c16c6fc-c4e8-4518-9db1-1a3dadac20d5" targetNamespace="http://schemas.microsoft.com/office/2006/metadata/properties" ma:root="true" ma:fieldsID="39712d36c8343be37a8b7a02ff70dcb6" ns2:_="">
    <xsd:import namespace="6c16c6fc-c4e8-4518-9db1-1a3dadac20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6c6fc-c4e8-4518-9db1-1a3dadac20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6C3886-C089-442C-AB39-43B67D39B8B6}">
  <ds:schemaRefs>
    <ds:schemaRef ds:uri="http://schemas.microsoft.com/sharepoint/v3/contenttype/forms"/>
  </ds:schemaRefs>
</ds:datastoreItem>
</file>

<file path=customXml/itemProps2.xml><?xml version="1.0" encoding="utf-8"?>
<ds:datastoreItem xmlns:ds="http://schemas.openxmlformats.org/officeDocument/2006/customXml" ds:itemID="{6B95CF8E-CD45-42E8-8210-6C856141C12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6c16c6fc-c4e8-4518-9db1-1a3dadac20d5"/>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98999B4-6985-4895-B881-A2A68BD6C8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6c6fc-c4e8-4518-9db1-1a3dadac20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vt:i4>
      </vt:variant>
    </vt:vector>
  </HeadingPairs>
  <TitlesOfParts>
    <vt:vector size="34" baseType="lpstr">
      <vt:lpstr>Instructions</vt:lpstr>
      <vt:lpstr>Input Data</vt:lpstr>
      <vt:lpstr>Results</vt:lpstr>
      <vt:lpstr>Financials</vt:lpstr>
      <vt:lpstr>Assumptions ---&gt;</vt:lpstr>
      <vt:lpstr>Assumption Support</vt:lpstr>
      <vt:lpstr>Capital Costs</vt:lpstr>
      <vt:lpstr>Monthly Capex AFUDC Calcs</vt:lpstr>
      <vt:lpstr>CAPEX ---&gt;</vt:lpstr>
      <vt:lpstr>Capex</vt:lpstr>
      <vt:lpstr>DEPRECIATION ---&gt;</vt:lpstr>
      <vt:lpstr>Book</vt:lpstr>
      <vt:lpstr>Tax</vt:lpstr>
      <vt:lpstr>OTHER EXPENSES ---&gt;</vt:lpstr>
      <vt:lpstr>O&amp;M</vt:lpstr>
      <vt:lpstr>Property Tax</vt:lpstr>
      <vt:lpstr>REVENUE REQUIREMENT ---&gt;</vt:lpstr>
      <vt:lpstr>Rev Req</vt:lpstr>
      <vt:lpstr>LFCR ---&gt;</vt:lpstr>
      <vt:lpstr>LFCR</vt:lpstr>
      <vt:lpstr>BILL IMPACT ---&gt;</vt:lpstr>
      <vt:lpstr>Residential Bill Impact</vt:lpstr>
      <vt:lpstr>Debt.calc</vt:lpstr>
      <vt:lpstr>Debt.paste</vt:lpstr>
      <vt:lpstr>Equity.calc</vt:lpstr>
      <vt:lpstr>Equity.paste</vt:lpstr>
      <vt:lpstr>'Capital Costs'!Print_Area</vt:lpstr>
      <vt:lpstr>Financials!Print_Area</vt:lpstr>
      <vt:lpstr>'Input Data'!Print_Area</vt:lpstr>
      <vt:lpstr>LFCR!Print_Area</vt:lpstr>
      <vt:lpstr>'Residential Bill Impact'!Print_Area</vt:lpstr>
      <vt:lpstr>Results!Print_Area</vt:lpstr>
      <vt:lpstr>Financials!Print_Titles</vt:lpstr>
      <vt:lpstr>Results!Print_Titles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2024-05-10T15:02:16Z</dcterms:created>
  <dcterms:modified xsi:type="dcterms:W3CDTF">2024-08-16T17:20:40Z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3f872e-d8d7-43ac-9961-0f2ad31e50e5_Enabled">
    <vt:lpwstr>true</vt:lpwstr>
  </property>
  <property fmtid="{D5CDD505-2E9C-101B-9397-08002B2CF9AE}" pid="3" name="MSIP_Label_a83f872e-d8d7-43ac-9961-0f2ad31e50e5_SetDate">
    <vt:lpwstr>2024-05-10T15:02:16Z</vt:lpwstr>
  </property>
  <property fmtid="{D5CDD505-2E9C-101B-9397-08002B2CF9AE}" pid="4" name="MSIP_Label_a83f872e-d8d7-43ac-9961-0f2ad31e50e5_Method">
    <vt:lpwstr>Standard</vt:lpwstr>
  </property>
  <property fmtid="{D5CDD505-2E9C-101B-9397-08002B2CF9AE}" pid="5" name="MSIP_Label_a83f872e-d8d7-43ac-9961-0f2ad31e50e5_Name">
    <vt:lpwstr>a83f872e-d8d7-43ac-9961-0f2ad31e50e5</vt:lpwstr>
  </property>
  <property fmtid="{D5CDD505-2E9C-101B-9397-08002B2CF9AE}" pid="6" name="MSIP_Label_a83f872e-d8d7-43ac-9961-0f2ad31e50e5_SiteId">
    <vt:lpwstr>fa8c194a-f8e2-43c5-bc39-b637579e39e0</vt:lpwstr>
  </property>
  <property fmtid="{D5CDD505-2E9C-101B-9397-08002B2CF9AE}" pid="7" name="MSIP_Label_a83f872e-d8d7-43ac-9961-0f2ad31e50e5_ActionId">
    <vt:lpwstr>8c7373d5-5cf1-4b1a-8684-62d4d3ee9275</vt:lpwstr>
  </property>
  <property fmtid="{D5CDD505-2E9C-101B-9397-08002B2CF9AE}" pid="8" name="MSIP_Label_a83f872e-d8d7-43ac-9961-0f2ad31e50e5_ContentBits">
    <vt:lpwstr>0</vt:lpwstr>
  </property>
  <property fmtid="{D5CDD505-2E9C-101B-9397-08002B2CF9AE}" pid="9" name="SV_QUERY_LIST_4F35BF76-6C0D-4D9B-82B2-816C12CF3733">
    <vt:lpwstr>empty_477D106A-C0D6-4607-AEBD-E2C9D60EA279</vt:lpwstr>
  </property>
  <property fmtid="{D5CDD505-2E9C-101B-9397-08002B2CF9AE}" pid="10" name="MediaServiceImageTags">
    <vt:lpwstr/>
  </property>
  <property fmtid="{D5CDD505-2E9C-101B-9397-08002B2CF9AE}" pid="11" name="ContentTypeId">
    <vt:lpwstr>0x0101000C25C4885EF66B48AAFD9E4A9CC8BF5E</vt:lpwstr>
  </property>
  <property fmtid="{D5CDD505-2E9C-101B-9397-08002B2CF9AE}" pid="12" name="SV_HIDDEN_GRID_QUERY_LIST_4F35BF76-6C0D-4D9B-82B2-816C12CF3733">
    <vt:lpwstr>empty_477D106A-C0D6-4607-AEBD-E2C9D60EA279</vt:lpwstr>
  </property>
  <property fmtid="{D5CDD505-2E9C-101B-9397-08002B2CF9AE}" pid="13" name="{A44787D4-0540-4523-9961-78E4036D8C6D}">
    <vt:lpwstr>{313A6216-BD04-4985-9350-54E4A1D4B69E}</vt:lpwstr>
  </property>
</Properties>
</file>