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filterPrivacy="1" defaultThemeVersion="166925"/>
  <xr:revisionPtr revIDLastSave="5" documentId="13_ncr:1_{B972FBF1-C65A-4149-853F-E294423C6BE7}" xr6:coauthVersionLast="47" xr6:coauthVersionMax="47" xr10:uidLastSave="{3448F38A-A243-492F-81BA-E52213C6E8E2}"/>
  <bookViews>
    <workbookView xWindow="5016" yWindow="1056" windowWidth="25608" windowHeight="14556" firstSheet="1" activeTab="1" xr2:uid="{E51722AE-C6BB-4487-A968-54A6556D63D9}"/>
  </bookViews>
  <sheets>
    <sheet name="Assumptions" sheetId="1" r:id="rId1"/>
    <sheet name="Results" sheetId="2" r:id="rId2"/>
    <sheet name="2025 Earnings" sheetId="3" r:id="rId3"/>
    <sheet name="Variance" sheetId="6" r:id="rId4"/>
    <sheet name="SubLease Scenario" sheetId="7" r:id="rId5"/>
    <sheet name="SubLease Scenario Board" sheetId="8" r:id="rId6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8" l="1"/>
  <c r="D13" i="8"/>
  <c r="E13" i="8"/>
  <c r="F13" i="8"/>
  <c r="B13" i="8"/>
  <c r="G29" i="8"/>
  <c r="G31" i="8" s="1"/>
  <c r="F28" i="8"/>
  <c r="E27" i="8"/>
  <c r="D26" i="8"/>
  <c r="C25" i="8"/>
  <c r="G52" i="8"/>
  <c r="F52" i="8"/>
  <c r="E52" i="8"/>
  <c r="D52" i="8"/>
  <c r="C52" i="8"/>
  <c r="B52" i="8"/>
  <c r="G51" i="8"/>
  <c r="F51" i="8"/>
  <c r="E51" i="8"/>
  <c r="D51" i="8"/>
  <c r="C51" i="8"/>
  <c r="B51" i="8"/>
  <c r="F50" i="8"/>
  <c r="E50" i="8"/>
  <c r="D50" i="8"/>
  <c r="C50" i="8"/>
  <c r="B50" i="8"/>
  <c r="E49" i="8"/>
  <c r="D49" i="8"/>
  <c r="C49" i="8"/>
  <c r="B49" i="8"/>
  <c r="G48" i="8"/>
  <c r="D48" i="8"/>
  <c r="C48" i="8"/>
  <c r="B48" i="8"/>
  <c r="G47" i="8"/>
  <c r="F47" i="8"/>
  <c r="C47" i="8"/>
  <c r="B47" i="8"/>
  <c r="G46" i="8"/>
  <c r="F46" i="8"/>
  <c r="E46" i="8"/>
  <c r="B46" i="8"/>
  <c r="G45" i="8"/>
  <c r="F45" i="8"/>
  <c r="E45" i="8"/>
  <c r="D45" i="8"/>
  <c r="H40" i="8"/>
  <c r="G39" i="8"/>
  <c r="H39" i="8" s="1"/>
  <c r="G38" i="8"/>
  <c r="G42" i="8" s="1"/>
  <c r="F38" i="8"/>
  <c r="F37" i="8"/>
  <c r="F48" i="8" s="1"/>
  <c r="E37" i="8"/>
  <c r="E36" i="8"/>
  <c r="E42" i="8" s="1"/>
  <c r="D36" i="8"/>
  <c r="H36" i="8" s="1"/>
  <c r="D35" i="8"/>
  <c r="D42" i="8" s="1"/>
  <c r="C35" i="8"/>
  <c r="B34" i="8"/>
  <c r="C34" i="8" s="1"/>
  <c r="G50" i="8"/>
  <c r="H29" i="8"/>
  <c r="F31" i="8"/>
  <c r="E48" i="8"/>
  <c r="H27" i="8"/>
  <c r="E47" i="8"/>
  <c r="D47" i="8"/>
  <c r="D31" i="8"/>
  <c r="H26" i="8"/>
  <c r="A5" i="8"/>
  <c r="E5" i="8"/>
  <c r="D5" i="8"/>
  <c r="C5" i="8"/>
  <c r="B5" i="8"/>
  <c r="C4" i="7"/>
  <c r="D4" i="7" s="1"/>
  <c r="E4" i="7" s="1"/>
  <c r="F4" i="7" s="1"/>
  <c r="G4" i="7" s="1"/>
  <c r="H4" i="7" s="1"/>
  <c r="H57" i="7"/>
  <c r="H56" i="7"/>
  <c r="G56" i="7"/>
  <c r="G55" i="7"/>
  <c r="F55" i="7"/>
  <c r="F54" i="7"/>
  <c r="E54" i="7"/>
  <c r="E53" i="7"/>
  <c r="D53" i="7"/>
  <c r="D52" i="7"/>
  <c r="C52" i="7"/>
  <c r="C51" i="7"/>
  <c r="H47" i="7"/>
  <c r="G47" i="7"/>
  <c r="G46" i="7"/>
  <c r="F46" i="7"/>
  <c r="F45" i="7"/>
  <c r="E45" i="7"/>
  <c r="E44" i="7"/>
  <c r="D44" i="7"/>
  <c r="D43" i="7"/>
  <c r="C43" i="7"/>
  <c r="B7" i="7"/>
  <c r="C42" i="7"/>
  <c r="I7" i="7"/>
  <c r="J7" i="7"/>
  <c r="I8" i="7"/>
  <c r="J8" i="7"/>
  <c r="B8" i="7"/>
  <c r="C68" i="7"/>
  <c r="D68" i="7"/>
  <c r="E68" i="7"/>
  <c r="F68" i="7"/>
  <c r="G68" i="7"/>
  <c r="J68" i="7"/>
  <c r="C69" i="7"/>
  <c r="D69" i="7"/>
  <c r="E69" i="7"/>
  <c r="F69" i="7"/>
  <c r="G69" i="7"/>
  <c r="H69" i="7"/>
  <c r="B69" i="7"/>
  <c r="B68" i="7"/>
  <c r="D62" i="7"/>
  <c r="E62" i="7"/>
  <c r="F62" i="7"/>
  <c r="G62" i="7"/>
  <c r="H62" i="7"/>
  <c r="I62" i="7"/>
  <c r="J62" i="7"/>
  <c r="E63" i="7"/>
  <c r="F63" i="7"/>
  <c r="G63" i="7"/>
  <c r="H63" i="7"/>
  <c r="I63" i="7"/>
  <c r="J63" i="7"/>
  <c r="C64" i="7"/>
  <c r="F64" i="7"/>
  <c r="G64" i="7"/>
  <c r="H64" i="7"/>
  <c r="I64" i="7"/>
  <c r="J64" i="7"/>
  <c r="C65" i="7"/>
  <c r="D65" i="7"/>
  <c r="G65" i="7"/>
  <c r="H65" i="7"/>
  <c r="I65" i="7"/>
  <c r="J65" i="7"/>
  <c r="C66" i="7"/>
  <c r="D66" i="7"/>
  <c r="E66" i="7"/>
  <c r="H66" i="7"/>
  <c r="I66" i="7"/>
  <c r="J66" i="7"/>
  <c r="C67" i="7"/>
  <c r="D67" i="7"/>
  <c r="E67" i="7"/>
  <c r="F67" i="7"/>
  <c r="I67" i="7"/>
  <c r="J67" i="7"/>
  <c r="B63" i="7"/>
  <c r="B64" i="7"/>
  <c r="B65" i="7"/>
  <c r="B66" i="7"/>
  <c r="B67" i="7"/>
  <c r="F42" i="8" l="1"/>
  <c r="H37" i="8"/>
  <c r="H48" i="8"/>
  <c r="E53" i="8"/>
  <c r="H52" i="8"/>
  <c r="H50" i="8"/>
  <c r="H47" i="8"/>
  <c r="H34" i="8"/>
  <c r="C42" i="8"/>
  <c r="H25" i="8"/>
  <c r="H30" i="8"/>
  <c r="H35" i="8"/>
  <c r="C46" i="8"/>
  <c r="H51" i="8"/>
  <c r="D46" i="8"/>
  <c r="F49" i="8"/>
  <c r="F53" i="8" s="1"/>
  <c r="H28" i="8"/>
  <c r="H41" i="8"/>
  <c r="G49" i="8"/>
  <c r="G53" i="8" s="1"/>
  <c r="H38" i="8"/>
  <c r="B42" i="8"/>
  <c r="E31" i="8"/>
  <c r="B31" i="8"/>
  <c r="B45" i="8"/>
  <c r="J12" i="8"/>
  <c r="B6" i="8"/>
  <c r="C6" i="8"/>
  <c r="E6" i="8"/>
  <c r="D6" i="8"/>
  <c r="F5" i="8"/>
  <c r="G5" i="8"/>
  <c r="O26" i="7"/>
  <c r="A20" i="7"/>
  <c r="H46" i="8" l="1"/>
  <c r="H49" i="8"/>
  <c r="B53" i="8"/>
  <c r="C45" i="8"/>
  <c r="C53" i="8" s="1"/>
  <c r="C31" i="8"/>
  <c r="H31" i="8" s="1"/>
  <c r="D53" i="8"/>
  <c r="H42" i="8"/>
  <c r="F6" i="8"/>
  <c r="G6" i="8"/>
  <c r="I58" i="7"/>
  <c r="I48" i="7"/>
  <c r="J48" i="7"/>
  <c r="J20" i="7"/>
  <c r="I57" i="7"/>
  <c r="I68" i="7" s="1"/>
  <c r="H68" i="7"/>
  <c r="K68" i="7" s="1"/>
  <c r="B51" i="7"/>
  <c r="B59" i="7" s="1"/>
  <c r="B42" i="7"/>
  <c r="C20" i="7"/>
  <c r="D20" i="7"/>
  <c r="E20" i="7"/>
  <c r="F20" i="7"/>
  <c r="G20" i="7"/>
  <c r="H20" i="7"/>
  <c r="I20" i="7"/>
  <c r="B20" i="7"/>
  <c r="B40" i="7"/>
  <c r="F10" i="8" l="1"/>
  <c r="F11" i="8" s="1"/>
  <c r="F14" i="8" s="1"/>
  <c r="F15" i="8" s="1"/>
  <c r="C10" i="8"/>
  <c r="C11" i="8" s="1"/>
  <c r="C14" i="8" s="1"/>
  <c r="C15" i="8" s="1"/>
  <c r="F25" i="7"/>
  <c r="E25" i="7"/>
  <c r="B10" i="8"/>
  <c r="B11" i="8" s="1"/>
  <c r="B14" i="8" s="1"/>
  <c r="B15" i="8" s="1"/>
  <c r="B16" i="8" s="1"/>
  <c r="H45" i="8"/>
  <c r="H53" i="8"/>
  <c r="E65" i="7"/>
  <c r="K55" i="7"/>
  <c r="G59" i="7"/>
  <c r="G8" i="7" s="1"/>
  <c r="F66" i="7"/>
  <c r="B62" i="7"/>
  <c r="B70" i="7" s="1"/>
  <c r="G66" i="7"/>
  <c r="F65" i="7"/>
  <c r="F70" i="7" s="1"/>
  <c r="I59" i="7"/>
  <c r="I9" i="7" s="1"/>
  <c r="I27" i="7" s="1"/>
  <c r="D63" i="7"/>
  <c r="D40" i="7"/>
  <c r="F59" i="7"/>
  <c r="F8" i="7" s="1"/>
  <c r="C63" i="7"/>
  <c r="H67" i="7"/>
  <c r="H70" i="7" s="1"/>
  <c r="G67" i="7"/>
  <c r="J58" i="7"/>
  <c r="K58" i="7" s="1"/>
  <c r="I69" i="7"/>
  <c r="D64" i="7"/>
  <c r="E64" i="7"/>
  <c r="E70" i="7" s="1"/>
  <c r="F21" i="7"/>
  <c r="E21" i="7"/>
  <c r="D21" i="7"/>
  <c r="C21" i="7"/>
  <c r="J25" i="7"/>
  <c r="J28" i="7" s="1"/>
  <c r="J21" i="7"/>
  <c r="G21" i="7"/>
  <c r="B25" i="7"/>
  <c r="B28" i="7" s="1"/>
  <c r="B21" i="7"/>
  <c r="I25" i="7"/>
  <c r="I28" i="7" s="1"/>
  <c r="I21" i="7"/>
  <c r="H25" i="7"/>
  <c r="H21" i="7"/>
  <c r="H59" i="7"/>
  <c r="H8" i="7" s="1"/>
  <c r="K54" i="7"/>
  <c r="C48" i="7"/>
  <c r="C7" i="7" s="1"/>
  <c r="K44" i="7"/>
  <c r="K52" i="7"/>
  <c r="K56" i="7"/>
  <c r="K43" i="7"/>
  <c r="K51" i="7"/>
  <c r="K57" i="7"/>
  <c r="K45" i="7"/>
  <c r="K53" i="7"/>
  <c r="F48" i="7"/>
  <c r="F7" i="7" s="1"/>
  <c r="K46" i="7"/>
  <c r="G48" i="7"/>
  <c r="D59" i="7"/>
  <c r="D8" i="7" s="1"/>
  <c r="D48" i="7"/>
  <c r="D7" i="7" s="1"/>
  <c r="C40" i="7"/>
  <c r="E48" i="7"/>
  <c r="E7" i="7" s="1"/>
  <c r="E59" i="7"/>
  <c r="E8" i="7" s="1"/>
  <c r="C59" i="7"/>
  <c r="C8" i="7" s="1"/>
  <c r="B48" i="7"/>
  <c r="C25" i="7" l="1"/>
  <c r="D25" i="7"/>
  <c r="G25" i="7"/>
  <c r="D10" i="8"/>
  <c r="D11" i="8" s="1"/>
  <c r="D14" i="8" s="1"/>
  <c r="D15" i="8" s="1"/>
  <c r="E10" i="8"/>
  <c r="E11" i="8" s="1"/>
  <c r="E14" i="8" s="1"/>
  <c r="E15" i="8" s="1"/>
  <c r="C16" i="8"/>
  <c r="D16" i="8" s="1"/>
  <c r="E16" i="8" s="1"/>
  <c r="F16" i="8" s="1"/>
  <c r="G7" i="7"/>
  <c r="G9" i="7" s="1"/>
  <c r="G27" i="7" s="1"/>
  <c r="I29" i="7"/>
  <c r="K65" i="7"/>
  <c r="D28" i="7"/>
  <c r="E28" i="7"/>
  <c r="H28" i="7"/>
  <c r="F28" i="7"/>
  <c r="C28" i="7"/>
  <c r="G28" i="7"/>
  <c r="K66" i="7"/>
  <c r="K63" i="7"/>
  <c r="K67" i="7"/>
  <c r="F9" i="7"/>
  <c r="F27" i="7" s="1"/>
  <c r="K47" i="7"/>
  <c r="K64" i="7"/>
  <c r="G70" i="7"/>
  <c r="J59" i="7"/>
  <c r="J9" i="7" s="1"/>
  <c r="J69" i="7"/>
  <c r="J70" i="7" s="1"/>
  <c r="D70" i="7"/>
  <c r="H48" i="7"/>
  <c r="K42" i="7"/>
  <c r="C62" i="7"/>
  <c r="I70" i="7"/>
  <c r="E9" i="7"/>
  <c r="E27" i="7" s="1"/>
  <c r="B9" i="7"/>
  <c r="B27" i="7" s="1"/>
  <c r="B29" i="7" s="1"/>
  <c r="B30" i="7" s="1"/>
  <c r="D9" i="7"/>
  <c r="D27" i="7" s="1"/>
  <c r="C9" i="7"/>
  <c r="C27" i="7" s="1"/>
  <c r="D29" i="7" l="1"/>
  <c r="E29" i="7"/>
  <c r="H7" i="7"/>
  <c r="H9" i="7" s="1"/>
  <c r="H27" i="7" s="1"/>
  <c r="H29" i="7" s="1"/>
  <c r="G29" i="7"/>
  <c r="F29" i="7"/>
  <c r="C29" i="7"/>
  <c r="C30" i="7" s="1"/>
  <c r="D30" i="7" s="1"/>
  <c r="J12" i="7"/>
  <c r="J27" i="7"/>
  <c r="J29" i="7" s="1"/>
  <c r="K59" i="7"/>
  <c r="K48" i="7"/>
  <c r="E40" i="7"/>
  <c r="J11" i="7"/>
  <c r="C70" i="7"/>
  <c r="K70" i="7" s="1"/>
  <c r="K62" i="7"/>
  <c r="K69" i="7"/>
  <c r="B11" i="7"/>
  <c r="B12" i="7"/>
  <c r="E30" i="7" l="1"/>
  <c r="F30" i="7" s="1"/>
  <c r="G30" i="7" s="1"/>
  <c r="H30" i="7" s="1"/>
  <c r="I30" i="7" s="1"/>
  <c r="J30" i="7" s="1"/>
  <c r="F40" i="7"/>
  <c r="D12" i="7"/>
  <c r="D11" i="7"/>
  <c r="C11" i="7"/>
  <c r="C12" i="7"/>
  <c r="G40" i="7" l="1"/>
  <c r="E12" i="7"/>
  <c r="E11" i="7"/>
  <c r="I4" i="7" l="1"/>
  <c r="H40" i="7"/>
  <c r="F12" i="7"/>
  <c r="F11" i="7"/>
  <c r="I40" i="7" l="1"/>
  <c r="J4" i="7"/>
  <c r="G12" i="7"/>
  <c r="G11" i="7"/>
  <c r="J40" i="7" l="1"/>
  <c r="H12" i="7"/>
  <c r="H11" i="7"/>
  <c r="I12" i="7" l="1"/>
  <c r="I11" i="7"/>
  <c r="D17" i="3" l="1"/>
  <c r="D28" i="3"/>
  <c r="D23" i="3"/>
  <c r="D35" i="3" s="1"/>
  <c r="D16" i="3"/>
  <c r="F28" i="3"/>
  <c r="B28" i="3"/>
  <c r="F16" i="3"/>
  <c r="B16" i="3"/>
  <c r="D20" i="3" l="1"/>
  <c r="D32" i="3" s="1"/>
  <c r="D18" i="3"/>
  <c r="D29" i="3"/>
  <c r="D19" i="3"/>
  <c r="D31" i="3" s="1"/>
  <c r="D9" i="3"/>
  <c r="D11" i="3" s="1"/>
  <c r="D21" i="3"/>
  <c r="D33" i="3" s="1"/>
  <c r="D22" i="3" l="1"/>
  <c r="D24" i="3" s="1"/>
  <c r="D30" i="3"/>
  <c r="D34" i="3" s="1"/>
  <c r="D36" i="3" s="1"/>
  <c r="D14" i="6" l="1"/>
  <c r="D16" i="6" s="1"/>
  <c r="D17" i="6" s="1"/>
  <c r="F58" i="2"/>
  <c r="D58" i="2"/>
  <c r="B58" i="2"/>
  <c r="F32" i="2"/>
  <c r="D32" i="2"/>
  <c r="B32" i="2"/>
  <c r="D9" i="2"/>
  <c r="D35" i="2" s="1"/>
  <c r="D61" i="2" s="1"/>
  <c r="D41" i="2" l="1"/>
  <c r="D67" i="2" s="1"/>
  <c r="D34" i="1"/>
  <c r="D11" i="2" s="1"/>
  <c r="D37" i="2" s="1"/>
  <c r="D63" i="2" s="1"/>
  <c r="D17" i="1"/>
  <c r="D21" i="1" s="1"/>
  <c r="D8" i="2" s="1"/>
  <c r="D34" i="2" l="1"/>
  <c r="D60" i="2" s="1"/>
  <c r="D8" i="6"/>
  <c r="D10" i="6" s="1"/>
  <c r="D11" i="6" s="1"/>
  <c r="D71" i="2"/>
  <c r="D70" i="2"/>
  <c r="B14" i="6" l="1"/>
  <c r="B16" i="6" s="1"/>
  <c r="B17" i="6" s="1"/>
  <c r="F20" i="6" l="1"/>
  <c r="F22" i="6" s="1"/>
  <c r="F23" i="6" l="1"/>
  <c r="F24" i="6"/>
  <c r="F14" i="6"/>
  <c r="F16" i="6" s="1"/>
  <c r="F17" i="6" s="1"/>
  <c r="B20" i="6" l="1"/>
  <c r="B22" i="6" s="1"/>
  <c r="B23" i="6" l="1"/>
  <c r="B24" i="6"/>
  <c r="F14" i="1"/>
  <c r="B18" i="3" l="1"/>
  <c r="B30" i="3" s="1"/>
  <c r="B34" i="1" l="1"/>
  <c r="B11" i="2" s="1"/>
  <c r="B37" i="2" l="1"/>
  <c r="B63" i="2" s="1"/>
  <c r="B52" i="2" l="1"/>
  <c r="B78" i="2" s="1"/>
  <c r="B48" i="2" l="1"/>
  <c r="B74" i="2"/>
  <c r="B53" i="2" l="1"/>
  <c r="B79" i="2" s="1"/>
  <c r="B49" i="2" l="1"/>
  <c r="B75" i="2" s="1"/>
  <c r="F9" i="2" l="1"/>
  <c r="F35" i="2" l="1"/>
  <c r="F61" i="2" s="1"/>
  <c r="F21" i="3"/>
  <c r="F33" i="3" s="1"/>
  <c r="F48" i="2" l="1"/>
  <c r="F74" i="2" s="1"/>
  <c r="F52" i="2"/>
  <c r="F78" i="2" s="1"/>
  <c r="B9" i="2" l="1"/>
  <c r="B35" i="2" l="1"/>
  <c r="B61" i="2" s="1"/>
  <c r="F49" i="2"/>
  <c r="F75" i="2" s="1"/>
  <c r="F53" i="2"/>
  <c r="F79" i="2" s="1"/>
  <c r="B17" i="1" l="1"/>
  <c r="B21" i="1" s="1"/>
  <c r="B8" i="2" s="1"/>
  <c r="B34" i="2" l="1"/>
  <c r="B60" i="2" s="1"/>
  <c r="B8" i="6"/>
  <c r="B10" i="6" s="1"/>
  <c r="B11" i="6" s="1"/>
  <c r="B21" i="3"/>
  <c r="B33" i="3" s="1"/>
  <c r="I10" i="1" l="1"/>
  <c r="I12" i="1" s="1"/>
  <c r="I13" i="1"/>
  <c r="B19" i="3" l="1"/>
  <c r="B31" i="3" s="1"/>
  <c r="B20" i="3" l="1"/>
  <c r="B32" i="3" s="1"/>
  <c r="B41" i="2" l="1"/>
  <c r="B67" i="2" s="1"/>
  <c r="B9" i="3" l="1"/>
  <c r="B17" i="3"/>
  <c r="B22" i="3" s="1"/>
  <c r="B29" i="3" l="1"/>
  <c r="B34" i="3" s="1"/>
  <c r="B23" i="3" l="1"/>
  <c r="B24" i="3" s="1"/>
  <c r="B11" i="3"/>
  <c r="B35" i="3" l="1"/>
  <c r="B36" i="3" s="1"/>
  <c r="B71" i="2" l="1"/>
  <c r="B70" i="2"/>
  <c r="F17" i="1" l="1"/>
  <c r="F21" i="1" s="1"/>
  <c r="F8" i="2" l="1"/>
  <c r="F34" i="2" l="1"/>
  <c r="F60" i="2" s="1"/>
  <c r="F8" i="6"/>
  <c r="F10" i="6" s="1"/>
  <c r="F11" i="6" s="1"/>
  <c r="F34" i="1"/>
  <c r="F11" i="2" s="1"/>
  <c r="F37" i="2" s="1"/>
  <c r="F63" i="2" s="1"/>
  <c r="F19" i="3" l="1"/>
  <c r="F31" i="3" s="1"/>
  <c r="F13" i="2" l="1"/>
  <c r="F39" i="2" s="1"/>
  <c r="F65" i="2" s="1"/>
  <c r="F20" i="3" l="1"/>
  <c r="F32" i="3" s="1"/>
  <c r="J10" i="1" l="1"/>
  <c r="J12" i="1" s="1"/>
  <c r="J13" i="1"/>
  <c r="F18" i="3" l="1"/>
  <c r="F30" i="3" s="1"/>
  <c r="F41" i="2" l="1"/>
  <c r="F67" i="2" s="1"/>
  <c r="F9" i="3" l="1"/>
  <c r="F17" i="3"/>
  <c r="F22" i="3" s="1"/>
  <c r="F29" i="3" l="1"/>
  <c r="F34" i="3" s="1"/>
  <c r="F11" i="3"/>
  <c r="F23" i="3" l="1"/>
  <c r="F24" i="3" s="1"/>
  <c r="F35" i="3" l="1"/>
  <c r="F36" i="3" s="1"/>
  <c r="F70" i="2"/>
  <c r="F71" i="2" l="1"/>
  <c r="D48" i="2" l="1"/>
  <c r="D74" i="2" s="1"/>
  <c r="D52" i="2" l="1"/>
  <c r="D78" i="2" s="1"/>
  <c r="D53" i="2" l="1"/>
  <c r="D79" i="2" s="1"/>
  <c r="D49" i="2" l="1"/>
  <c r="D75" i="2" s="1"/>
  <c r="D20" i="6"/>
  <c r="D22" i="6" s="1"/>
  <c r="D23" i="6" l="1"/>
  <c r="D24" i="6"/>
</calcChain>
</file>

<file path=xl/sharedStrings.xml><?xml version="1.0" encoding="utf-8"?>
<sst xmlns="http://schemas.openxmlformats.org/spreadsheetml/2006/main" count="272" uniqueCount="127">
  <si>
    <t>Project Tampa</t>
  </si>
  <si>
    <t>Summary of Analysis</t>
  </si>
  <si>
    <t>Plaza Lease</t>
  </si>
  <si>
    <t>Plaza Purchase</t>
  </si>
  <si>
    <t>Midtown</t>
  </si>
  <si>
    <t>Capital Costs:</t>
  </si>
  <si>
    <t>Land</t>
  </si>
  <si>
    <t>RB</t>
  </si>
  <si>
    <t>Building</t>
  </si>
  <si>
    <t>Equity</t>
  </si>
  <si>
    <t>Internal</t>
  </si>
  <si>
    <t>FF&amp;E</t>
  </si>
  <si>
    <t>ROE</t>
  </si>
  <si>
    <t>Parking Garage</t>
  </si>
  <si>
    <t>RR</t>
  </si>
  <si>
    <t>Fit Out Manager</t>
  </si>
  <si>
    <t>Construction Oversight Consultant</t>
  </si>
  <si>
    <t>Project FTEs</t>
  </si>
  <si>
    <t>Other</t>
  </si>
  <si>
    <t>Total Initial Capital</t>
  </si>
  <si>
    <t>Plaza Purchase in 2044</t>
  </si>
  <si>
    <t>Total Capital</t>
  </si>
  <si>
    <t>Average Maintenance Capital</t>
  </si>
  <si>
    <t>Contingency in Initial Capital</t>
  </si>
  <si>
    <t>Internal: 20% or $24.1M</t>
  </si>
  <si>
    <t>Building Costs: 10% or $9.9M
Soft Costs: 14% or $0.9M
Internal: 14% or $15.7M</t>
  </si>
  <si>
    <t>AFUDC Earned</t>
  </si>
  <si>
    <t>O&amp;M (Avg. 2025 thru 2051):</t>
  </si>
  <si>
    <t>Annual Rent</t>
  </si>
  <si>
    <t>Maintenance</t>
  </si>
  <si>
    <t>Parking</t>
  </si>
  <si>
    <t>Average Annual O&amp;M</t>
  </si>
  <si>
    <t>Average 2025-2043</t>
  </si>
  <si>
    <t>Average 2044-2051</t>
  </si>
  <si>
    <t>Notes to O&amp;M:</t>
  </si>
  <si>
    <t>●  Annual Rent - Current lease expires in 2025 but can be extended in 5 year increments through 2043.  Assumed lease would triple in 2044 ($7.3M annually)</t>
  </si>
  <si>
    <t>●  Annual Rent - Current lease expires in 2025 but can be extended in 5 year increments through 2043.  Assumed purchase in 2044 ($62.2M).</t>
  </si>
  <si>
    <t>N/A</t>
  </si>
  <si>
    <t>●  Maintenance - 278,000 RSF multiplied by an estimated cost of $9.05 sq ft (based on historical O&amp;M costs) with 3% annual escalation.</t>
  </si>
  <si>
    <t>●  Maintenance - 265,000 RSF multiplied by an estimated cost of $9.98 sq ft (based on Collier estimates) with 1.5% annual escalation 2026-2035 and 2% annual escalation 2036-forward.</t>
  </si>
  <si>
    <t>●  Parking - Assumed rental of 1,000 parking spaces starting at $175/month and escalated by 2% annually</t>
  </si>
  <si>
    <t>●  Parking - O&amp;M of parking garage is assumed to be 1% of parking capex</t>
  </si>
  <si>
    <t>●  Included costs in 2023 and 2024 for temporary rental space (69,500 sq ft costing $2.5M per year)</t>
  </si>
  <si>
    <t>Plaza
Lease</t>
  </si>
  <si>
    <t>Plaza 
Purchase</t>
  </si>
  <si>
    <t>Midtown
Purchase</t>
  </si>
  <si>
    <t>Avg. Maintenance Capital</t>
  </si>
  <si>
    <t>Average O&amp;M</t>
  </si>
  <si>
    <t>-</t>
  </si>
  <si>
    <t>Terminal Value Assumed</t>
  </si>
  <si>
    <t>Financial Results:</t>
  </si>
  <si>
    <t>IRR</t>
  </si>
  <si>
    <t>NPV</t>
  </si>
  <si>
    <t>Financial Impact to Customers:</t>
  </si>
  <si>
    <t>30 Year NPV of Revenue Requirement</t>
  </si>
  <si>
    <t>60 Year NPV of Revenue Requirement</t>
  </si>
  <si>
    <t>NPV of Terminal Value</t>
  </si>
  <si>
    <t>30 Year NPV of Terminal Value</t>
  </si>
  <si>
    <t>60 Year NPV of Terminal Value</t>
  </si>
  <si>
    <t>*  includes $62.2M for Plaza purchase in 2044</t>
  </si>
  <si>
    <t>TEC Only</t>
  </si>
  <si>
    <t>*  includes $46.1M for Plaza purchase in 2044</t>
  </si>
  <si>
    <t>PGS Only</t>
  </si>
  <si>
    <t>*  includes $16.2M for Plaza purchase in 2044</t>
  </si>
  <si>
    <t>2025 Earnings "Snap-Shot"</t>
  </si>
  <si>
    <t>Plaza
Purchase</t>
  </si>
  <si>
    <t>Revenue</t>
  </si>
  <si>
    <t>O&amp;M</t>
  </si>
  <si>
    <t>Depreciation</t>
  </si>
  <si>
    <t>Property Taxes</t>
  </si>
  <si>
    <t>Interest Expense</t>
  </si>
  <si>
    <t>Pre-Tax Income</t>
  </si>
  <si>
    <t>Income Taxes</t>
  </si>
  <si>
    <t>Net Income</t>
  </si>
  <si>
    <t>Total Capital Costs:</t>
  </si>
  <si>
    <t>2022 Revised Projections</t>
  </si>
  <si>
    <t>2021 Projections</t>
  </si>
  <si>
    <t>Change in Capital Costs</t>
  </si>
  <si>
    <t>% Change</t>
  </si>
  <si>
    <t>Change in IRR</t>
  </si>
  <si>
    <t>NPV of Revenue Requirement (60 Year)</t>
  </si>
  <si>
    <t>Change in NPV</t>
  </si>
  <si>
    <t>*  2022 capital costs include $62.2M for the Plaza purchase in 2044; 2021 includes $54.7M for Plaza purchase in 2044.</t>
  </si>
  <si>
    <t>Tampa Electric / Peoples Gas</t>
  </si>
  <si>
    <t>Project Tampa - Estimated Impacts from Sublease</t>
  </si>
  <si>
    <t>Est. Rev. Req. (Total Project)</t>
  </si>
  <si>
    <t>5 Year Sublease (2 Floors)</t>
  </si>
  <si>
    <t>7 Year Sublease (1 Floor)</t>
  </si>
  <si>
    <t>Reduction to Rev. Req.</t>
  </si>
  <si>
    <t>Reduced Est. Rev. Req.</t>
  </si>
  <si>
    <t>% Reduction</t>
  </si>
  <si>
    <t>Estimated Reduction on Residential Bill</t>
  </si>
  <si>
    <t xml:space="preserve">Projected Per Floor Revenue Requirement </t>
  </si>
  <si>
    <t>Based on Total Annual Revenue Requirement</t>
  </si>
  <si>
    <t>Per Floor (total ÷ 11)</t>
  </si>
  <si>
    <t>Revenue Requirement - Based on Core &amp; Shell Only</t>
  </si>
  <si>
    <t>Rev. Req. (excl. O&amp;M &amp; Property Tax)</t>
  </si>
  <si>
    <t>Core &amp; Shell Cost</t>
  </si>
  <si>
    <t>Total Cost</t>
  </si>
  <si>
    <t>Annual Sublease Revenue</t>
  </si>
  <si>
    <t>Revenue Requirement of Core &amp; Shell</t>
  </si>
  <si>
    <t>Net Revenue Requirement</t>
  </si>
  <si>
    <t>Cumulative Benefit (Cost)</t>
  </si>
  <si>
    <t>Notes:</t>
  </si>
  <si>
    <t>(1)  All estimates based on running project model using total project under TEC regulatory structure</t>
  </si>
  <si>
    <t>(2)  5 Year sublease assumes first 5 months free (Oct 2025-Feb 2026)</t>
  </si>
  <si>
    <t>(3)  Core &amp; Shell Only is based on capital cost of core &amp; shell and estimated associated depreciation</t>
  </si>
  <si>
    <t>(4)  Rev. Req. of Core &amp; Shell includes 2 floors through 2031 (when 5 year lease expires)</t>
  </si>
  <si>
    <t>(5) For 2026 and 2031 the Rev. Req. exceeds sublease payments because of timing of 1st year payments starting in March 2026 and lease expiring in February 2031</t>
  </si>
  <si>
    <t>Project Tampa - Sublease Payment Schedule</t>
  </si>
  <si>
    <t>Total</t>
  </si>
  <si>
    <t>5 Year Sublease</t>
  </si>
  <si>
    <t>Year 1</t>
  </si>
  <si>
    <t>Year 2</t>
  </si>
  <si>
    <t>Year 3</t>
  </si>
  <si>
    <t>Year 4</t>
  </si>
  <si>
    <t>Year 5</t>
  </si>
  <si>
    <t>Year 6</t>
  </si>
  <si>
    <t>Totals</t>
  </si>
  <si>
    <t>7 Year Sublease</t>
  </si>
  <si>
    <t>Year 7</t>
  </si>
  <si>
    <t>Year 8</t>
  </si>
  <si>
    <r>
      <t>Revenue Requirement - Based on Core &amp; Shell Only</t>
    </r>
    <r>
      <rPr>
        <sz val="11"/>
        <color theme="1"/>
        <rFont val="Calibri"/>
        <family val="2"/>
      </rPr>
      <t xml:space="preserve">  (1)</t>
    </r>
  </si>
  <si>
    <t>Revenue Requirement of Core &amp; Shell  (2)</t>
  </si>
  <si>
    <t>(1)  Core &amp; Shell Only is based on capital cost of core &amp; shell and estimated associated depreciation</t>
  </si>
  <si>
    <t>(2)  Rev. Req. of Core &amp; Shell includes 2 floors through Year 5</t>
  </si>
  <si>
    <t>Year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</si>
</sst>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43" formatCode="_(* #,##0.00_);_(* \(#,##0.00\);_(* &quot;-&quot;??_);_(@_)"/>
    <numFmt numFmtId="164" formatCode="_(* #,##0.0_);_(* \(#,##0.0\);_(* &quot;-&quot;??_);_(@_)"/>
    <numFmt numFmtId="165" formatCode="#,##0.0_);\(#,##0.0\)"/>
    <numFmt numFmtId="166" formatCode="&quot;$&quot;#,##0.0&quot;M&quot;_);\(&quot;$&quot;#,##0.0&quot;M&quot;\)"/>
    <numFmt numFmtId="167" formatCode="0.0%"/>
    <numFmt numFmtId="168" formatCode="_(* #,##0_);_(* \(#,##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MT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65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164" fontId="0" fillId="0" borderId="2" xfId="1" applyNumberFormat="1" applyFont="1" applyBorder="1"/>
    <xf numFmtId="9" fontId="0" fillId="0" borderId="0" xfId="2" applyFont="1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 inden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wrapText="1"/>
    </xf>
    <xf numFmtId="0" fontId="0" fillId="0" borderId="0" xfId="0" applyAlignment="1">
      <alignment horizontal="left" vertical="top" inden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left" vertical="top"/>
    </xf>
    <xf numFmtId="0" fontId="0" fillId="0" borderId="4" xfId="0" applyBorder="1" applyAlignment="1">
      <alignment horizontal="left" indent="1"/>
    </xf>
    <xf numFmtId="9" fontId="0" fillId="0" borderId="4" xfId="2" applyFont="1" applyBorder="1" applyAlignment="1">
      <alignment horizontal="center"/>
    </xf>
    <xf numFmtId="0" fontId="0" fillId="0" borderId="4" xfId="0" applyBorder="1"/>
    <xf numFmtId="164" fontId="0" fillId="0" borderId="0" xfId="1" applyNumberFormat="1" applyFont="1" applyBorder="1"/>
    <xf numFmtId="9" fontId="0" fillId="0" borderId="0" xfId="2" applyFont="1" applyBorder="1" applyAlignment="1">
      <alignment horizontal="center"/>
    </xf>
    <xf numFmtId="164" fontId="0" fillId="0" borderId="0" xfId="0" applyNumberFormat="1"/>
    <xf numFmtId="0" fontId="3" fillId="0" borderId="0" xfId="0" applyFont="1" applyAlignment="1">
      <alignment vertical="top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indent="1"/>
    </xf>
    <xf numFmtId="164" fontId="4" fillId="0" borderId="0" xfId="0" applyNumberFormat="1" applyFont="1"/>
    <xf numFmtId="9" fontId="0" fillId="0" borderId="0" xfId="2" applyFont="1" applyAlignment="1">
      <alignment horizontal="right" vertical="top"/>
    </xf>
    <xf numFmtId="9" fontId="0" fillId="0" borderId="0" xfId="2" applyFont="1" applyBorder="1" applyAlignment="1">
      <alignment horizontal="right" vertical="top"/>
    </xf>
    <xf numFmtId="9" fontId="0" fillId="0" borderId="0" xfId="2" applyFont="1" applyAlignment="1">
      <alignment horizontal="right" vertical="top" wrapText="1"/>
    </xf>
    <xf numFmtId="43" fontId="0" fillId="0" borderId="0" xfId="0" applyNumberFormat="1" applyAlignment="1">
      <alignment vertical="center"/>
    </xf>
    <xf numFmtId="10" fontId="0" fillId="0" borderId="0" xfId="2" applyNumberFormat="1" applyFont="1"/>
    <xf numFmtId="10" fontId="0" fillId="0" borderId="3" xfId="2" applyNumberFormat="1" applyFont="1" applyBorder="1"/>
    <xf numFmtId="167" fontId="0" fillId="0" borderId="0" xfId="2" applyNumberFormat="1" applyFont="1"/>
    <xf numFmtId="0" fontId="7" fillId="0" borderId="0" xfId="0" applyFont="1"/>
    <xf numFmtId="0" fontId="8" fillId="0" borderId="3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indent="1"/>
    </xf>
    <xf numFmtId="166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 indent="1"/>
    </xf>
    <xf numFmtId="0" fontId="7" fillId="0" borderId="0" xfId="0" applyFont="1" applyAlignment="1">
      <alignment horizontal="left" indent="2"/>
    </xf>
    <xf numFmtId="10" fontId="7" fillId="0" borderId="0" xfId="2" applyNumberFormat="1" applyFont="1" applyAlignment="1">
      <alignment horizontal="center"/>
    </xf>
    <xf numFmtId="10" fontId="7" fillId="0" borderId="0" xfId="2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left" vertical="center" indent="1"/>
    </xf>
    <xf numFmtId="164" fontId="7" fillId="0" borderId="0" xfId="1" applyNumberFormat="1" applyFont="1" applyAlignment="1">
      <alignment vertical="center"/>
    </xf>
    <xf numFmtId="164" fontId="7" fillId="0" borderId="3" xfId="1" applyNumberFormat="1" applyFont="1" applyBorder="1" applyAlignment="1">
      <alignment vertical="center"/>
    </xf>
    <xf numFmtId="164" fontId="7" fillId="0" borderId="1" xfId="1" applyNumberFormat="1" applyFont="1" applyBorder="1" applyAlignment="1">
      <alignment vertical="center"/>
    </xf>
    <xf numFmtId="43" fontId="0" fillId="0" borderId="0" xfId="1" applyFont="1"/>
    <xf numFmtId="0" fontId="8" fillId="0" borderId="0" xfId="0" applyFont="1" applyAlignment="1">
      <alignment horizontal="center" wrapText="1"/>
    </xf>
    <xf numFmtId="166" fontId="7" fillId="0" borderId="2" xfId="0" applyNumberFormat="1" applyFont="1" applyBorder="1" applyAlignment="1">
      <alignment horizontal="center"/>
    </xf>
    <xf numFmtId="0" fontId="4" fillId="0" borderId="0" xfId="0" applyFont="1"/>
    <xf numFmtId="167" fontId="4" fillId="0" borderId="0" xfId="2" applyNumberFormat="1" applyFont="1" applyAlignment="1">
      <alignment horizontal="center"/>
    </xf>
    <xf numFmtId="7" fontId="7" fillId="0" borderId="0" xfId="0" applyNumberFormat="1" applyFont="1"/>
    <xf numFmtId="10" fontId="7" fillId="0" borderId="2" xfId="2" applyNumberFormat="1" applyFont="1" applyBorder="1" applyAlignment="1">
      <alignment horizontal="center"/>
    </xf>
    <xf numFmtId="168" fontId="0" fillId="0" borderId="0" xfId="1" applyNumberFormat="1" applyFont="1"/>
    <xf numFmtId="168" fontId="0" fillId="0" borderId="0" xfId="0" applyNumberFormat="1"/>
    <xf numFmtId="0" fontId="2" fillId="0" borderId="3" xfId="1" applyNumberFormat="1" applyFont="1" applyBorder="1" applyAlignment="1">
      <alignment horizontal="center"/>
    </xf>
    <xf numFmtId="168" fontId="0" fillId="0" borderId="2" xfId="1" applyNumberFormat="1" applyFont="1" applyBorder="1"/>
    <xf numFmtId="168" fontId="0" fillId="0" borderId="0" xfId="1" applyNumberFormat="1" applyFont="1" applyAlignment="1">
      <alignment horizontal="center"/>
    </xf>
    <xf numFmtId="0" fontId="9" fillId="0" borderId="0" xfId="0" applyFont="1"/>
    <xf numFmtId="0" fontId="2" fillId="2" borderId="0" xfId="0" applyFont="1" applyFill="1"/>
    <xf numFmtId="0" fontId="0" fillId="2" borderId="0" xfId="0" applyFill="1"/>
    <xf numFmtId="168" fontId="0" fillId="2" borderId="0" xfId="1" applyNumberFormat="1" applyFont="1" applyFill="1"/>
    <xf numFmtId="0" fontId="10" fillId="0" borderId="0" xfId="0" applyFont="1"/>
  </cellXfs>
  <cellStyles count="6">
    <cellStyle name="Comma" xfId="1" builtinId="3"/>
    <cellStyle name="Comma 2" xfId="3" xr:uid="{6ED85EDE-AA63-4254-8400-F7B1E7E10C60}"/>
    <cellStyle name="Normal" xfId="0" builtinId="0"/>
    <cellStyle name="Normal 2" xfId="4" xr:uid="{B4073D65-3F22-416B-B4AA-63C252C3514A}"/>
    <cellStyle name="Percent" xfId="2" builtinId="5"/>
    <cellStyle name="Percent 2" xfId="5" xr:uid="{4D247E61-ABB8-4031-B3E8-7D52FCA4C2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6</xdr:row>
      <xdr:rowOff>184150</xdr:rowOff>
    </xdr:from>
    <xdr:to>
      <xdr:col>3</xdr:col>
      <xdr:colOff>958850</xdr:colOff>
      <xdr:row>7</xdr:row>
      <xdr:rowOff>146050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ACB58D9-4887-9C98-849C-70CC00E61A56}"/>
            </a:ext>
          </a:extLst>
        </xdr:cNvPr>
        <xdr:cNvSpPr txBox="1"/>
      </xdr:nvSpPr>
      <xdr:spPr>
        <a:xfrm>
          <a:off x="4679950" y="1498600"/>
          <a:ext cx="203200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*</a:t>
          </a:r>
        </a:p>
      </xdr:txBody>
    </xdr:sp>
    <xdr:clientData/>
  </xdr:twoCellAnchor>
  <xdr:twoCellAnchor>
    <xdr:from>
      <xdr:col>3</xdr:col>
      <xdr:colOff>781050</xdr:colOff>
      <xdr:row>32</xdr:row>
      <xdr:rowOff>184150</xdr:rowOff>
    </xdr:from>
    <xdr:to>
      <xdr:col>3</xdr:col>
      <xdr:colOff>984250</xdr:colOff>
      <xdr:row>33</xdr:row>
      <xdr:rowOff>146050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D309393-FA90-4D99-8034-2BBF93218E60}"/>
            </a:ext>
          </a:extLst>
        </xdr:cNvPr>
        <xdr:cNvSpPr txBox="1"/>
      </xdr:nvSpPr>
      <xdr:spPr>
        <a:xfrm>
          <a:off x="4705350" y="5511800"/>
          <a:ext cx="203200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*</a:t>
          </a:r>
        </a:p>
      </xdr:txBody>
    </xdr:sp>
    <xdr:clientData/>
  </xdr:twoCellAnchor>
  <xdr:twoCellAnchor>
    <xdr:from>
      <xdr:col>3</xdr:col>
      <xdr:colOff>736600</xdr:colOff>
      <xdr:row>58</xdr:row>
      <xdr:rowOff>190500</xdr:rowOff>
    </xdr:from>
    <xdr:to>
      <xdr:col>3</xdr:col>
      <xdr:colOff>939800</xdr:colOff>
      <xdr:row>59</xdr:row>
      <xdr:rowOff>152400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20DAB43-87EE-49DB-B869-3DBE39BAE485}"/>
            </a:ext>
          </a:extLst>
        </xdr:cNvPr>
        <xdr:cNvSpPr txBox="1"/>
      </xdr:nvSpPr>
      <xdr:spPr>
        <a:xfrm>
          <a:off x="4660900" y="9518650"/>
          <a:ext cx="203200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*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977900</xdr:colOff>
      <xdr:row>4</xdr:row>
      <xdr:rowOff>234950</xdr:rowOff>
    </xdr:from>
    <xdr:to>
      <xdr:col>3</xdr:col>
      <xdr:colOff>1181100</xdr:colOff>
      <xdr:row>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3A7C2A3-70BE-4F0E-A05E-CD6E1F4F6B9A}"/>
            </a:ext>
          </a:extLst>
        </xdr:cNvPr>
        <xdr:cNvSpPr txBox="1"/>
      </xdr:nvSpPr>
      <xdr:spPr>
        <a:xfrm>
          <a:off x="5073650" y="1022350"/>
          <a:ext cx="203200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*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538480</xdr:colOff>
      <xdr:row>2</xdr:row>
      <xdr:rowOff>100330</xdr:rowOff>
    </xdr:from>
    <xdr:to>
      <xdr:col>2</xdr:col>
      <xdr:colOff>13970</xdr:colOff>
      <xdr:row>3</xdr:row>
      <xdr:rowOff>124460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7AB5A26-0621-E385-0849-FF3F24D4EF03}"/>
            </a:ext>
          </a:extLst>
        </xdr:cNvPr>
        <xdr:cNvSpPr txBox="1"/>
      </xdr:nvSpPr>
      <xdr:spPr>
        <a:xfrm>
          <a:off x="2839720" y="648970"/>
          <a:ext cx="359410" cy="207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900"/>
            <a:t>(2)</a:t>
          </a:r>
        </a:p>
      </xdr:txBody>
    </xdr:sp>
    <xdr:clientData/>
  </xdr:twoCellAnchor>
  <xdr:twoCellAnchor>
    <xdr:from>
      <xdr:col>1</xdr:col>
      <xdr:colOff>549910</xdr:colOff>
      <xdr:row>0</xdr:row>
      <xdr:rowOff>154940</xdr:rowOff>
    </xdr:from>
    <xdr:to>
      <xdr:col>2</xdr:col>
      <xdr:colOff>30480</xdr:colOff>
      <xdr:row>1</xdr:row>
      <xdr:rowOff>180340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8385A93-A3C2-40A3-9BCC-72EFFFF7E7D8}"/>
            </a:ext>
          </a:extLst>
        </xdr:cNvPr>
        <xdr:cNvSpPr txBox="1"/>
      </xdr:nvSpPr>
      <xdr:spPr>
        <a:xfrm>
          <a:off x="2858770" y="154940"/>
          <a:ext cx="364490" cy="208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900"/>
            <a:t>(1)</a:t>
          </a:r>
        </a:p>
      </xdr:txBody>
    </xdr:sp>
    <xdr:clientData/>
  </xdr:twoCellAnchor>
  <xdr:twoCellAnchor>
    <xdr:from>
      <xdr:col>1</xdr:col>
      <xdr:colOff>607060</xdr:colOff>
      <xdr:row>17</xdr:row>
      <xdr:rowOff>147320</xdr:rowOff>
    </xdr:from>
    <xdr:to>
      <xdr:col>2</xdr:col>
      <xdr:colOff>81280</xdr:colOff>
      <xdr:row>22</xdr:row>
      <xdr:rowOff>115570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14159E6-AD81-47DA-B634-FA38F287FE8E}"/>
            </a:ext>
          </a:extLst>
        </xdr:cNvPr>
        <xdr:cNvSpPr txBox="1"/>
      </xdr:nvSpPr>
      <xdr:spPr>
        <a:xfrm>
          <a:off x="2915920" y="3263900"/>
          <a:ext cx="358140" cy="1511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900"/>
            <a:t>(3)</a:t>
          </a:r>
        </a:p>
      </xdr:txBody>
    </xdr:sp>
    <xdr:clientData/>
  </xdr:twoCellAnchor>
  <xdr:twoCellAnchor>
    <xdr:from>
      <xdr:col>0</xdr:col>
      <xdr:colOff>2103120</xdr:colOff>
      <xdr:row>26</xdr:row>
      <xdr:rowOff>44450</xdr:rowOff>
    </xdr:from>
    <xdr:to>
      <xdr:col>1</xdr:col>
      <xdr:colOff>157480</xdr:colOff>
      <xdr:row>28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6C79535-E0CA-47FF-8BB3-829705CB6900}"/>
            </a:ext>
          </a:extLst>
        </xdr:cNvPr>
        <xdr:cNvSpPr txBox="1"/>
      </xdr:nvSpPr>
      <xdr:spPr>
        <a:xfrm>
          <a:off x="2103120" y="4075430"/>
          <a:ext cx="363220" cy="336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900"/>
            <a:t>(4)</a:t>
          </a:r>
        </a:p>
      </xdr:txBody>
    </xdr:sp>
    <xdr:clientData/>
  </xdr:twoCellAnchor>
  <xdr:twoCellAnchor>
    <xdr:from>
      <xdr:col>0</xdr:col>
      <xdr:colOff>1516380</xdr:colOff>
      <xdr:row>27</xdr:row>
      <xdr:rowOff>121920</xdr:rowOff>
    </xdr:from>
    <xdr:to>
      <xdr:col>0</xdr:col>
      <xdr:colOff>1883410</xdr:colOff>
      <xdr:row>29</xdr:row>
      <xdr:rowOff>71120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5846C40-E697-4DAC-9229-0B3BDCEA7289}"/>
            </a:ext>
          </a:extLst>
        </xdr:cNvPr>
        <xdr:cNvSpPr txBox="1"/>
      </xdr:nvSpPr>
      <xdr:spPr>
        <a:xfrm>
          <a:off x="1516380" y="4335780"/>
          <a:ext cx="367030" cy="3225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900"/>
            <a:t>(5)</a:t>
          </a:r>
        </a:p>
      </xdr:txBody>
    </xdr:sp>
    <xdr:clientData/>
  </xdr:twoCellAnchor>
  <xdr:twoCellAnchor editAs="oneCell">
    <xdr:from>
      <xdr:col>0</xdr:col>
      <xdr:colOff>6350</xdr:colOff>
      <xdr:row>72</xdr:row>
      <xdr:rowOff>165100</xdr:rowOff>
    </xdr:from>
    <xdr:to>
      <xdr:col>11</xdr:col>
      <xdr:colOff>97790</xdr:colOff>
      <xdr:row>101</xdr:row>
      <xdr:rowOff>177181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6535CB7-A805-455A-2389-0F09DCAD3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" y="12534900"/>
          <a:ext cx="9461500" cy="53435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DF892-DEDF-402E-938A-8EBFEB99F732}">
  <dimension ref="A1:J44"/>
  <sheetViews>
    <sheetView showGridLines="0" workbookViewId="0">
      <selection activeCell="D32" sqref="D32"/>
    </sheetView>
  </sheetViews>
  <sheetFormatPr defaultRowHeight="14.4"/>
  <cols>
    <col min="1" max="1" width="36.6640625" customWidth="1"/>
    <col min="2" max="2" width="25.6640625" customWidth="1"/>
    <col min="3" max="3" width="2.6640625" customWidth="1"/>
    <col min="4" max="4" width="25.6640625" customWidth="1"/>
    <col min="5" max="5" width="2.6640625" customWidth="1"/>
    <col min="6" max="6" width="25.6640625" customWidth="1"/>
    <col min="7" max="10" width="10.6640625" customWidth="1"/>
  </cols>
  <sheetData>
    <row r="1" spans="1:10">
      <c r="A1" s="5" t="s">
        <v>0</v>
      </c>
    </row>
    <row r="2" spans="1:10">
      <c r="A2" s="5" t="s">
        <v>1</v>
      </c>
    </row>
    <row r="5" spans="1:10">
      <c r="B5" s="8"/>
      <c r="C5" s="8"/>
      <c r="D5" s="8"/>
      <c r="E5" s="8"/>
      <c r="F5" s="8"/>
      <c r="G5" s="8"/>
      <c r="H5" s="8"/>
    </row>
    <row r="6" spans="1:10">
      <c r="B6" s="9" t="s">
        <v>2</v>
      </c>
      <c r="C6" s="8"/>
      <c r="D6" s="9" t="s">
        <v>3</v>
      </c>
      <c r="E6" s="8"/>
      <c r="F6" s="9" t="s">
        <v>4</v>
      </c>
      <c r="G6" s="8"/>
      <c r="H6" s="8"/>
    </row>
    <row r="7" spans="1:10">
      <c r="A7" s="21" t="s">
        <v>5</v>
      </c>
    </row>
    <row r="8" spans="1:10">
      <c r="A8" s="12" t="s">
        <v>6</v>
      </c>
      <c r="B8" s="1"/>
      <c r="C8" s="18"/>
      <c r="D8" s="1"/>
      <c r="E8" s="18"/>
      <c r="F8" s="1">
        <v>11.956243000000001</v>
      </c>
      <c r="G8" s="1"/>
      <c r="H8" s="1" t="s">
        <v>7</v>
      </c>
      <c r="I8" s="1">
        <v>148.225615</v>
      </c>
      <c r="J8" s="1">
        <v>203.550353</v>
      </c>
    </row>
    <row r="9" spans="1:10">
      <c r="A9" s="12" t="s">
        <v>8</v>
      </c>
      <c r="B9" s="1"/>
      <c r="C9" s="18"/>
      <c r="D9" s="1"/>
      <c r="E9" s="18"/>
      <c r="F9" s="1">
        <v>100.77131771333333</v>
      </c>
      <c r="G9" s="1"/>
      <c r="H9" s="1" t="s">
        <v>9</v>
      </c>
      <c r="I9" s="30">
        <v>0.54</v>
      </c>
      <c r="J9" s="30">
        <v>0.54</v>
      </c>
    </row>
    <row r="10" spans="1:10">
      <c r="A10" s="12" t="s">
        <v>10</v>
      </c>
      <c r="B10" s="1">
        <v>125.11497741003997</v>
      </c>
      <c r="C10" s="18"/>
      <c r="D10" s="1">
        <v>125.11497741003997</v>
      </c>
      <c r="E10" s="18"/>
      <c r="F10" s="1">
        <v>73.548369742796154</v>
      </c>
      <c r="G10" s="1"/>
      <c r="H10" s="1"/>
      <c r="I10" s="1">
        <f>+I8*I9</f>
        <v>80.041832100000008</v>
      </c>
      <c r="J10" s="1">
        <f>+J8*J9</f>
        <v>109.91719062000001</v>
      </c>
    </row>
    <row r="11" spans="1:10">
      <c r="A11" s="12" t="s">
        <v>11</v>
      </c>
      <c r="B11" s="1">
        <v>18.275864726788093</v>
      </c>
      <c r="C11" s="18"/>
      <c r="D11" s="1">
        <v>18.275864726788093</v>
      </c>
      <c r="E11" s="18"/>
      <c r="F11" s="1">
        <v>32.423948000000003</v>
      </c>
      <c r="G11" s="1"/>
      <c r="H11" s="1" t="s">
        <v>12</v>
      </c>
      <c r="I11" s="29">
        <v>0.10199999999999999</v>
      </c>
      <c r="J11" s="29">
        <v>0.10199999999999999</v>
      </c>
    </row>
    <row r="12" spans="1:10" ht="15" thickBot="1">
      <c r="A12" s="12" t="s">
        <v>13</v>
      </c>
      <c r="B12" s="1"/>
      <c r="C12" s="18"/>
      <c r="D12" s="1"/>
      <c r="E12" s="18"/>
      <c r="F12" s="1">
        <v>20.996396000000001</v>
      </c>
      <c r="G12" s="1"/>
      <c r="H12" s="1" t="s">
        <v>14</v>
      </c>
      <c r="I12" s="2">
        <f>+I10*I11</f>
        <v>8.1642668742000009</v>
      </c>
      <c r="J12" s="2">
        <f>+J10*J11</f>
        <v>11.211553443240001</v>
      </c>
    </row>
    <row r="13" spans="1:10" ht="15" thickTop="1">
      <c r="A13" s="12" t="s">
        <v>15</v>
      </c>
      <c r="B13" s="1">
        <v>3.753449322301222</v>
      </c>
      <c r="C13" s="18"/>
      <c r="D13" s="1">
        <v>3.753449322301222</v>
      </c>
      <c r="E13" s="18"/>
      <c r="F13" s="1">
        <v>0</v>
      </c>
      <c r="G13" s="1"/>
      <c r="H13" s="1"/>
      <c r="I13" s="1">
        <f>+B21-I8</f>
        <v>6.4658179073745146</v>
      </c>
      <c r="J13" s="1">
        <f>+F21-J8</f>
        <v>51.44964699999997</v>
      </c>
    </row>
    <row r="14" spans="1:10">
      <c r="A14" s="12" t="s">
        <v>16</v>
      </c>
      <c r="B14" s="1"/>
      <c r="C14" s="18"/>
      <c r="D14" s="1"/>
      <c r="E14" s="18"/>
      <c r="F14" s="1">
        <f>0.25*4</f>
        <v>1</v>
      </c>
      <c r="G14" s="1"/>
      <c r="H14" s="1"/>
    </row>
    <row r="15" spans="1:10">
      <c r="A15" s="12" t="s">
        <v>17</v>
      </c>
      <c r="B15" s="1">
        <v>1.2</v>
      </c>
      <c r="C15" s="18"/>
      <c r="D15" s="1">
        <v>1.2</v>
      </c>
      <c r="E15" s="18"/>
      <c r="F15" s="1">
        <v>1.2</v>
      </c>
      <c r="G15" s="1"/>
      <c r="H15" s="1"/>
    </row>
    <row r="16" spans="1:10">
      <c r="A16" s="12" t="s">
        <v>18</v>
      </c>
      <c r="B16" s="1">
        <v>6.3471414482452246</v>
      </c>
      <c r="C16" s="18"/>
      <c r="D16" s="1">
        <v>6.3471414482452246</v>
      </c>
      <c r="E16" s="18"/>
      <c r="F16" s="1">
        <v>13.103725543870508</v>
      </c>
      <c r="G16" s="1"/>
      <c r="H16" s="1"/>
    </row>
    <row r="17" spans="1:9" ht="15" thickBot="1">
      <c r="A17" s="12" t="s">
        <v>19</v>
      </c>
      <c r="B17" s="3">
        <f>SUM(B8:B16)</f>
        <v>154.69143290737452</v>
      </c>
      <c r="C17" s="18"/>
      <c r="D17" s="3">
        <f>SUM(D8:D16)</f>
        <v>154.69143290737452</v>
      </c>
      <c r="E17" s="18"/>
      <c r="F17" s="3">
        <f>SUM(F8:F16)</f>
        <v>254.99999999999997</v>
      </c>
      <c r="G17" s="18"/>
      <c r="H17" s="18"/>
    </row>
    <row r="18" spans="1:9" ht="8.1" customHeight="1">
      <c r="A18" s="12"/>
      <c r="B18" s="1"/>
      <c r="C18" s="18"/>
      <c r="D18" s="1"/>
      <c r="E18" s="18"/>
      <c r="F18" s="1"/>
      <c r="G18" s="1"/>
      <c r="H18" s="1"/>
    </row>
    <row r="19" spans="1:9">
      <c r="A19" s="12" t="s">
        <v>20</v>
      </c>
      <c r="B19" s="1">
        <v>0</v>
      </c>
      <c r="C19" s="18"/>
      <c r="D19" s="1">
        <v>62.234067000000003</v>
      </c>
      <c r="E19" s="18"/>
      <c r="F19" s="1">
        <v>0</v>
      </c>
      <c r="G19" s="1"/>
      <c r="H19" s="1"/>
    </row>
    <row r="20" spans="1:9" ht="8.1" customHeight="1">
      <c r="A20" s="12"/>
      <c r="B20" s="1"/>
      <c r="C20" s="18"/>
      <c r="D20" s="1"/>
      <c r="E20" s="18"/>
      <c r="F20" s="1"/>
      <c r="G20" s="1"/>
      <c r="H20" s="1"/>
    </row>
    <row r="21" spans="1:9" ht="15" thickBot="1">
      <c r="A21" s="12" t="s">
        <v>21</v>
      </c>
      <c r="B21" s="2">
        <f>SUM(B17:B20)</f>
        <v>154.69143290737452</v>
      </c>
      <c r="C21" s="18"/>
      <c r="D21" s="2">
        <f>SUM(D17:D20)</f>
        <v>216.92549990737453</v>
      </c>
      <c r="E21" s="18"/>
      <c r="F21" s="2">
        <f>SUM(F17:F20)</f>
        <v>254.99999999999997</v>
      </c>
      <c r="G21" s="18"/>
      <c r="H21" s="18"/>
    </row>
    <row r="22" spans="1:9" ht="15" thickTop="1">
      <c r="A22" s="12"/>
      <c r="B22" s="1"/>
      <c r="C22" s="18"/>
      <c r="D22" s="1"/>
      <c r="E22" s="18"/>
      <c r="F22" s="1"/>
      <c r="G22" s="1"/>
      <c r="H22" s="1"/>
    </row>
    <row r="23" spans="1:9">
      <c r="A23" s="12" t="s">
        <v>22</v>
      </c>
      <c r="B23" s="1">
        <v>0.61765357134827314</v>
      </c>
      <c r="C23" s="18"/>
      <c r="D23" s="1">
        <v>0.61765357134827314</v>
      </c>
      <c r="E23" s="18"/>
      <c r="F23" s="1">
        <v>5.2430963447811445E-2</v>
      </c>
      <c r="G23" s="1"/>
      <c r="H23" s="1"/>
    </row>
    <row r="24" spans="1:9" ht="8.1" customHeight="1">
      <c r="A24" s="12"/>
      <c r="B24" s="1"/>
      <c r="C24" s="18"/>
      <c r="D24" s="1"/>
      <c r="E24" s="18"/>
      <c r="F24" s="1"/>
      <c r="G24" s="1"/>
      <c r="H24" s="1"/>
    </row>
    <row r="25" spans="1:9" ht="43.2">
      <c r="A25" s="12" t="s">
        <v>23</v>
      </c>
      <c r="B25" s="25" t="s">
        <v>24</v>
      </c>
      <c r="C25" s="26"/>
      <c r="D25" s="25" t="s">
        <v>24</v>
      </c>
      <c r="E25" s="26"/>
      <c r="F25" s="27" t="s">
        <v>25</v>
      </c>
      <c r="G25" s="27"/>
      <c r="H25" s="27"/>
    </row>
    <row r="26" spans="1:9" ht="8.1" customHeight="1">
      <c r="A26" s="12"/>
      <c r="B26" s="4"/>
      <c r="C26" s="19"/>
      <c r="D26" s="4"/>
      <c r="E26" s="19"/>
      <c r="F26" s="4"/>
      <c r="G26" s="4"/>
      <c r="H26" s="4"/>
    </row>
    <row r="27" spans="1:9">
      <c r="A27" s="12" t="s">
        <v>26</v>
      </c>
      <c r="B27" s="1">
        <v>0</v>
      </c>
      <c r="C27" s="19"/>
      <c r="D27" s="1"/>
      <c r="E27" s="19"/>
      <c r="F27" s="1">
        <v>16.027439046809466</v>
      </c>
      <c r="G27" s="1"/>
      <c r="H27" s="1"/>
    </row>
    <row r="28" spans="1:9">
      <c r="A28" s="15"/>
      <c r="B28" s="16"/>
      <c r="C28" s="19"/>
      <c r="D28" s="16"/>
      <c r="E28" s="19"/>
      <c r="F28" s="16"/>
      <c r="G28" s="16"/>
      <c r="H28" s="16"/>
      <c r="I28" s="17"/>
    </row>
    <row r="30" spans="1:9">
      <c r="A30" s="6" t="s">
        <v>27</v>
      </c>
    </row>
    <row r="31" spans="1:9">
      <c r="A31" s="7" t="s">
        <v>28</v>
      </c>
      <c r="B31" s="1">
        <v>3.815152048148148</v>
      </c>
      <c r="C31" s="18"/>
      <c r="D31" s="1">
        <v>2.2623286868421051</v>
      </c>
      <c r="E31" s="18"/>
      <c r="F31" s="1">
        <v>0</v>
      </c>
      <c r="G31" s="1"/>
      <c r="H31" s="1"/>
    </row>
    <row r="32" spans="1:9">
      <c r="A32" s="7" t="s">
        <v>29</v>
      </c>
      <c r="B32" s="1">
        <v>3.7929983333333337</v>
      </c>
      <c r="C32" s="18"/>
      <c r="D32" s="1">
        <v>3.7929983333333337</v>
      </c>
      <c r="E32" s="18"/>
      <c r="F32" s="1">
        <v>3.3334101481481482</v>
      </c>
      <c r="G32" s="1"/>
      <c r="H32" s="1"/>
    </row>
    <row r="33" spans="1:9">
      <c r="A33" s="7" t="s">
        <v>30</v>
      </c>
      <c r="B33" s="1">
        <v>2.7490039629629632</v>
      </c>
      <c r="C33" s="18"/>
      <c r="D33" s="1">
        <v>2.7490039629629632</v>
      </c>
      <c r="E33" s="18"/>
      <c r="F33" s="1">
        <v>0.26472429629629629</v>
      </c>
      <c r="G33" s="1"/>
      <c r="H33" s="1"/>
    </row>
    <row r="34" spans="1:9" ht="15" thickBot="1">
      <c r="A34" s="7" t="s">
        <v>31</v>
      </c>
      <c r="B34" s="10">
        <f>SUM(B31:B33)</f>
        <v>10.357154344444444</v>
      </c>
      <c r="C34" s="20"/>
      <c r="D34" s="10">
        <f>SUM(D31:D33)</f>
        <v>8.8043309831384011</v>
      </c>
      <c r="E34" s="20"/>
      <c r="F34" s="10">
        <f>SUM(F31:F33)</f>
        <v>3.5981344444444443</v>
      </c>
      <c r="G34" s="20"/>
      <c r="H34" s="20"/>
    </row>
    <row r="35" spans="1:9" ht="15" thickTop="1">
      <c r="A35" s="23" t="s">
        <v>32</v>
      </c>
      <c r="B35" s="24">
        <v>8.1123447394736843</v>
      </c>
      <c r="C35" s="24"/>
      <c r="D35" s="24">
        <v>8.1123447394736843</v>
      </c>
      <c r="E35" s="24"/>
      <c r="F35" s="24">
        <v>3.3478889999999999</v>
      </c>
      <c r="G35" s="24"/>
      <c r="H35" s="24"/>
    </row>
    <row r="36" spans="1:9">
      <c r="A36" s="23" t="s">
        <v>33</v>
      </c>
      <c r="B36" s="24">
        <v>15.68857715625</v>
      </c>
      <c r="C36" s="24"/>
      <c r="D36" s="24">
        <v>8.1854696249999996</v>
      </c>
      <c r="E36" s="24"/>
      <c r="F36" s="24">
        <v>4.2674673749999998</v>
      </c>
      <c r="G36" s="24"/>
      <c r="H36" s="24"/>
    </row>
    <row r="38" spans="1:9" ht="86.4">
      <c r="A38" s="14" t="s">
        <v>34</v>
      </c>
      <c r="B38" s="13" t="s">
        <v>35</v>
      </c>
      <c r="C38" s="13"/>
      <c r="D38" s="13" t="s">
        <v>36</v>
      </c>
      <c r="E38" s="13"/>
      <c r="F38" s="13" t="s">
        <v>37</v>
      </c>
      <c r="G38" s="13"/>
      <c r="H38" s="13"/>
    </row>
    <row r="39" spans="1:9" ht="100.8">
      <c r="B39" s="13" t="s">
        <v>38</v>
      </c>
      <c r="C39" s="13"/>
      <c r="D39" s="13" t="s">
        <v>38</v>
      </c>
      <c r="E39" s="13"/>
      <c r="F39" s="13" t="s">
        <v>39</v>
      </c>
      <c r="G39" s="13"/>
      <c r="H39" s="13"/>
    </row>
    <row r="40" spans="1:9" ht="57.6">
      <c r="B40" s="13" t="s">
        <v>40</v>
      </c>
      <c r="C40" s="13"/>
      <c r="D40" s="13" t="s">
        <v>40</v>
      </c>
      <c r="E40" s="13"/>
      <c r="F40" s="13" t="s">
        <v>41</v>
      </c>
      <c r="G40" s="13"/>
      <c r="H40" s="13"/>
    </row>
    <row r="41" spans="1:9" ht="57.6">
      <c r="B41" s="13" t="s">
        <v>42</v>
      </c>
      <c r="C41" s="13"/>
      <c r="D41" s="13" t="s">
        <v>42</v>
      </c>
      <c r="E41" s="13"/>
      <c r="F41" s="13" t="s">
        <v>37</v>
      </c>
      <c r="G41" s="13"/>
      <c r="H41" s="13"/>
    </row>
    <row r="42" spans="1:9">
      <c r="B42" s="11"/>
      <c r="C42" s="11"/>
      <c r="D42" s="11"/>
      <c r="E42" s="11"/>
      <c r="F42" s="11"/>
      <c r="G42" s="11"/>
      <c r="H42" s="11"/>
    </row>
    <row r="43" spans="1:9">
      <c r="B43" s="11"/>
      <c r="C43" s="11"/>
      <c r="D43" s="11"/>
      <c r="E43" s="11"/>
      <c r="F43" s="11"/>
      <c r="G43" s="11"/>
      <c r="H43" s="11"/>
    </row>
    <row r="44" spans="1:9">
      <c r="A44" s="15"/>
      <c r="B44" s="16"/>
      <c r="C44" s="19"/>
      <c r="D44" s="16"/>
      <c r="E44" s="19"/>
      <c r="F44" s="16"/>
      <c r="G44" s="16"/>
      <c r="H44" s="16"/>
      <c r="I44" s="1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9140E-4AD6-4B98-ADA4-1947E32BCA50}">
  <dimension ref="A1:G81"/>
  <sheetViews>
    <sheetView showGridLines="0" tabSelected="1" topLeftCell="A18" workbookViewId="0">
      <selection activeCell="A30" sqref="A30:XFD31"/>
    </sheetView>
  </sheetViews>
  <sheetFormatPr defaultRowHeight="14.4"/>
  <cols>
    <col min="1" max="1" width="37.6640625" bestFit="1" customWidth="1"/>
    <col min="2" max="2" width="15.6640625" customWidth="1"/>
    <col min="3" max="3" width="2.6640625" customWidth="1"/>
    <col min="4" max="4" width="15.6640625" customWidth="1"/>
    <col min="5" max="5" width="2.6640625" customWidth="1"/>
    <col min="6" max="6" width="15.6640625" customWidth="1"/>
  </cols>
  <sheetData>
    <row r="1" spans="1:6">
      <c r="A1" s="5" t="s">
        <v>0</v>
      </c>
    </row>
    <row r="2" spans="1:6">
      <c r="A2" s="5" t="s">
        <v>1</v>
      </c>
    </row>
    <row r="3" spans="1:6" hidden="1"/>
    <row r="4" spans="1:6" hidden="1"/>
    <row r="5" spans="1:6" hidden="1">
      <c r="B5" s="8"/>
      <c r="C5" s="8"/>
      <c r="D5" s="8"/>
      <c r="E5" s="8"/>
      <c r="F5" s="8"/>
    </row>
    <row r="6" spans="1:6" ht="31.2">
      <c r="A6" s="32"/>
      <c r="B6" s="33" t="s">
        <v>43</v>
      </c>
      <c r="C6" s="34"/>
      <c r="D6" s="33" t="s">
        <v>44</v>
      </c>
      <c r="E6" s="34"/>
      <c r="F6" s="33" t="s">
        <v>45</v>
      </c>
    </row>
    <row r="7" spans="1:6" ht="15.6">
      <c r="A7" s="32"/>
      <c r="B7" s="34"/>
      <c r="C7" s="34"/>
      <c r="D7" s="34"/>
      <c r="E7" s="34"/>
      <c r="F7" s="34"/>
    </row>
    <row r="8" spans="1:6" ht="15.6">
      <c r="A8" s="35" t="s">
        <v>21</v>
      </c>
      <c r="B8" s="36">
        <f>+Assumptions!B21</f>
        <v>154.69143290737452</v>
      </c>
      <c r="C8" s="37"/>
      <c r="D8" s="36">
        <f>+Assumptions!D21</f>
        <v>216.92549990737453</v>
      </c>
      <c r="E8" s="37"/>
      <c r="F8" s="36">
        <f>+Assumptions!F21</f>
        <v>254.99999999999997</v>
      </c>
    </row>
    <row r="9" spans="1:6" ht="15.6">
      <c r="A9" s="35" t="s">
        <v>46</v>
      </c>
      <c r="B9" s="36">
        <f>+Assumptions!B23</f>
        <v>0.61765357134827314</v>
      </c>
      <c r="C9" s="37"/>
      <c r="D9" s="36">
        <f>+Assumptions!D23</f>
        <v>0.61765357134827314</v>
      </c>
      <c r="E9" s="37"/>
      <c r="F9" s="36">
        <f>+Assumptions!F23</f>
        <v>5.2430963447811445E-2</v>
      </c>
    </row>
    <row r="10" spans="1:6" ht="8.1" customHeight="1">
      <c r="A10" s="38"/>
      <c r="B10" s="37"/>
      <c r="C10" s="37"/>
      <c r="D10" s="37"/>
      <c r="E10" s="37"/>
      <c r="F10" s="37"/>
    </row>
    <row r="11" spans="1:6" ht="15.6">
      <c r="A11" s="35" t="s">
        <v>47</v>
      </c>
      <c r="B11" s="36">
        <f>+Assumptions!B34</f>
        <v>10.357154344444444</v>
      </c>
      <c r="C11" s="37"/>
      <c r="D11" s="36">
        <f>+Assumptions!D34</f>
        <v>8.8043309831384011</v>
      </c>
      <c r="E11" s="37"/>
      <c r="F11" s="36">
        <f>+Assumptions!F34</f>
        <v>3.5981344444444443</v>
      </c>
    </row>
    <row r="12" spans="1:6" ht="8.1" customHeight="1">
      <c r="A12" s="38"/>
      <c r="B12" s="37"/>
      <c r="C12" s="37"/>
      <c r="D12" s="37"/>
      <c r="E12" s="37"/>
      <c r="F12" s="37"/>
    </row>
    <row r="13" spans="1:6" ht="15.6">
      <c r="A13" s="35" t="s">
        <v>26</v>
      </c>
      <c r="B13" s="36" t="s">
        <v>48</v>
      </c>
      <c r="C13" s="37"/>
      <c r="D13" s="36" t="s">
        <v>48</v>
      </c>
      <c r="E13" s="37"/>
      <c r="F13" s="36">
        <f>+Assumptions!F27</f>
        <v>16.027439046809466</v>
      </c>
    </row>
    <row r="14" spans="1:6" ht="8.1" customHeight="1">
      <c r="A14" s="38"/>
      <c r="B14" s="37"/>
      <c r="C14" s="37"/>
      <c r="D14" s="37"/>
      <c r="E14" s="37"/>
      <c r="F14" s="37"/>
    </row>
    <row r="15" spans="1:6" ht="15.6">
      <c r="A15" s="35" t="s">
        <v>49</v>
      </c>
      <c r="B15" s="36">
        <v>0</v>
      </c>
      <c r="C15" s="37"/>
      <c r="D15" s="36">
        <v>62.234067000000003</v>
      </c>
      <c r="E15" s="37"/>
      <c r="F15" s="36">
        <v>255</v>
      </c>
    </row>
    <row r="16" spans="1:6" ht="8.1" customHeight="1">
      <c r="A16" s="38"/>
      <c r="B16" s="37"/>
      <c r="C16" s="37"/>
      <c r="D16" s="37"/>
      <c r="E16" s="37"/>
      <c r="F16" s="37"/>
    </row>
    <row r="17" spans="1:7" ht="15.6">
      <c r="A17" s="35" t="s">
        <v>50</v>
      </c>
      <c r="B17" s="37"/>
      <c r="C17" s="37"/>
      <c r="D17" s="37"/>
      <c r="E17" s="37"/>
      <c r="F17" s="37"/>
    </row>
    <row r="18" spans="1:7" ht="15.6">
      <c r="A18" s="39" t="s">
        <v>51</v>
      </c>
      <c r="B18" s="40">
        <v>5.882173506831645E-2</v>
      </c>
      <c r="C18" s="41"/>
      <c r="D18" s="40">
        <v>6.1044390951869865E-2</v>
      </c>
      <c r="E18" s="41"/>
      <c r="F18" s="40">
        <v>8.5088948022705502E-2</v>
      </c>
    </row>
    <row r="19" spans="1:7" ht="15.6">
      <c r="A19" s="39" t="s">
        <v>52</v>
      </c>
      <c r="B19" s="36">
        <v>-14.388300097966907</v>
      </c>
      <c r="C19" s="37"/>
      <c r="D19" s="36">
        <v>-12.984200669983206</v>
      </c>
      <c r="E19" s="37"/>
      <c r="F19" s="36">
        <v>32.711412663458887</v>
      </c>
    </row>
    <row r="20" spans="1:7" ht="8.1" customHeight="1">
      <c r="A20" s="38"/>
      <c r="B20" s="37"/>
      <c r="C20" s="37"/>
      <c r="D20" s="37"/>
      <c r="E20" s="37"/>
      <c r="F20" s="37"/>
    </row>
    <row r="21" spans="1:7" ht="15.6">
      <c r="A21" s="35" t="s">
        <v>53</v>
      </c>
      <c r="B21" s="37"/>
      <c r="C21" s="37"/>
      <c r="D21" s="37"/>
      <c r="E21" s="37"/>
      <c r="F21" s="37"/>
    </row>
    <row r="22" spans="1:7" ht="15.6">
      <c r="A22" s="39" t="s">
        <v>54</v>
      </c>
      <c r="B22" s="36">
        <v>283.12742943791699</v>
      </c>
      <c r="C22" s="37"/>
      <c r="D22" s="36">
        <v>274.91217979463659</v>
      </c>
      <c r="E22" s="37"/>
      <c r="F22" s="36">
        <v>284.08798586738448</v>
      </c>
      <c r="G22" s="31"/>
    </row>
    <row r="23" spans="1:7" ht="15.6">
      <c r="A23" s="39" t="s">
        <v>55</v>
      </c>
      <c r="B23" s="36">
        <v>331.78328528652656</v>
      </c>
      <c r="C23" s="37"/>
      <c r="D23" s="36">
        <v>325.44739834176477</v>
      </c>
      <c r="E23" s="37"/>
      <c r="F23" s="36">
        <v>345.5536481656024</v>
      </c>
      <c r="G23" s="31"/>
    </row>
    <row r="24" spans="1:7" ht="15.6">
      <c r="A24" s="32"/>
      <c r="B24" s="32"/>
      <c r="C24" s="32"/>
      <c r="D24" s="32"/>
      <c r="E24" s="32"/>
      <c r="F24" s="32"/>
    </row>
    <row r="25" spans="1:7" ht="15.6" hidden="1">
      <c r="A25" s="35" t="s">
        <v>56</v>
      </c>
      <c r="B25" s="32"/>
      <c r="C25" s="32"/>
      <c r="D25" s="32"/>
      <c r="E25" s="32"/>
      <c r="F25" s="32"/>
    </row>
    <row r="26" spans="1:7" ht="15.6" hidden="1">
      <c r="A26" s="39" t="s">
        <v>57</v>
      </c>
      <c r="B26" s="36">
        <v>-2.6587136365033626E-2</v>
      </c>
      <c r="C26" s="37"/>
      <c r="D26" s="36">
        <v>8.4751520594055769</v>
      </c>
      <c r="E26" s="37"/>
      <c r="F26" s="36">
        <v>34.691531568949927</v>
      </c>
    </row>
    <row r="27" spans="1:7" ht="15.6" hidden="1">
      <c r="A27" s="39" t="s">
        <v>58</v>
      </c>
      <c r="B27" s="36">
        <v>-2.2375079032749268E-4</v>
      </c>
      <c r="C27" s="37"/>
      <c r="D27" s="36">
        <v>0.87666768117587102</v>
      </c>
      <c r="E27" s="37"/>
      <c r="F27" s="36">
        <v>3.5912031915474802</v>
      </c>
    </row>
    <row r="28" spans="1:7" hidden="1"/>
    <row r="29" spans="1:7">
      <c r="A29" t="s">
        <v>59</v>
      </c>
    </row>
    <row r="30" spans="1:7" hidden="1"/>
    <row r="31" spans="1:7" hidden="1">
      <c r="A31" t="s">
        <v>60</v>
      </c>
    </row>
    <row r="32" spans="1:7" ht="31.2">
      <c r="A32" s="32"/>
      <c r="B32" s="33" t="str">
        <f>+B6</f>
        <v>Plaza
Lease</v>
      </c>
      <c r="C32" s="34"/>
      <c r="D32" s="33" t="str">
        <f>+D6</f>
        <v>Plaza 
Purchase</v>
      </c>
      <c r="E32" s="34"/>
      <c r="F32" s="33" t="str">
        <f>+F6</f>
        <v>Midtown
Purchase</v>
      </c>
    </row>
    <row r="33" spans="1:6" ht="15.6">
      <c r="A33" s="32"/>
      <c r="B33" s="34"/>
      <c r="C33" s="34"/>
      <c r="D33" s="34"/>
      <c r="E33" s="34"/>
      <c r="F33" s="34"/>
    </row>
    <row r="34" spans="1:6" ht="15.6">
      <c r="A34" s="35" t="s">
        <v>21</v>
      </c>
      <c r="B34" s="36">
        <f>+B8*0.74</f>
        <v>114.47166035145715</v>
      </c>
      <c r="C34" s="37"/>
      <c r="D34" s="36">
        <f>+D8*0.74</f>
        <v>160.52486993145715</v>
      </c>
      <c r="E34" s="37"/>
      <c r="F34" s="36">
        <f>+F8*0.74</f>
        <v>188.7</v>
      </c>
    </row>
    <row r="35" spans="1:6" ht="15.6">
      <c r="A35" s="35" t="s">
        <v>46</v>
      </c>
      <c r="B35" s="36">
        <f>+B9*0.74</f>
        <v>0.4570636427977221</v>
      </c>
      <c r="C35" s="37"/>
      <c r="D35" s="36">
        <f>+D9*0.74</f>
        <v>0.4570636427977221</v>
      </c>
      <c r="E35" s="37"/>
      <c r="F35" s="36">
        <f>+F9*0.74</f>
        <v>3.8798912951380465E-2</v>
      </c>
    </row>
    <row r="36" spans="1:6" ht="8.1" customHeight="1">
      <c r="A36" s="38"/>
      <c r="B36" s="37"/>
      <c r="C36" s="37"/>
      <c r="D36" s="37"/>
      <c r="E36" s="37"/>
      <c r="F36" s="37"/>
    </row>
    <row r="37" spans="1:6" ht="15.6">
      <c r="A37" s="35" t="s">
        <v>47</v>
      </c>
      <c r="B37" s="36">
        <f>+B11*0.74</f>
        <v>7.6642942148888888</v>
      </c>
      <c r="C37" s="37"/>
      <c r="D37" s="36">
        <f>+D11*0.74</f>
        <v>6.5152049275224169</v>
      </c>
      <c r="E37" s="37"/>
      <c r="F37" s="36">
        <f>+F11*0.74</f>
        <v>2.6626194888888888</v>
      </c>
    </row>
    <row r="38" spans="1:6" ht="8.1" customHeight="1">
      <c r="A38" s="38"/>
      <c r="B38" s="37"/>
      <c r="C38" s="37"/>
      <c r="D38" s="37"/>
      <c r="E38" s="37"/>
      <c r="F38" s="37"/>
    </row>
    <row r="39" spans="1:6" ht="15.6">
      <c r="A39" s="35" t="s">
        <v>26</v>
      </c>
      <c r="B39" s="36" t="s">
        <v>48</v>
      </c>
      <c r="C39" s="37"/>
      <c r="D39" s="36" t="s">
        <v>48</v>
      </c>
      <c r="E39" s="37"/>
      <c r="F39" s="36">
        <f>+F13*0.74</f>
        <v>11.860304894639004</v>
      </c>
    </row>
    <row r="40" spans="1:6" ht="8.1" customHeight="1">
      <c r="A40" s="38"/>
      <c r="B40" s="37"/>
      <c r="C40" s="37"/>
      <c r="D40" s="37"/>
      <c r="E40" s="37"/>
      <c r="F40" s="37"/>
    </row>
    <row r="41" spans="1:6" ht="15.6">
      <c r="A41" s="35" t="s">
        <v>49</v>
      </c>
      <c r="B41" s="36">
        <f>+B15*0.74</f>
        <v>0</v>
      </c>
      <c r="C41" s="37"/>
      <c r="D41" s="36">
        <f>+D15*0.74</f>
        <v>46.053209580000001</v>
      </c>
      <c r="E41" s="37"/>
      <c r="F41" s="36">
        <f>+F15*0.74</f>
        <v>188.7</v>
      </c>
    </row>
    <row r="42" spans="1:6" ht="8.1" customHeight="1">
      <c r="A42" s="38"/>
      <c r="B42" s="37"/>
      <c r="C42" s="37"/>
      <c r="D42" s="37"/>
      <c r="E42" s="37"/>
      <c r="F42" s="37"/>
    </row>
    <row r="43" spans="1:6" ht="15.6">
      <c r="A43" s="35" t="s">
        <v>50</v>
      </c>
      <c r="B43" s="37"/>
      <c r="C43" s="37"/>
      <c r="D43" s="37"/>
      <c r="E43" s="37"/>
      <c r="F43" s="37"/>
    </row>
    <row r="44" spans="1:6" ht="15.6">
      <c r="A44" s="39" t="s">
        <v>51</v>
      </c>
      <c r="B44" s="40">
        <v>5.882173506831645E-2</v>
      </c>
      <c r="C44" s="41"/>
      <c r="D44" s="40">
        <v>5.882173506831645E-2</v>
      </c>
      <c r="E44" s="41"/>
      <c r="F44" s="40">
        <v>8.5088948022705502E-2</v>
      </c>
    </row>
    <row r="45" spans="1:6" ht="15.6">
      <c r="A45" s="39" t="s">
        <v>52</v>
      </c>
      <c r="B45" s="36">
        <v>-10.64734207249551</v>
      </c>
      <c r="C45" s="37"/>
      <c r="D45" s="36">
        <v>-10.64734207249551</v>
      </c>
      <c r="E45" s="37"/>
      <c r="F45" s="36">
        <v>24.206445370959575</v>
      </c>
    </row>
    <row r="46" spans="1:6" ht="8.1" customHeight="1">
      <c r="A46" s="38"/>
      <c r="B46" s="37"/>
      <c r="C46" s="37"/>
      <c r="D46" s="37"/>
      <c r="E46" s="37"/>
      <c r="F46" s="37"/>
    </row>
    <row r="47" spans="1:6" ht="15.6">
      <c r="A47" s="35" t="s">
        <v>53</v>
      </c>
      <c r="B47" s="37"/>
      <c r="C47" s="37"/>
      <c r="D47" s="37"/>
      <c r="E47" s="37"/>
      <c r="F47" s="37"/>
    </row>
    <row r="48" spans="1:6" ht="15.6">
      <c r="A48" s="39" t="s">
        <v>54</v>
      </c>
      <c r="B48" s="36">
        <f>+B22*0.74</f>
        <v>209.51429778405856</v>
      </c>
      <c r="C48" s="37"/>
      <c r="D48" s="36">
        <f>+D22*0.74</f>
        <v>203.43501304803107</v>
      </c>
      <c r="E48" s="37"/>
      <c r="F48" s="36">
        <f>+F22*0.74</f>
        <v>210.2251095418645</v>
      </c>
    </row>
    <row r="49" spans="1:6" ht="15.6">
      <c r="A49" s="39" t="s">
        <v>55</v>
      </c>
      <c r="B49" s="36">
        <f>+B23*0.74</f>
        <v>245.51963111202966</v>
      </c>
      <c r="C49" s="37"/>
      <c r="D49" s="36">
        <f>+D23*0.74</f>
        <v>240.83107477290594</v>
      </c>
      <c r="E49" s="37"/>
      <c r="F49" s="36">
        <f>+F23*0.74</f>
        <v>255.70969964254576</v>
      </c>
    </row>
    <row r="50" spans="1:6" ht="15.6" hidden="1">
      <c r="A50" s="32"/>
      <c r="B50" s="32"/>
      <c r="C50" s="32"/>
      <c r="D50" s="32"/>
      <c r="E50" s="32"/>
      <c r="F50" s="32"/>
    </row>
    <row r="51" spans="1:6" ht="15.6" hidden="1">
      <c r="A51" s="35" t="s">
        <v>56</v>
      </c>
      <c r="B51" s="32"/>
      <c r="C51" s="32"/>
      <c r="D51" s="32"/>
      <c r="E51" s="32"/>
      <c r="F51" s="32"/>
    </row>
    <row r="52" spans="1:6" ht="15.6" hidden="1">
      <c r="A52" s="39" t="s">
        <v>57</v>
      </c>
      <c r="B52" s="36">
        <f>+B26*0.74</f>
        <v>-1.9674480910124883E-2</v>
      </c>
      <c r="C52" s="37"/>
      <c r="D52" s="36">
        <f>+D26*0.74</f>
        <v>6.271612523960127</v>
      </c>
      <c r="E52" s="37"/>
      <c r="F52" s="36">
        <f>+F26*0.74</f>
        <v>25.671733361022945</v>
      </c>
    </row>
    <row r="53" spans="1:6" ht="15.6" hidden="1">
      <c r="A53" s="39" t="s">
        <v>58</v>
      </c>
      <c r="B53" s="36">
        <f>+B27*0.74</f>
        <v>-1.6557558484234458E-4</v>
      </c>
      <c r="C53" s="37"/>
      <c r="D53" s="36">
        <f>+D27*0.74</f>
        <v>0.64873408407014455</v>
      </c>
      <c r="E53" s="37"/>
      <c r="F53" s="36">
        <f>+F27*0.74</f>
        <v>2.6574903617451353</v>
      </c>
    </row>
    <row r="55" spans="1:6">
      <c r="A55" t="s">
        <v>61</v>
      </c>
    </row>
    <row r="57" spans="1:6">
      <c r="A57" t="s">
        <v>62</v>
      </c>
    </row>
    <row r="58" spans="1:6" ht="31.2">
      <c r="A58" s="32"/>
      <c r="B58" s="33" t="str">
        <f>+B6</f>
        <v>Plaza
Lease</v>
      </c>
      <c r="C58" s="34"/>
      <c r="D58" s="33" t="str">
        <f>+D6</f>
        <v>Plaza 
Purchase</v>
      </c>
      <c r="E58" s="34"/>
      <c r="F58" s="33" t="str">
        <f>+F6</f>
        <v>Midtown
Purchase</v>
      </c>
    </row>
    <row r="59" spans="1:6" ht="15.6">
      <c r="A59" s="32"/>
      <c r="B59" s="34"/>
      <c r="C59" s="34"/>
      <c r="D59" s="34"/>
      <c r="E59" s="34"/>
      <c r="F59" s="34"/>
    </row>
    <row r="60" spans="1:6" ht="15.6">
      <c r="A60" s="35" t="s">
        <v>21</v>
      </c>
      <c r="B60" s="36">
        <f>+B8-B34</f>
        <v>40.219772555917373</v>
      </c>
      <c r="C60" s="37"/>
      <c r="D60" s="36">
        <f>+D8-D34</f>
        <v>56.400629975917383</v>
      </c>
      <c r="E60" s="37"/>
      <c r="F60" s="36">
        <f>+F8-F34</f>
        <v>66.299999999999983</v>
      </c>
    </row>
    <row r="61" spans="1:6" ht="15.6">
      <c r="A61" s="35" t="s">
        <v>46</v>
      </c>
      <c r="B61" s="36">
        <f>+B9-B35</f>
        <v>0.16058992855055104</v>
      </c>
      <c r="C61" s="37"/>
      <c r="D61" s="36">
        <f>+D9-D35</f>
        <v>0.16058992855055104</v>
      </c>
      <c r="E61" s="37"/>
      <c r="F61" s="36">
        <f>+F9-F35</f>
        <v>1.3632050496430979E-2</v>
      </c>
    </row>
    <row r="62" spans="1:6" ht="8.1" customHeight="1">
      <c r="A62" s="38"/>
      <c r="B62" s="37"/>
      <c r="C62" s="37"/>
      <c r="D62" s="37"/>
      <c r="E62" s="37"/>
      <c r="F62" s="37"/>
    </row>
    <row r="63" spans="1:6" ht="15.6">
      <c r="A63" s="35" t="s">
        <v>47</v>
      </c>
      <c r="B63" s="36">
        <f>+B11-B37</f>
        <v>2.6928601295555552</v>
      </c>
      <c r="C63" s="37"/>
      <c r="D63" s="36">
        <f>+D11-D37</f>
        <v>2.2891260556159843</v>
      </c>
      <c r="E63" s="37"/>
      <c r="F63" s="36">
        <f>+F11-F37</f>
        <v>0.93551495555555553</v>
      </c>
    </row>
    <row r="64" spans="1:6" ht="8.1" customHeight="1">
      <c r="A64" s="38"/>
      <c r="B64" s="37"/>
      <c r="C64" s="37"/>
      <c r="D64" s="37"/>
      <c r="E64" s="37"/>
      <c r="F64" s="37"/>
    </row>
    <row r="65" spans="1:6" ht="15.6">
      <c r="A65" s="35" t="s">
        <v>26</v>
      </c>
      <c r="B65" s="36" t="s">
        <v>48</v>
      </c>
      <c r="C65" s="37"/>
      <c r="D65" s="36" t="s">
        <v>48</v>
      </c>
      <c r="E65" s="37"/>
      <c r="F65" s="36">
        <f>+F13-F39</f>
        <v>4.1671341521704619</v>
      </c>
    </row>
    <row r="66" spans="1:6" ht="8.1" customHeight="1">
      <c r="A66" s="38"/>
      <c r="B66" s="37"/>
      <c r="C66" s="37"/>
      <c r="D66" s="37"/>
      <c r="E66" s="37"/>
      <c r="F66" s="37"/>
    </row>
    <row r="67" spans="1:6" ht="15.6">
      <c r="A67" s="35" t="s">
        <v>49</v>
      </c>
      <c r="B67" s="36">
        <f>+B15-B41</f>
        <v>0</v>
      </c>
      <c r="C67" s="37"/>
      <c r="D67" s="36">
        <f>+D15-D41</f>
        <v>16.180857420000002</v>
      </c>
      <c r="E67" s="37"/>
      <c r="F67" s="36">
        <f>+F15-F41</f>
        <v>66.300000000000011</v>
      </c>
    </row>
    <row r="68" spans="1:6" ht="8.1" customHeight="1">
      <c r="A68" s="38"/>
      <c r="B68" s="37"/>
      <c r="C68" s="37"/>
      <c r="D68" s="37"/>
      <c r="E68" s="37"/>
      <c r="F68" s="37"/>
    </row>
    <row r="69" spans="1:6" ht="15.6">
      <c r="A69" s="35" t="s">
        <v>50</v>
      </c>
      <c r="B69" s="37"/>
      <c r="C69" s="37"/>
      <c r="D69" s="37"/>
      <c r="E69" s="37"/>
      <c r="F69" s="37"/>
    </row>
    <row r="70" spans="1:6" ht="15.6">
      <c r="A70" s="39" t="s">
        <v>51</v>
      </c>
      <c r="B70" s="40">
        <f>+B44</f>
        <v>5.882173506831645E-2</v>
      </c>
      <c r="C70" s="41"/>
      <c r="D70" s="40">
        <f>+D44</f>
        <v>5.882173506831645E-2</v>
      </c>
      <c r="E70" s="41"/>
      <c r="F70" s="40">
        <f>+F44</f>
        <v>8.5088948022705502E-2</v>
      </c>
    </row>
    <row r="71" spans="1:6" ht="15.6">
      <c r="A71" s="39" t="s">
        <v>52</v>
      </c>
      <c r="B71" s="36">
        <f>+B19-B45</f>
        <v>-3.7409580254713966</v>
      </c>
      <c r="C71" s="37"/>
      <c r="D71" s="36">
        <f>+D19-D45</f>
        <v>-2.3368585974876961</v>
      </c>
      <c r="E71" s="37"/>
      <c r="F71" s="36">
        <f>+F19-F45</f>
        <v>8.5049672924993125</v>
      </c>
    </row>
    <row r="72" spans="1:6" ht="8.1" customHeight="1">
      <c r="A72" s="38"/>
      <c r="B72" s="37"/>
      <c r="C72" s="37"/>
      <c r="D72" s="37"/>
      <c r="E72" s="37"/>
      <c r="F72" s="37"/>
    </row>
    <row r="73" spans="1:6" ht="15.6">
      <c r="A73" s="35" t="s">
        <v>53</v>
      </c>
      <c r="B73" s="37"/>
      <c r="C73" s="37"/>
      <c r="D73" s="37"/>
      <c r="E73" s="37"/>
      <c r="F73" s="37"/>
    </row>
    <row r="74" spans="1:6" ht="15.6">
      <c r="A74" s="39" t="s">
        <v>54</v>
      </c>
      <c r="B74" s="36">
        <f>+B22-B48</f>
        <v>73.613131653858431</v>
      </c>
      <c r="C74" s="37"/>
      <c r="D74" s="36">
        <f>+D22-D48</f>
        <v>71.477166746605519</v>
      </c>
      <c r="E74" s="37"/>
      <c r="F74" s="36">
        <f>+F22-F48</f>
        <v>73.862876325519977</v>
      </c>
    </row>
    <row r="75" spans="1:6" ht="15.6">
      <c r="A75" s="39" t="s">
        <v>55</v>
      </c>
      <c r="B75" s="36">
        <f>+B23-B49</f>
        <v>86.263654174496907</v>
      </c>
      <c r="C75" s="37"/>
      <c r="D75" s="36">
        <f>+D23-D49</f>
        <v>84.616323568858832</v>
      </c>
      <c r="E75" s="37"/>
      <c r="F75" s="36">
        <f>+F23-F49</f>
        <v>89.843948523056639</v>
      </c>
    </row>
    <row r="76" spans="1:6" ht="15.6">
      <c r="A76" s="32"/>
      <c r="B76" s="32"/>
      <c r="C76" s="32"/>
      <c r="D76" s="32"/>
      <c r="E76" s="32"/>
      <c r="F76" s="32"/>
    </row>
    <row r="77" spans="1:6" ht="15.6" hidden="1">
      <c r="A77" s="35" t="s">
        <v>56</v>
      </c>
      <c r="B77" s="32"/>
      <c r="C77" s="32"/>
      <c r="D77" s="32"/>
      <c r="E77" s="32"/>
      <c r="F77" s="32"/>
    </row>
    <row r="78" spans="1:6" ht="15.6" hidden="1">
      <c r="A78" s="39" t="s">
        <v>57</v>
      </c>
      <c r="B78" s="36">
        <f>+B26-B52</f>
        <v>-6.9126554549087428E-3</v>
      </c>
      <c r="C78" s="37"/>
      <c r="D78" s="36">
        <f>+D26-D52</f>
        <v>2.2035395354454499</v>
      </c>
      <c r="E78" s="37"/>
      <c r="F78" s="36">
        <f>+F26-F52</f>
        <v>9.0197982079269821</v>
      </c>
    </row>
    <row r="79" spans="1:6" ht="15.6" hidden="1">
      <c r="A79" s="39" t="s">
        <v>58</v>
      </c>
      <c r="B79" s="36">
        <f>+B27-B53</f>
        <v>-5.8175205485148094E-5</v>
      </c>
      <c r="C79" s="37"/>
      <c r="D79" s="36">
        <f>+D27-D53</f>
        <v>0.22793359710572647</v>
      </c>
      <c r="E79" s="37"/>
      <c r="F79" s="36">
        <f>+F27-F53</f>
        <v>0.93371282980234493</v>
      </c>
    </row>
    <row r="80" spans="1:6" hidden="1"/>
    <row r="81" spans="1:1">
      <c r="A81" t="s">
        <v>63</v>
      </c>
    </row>
  </sheetData>
  <phoneticPr fontId="5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A0FAF-E69D-4480-9262-00E4181BC6C1}">
  <dimension ref="A2:I37"/>
  <sheetViews>
    <sheetView showGridLines="0" zoomScaleNormal="100" workbookViewId="0">
      <selection activeCell="F5" sqref="F5"/>
    </sheetView>
  </sheetViews>
  <sheetFormatPr defaultRowHeight="14.4"/>
  <cols>
    <col min="1" max="1" width="31.88671875" customWidth="1"/>
    <col min="2" max="2" width="18.6640625" customWidth="1"/>
    <col min="3" max="3" width="2.6640625" customWidth="1"/>
    <col min="4" max="4" width="18.6640625" hidden="1" customWidth="1"/>
    <col min="5" max="5" width="2.6640625" hidden="1" customWidth="1"/>
    <col min="6" max="6" width="18.6640625" customWidth="1"/>
  </cols>
  <sheetData>
    <row r="2" spans="1:9">
      <c r="A2" s="5" t="s">
        <v>0</v>
      </c>
    </row>
    <row r="3" spans="1:9" ht="35.25" customHeight="1">
      <c r="A3" s="43" t="s">
        <v>64</v>
      </c>
      <c r="B3" s="33" t="s">
        <v>43</v>
      </c>
      <c r="C3" s="34"/>
      <c r="D3" s="33" t="s">
        <v>65</v>
      </c>
      <c r="E3" s="34"/>
      <c r="F3" s="33" t="s">
        <v>45</v>
      </c>
    </row>
    <row r="4" spans="1:9" s="22" customFormat="1" ht="20.100000000000001" customHeight="1">
      <c r="A4" s="44" t="s">
        <v>66</v>
      </c>
      <c r="B4" s="45">
        <v>27.305472983075841</v>
      </c>
      <c r="C4" s="42"/>
      <c r="D4" s="45">
        <v>27.305472983075841</v>
      </c>
      <c r="E4" s="42"/>
      <c r="F4" s="45">
        <v>29.676195567923138</v>
      </c>
    </row>
    <row r="5" spans="1:9" s="22" customFormat="1" ht="20.100000000000001" customHeight="1">
      <c r="A5" s="44" t="s">
        <v>67</v>
      </c>
      <c r="B5" s="45">
        <v>6.7234410000000002</v>
      </c>
      <c r="C5" s="42"/>
      <c r="D5" s="45">
        <v>6.7234410000000002</v>
      </c>
      <c r="E5" s="42"/>
      <c r="F5" s="45">
        <v>3.453821</v>
      </c>
      <c r="H5" s="28"/>
      <c r="I5" s="28"/>
    </row>
    <row r="6" spans="1:9" s="22" customFormat="1" ht="20.100000000000001" customHeight="1">
      <c r="A6" s="44" t="s">
        <v>68</v>
      </c>
      <c r="B6" s="45">
        <v>4.9267036206225807</v>
      </c>
      <c r="C6" s="42"/>
      <c r="D6" s="45">
        <v>4.9267036206225807</v>
      </c>
      <c r="E6" s="42"/>
      <c r="F6" s="45">
        <v>5.3446438985098768</v>
      </c>
    </row>
    <row r="7" spans="1:9" s="22" customFormat="1" ht="20.100000000000001" customHeight="1">
      <c r="A7" s="44" t="s">
        <v>69</v>
      </c>
      <c r="B7" s="45">
        <v>1.5249234011556225</v>
      </c>
      <c r="C7" s="42"/>
      <c r="D7" s="45">
        <v>1.5249234011556225</v>
      </c>
      <c r="E7" s="42"/>
      <c r="F7" s="45">
        <v>1.4731971070915439</v>
      </c>
    </row>
    <row r="8" spans="1:9" s="22" customFormat="1" ht="20.100000000000001" customHeight="1">
      <c r="A8" s="44" t="s">
        <v>70</v>
      </c>
      <c r="B8" s="46">
        <v>3.1944102335499989</v>
      </c>
      <c r="C8" s="42"/>
      <c r="D8" s="46">
        <v>3.1944102335499989</v>
      </c>
      <c r="E8" s="42"/>
      <c r="F8" s="46">
        <v>5.2445163382999986</v>
      </c>
    </row>
    <row r="9" spans="1:9" s="22" customFormat="1" ht="20.100000000000001" customHeight="1">
      <c r="A9" s="44" t="s">
        <v>71</v>
      </c>
      <c r="B9" s="45">
        <f>+B4-B5-B6-B7-B8</f>
        <v>10.935994727747639</v>
      </c>
      <c r="C9" s="42"/>
      <c r="D9" s="45">
        <f>+D4-D5-D6-D7-D8</f>
        <v>10.935994727747639</v>
      </c>
      <c r="E9" s="42"/>
      <c r="F9" s="45">
        <f>+F4-F5-F6-F7-F8</f>
        <v>14.160017224021718</v>
      </c>
    </row>
    <row r="10" spans="1:9" s="22" customFormat="1" ht="20.100000000000001" customHeight="1">
      <c r="A10" s="44" t="s">
        <v>72</v>
      </c>
      <c r="B10" s="45">
        <v>2.7717278637476395</v>
      </c>
      <c r="C10" s="42"/>
      <c r="D10" s="45">
        <v>2.7717278637476395</v>
      </c>
      <c r="E10" s="42"/>
      <c r="F10" s="45">
        <v>3.8380616435426744</v>
      </c>
      <c r="I10" s="42"/>
    </row>
    <row r="11" spans="1:9" s="22" customFormat="1" ht="20.100000000000001" customHeight="1" thickBot="1">
      <c r="A11" s="44" t="s">
        <v>73</v>
      </c>
      <c r="B11" s="47">
        <f>+B9-B10</f>
        <v>8.164266864</v>
      </c>
      <c r="C11" s="42"/>
      <c r="D11" s="47">
        <f>+D9-D10</f>
        <v>8.164266864</v>
      </c>
      <c r="E11" s="42"/>
      <c r="F11" s="47">
        <f>+F9-F10</f>
        <v>10.321955580479043</v>
      </c>
    </row>
    <row r="12" spans="1:9" ht="15" thickTop="1"/>
    <row r="13" spans="1:9" ht="15.6">
      <c r="A13" s="44"/>
      <c r="G13" s="48"/>
    </row>
    <row r="14" spans="1:9" ht="20.100000000000001" customHeight="1"/>
    <row r="15" spans="1:9" ht="20.100000000000001" customHeight="1">
      <c r="A15" t="s">
        <v>60</v>
      </c>
    </row>
    <row r="16" spans="1:9" ht="35.25" customHeight="1">
      <c r="A16" s="43" t="s">
        <v>64</v>
      </c>
      <c r="B16" s="33" t="str">
        <f>+B3</f>
        <v>Plaza
Lease</v>
      </c>
      <c r="C16" s="34"/>
      <c r="D16" s="33" t="str">
        <f>+D3</f>
        <v>Plaza
Purchase</v>
      </c>
      <c r="E16" s="34"/>
      <c r="F16" s="33" t="str">
        <f>+F3</f>
        <v>Midtown
Purchase</v>
      </c>
    </row>
    <row r="17" spans="1:6" s="22" customFormat="1" ht="20.100000000000001" customHeight="1">
      <c r="A17" s="44" t="s">
        <v>66</v>
      </c>
      <c r="B17" s="45">
        <f>+B4*0.74</f>
        <v>20.206050007476122</v>
      </c>
      <c r="C17" s="42"/>
      <c r="D17" s="45">
        <f>+D4*0.74</f>
        <v>20.206050007476122</v>
      </c>
      <c r="E17" s="42"/>
      <c r="F17" s="45">
        <f>+F4*0.74</f>
        <v>21.960384720263121</v>
      </c>
    </row>
    <row r="18" spans="1:6" s="22" customFormat="1" ht="20.100000000000001" customHeight="1">
      <c r="A18" s="44" t="s">
        <v>67</v>
      </c>
      <c r="B18" s="45">
        <f t="shared" ref="B18:D23" si="0">+B5*0.74</f>
        <v>4.9753463399999998</v>
      </c>
      <c r="C18" s="42"/>
      <c r="D18" s="45">
        <f t="shared" si="0"/>
        <v>4.9753463399999998</v>
      </c>
      <c r="E18" s="42"/>
      <c r="F18" s="45">
        <f t="shared" ref="F18:F23" si="1">+F5*0.74</f>
        <v>2.5558275400000001</v>
      </c>
    </row>
    <row r="19" spans="1:6" s="22" customFormat="1" ht="20.100000000000001" customHeight="1">
      <c r="A19" s="44" t="s">
        <v>68</v>
      </c>
      <c r="B19" s="45">
        <f t="shared" si="0"/>
        <v>3.6457606792607096</v>
      </c>
      <c r="C19" s="42"/>
      <c r="D19" s="45">
        <f t="shared" si="0"/>
        <v>3.6457606792607096</v>
      </c>
      <c r="E19" s="42"/>
      <c r="F19" s="45">
        <f t="shared" si="1"/>
        <v>3.9550364848973087</v>
      </c>
    </row>
    <row r="20" spans="1:6" s="22" customFormat="1" ht="20.100000000000001" customHeight="1">
      <c r="A20" s="44" t="s">
        <v>69</v>
      </c>
      <c r="B20" s="45">
        <f t="shared" si="0"/>
        <v>1.1284433168551606</v>
      </c>
      <c r="C20" s="42"/>
      <c r="D20" s="45">
        <f t="shared" si="0"/>
        <v>1.1284433168551606</v>
      </c>
      <c r="E20" s="42"/>
      <c r="F20" s="45">
        <f t="shared" si="1"/>
        <v>1.0901658592477426</v>
      </c>
    </row>
    <row r="21" spans="1:6" s="22" customFormat="1" ht="20.100000000000001" customHeight="1">
      <c r="A21" s="44" t="s">
        <v>70</v>
      </c>
      <c r="B21" s="46">
        <f t="shared" si="0"/>
        <v>2.363863572826999</v>
      </c>
      <c r="C21" s="42"/>
      <c r="D21" s="46">
        <f t="shared" si="0"/>
        <v>2.363863572826999</v>
      </c>
      <c r="E21" s="42"/>
      <c r="F21" s="46">
        <f t="shared" si="1"/>
        <v>3.8809420903419989</v>
      </c>
    </row>
    <row r="22" spans="1:6" s="22" customFormat="1" ht="20.100000000000001" customHeight="1">
      <c r="A22" s="44" t="s">
        <v>71</v>
      </c>
      <c r="B22" s="45">
        <f>+B17-B18-B19-B20-B21</f>
        <v>8.0926360985332533</v>
      </c>
      <c r="C22" s="42"/>
      <c r="D22" s="45">
        <f>+D17-D18-D19-D20-D21</f>
        <v>8.0926360985332533</v>
      </c>
      <c r="E22" s="42"/>
      <c r="F22" s="45">
        <f>+F17-F18-F19-F20-F21</f>
        <v>10.478412745776073</v>
      </c>
    </row>
    <row r="23" spans="1:6" s="22" customFormat="1" ht="20.100000000000001" customHeight="1">
      <c r="A23" s="44" t="s">
        <v>72</v>
      </c>
      <c r="B23" s="45">
        <f t="shared" si="0"/>
        <v>2.0510786191732531</v>
      </c>
      <c r="C23" s="42"/>
      <c r="D23" s="45">
        <f t="shared" si="0"/>
        <v>2.0510786191732531</v>
      </c>
      <c r="E23" s="42"/>
      <c r="F23" s="45">
        <f t="shared" si="1"/>
        <v>2.8401656162215789</v>
      </c>
    </row>
    <row r="24" spans="1:6" s="22" customFormat="1" ht="20.100000000000001" customHeight="1" thickBot="1">
      <c r="A24" s="44" t="s">
        <v>73</v>
      </c>
      <c r="B24" s="47">
        <f>+B22-B23</f>
        <v>6.0415574793599998</v>
      </c>
      <c r="C24" s="42"/>
      <c r="D24" s="47">
        <f>+D22-D23</f>
        <v>6.0415574793599998</v>
      </c>
      <c r="E24" s="42"/>
      <c r="F24" s="47">
        <f>+F22-F23</f>
        <v>7.6382471295544931</v>
      </c>
    </row>
    <row r="25" spans="1:6" ht="15" thickTop="1"/>
    <row r="27" spans="1:6">
      <c r="A27" t="s">
        <v>62</v>
      </c>
    </row>
    <row r="28" spans="1:6" ht="35.25" customHeight="1">
      <c r="A28" s="43" t="s">
        <v>64</v>
      </c>
      <c r="B28" s="33" t="str">
        <f>+B3</f>
        <v>Plaza
Lease</v>
      </c>
      <c r="C28" s="34"/>
      <c r="D28" s="33" t="str">
        <f>+D3</f>
        <v>Plaza
Purchase</v>
      </c>
      <c r="E28" s="34"/>
      <c r="F28" s="33" t="str">
        <f>+F3</f>
        <v>Midtown
Purchase</v>
      </c>
    </row>
    <row r="29" spans="1:6" s="22" customFormat="1" ht="20.100000000000001" customHeight="1">
      <c r="A29" s="44" t="s">
        <v>66</v>
      </c>
      <c r="B29" s="45">
        <f>+B4-B17</f>
        <v>7.0994229755997189</v>
      </c>
      <c r="C29" s="42"/>
      <c r="D29" s="45">
        <f>+D4-D17</f>
        <v>7.0994229755997189</v>
      </c>
      <c r="E29" s="42"/>
      <c r="F29" s="45">
        <f>+F4-F17</f>
        <v>7.7158108476600162</v>
      </c>
    </row>
    <row r="30" spans="1:6" s="22" customFormat="1" ht="20.100000000000001" customHeight="1">
      <c r="A30" s="44" t="s">
        <v>67</v>
      </c>
      <c r="B30" s="45">
        <f t="shared" ref="B30:D35" si="2">+B5-B18</f>
        <v>1.7480946600000005</v>
      </c>
      <c r="C30" s="42"/>
      <c r="D30" s="45">
        <f t="shared" si="2"/>
        <v>1.7480946600000005</v>
      </c>
      <c r="E30" s="42"/>
      <c r="F30" s="45">
        <f t="shared" ref="F30:F35" si="3">+F5-F18</f>
        <v>0.89799345999999991</v>
      </c>
    </row>
    <row r="31" spans="1:6" s="22" customFormat="1" ht="20.100000000000001" customHeight="1">
      <c r="A31" s="44" t="s">
        <v>68</v>
      </c>
      <c r="B31" s="45">
        <f t="shared" si="2"/>
        <v>1.2809429413618711</v>
      </c>
      <c r="C31" s="42"/>
      <c r="D31" s="45">
        <f t="shared" si="2"/>
        <v>1.2809429413618711</v>
      </c>
      <c r="E31" s="42"/>
      <c r="F31" s="45">
        <f t="shared" si="3"/>
        <v>1.389607413612568</v>
      </c>
    </row>
    <row r="32" spans="1:6" s="22" customFormat="1" ht="20.100000000000001" customHeight="1">
      <c r="A32" s="44" t="s">
        <v>69</v>
      </c>
      <c r="B32" s="45">
        <f t="shared" si="2"/>
        <v>0.39648008430046189</v>
      </c>
      <c r="C32" s="42"/>
      <c r="D32" s="45">
        <f t="shared" si="2"/>
        <v>0.39648008430046189</v>
      </c>
      <c r="E32" s="42"/>
      <c r="F32" s="45">
        <f t="shared" si="3"/>
        <v>0.38303124784380138</v>
      </c>
    </row>
    <row r="33" spans="1:6" s="22" customFormat="1" ht="20.100000000000001" customHeight="1">
      <c r="A33" s="44" t="s">
        <v>70</v>
      </c>
      <c r="B33" s="46">
        <f t="shared" si="2"/>
        <v>0.83054666072299987</v>
      </c>
      <c r="C33" s="42"/>
      <c r="D33" s="46">
        <f t="shared" si="2"/>
        <v>0.83054666072299987</v>
      </c>
      <c r="E33" s="42"/>
      <c r="F33" s="46">
        <f t="shared" si="3"/>
        <v>1.3635742479579998</v>
      </c>
    </row>
    <row r="34" spans="1:6" s="22" customFormat="1" ht="20.100000000000001" customHeight="1">
      <c r="A34" s="44" t="s">
        <v>71</v>
      </c>
      <c r="B34" s="45">
        <f>+B29-B30-B31-B32-B33</f>
        <v>2.8433586292143858</v>
      </c>
      <c r="C34" s="42"/>
      <c r="D34" s="45">
        <f>+D29-D30-D31-D32-D33</f>
        <v>2.8433586292143858</v>
      </c>
      <c r="E34" s="42"/>
      <c r="F34" s="45">
        <f>+F29-F30-F31-F32-F33</f>
        <v>3.6816044782456467</v>
      </c>
    </row>
    <row r="35" spans="1:6" s="22" customFormat="1" ht="20.100000000000001" customHeight="1">
      <c r="A35" s="44" t="s">
        <v>72</v>
      </c>
      <c r="B35" s="45">
        <f t="shared" si="2"/>
        <v>0.72064924457438639</v>
      </c>
      <c r="C35" s="42"/>
      <c r="D35" s="45">
        <f t="shared" si="2"/>
        <v>0.72064924457438639</v>
      </c>
      <c r="E35" s="42"/>
      <c r="F35" s="45">
        <f t="shared" si="3"/>
        <v>0.9978960273210955</v>
      </c>
    </row>
    <row r="36" spans="1:6" s="22" customFormat="1" ht="20.100000000000001" customHeight="1" thickBot="1">
      <c r="A36" s="44" t="s">
        <v>73</v>
      </c>
      <c r="B36" s="47">
        <f>+B34-B35</f>
        <v>2.1227093846399994</v>
      </c>
      <c r="C36" s="42"/>
      <c r="D36" s="47">
        <f>+D34-D35</f>
        <v>2.1227093846399994</v>
      </c>
      <c r="E36" s="42"/>
      <c r="F36" s="47">
        <f>+F34-F35</f>
        <v>2.6837084509245512</v>
      </c>
    </row>
    <row r="37" spans="1:6" ht="15" thickTop="1"/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E71A6-3228-4F21-9092-4D2395F8D09D}">
  <dimension ref="A5:H25"/>
  <sheetViews>
    <sheetView showGridLines="0" workbookViewId="0">
      <selection activeCell="F8" sqref="F8"/>
    </sheetView>
  </sheetViews>
  <sheetFormatPr defaultColWidth="8.6640625" defaultRowHeight="15.6"/>
  <cols>
    <col min="1" max="1" width="35.44140625" style="32" customWidth="1"/>
    <col min="2" max="2" width="20.5546875" style="32" customWidth="1"/>
    <col min="3" max="3" width="2.5546875" style="32" customWidth="1"/>
    <col min="4" max="4" width="20.5546875" style="32" customWidth="1"/>
    <col min="5" max="5" width="2.5546875" style="32" customWidth="1"/>
    <col min="6" max="6" width="20.5546875" style="32" customWidth="1"/>
    <col min="7" max="16384" width="8.6640625" style="32"/>
  </cols>
  <sheetData>
    <row r="5" spans="1:8" ht="31.2">
      <c r="B5" s="33" t="s">
        <v>43</v>
      </c>
      <c r="C5" s="34"/>
      <c r="D5" s="33" t="s">
        <v>44</v>
      </c>
      <c r="E5" s="34"/>
      <c r="F5" s="33" t="s">
        <v>45</v>
      </c>
    </row>
    <row r="6" spans="1:8">
      <c r="B6" s="49"/>
      <c r="C6" s="34"/>
      <c r="D6" s="49"/>
      <c r="E6" s="34"/>
      <c r="F6" s="49"/>
    </row>
    <row r="7" spans="1:8">
      <c r="A7" s="43" t="s">
        <v>74</v>
      </c>
    </row>
    <row r="8" spans="1:8">
      <c r="A8" s="38" t="s">
        <v>75</v>
      </c>
      <c r="B8" s="36">
        <f>+Results!B8</f>
        <v>154.69143290737452</v>
      </c>
      <c r="D8" s="36">
        <f>+Results!D8</f>
        <v>216.92549990737453</v>
      </c>
      <c r="F8" s="36">
        <f>+Results!F8</f>
        <v>254.99999999999997</v>
      </c>
      <c r="H8" s="53"/>
    </row>
    <row r="9" spans="1:8">
      <c r="A9" s="38" t="s">
        <v>76</v>
      </c>
      <c r="B9" s="36">
        <v>136.69999999999999</v>
      </c>
      <c r="D9" s="36">
        <v>191.4</v>
      </c>
      <c r="F9" s="36">
        <v>225.1</v>
      </c>
    </row>
    <row r="10" spans="1:8" ht="16.2" thickBot="1">
      <c r="A10" s="32" t="s">
        <v>77</v>
      </c>
      <c r="B10" s="50">
        <f>+B8-B9</f>
        <v>17.991432907374531</v>
      </c>
      <c r="D10" s="50">
        <f>+D8-D9</f>
        <v>25.525499907374524</v>
      </c>
      <c r="F10" s="50">
        <f>+F8-F9</f>
        <v>29.899999999999977</v>
      </c>
    </row>
    <row r="11" spans="1:8">
      <c r="A11" s="51" t="s">
        <v>78</v>
      </c>
      <c r="B11" s="52">
        <f>+B10/B9</f>
        <v>0.13161253041239598</v>
      </c>
      <c r="C11" s="51"/>
      <c r="D11" s="52">
        <f>+D10/D9</f>
        <v>0.13336206848158058</v>
      </c>
      <c r="E11" s="51"/>
      <c r="F11" s="52">
        <f>+F10/F9</f>
        <v>0.13282985339848946</v>
      </c>
    </row>
    <row r="13" spans="1:8">
      <c r="A13" s="43" t="s">
        <v>51</v>
      </c>
    </row>
    <row r="14" spans="1:8">
      <c r="A14" s="38" t="s">
        <v>75</v>
      </c>
      <c r="B14" s="40">
        <f>+Results!B18</f>
        <v>5.882173506831645E-2</v>
      </c>
      <c r="D14" s="40">
        <f>+Results!D18</f>
        <v>6.1044390951869865E-2</v>
      </c>
      <c r="F14" s="40">
        <f>+Results!F18</f>
        <v>8.5088948022705502E-2</v>
      </c>
    </row>
    <row r="15" spans="1:8">
      <c r="A15" s="38" t="s">
        <v>76</v>
      </c>
      <c r="B15" s="40">
        <v>5.6000000000000001E-2</v>
      </c>
      <c r="D15" s="40">
        <v>5.9299999999999999E-2</v>
      </c>
      <c r="F15" s="40">
        <v>7.4999999999999997E-2</v>
      </c>
    </row>
    <row r="16" spans="1:8" ht="16.2" thickBot="1">
      <c r="A16" s="32" t="s">
        <v>79</v>
      </c>
      <c r="B16" s="54">
        <f>+B14-B15</f>
        <v>2.8217350683164485E-3</v>
      </c>
      <c r="D16" s="54">
        <f>+D14-D15</f>
        <v>1.7443909518698661E-3</v>
      </c>
      <c r="F16" s="54">
        <f>+F14-F15</f>
        <v>1.0088948022705505E-2</v>
      </c>
    </row>
    <row r="17" spans="1:6" hidden="1">
      <c r="A17" s="51" t="s">
        <v>78</v>
      </c>
      <c r="B17" s="52">
        <f>+B16/B15</f>
        <v>5.0388126219936581E-2</v>
      </c>
      <c r="C17" s="51"/>
      <c r="D17" s="52">
        <f>+D16/D15</f>
        <v>2.9416373555984251E-2</v>
      </c>
      <c r="E17" s="51"/>
      <c r="F17" s="52">
        <f>+F16/F15</f>
        <v>0.13451930696940673</v>
      </c>
    </row>
    <row r="18" spans="1:6">
      <c r="A18" s="39"/>
      <c r="B18" s="40"/>
      <c r="C18" s="41"/>
      <c r="D18" s="40"/>
      <c r="E18" s="41"/>
      <c r="F18" s="40"/>
    </row>
    <row r="19" spans="1:6">
      <c r="A19" s="43" t="s">
        <v>80</v>
      </c>
    </row>
    <row r="20" spans="1:6">
      <c r="A20" s="38" t="s">
        <v>75</v>
      </c>
      <c r="B20" s="36">
        <f>+Results!B23</f>
        <v>331.78328528652656</v>
      </c>
      <c r="D20" s="36">
        <f>+Results!D23</f>
        <v>325.44739834176477</v>
      </c>
      <c r="F20" s="36">
        <f>+Results!F23</f>
        <v>345.5536481656024</v>
      </c>
    </row>
    <row r="21" spans="1:6">
      <c r="A21" s="38" t="s">
        <v>76</v>
      </c>
      <c r="B21" s="36">
        <v>300.89999999999998</v>
      </c>
      <c r="D21" s="36">
        <v>290.3</v>
      </c>
      <c r="F21" s="36">
        <v>317.7</v>
      </c>
    </row>
    <row r="22" spans="1:6" ht="16.2" thickBot="1">
      <c r="A22" s="32" t="s">
        <v>81</v>
      </c>
      <c r="B22" s="50">
        <f>+B20-B21</f>
        <v>30.883285286526586</v>
      </c>
      <c r="D22" s="50">
        <f>+D20-D21</f>
        <v>35.147398341764756</v>
      </c>
      <c r="F22" s="50">
        <f>+F20-F21</f>
        <v>27.853648165602408</v>
      </c>
    </row>
    <row r="23" spans="1:6" hidden="1">
      <c r="A23" s="51" t="s">
        <v>78</v>
      </c>
      <c r="B23" s="52">
        <f>+B22/B21</f>
        <v>0.10263637516293317</v>
      </c>
      <c r="C23" s="51"/>
      <c r="D23" s="52">
        <f>+D22/D21</f>
        <v>0.12107267771879006</v>
      </c>
      <c r="E23" s="51"/>
      <c r="F23" s="52">
        <f>+F22/F21</f>
        <v>8.7672798758584858E-2</v>
      </c>
    </row>
    <row r="24" spans="1:6">
      <c r="B24" s="52">
        <f>+B22/B21</f>
        <v>0.10263637516293317</v>
      </c>
      <c r="D24" s="52">
        <f>+D22/D21</f>
        <v>0.12107267771879006</v>
      </c>
      <c r="F24" s="52">
        <f>+F22/F21</f>
        <v>8.7672798758584858E-2</v>
      </c>
    </row>
    <row r="25" spans="1:6">
      <c r="A25" t="s">
        <v>82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BDC83-4C7E-49F0-931C-645F64CF3AE7}">
  <dimension ref="A1:O70"/>
  <sheetViews>
    <sheetView showGridLines="0" workbookViewId="0">
      <selection activeCell="C5" sqref="C5"/>
    </sheetView>
  </sheetViews>
  <sheetFormatPr defaultRowHeight="14.4"/>
  <cols>
    <col min="1" max="1" width="33.109375" customWidth="1"/>
    <col min="2" max="8" width="12.5546875" customWidth="1"/>
    <col min="9" max="10" width="12.5546875" hidden="1" customWidth="1"/>
    <col min="11" max="11" width="12.5546875" customWidth="1"/>
    <col min="15" max="15" width="14.5546875" bestFit="1" customWidth="1"/>
  </cols>
  <sheetData>
    <row r="1" spans="1:10">
      <c r="A1" s="5" t="s">
        <v>83</v>
      </c>
    </row>
    <row r="2" spans="1:10">
      <c r="A2" s="61" t="s">
        <v>84</v>
      </c>
      <c r="B2" s="62"/>
      <c r="C2" s="62"/>
      <c r="D2" s="62"/>
      <c r="E2" s="62"/>
      <c r="F2" s="62"/>
      <c r="G2" s="62"/>
      <c r="H2" s="62"/>
      <c r="I2" s="62"/>
      <c r="J2" s="62"/>
    </row>
    <row r="4" spans="1:10">
      <c r="B4" s="9">
        <v>2025</v>
      </c>
      <c r="C4" s="9">
        <f>+B4+1</f>
        <v>2026</v>
      </c>
      <c r="D4" s="9">
        <f t="shared" ref="D4:I4" si="0">+C4+1</f>
        <v>2027</v>
      </c>
      <c r="E4" s="9">
        <f t="shared" si="0"/>
        <v>2028</v>
      </c>
      <c r="F4" s="9">
        <f t="shared" si="0"/>
        <v>2029</v>
      </c>
      <c r="G4" s="9">
        <f t="shared" si="0"/>
        <v>2030</v>
      </c>
      <c r="H4" s="9">
        <f t="shared" si="0"/>
        <v>2031</v>
      </c>
      <c r="I4" s="9">
        <f t="shared" si="0"/>
        <v>2032</v>
      </c>
      <c r="J4" s="9">
        <f t="shared" ref="J4" si="1">+I4+1</f>
        <v>2033</v>
      </c>
    </row>
    <row r="5" spans="1:10">
      <c r="A5" t="s">
        <v>85</v>
      </c>
      <c r="B5" s="55">
        <v>29676195.567923136</v>
      </c>
      <c r="C5" s="55">
        <v>38764581.231985211</v>
      </c>
      <c r="D5" s="55">
        <v>37807525.869597256</v>
      </c>
      <c r="E5" s="55">
        <v>38374638.757641211</v>
      </c>
      <c r="F5" s="55">
        <v>38950258.339005828</v>
      </c>
      <c r="G5" s="55">
        <v>35169103.092066064</v>
      </c>
      <c r="H5" s="55">
        <v>35696639.638447054</v>
      </c>
      <c r="I5" s="55">
        <v>36232089.233023755</v>
      </c>
      <c r="J5" s="55">
        <v>36775570.571519107</v>
      </c>
    </row>
    <row r="6" spans="1:10">
      <c r="B6" s="55"/>
      <c r="C6" s="55"/>
      <c r="D6" s="55"/>
      <c r="E6" s="55"/>
      <c r="F6" s="55"/>
      <c r="G6" s="55"/>
      <c r="H6" s="55"/>
      <c r="I6" s="55"/>
      <c r="J6" s="55"/>
    </row>
    <row r="7" spans="1:10">
      <c r="A7" t="s">
        <v>86</v>
      </c>
      <c r="B7" s="55">
        <f>+B48*1</f>
        <v>0</v>
      </c>
      <c r="C7" s="55">
        <f t="shared" ref="C7:H7" si="2">+C48*1</f>
        <v>2291201</v>
      </c>
      <c r="D7" s="55">
        <f t="shared" si="2"/>
        <v>2827714</v>
      </c>
      <c r="E7" s="55">
        <f t="shared" si="2"/>
        <v>2912545.5</v>
      </c>
      <c r="F7" s="55">
        <f t="shared" si="2"/>
        <v>2999922</v>
      </c>
      <c r="G7" s="55">
        <f t="shared" si="2"/>
        <v>3089919.9</v>
      </c>
      <c r="H7" s="55">
        <f t="shared" si="2"/>
        <v>526487.60000000009</v>
      </c>
      <c r="I7" s="55">
        <f t="shared" ref="I7:J7" si="3">+I48*2</f>
        <v>0</v>
      </c>
      <c r="J7" s="55">
        <f t="shared" si="3"/>
        <v>0</v>
      </c>
    </row>
    <row r="8" spans="1:10" hidden="1">
      <c r="A8" t="s">
        <v>87</v>
      </c>
      <c r="B8" s="55">
        <f>+B59*0</f>
        <v>0</v>
      </c>
      <c r="C8" s="55">
        <f t="shared" ref="C8:J8" si="4">+C59*0</f>
        <v>0</v>
      </c>
      <c r="D8" s="55">
        <f t="shared" si="4"/>
        <v>0</v>
      </c>
      <c r="E8" s="55">
        <f t="shared" si="4"/>
        <v>0</v>
      </c>
      <c r="F8" s="55">
        <f t="shared" si="4"/>
        <v>0</v>
      </c>
      <c r="G8" s="55">
        <f t="shared" si="4"/>
        <v>0</v>
      </c>
      <c r="H8" s="55">
        <f t="shared" si="4"/>
        <v>0</v>
      </c>
      <c r="I8" s="55">
        <f t="shared" si="4"/>
        <v>0</v>
      </c>
      <c r="J8" s="55">
        <f t="shared" si="4"/>
        <v>0</v>
      </c>
    </row>
    <row r="9" spans="1:10" ht="15" thickBot="1">
      <c r="A9" t="s">
        <v>88</v>
      </c>
      <c r="B9" s="58">
        <f>SUM(B7:B8)</f>
        <v>0</v>
      </c>
      <c r="C9" s="58">
        <f t="shared" ref="C9:J9" si="5">SUM(C7:C8)</f>
        <v>2291201</v>
      </c>
      <c r="D9" s="58">
        <f t="shared" si="5"/>
        <v>2827714</v>
      </c>
      <c r="E9" s="58">
        <f t="shared" si="5"/>
        <v>2912545.5</v>
      </c>
      <c r="F9" s="58">
        <f t="shared" si="5"/>
        <v>2999922</v>
      </c>
      <c r="G9" s="58">
        <f t="shared" si="5"/>
        <v>3089919.9</v>
      </c>
      <c r="H9" s="58">
        <f t="shared" si="5"/>
        <v>526487.60000000009</v>
      </c>
      <c r="I9" s="58">
        <f t="shared" si="5"/>
        <v>0</v>
      </c>
      <c r="J9" s="58">
        <f t="shared" si="5"/>
        <v>0</v>
      </c>
    </row>
    <row r="10" spans="1:10">
      <c r="B10" s="55"/>
      <c r="C10" s="55"/>
      <c r="D10" s="55"/>
      <c r="E10" s="55"/>
      <c r="F10" s="55"/>
      <c r="G10" s="55"/>
      <c r="H10" s="55"/>
      <c r="I10" s="55"/>
      <c r="J10" s="55"/>
    </row>
    <row r="11" spans="1:10">
      <c r="A11" t="s">
        <v>89</v>
      </c>
      <c r="B11" s="55">
        <f>+B5-B9</f>
        <v>29676195.567923136</v>
      </c>
      <c r="C11" s="55">
        <f t="shared" ref="C11:I11" si="6">+C5-C9</f>
        <v>36473380.231985211</v>
      </c>
      <c r="D11" s="55">
        <f t="shared" si="6"/>
        <v>34979811.869597256</v>
      </c>
      <c r="E11" s="55">
        <f t="shared" si="6"/>
        <v>35462093.257641211</v>
      </c>
      <c r="F11" s="55">
        <f t="shared" si="6"/>
        <v>35950336.339005828</v>
      </c>
      <c r="G11" s="55">
        <f t="shared" si="6"/>
        <v>32079183.192066066</v>
      </c>
      <c r="H11" s="55">
        <f t="shared" si="6"/>
        <v>35170152.038447052</v>
      </c>
      <c r="I11" s="55">
        <f t="shared" si="6"/>
        <v>36232089.233023755</v>
      </c>
      <c r="J11" s="55">
        <f t="shared" ref="J11" si="7">+J5-J9</f>
        <v>36775570.571519107</v>
      </c>
    </row>
    <row r="12" spans="1:10">
      <c r="A12" t="s">
        <v>90</v>
      </c>
      <c r="B12" s="29">
        <f>+B9/B5</f>
        <v>0</v>
      </c>
      <c r="C12" s="29">
        <f t="shared" ref="C12:I12" si="8">+C9/C5</f>
        <v>5.9105526931618114E-2</v>
      </c>
      <c r="D12" s="29">
        <f t="shared" si="8"/>
        <v>7.4792357737269791E-2</v>
      </c>
      <c r="E12" s="29">
        <f t="shared" si="8"/>
        <v>7.5897665601348488E-2</v>
      </c>
      <c r="F12" s="29">
        <f t="shared" si="8"/>
        <v>7.7019309445652592E-2</v>
      </c>
      <c r="G12" s="29">
        <f t="shared" si="8"/>
        <v>8.7858933789445065E-2</v>
      </c>
      <c r="H12" s="29">
        <f t="shared" si="8"/>
        <v>1.4748940105638033E-2</v>
      </c>
      <c r="I12" s="29">
        <f t="shared" si="8"/>
        <v>0</v>
      </c>
      <c r="J12" s="29">
        <f t="shared" ref="J12" si="9">+J9/J5</f>
        <v>0</v>
      </c>
    </row>
    <row r="14" spans="1:10">
      <c r="A14" t="s">
        <v>91</v>
      </c>
      <c r="B14" s="48">
        <v>0</v>
      </c>
      <c r="C14" s="48">
        <v>0.1</v>
      </c>
      <c r="D14" s="48">
        <v>0.13</v>
      </c>
      <c r="E14" s="48">
        <v>0.13</v>
      </c>
      <c r="F14" s="48">
        <v>0.13</v>
      </c>
      <c r="G14" s="48">
        <v>0.14000000000000001</v>
      </c>
      <c r="H14" s="48">
        <v>0.02</v>
      </c>
      <c r="I14" s="48">
        <v>0</v>
      </c>
      <c r="J14" s="48">
        <v>0</v>
      </c>
    </row>
    <row r="15" spans="1:10">
      <c r="J15" s="56"/>
    </row>
    <row r="17" spans="1:15">
      <c r="A17" s="61" t="s">
        <v>92</v>
      </c>
      <c r="B17" s="62"/>
      <c r="C17" s="62"/>
      <c r="D17" s="62"/>
      <c r="E17" s="62"/>
      <c r="F17" s="62"/>
      <c r="G17" s="62"/>
      <c r="H17" s="62"/>
      <c r="I17" s="62"/>
      <c r="J17" s="62"/>
    </row>
    <row r="19" spans="1:15" hidden="1">
      <c r="A19" s="60" t="s">
        <v>93</v>
      </c>
      <c r="B19" s="8"/>
      <c r="C19" s="8"/>
      <c r="D19" s="8"/>
      <c r="E19" s="8"/>
      <c r="F19" s="8"/>
      <c r="G19" s="8"/>
      <c r="H19" s="8"/>
      <c r="I19" s="8"/>
      <c r="J19" s="8"/>
    </row>
    <row r="20" spans="1:15" hidden="1">
      <c r="A20" t="str">
        <f t="shared" ref="A20:J20" si="10">+A5</f>
        <v>Est. Rev. Req. (Total Project)</v>
      </c>
      <c r="B20" s="56">
        <f t="shared" si="10"/>
        <v>29676195.567923136</v>
      </c>
      <c r="C20" s="56">
        <f t="shared" si="10"/>
        <v>38764581.231985211</v>
      </c>
      <c r="D20" s="56">
        <f t="shared" si="10"/>
        <v>37807525.869597256</v>
      </c>
      <c r="E20" s="56">
        <f t="shared" si="10"/>
        <v>38374638.757641211</v>
      </c>
      <c r="F20" s="56">
        <f t="shared" si="10"/>
        <v>38950258.339005828</v>
      </c>
      <c r="G20" s="56">
        <f t="shared" si="10"/>
        <v>35169103.092066064</v>
      </c>
      <c r="H20" s="56">
        <f t="shared" si="10"/>
        <v>35696639.638447054</v>
      </c>
      <c r="I20" s="56">
        <f t="shared" si="10"/>
        <v>36232089.233023755</v>
      </c>
      <c r="J20" s="56">
        <f t="shared" si="10"/>
        <v>36775570.571519107</v>
      </c>
    </row>
    <row r="21" spans="1:15" hidden="1">
      <c r="A21" t="s">
        <v>94</v>
      </c>
      <c r="B21" s="55">
        <f>+B20/11</f>
        <v>2697835.9607202853</v>
      </c>
      <c r="C21" s="55">
        <f t="shared" ref="C21:J21" si="11">+C20/11</f>
        <v>3524052.8392713829</v>
      </c>
      <c r="D21" s="55">
        <f t="shared" si="11"/>
        <v>3437047.8063270231</v>
      </c>
      <c r="E21" s="55">
        <f t="shared" si="11"/>
        <v>3488603.5234219283</v>
      </c>
      <c r="F21" s="55">
        <f t="shared" si="11"/>
        <v>3540932.5762732569</v>
      </c>
      <c r="G21" s="55">
        <f t="shared" si="11"/>
        <v>3197191.190187824</v>
      </c>
      <c r="H21" s="55">
        <f t="shared" si="11"/>
        <v>3245149.0580406412</v>
      </c>
      <c r="I21" s="55">
        <f t="shared" si="11"/>
        <v>3293826.2939112503</v>
      </c>
      <c r="J21" s="55">
        <f t="shared" si="11"/>
        <v>3343233.6883199187</v>
      </c>
    </row>
    <row r="22" spans="1:15" hidden="1">
      <c r="B22" s="55"/>
      <c r="C22" s="55"/>
      <c r="D22" s="55"/>
      <c r="E22" s="55"/>
      <c r="F22" s="55"/>
      <c r="G22" s="55"/>
      <c r="H22" s="55"/>
      <c r="I22" s="55"/>
      <c r="J22" s="55"/>
    </row>
    <row r="23" spans="1:15">
      <c r="A23" s="60" t="s">
        <v>95</v>
      </c>
    </row>
    <row r="24" spans="1:15">
      <c r="A24" t="s">
        <v>96</v>
      </c>
      <c r="B24" s="56">
        <v>10940840.80321943</v>
      </c>
      <c r="C24" s="56">
        <v>14658114.457771841</v>
      </c>
      <c r="D24" s="56">
        <v>14254183.294652903</v>
      </c>
      <c r="E24" s="56">
        <v>14523751.231997935</v>
      </c>
      <c r="F24" s="56">
        <v>14796787.948157493</v>
      </c>
      <c r="G24" s="56">
        <v>13143533.08826684</v>
      </c>
      <c r="H24" s="56">
        <v>13394715.230455402</v>
      </c>
      <c r="I24" s="56">
        <v>13648971.077773632</v>
      </c>
      <c r="J24" s="56">
        <v>13895706.136863288</v>
      </c>
      <c r="M24" t="s">
        <v>97</v>
      </c>
      <c r="O24" s="55">
        <v>112727560.71333334</v>
      </c>
    </row>
    <row r="25" spans="1:15">
      <c r="A25" t="s">
        <v>94</v>
      </c>
      <c r="B25" s="55">
        <f>+B24/11</f>
        <v>994621.89120176632</v>
      </c>
      <c r="C25" s="55">
        <f t="shared" ref="C25:J25" si="12">+C24/11</f>
        <v>1332555.8597974402</v>
      </c>
      <c r="D25" s="55">
        <f t="shared" si="12"/>
        <v>1295834.8449684458</v>
      </c>
      <c r="E25" s="55">
        <f t="shared" si="12"/>
        <v>1320341.0210907215</v>
      </c>
      <c r="F25" s="55">
        <f t="shared" si="12"/>
        <v>1345162.5407415903</v>
      </c>
      <c r="G25" s="55">
        <f t="shared" si="12"/>
        <v>1194866.6443878945</v>
      </c>
      <c r="H25" s="55">
        <f t="shared" si="12"/>
        <v>1217701.3845868548</v>
      </c>
      <c r="I25" s="55">
        <f t="shared" si="12"/>
        <v>1240815.5525248756</v>
      </c>
      <c r="J25" s="55">
        <f t="shared" si="12"/>
        <v>1263246.0124421171</v>
      </c>
      <c r="M25" t="s">
        <v>98</v>
      </c>
      <c r="O25" s="55">
        <v>255000000</v>
      </c>
    </row>
    <row r="26" spans="1:15">
      <c r="B26" s="55"/>
      <c r="C26" s="55"/>
      <c r="D26" s="55"/>
      <c r="E26" s="55"/>
      <c r="F26" s="55"/>
      <c r="G26" s="55"/>
      <c r="H26" s="55"/>
      <c r="I26" s="55"/>
      <c r="J26" s="55"/>
      <c r="O26" s="29">
        <f>+O24/O25</f>
        <v>0.4420688655424837</v>
      </c>
    </row>
    <row r="27" spans="1:15">
      <c r="A27" t="s">
        <v>99</v>
      </c>
      <c r="B27" s="55">
        <f t="shared" ref="B27:J27" si="13">+B9</f>
        <v>0</v>
      </c>
      <c r="C27" s="55">
        <f t="shared" si="13"/>
        <v>2291201</v>
      </c>
      <c r="D27" s="55">
        <f t="shared" si="13"/>
        <v>2827714</v>
      </c>
      <c r="E27" s="55">
        <f t="shared" si="13"/>
        <v>2912545.5</v>
      </c>
      <c r="F27" s="55">
        <f t="shared" si="13"/>
        <v>2999922</v>
      </c>
      <c r="G27" s="55">
        <f t="shared" si="13"/>
        <v>3089919.9</v>
      </c>
      <c r="H27" s="55">
        <f t="shared" si="13"/>
        <v>526487.60000000009</v>
      </c>
      <c r="I27" s="55">
        <f t="shared" si="13"/>
        <v>0</v>
      </c>
      <c r="J27" s="55">
        <f t="shared" si="13"/>
        <v>0</v>
      </c>
    </row>
    <row r="28" spans="1:15">
      <c r="A28" t="s">
        <v>100</v>
      </c>
      <c r="B28" s="55">
        <f>+B25*2*0</f>
        <v>0</v>
      </c>
      <c r="C28" s="55">
        <f t="shared" ref="C28:H28" si="14">+C25*2</f>
        <v>2665111.7195948805</v>
      </c>
      <c r="D28" s="55">
        <f t="shared" si="14"/>
        <v>2591669.6899368917</v>
      </c>
      <c r="E28" s="55">
        <f t="shared" si="14"/>
        <v>2640682.042181443</v>
      </c>
      <c r="F28" s="55">
        <f t="shared" si="14"/>
        <v>2690325.0814831806</v>
      </c>
      <c r="G28" s="55">
        <f t="shared" si="14"/>
        <v>2389733.2887757891</v>
      </c>
      <c r="H28" s="55">
        <f t="shared" si="14"/>
        <v>2435402.7691737097</v>
      </c>
      <c r="I28" s="55">
        <f t="shared" ref="I28:J28" si="15">+I25</f>
        <v>1240815.5525248756</v>
      </c>
      <c r="J28" s="55">
        <f t="shared" si="15"/>
        <v>1263246.0124421171</v>
      </c>
    </row>
    <row r="29" spans="1:15" ht="15" thickBot="1">
      <c r="A29" t="s">
        <v>101</v>
      </c>
      <c r="B29" s="58">
        <f>+B27-B28</f>
        <v>0</v>
      </c>
      <c r="C29" s="58">
        <f t="shared" ref="C29:J29" si="16">+C27-C28</f>
        <v>-373910.71959488047</v>
      </c>
      <c r="D29" s="58">
        <f t="shared" si="16"/>
        <v>236044.31006310834</v>
      </c>
      <c r="E29" s="58">
        <f t="shared" si="16"/>
        <v>271863.45781855704</v>
      </c>
      <c r="F29" s="58">
        <f t="shared" si="16"/>
        <v>309596.91851681937</v>
      </c>
      <c r="G29" s="58">
        <f t="shared" si="16"/>
        <v>700186.61122421082</v>
      </c>
      <c r="H29" s="58">
        <f t="shared" si="16"/>
        <v>-1908915.1691737096</v>
      </c>
      <c r="I29" s="58">
        <f t="shared" si="16"/>
        <v>-1240815.5525248756</v>
      </c>
      <c r="J29" s="58">
        <f t="shared" si="16"/>
        <v>-1263246.0124421171</v>
      </c>
    </row>
    <row r="30" spans="1:15">
      <c r="A30" t="s">
        <v>102</v>
      </c>
      <c r="B30" s="56">
        <f>+B29</f>
        <v>0</v>
      </c>
      <c r="C30" s="56">
        <f>+C29+B30</f>
        <v>-373910.71959488047</v>
      </c>
      <c r="D30" s="56">
        <f t="shared" ref="D30:J30" si="17">+D29+C30</f>
        <v>-137866.40953177214</v>
      </c>
      <c r="E30" s="56">
        <f t="shared" si="17"/>
        <v>133997.04828678491</v>
      </c>
      <c r="F30" s="56">
        <f t="shared" si="17"/>
        <v>443593.96680360427</v>
      </c>
      <c r="G30" s="56">
        <f t="shared" si="17"/>
        <v>1143780.5780278151</v>
      </c>
      <c r="H30" s="56">
        <f t="shared" si="17"/>
        <v>-765134.59114589449</v>
      </c>
      <c r="I30" s="56">
        <f t="shared" si="17"/>
        <v>-2005950.1436707701</v>
      </c>
      <c r="J30" s="56">
        <f t="shared" si="17"/>
        <v>-3269196.156112887</v>
      </c>
    </row>
    <row r="32" spans="1:15">
      <c r="A32" s="64" t="s">
        <v>103</v>
      </c>
    </row>
    <row r="33" spans="1:11">
      <c r="A33" s="64" t="s">
        <v>104</v>
      </c>
    </row>
    <row r="34" spans="1:11">
      <c r="A34" s="64" t="s">
        <v>105</v>
      </c>
      <c r="B34" s="55"/>
      <c r="C34" s="55"/>
      <c r="D34" s="55"/>
      <c r="E34" s="55"/>
      <c r="F34" s="55"/>
      <c r="G34" s="55"/>
      <c r="H34" s="55"/>
      <c r="I34" s="55"/>
    </row>
    <row r="35" spans="1:11">
      <c r="A35" s="64" t="s">
        <v>106</v>
      </c>
      <c r="B35" s="55"/>
      <c r="C35" s="55"/>
      <c r="D35" s="55"/>
      <c r="E35" s="55"/>
      <c r="F35" s="55"/>
      <c r="G35" s="55"/>
      <c r="H35" s="55"/>
      <c r="I35" s="55"/>
    </row>
    <row r="36" spans="1:11">
      <c r="A36" s="64" t="s">
        <v>107</v>
      </c>
      <c r="B36" s="55"/>
      <c r="C36" s="55"/>
      <c r="D36" s="55"/>
      <c r="E36" s="55"/>
      <c r="F36" s="55"/>
      <c r="G36" s="55"/>
      <c r="H36" s="55"/>
      <c r="I36" s="55"/>
    </row>
    <row r="37" spans="1:11">
      <c r="A37" s="64" t="s">
        <v>108</v>
      </c>
      <c r="B37" s="55"/>
      <c r="C37" s="55"/>
      <c r="D37" s="55"/>
      <c r="E37" s="55"/>
      <c r="F37" s="55"/>
      <c r="G37" s="55"/>
      <c r="H37" s="55"/>
      <c r="I37" s="55"/>
    </row>
    <row r="38" spans="1:11">
      <c r="B38" s="55"/>
      <c r="C38" s="55"/>
      <c r="D38" s="55"/>
      <c r="E38" s="55"/>
      <c r="F38" s="55"/>
      <c r="G38" s="55"/>
      <c r="H38" s="55"/>
      <c r="I38" s="55"/>
    </row>
    <row r="39" spans="1:11">
      <c r="A39" s="61" t="s">
        <v>109</v>
      </c>
      <c r="B39" s="63"/>
      <c r="C39" s="63"/>
      <c r="D39" s="63"/>
      <c r="E39" s="63"/>
      <c r="F39" s="63"/>
      <c r="G39" s="63"/>
      <c r="H39" s="63"/>
      <c r="I39" s="63"/>
      <c r="J39" s="62"/>
      <c r="K39" s="62"/>
    </row>
    <row r="40" spans="1:11">
      <c r="B40" s="57">
        <f t="shared" ref="B40:J40" si="18">+B4</f>
        <v>2025</v>
      </c>
      <c r="C40" s="57">
        <f t="shared" si="18"/>
        <v>2026</v>
      </c>
      <c r="D40" s="57">
        <f t="shared" si="18"/>
        <v>2027</v>
      </c>
      <c r="E40" s="57">
        <f t="shared" si="18"/>
        <v>2028</v>
      </c>
      <c r="F40" s="57">
        <f t="shared" si="18"/>
        <v>2029</v>
      </c>
      <c r="G40" s="57">
        <f t="shared" si="18"/>
        <v>2030</v>
      </c>
      <c r="H40" s="57">
        <f t="shared" si="18"/>
        <v>2031</v>
      </c>
      <c r="I40" s="57">
        <f t="shared" si="18"/>
        <v>2032</v>
      </c>
      <c r="J40" s="57">
        <f t="shared" si="18"/>
        <v>2033</v>
      </c>
      <c r="K40" s="57" t="s">
        <v>110</v>
      </c>
    </row>
    <row r="41" spans="1:11">
      <c r="A41" s="5" t="s">
        <v>111</v>
      </c>
      <c r="B41" s="59"/>
      <c r="C41" s="59"/>
      <c r="D41" s="55"/>
      <c r="E41" s="55"/>
      <c r="F41" s="55"/>
      <c r="G41" s="55"/>
      <c r="H41" s="55"/>
    </row>
    <row r="42" spans="1:11">
      <c r="A42" t="s">
        <v>112</v>
      </c>
      <c r="B42" s="55">
        <f>793430/7*3*0</f>
        <v>0</v>
      </c>
      <c r="C42" s="55">
        <f>1589535-B42</f>
        <v>1589535</v>
      </c>
      <c r="D42" s="55"/>
      <c r="E42" s="55"/>
      <c r="F42" s="55"/>
      <c r="G42" s="55"/>
      <c r="H42" s="55"/>
      <c r="K42" s="55">
        <f>SUM(B42:J42)</f>
        <v>1589535</v>
      </c>
    </row>
    <row r="43" spans="1:11">
      <c r="A43" t="s">
        <v>113</v>
      </c>
      <c r="B43" s="55"/>
      <c r="C43" s="55">
        <f>2806664/12*3</f>
        <v>701666</v>
      </c>
      <c r="D43" s="55">
        <f>2806664/12*9</f>
        <v>2104998</v>
      </c>
      <c r="E43" s="55"/>
      <c r="F43" s="55"/>
      <c r="G43" s="55"/>
      <c r="K43" s="55">
        <f t="shared" ref="K43:K47" si="19">SUM(B43:J43)</f>
        <v>2806664</v>
      </c>
    </row>
    <row r="44" spans="1:11">
      <c r="A44" t="s">
        <v>114</v>
      </c>
      <c r="B44" s="55"/>
      <c r="C44" s="55"/>
      <c r="D44" s="55">
        <f>2890864/12*3</f>
        <v>722716</v>
      </c>
      <c r="E44" s="55">
        <f>2890864/12*9</f>
        <v>2168148</v>
      </c>
      <c r="F44" s="55"/>
      <c r="G44" s="55"/>
      <c r="K44" s="55">
        <f t="shared" si="19"/>
        <v>2890864</v>
      </c>
    </row>
    <row r="45" spans="1:11">
      <c r="A45" t="s">
        <v>115</v>
      </c>
      <c r="B45" s="55"/>
      <c r="C45" s="55"/>
      <c r="D45" s="55"/>
      <c r="E45" s="55">
        <f>2977590/12*3</f>
        <v>744397.5</v>
      </c>
      <c r="F45" s="55">
        <f>2977590/12*9</f>
        <v>2233192.5</v>
      </c>
      <c r="G45" s="55"/>
      <c r="H45" s="55"/>
      <c r="K45" s="55">
        <f t="shared" si="19"/>
        <v>2977590</v>
      </c>
    </row>
    <row r="46" spans="1:11">
      <c r="A46" t="s">
        <v>116</v>
      </c>
      <c r="B46" s="55"/>
      <c r="C46" s="55"/>
      <c r="D46" s="55"/>
      <c r="E46" s="55"/>
      <c r="F46" s="55">
        <f>3066918/12*3</f>
        <v>766729.5</v>
      </c>
      <c r="G46" s="55">
        <f>3066918/12*9</f>
        <v>2300188.5</v>
      </c>
      <c r="H46" s="55"/>
      <c r="K46" s="55">
        <f t="shared" si="19"/>
        <v>3066918</v>
      </c>
    </row>
    <row r="47" spans="1:11">
      <c r="A47" t="s">
        <v>117</v>
      </c>
      <c r="B47" s="55"/>
      <c r="C47" s="55"/>
      <c r="D47" s="55"/>
      <c r="E47" s="55"/>
      <c r="F47" s="55"/>
      <c r="G47" s="55">
        <f>1316219/5*3</f>
        <v>789731.39999999991</v>
      </c>
      <c r="H47" s="55">
        <f>1316219-G47</f>
        <v>526487.60000000009</v>
      </c>
      <c r="K47" s="55">
        <f t="shared" si="19"/>
        <v>1316219</v>
      </c>
    </row>
    <row r="48" spans="1:11" ht="15" thickBot="1">
      <c r="A48" t="s">
        <v>118</v>
      </c>
      <c r="B48" s="58">
        <f>SUM(B42:B47)</f>
        <v>0</v>
      </c>
      <c r="C48" s="58">
        <f t="shared" ref="C48:H48" si="20">SUM(C42:C47)</f>
        <v>2291201</v>
      </c>
      <c r="D48" s="58">
        <f t="shared" si="20"/>
        <v>2827714</v>
      </c>
      <c r="E48" s="58">
        <f t="shared" si="20"/>
        <v>2912545.5</v>
      </c>
      <c r="F48" s="58">
        <f t="shared" si="20"/>
        <v>2999922</v>
      </c>
      <c r="G48" s="58">
        <f t="shared" si="20"/>
        <v>3089919.9</v>
      </c>
      <c r="H48" s="58">
        <f t="shared" si="20"/>
        <v>526487.60000000009</v>
      </c>
      <c r="I48" s="58">
        <f t="shared" ref="I48" si="21">SUM(I42:I47)</f>
        <v>0</v>
      </c>
      <c r="J48" s="58">
        <f t="shared" ref="J48" si="22">SUM(J42:J47)</f>
        <v>0</v>
      </c>
      <c r="K48" s="58">
        <f>SUM(B48:J48)</f>
        <v>14647790</v>
      </c>
    </row>
    <row r="49" spans="1:11">
      <c r="K49" s="55"/>
    </row>
    <row r="50" spans="1:11">
      <c r="A50" s="5" t="s">
        <v>119</v>
      </c>
      <c r="B50" s="55"/>
      <c r="C50" s="55"/>
      <c r="D50" s="55"/>
      <c r="E50" s="55"/>
      <c r="F50" s="55"/>
      <c r="G50" s="55"/>
      <c r="H50" s="55"/>
      <c r="K50" s="55"/>
    </row>
    <row r="51" spans="1:11">
      <c r="A51" t="s">
        <v>112</v>
      </c>
      <c r="B51" s="55">
        <f>566736/5*3*0</f>
        <v>0</v>
      </c>
      <c r="C51" s="55">
        <f>(566736-B51)*0</f>
        <v>0</v>
      </c>
      <c r="D51" s="55"/>
      <c r="E51" s="55"/>
      <c r="F51" s="55"/>
      <c r="G51" s="55"/>
      <c r="H51" s="55"/>
      <c r="K51" s="55">
        <f>SUM(B51:J51)</f>
        <v>0</v>
      </c>
    </row>
    <row r="52" spans="1:11">
      <c r="A52" t="s">
        <v>113</v>
      </c>
      <c r="B52" s="55"/>
      <c r="C52" s="55">
        <f>1400972/12*3*0</f>
        <v>0</v>
      </c>
      <c r="D52" s="55">
        <f>1400972/12*9*0</f>
        <v>0</v>
      </c>
      <c r="E52" s="55"/>
      <c r="F52" s="55"/>
      <c r="G52" s="55"/>
      <c r="K52" s="55">
        <f t="shared" ref="K52:K58" si="23">SUM(B52:J52)</f>
        <v>0</v>
      </c>
    </row>
    <row r="53" spans="1:11">
      <c r="A53" t="s">
        <v>114</v>
      </c>
      <c r="B53" s="55"/>
      <c r="C53" s="55"/>
      <c r="D53" s="55">
        <f>1443001/12*3*0</f>
        <v>0</v>
      </c>
      <c r="E53" s="55">
        <f>1443001/12*9*0</f>
        <v>0</v>
      </c>
      <c r="F53" s="55"/>
      <c r="G53" s="55"/>
      <c r="K53" s="55">
        <f t="shared" si="23"/>
        <v>0</v>
      </c>
    </row>
    <row r="54" spans="1:11">
      <c r="A54" t="s">
        <v>115</v>
      </c>
      <c r="B54" s="55"/>
      <c r="C54" s="55"/>
      <c r="D54" s="55"/>
      <c r="E54" s="55">
        <f>1486291/12*3*0</f>
        <v>0</v>
      </c>
      <c r="F54" s="55">
        <f>1486291/12*9*0</f>
        <v>0</v>
      </c>
      <c r="G54" s="55"/>
      <c r="H54" s="55"/>
      <c r="K54" s="55">
        <f t="shared" si="23"/>
        <v>0</v>
      </c>
    </row>
    <row r="55" spans="1:11">
      <c r="A55" t="s">
        <v>116</v>
      </c>
      <c r="B55" s="55"/>
      <c r="C55" s="55"/>
      <c r="D55" s="55"/>
      <c r="E55" s="55"/>
      <c r="F55" s="55">
        <f>1530879/12*3*0</f>
        <v>0</v>
      </c>
      <c r="G55" s="55">
        <f>1530879/12*9*0</f>
        <v>0</v>
      </c>
      <c r="H55" s="55"/>
      <c r="K55" s="55">
        <f t="shared" si="23"/>
        <v>0</v>
      </c>
    </row>
    <row r="56" spans="1:11">
      <c r="A56" t="s">
        <v>117</v>
      </c>
      <c r="B56" s="55"/>
      <c r="C56" s="55"/>
      <c r="D56" s="55"/>
      <c r="E56" s="55"/>
      <c r="F56" s="55"/>
      <c r="G56" s="55">
        <f>1576806/12*3*0</f>
        <v>0</v>
      </c>
      <c r="H56" s="55">
        <f>1576806/12*9*0</f>
        <v>0</v>
      </c>
      <c r="K56" s="55">
        <f t="shared" si="23"/>
        <v>0</v>
      </c>
    </row>
    <row r="57" spans="1:11">
      <c r="A57" t="s">
        <v>120</v>
      </c>
      <c r="B57" s="55"/>
      <c r="C57" s="55"/>
      <c r="D57" s="55"/>
      <c r="E57" s="55"/>
      <c r="F57" s="55"/>
      <c r="G57" s="55"/>
      <c r="H57" s="55">
        <f>1624110/12*3*0</f>
        <v>0</v>
      </c>
      <c r="I57" s="55">
        <f>1624110/12*9</f>
        <v>1218082.5</v>
      </c>
      <c r="K57" s="55">
        <f t="shared" si="23"/>
        <v>1218082.5</v>
      </c>
    </row>
    <row r="58" spans="1:11">
      <c r="A58" t="s">
        <v>121</v>
      </c>
      <c r="B58" s="55"/>
      <c r="C58" s="55"/>
      <c r="D58" s="55"/>
      <c r="E58" s="55"/>
      <c r="F58" s="55"/>
      <c r="G58" s="55"/>
      <c r="H58" s="55"/>
      <c r="I58" s="55">
        <f>975819/7*3</f>
        <v>418208.14285714284</v>
      </c>
      <c r="J58" s="55">
        <f>975819-I58</f>
        <v>557610.85714285716</v>
      </c>
      <c r="K58" s="55">
        <f t="shared" si="23"/>
        <v>975819</v>
      </c>
    </row>
    <row r="59" spans="1:11" ht="15" thickBot="1">
      <c r="A59" t="s">
        <v>118</v>
      </c>
      <c r="B59" s="58">
        <f>SUM(B51:B58)</f>
        <v>0</v>
      </c>
      <c r="C59" s="58">
        <f t="shared" ref="C59" si="24">SUM(C51:C58)</f>
        <v>0</v>
      </c>
      <c r="D59" s="58">
        <f t="shared" ref="D59" si="25">SUM(D51:D58)</f>
        <v>0</v>
      </c>
      <c r="E59" s="58">
        <f t="shared" ref="E59" si="26">SUM(E51:E58)</f>
        <v>0</v>
      </c>
      <c r="F59" s="58">
        <f t="shared" ref="F59" si="27">SUM(F51:F58)</f>
        <v>0</v>
      </c>
      <c r="G59" s="58">
        <f t="shared" ref="G59" si="28">SUM(G51:G58)</f>
        <v>0</v>
      </c>
      <c r="H59" s="58">
        <f t="shared" ref="H59:J59" si="29">SUM(H51:H58)</f>
        <v>0</v>
      </c>
      <c r="I59" s="58">
        <f t="shared" si="29"/>
        <v>1636290.6428571427</v>
      </c>
      <c r="J59" s="58">
        <f t="shared" si="29"/>
        <v>557610.85714285716</v>
      </c>
      <c r="K59" s="58">
        <f>SUM(B59:J59)</f>
        <v>2193901.5</v>
      </c>
    </row>
    <row r="61" spans="1:11">
      <c r="A61" s="5" t="s">
        <v>118</v>
      </c>
      <c r="B61" s="55"/>
      <c r="C61" s="55"/>
      <c r="D61" s="55"/>
      <c r="E61" s="55"/>
      <c r="F61" s="55"/>
      <c r="G61" s="55"/>
      <c r="H61" s="55"/>
      <c r="K61" s="55"/>
    </row>
    <row r="62" spans="1:11">
      <c r="A62" t="s">
        <v>112</v>
      </c>
      <c r="B62" s="55">
        <f>+B42+B51</f>
        <v>0</v>
      </c>
      <c r="C62" s="55">
        <f t="shared" ref="C62:J62" si="30">+C42+C51</f>
        <v>1589535</v>
      </c>
      <c r="D62" s="55">
        <f t="shared" si="30"/>
        <v>0</v>
      </c>
      <c r="E62" s="55">
        <f t="shared" si="30"/>
        <v>0</v>
      </c>
      <c r="F62" s="55">
        <f t="shared" si="30"/>
        <v>0</v>
      </c>
      <c r="G62" s="55">
        <f t="shared" si="30"/>
        <v>0</v>
      </c>
      <c r="H62" s="55">
        <f t="shared" si="30"/>
        <v>0</v>
      </c>
      <c r="I62" s="55">
        <f t="shared" si="30"/>
        <v>0</v>
      </c>
      <c r="J62" s="55">
        <f t="shared" si="30"/>
        <v>0</v>
      </c>
      <c r="K62" s="55">
        <f>SUM(B62:J62)</f>
        <v>1589535</v>
      </c>
    </row>
    <row r="63" spans="1:11">
      <c r="A63" t="s">
        <v>113</v>
      </c>
      <c r="B63" s="55">
        <f t="shared" ref="B63:J67" si="31">+B43+B52</f>
        <v>0</v>
      </c>
      <c r="C63" s="55">
        <f t="shared" si="31"/>
        <v>701666</v>
      </c>
      <c r="D63" s="55">
        <f t="shared" si="31"/>
        <v>2104998</v>
      </c>
      <c r="E63" s="55">
        <f t="shared" si="31"/>
        <v>0</v>
      </c>
      <c r="F63" s="55">
        <f t="shared" si="31"/>
        <v>0</v>
      </c>
      <c r="G63" s="55">
        <f t="shared" si="31"/>
        <v>0</v>
      </c>
      <c r="H63" s="55">
        <f t="shared" si="31"/>
        <v>0</v>
      </c>
      <c r="I63" s="55">
        <f t="shared" si="31"/>
        <v>0</v>
      </c>
      <c r="J63" s="55">
        <f t="shared" si="31"/>
        <v>0</v>
      </c>
      <c r="K63" s="55">
        <f t="shared" ref="K63:K69" si="32">SUM(B63:J63)</f>
        <v>2806664</v>
      </c>
    </row>
    <row r="64" spans="1:11">
      <c r="A64" t="s">
        <v>114</v>
      </c>
      <c r="B64" s="55">
        <f t="shared" si="31"/>
        <v>0</v>
      </c>
      <c r="C64" s="55">
        <f t="shared" si="31"/>
        <v>0</v>
      </c>
      <c r="D64" s="55">
        <f t="shared" si="31"/>
        <v>722716</v>
      </c>
      <c r="E64" s="55">
        <f t="shared" si="31"/>
        <v>2168148</v>
      </c>
      <c r="F64" s="55">
        <f t="shared" si="31"/>
        <v>0</v>
      </c>
      <c r="G64" s="55">
        <f t="shared" si="31"/>
        <v>0</v>
      </c>
      <c r="H64" s="55">
        <f t="shared" si="31"/>
        <v>0</v>
      </c>
      <c r="I64" s="55">
        <f t="shared" si="31"/>
        <v>0</v>
      </c>
      <c r="J64" s="55">
        <f t="shared" si="31"/>
        <v>0</v>
      </c>
      <c r="K64" s="55">
        <f t="shared" si="32"/>
        <v>2890864</v>
      </c>
    </row>
    <row r="65" spans="1:11">
      <c r="A65" t="s">
        <v>115</v>
      </c>
      <c r="B65" s="55">
        <f t="shared" si="31"/>
        <v>0</v>
      </c>
      <c r="C65" s="55">
        <f t="shared" si="31"/>
        <v>0</v>
      </c>
      <c r="D65" s="55">
        <f t="shared" si="31"/>
        <v>0</v>
      </c>
      <c r="E65" s="55">
        <f t="shared" si="31"/>
        <v>744397.5</v>
      </c>
      <c r="F65" s="55">
        <f t="shared" si="31"/>
        <v>2233192.5</v>
      </c>
      <c r="G65" s="55">
        <f t="shared" si="31"/>
        <v>0</v>
      </c>
      <c r="H65" s="55">
        <f t="shared" si="31"/>
        <v>0</v>
      </c>
      <c r="I65" s="55">
        <f t="shared" si="31"/>
        <v>0</v>
      </c>
      <c r="J65" s="55">
        <f t="shared" si="31"/>
        <v>0</v>
      </c>
      <c r="K65" s="55">
        <f t="shared" si="32"/>
        <v>2977590</v>
      </c>
    </row>
    <row r="66" spans="1:11">
      <c r="A66" t="s">
        <v>116</v>
      </c>
      <c r="B66" s="55">
        <f t="shared" si="31"/>
        <v>0</v>
      </c>
      <c r="C66" s="55">
        <f t="shared" si="31"/>
        <v>0</v>
      </c>
      <c r="D66" s="55">
        <f t="shared" si="31"/>
        <v>0</v>
      </c>
      <c r="E66" s="55">
        <f t="shared" si="31"/>
        <v>0</v>
      </c>
      <c r="F66" s="55">
        <f t="shared" si="31"/>
        <v>766729.5</v>
      </c>
      <c r="G66" s="55">
        <f t="shared" si="31"/>
        <v>2300188.5</v>
      </c>
      <c r="H66" s="55">
        <f t="shared" si="31"/>
        <v>0</v>
      </c>
      <c r="I66" s="55">
        <f t="shared" si="31"/>
        <v>0</v>
      </c>
      <c r="J66" s="55">
        <f t="shared" si="31"/>
        <v>0</v>
      </c>
      <c r="K66" s="55">
        <f t="shared" si="32"/>
        <v>3066918</v>
      </c>
    </row>
    <row r="67" spans="1:11">
      <c r="A67" t="s">
        <v>117</v>
      </c>
      <c r="B67" s="55">
        <f t="shared" si="31"/>
        <v>0</v>
      </c>
      <c r="C67" s="55">
        <f t="shared" si="31"/>
        <v>0</v>
      </c>
      <c r="D67" s="55">
        <f t="shared" si="31"/>
        <v>0</v>
      </c>
      <c r="E67" s="55">
        <f t="shared" si="31"/>
        <v>0</v>
      </c>
      <c r="F67" s="55">
        <f t="shared" si="31"/>
        <v>0</v>
      </c>
      <c r="G67" s="55">
        <f t="shared" si="31"/>
        <v>789731.39999999991</v>
      </c>
      <c r="H67" s="55">
        <f t="shared" si="31"/>
        <v>526487.60000000009</v>
      </c>
      <c r="I67" s="55">
        <f t="shared" si="31"/>
        <v>0</v>
      </c>
      <c r="J67" s="55">
        <f t="shared" si="31"/>
        <v>0</v>
      </c>
      <c r="K67" s="55">
        <f t="shared" si="32"/>
        <v>1316219</v>
      </c>
    </row>
    <row r="68" spans="1:11">
      <c r="A68" t="s">
        <v>120</v>
      </c>
      <c r="B68" s="55">
        <f>+B57</f>
        <v>0</v>
      </c>
      <c r="C68" s="55">
        <f t="shared" ref="C68:J68" si="33">+C57</f>
        <v>0</v>
      </c>
      <c r="D68" s="55">
        <f t="shared" si="33"/>
        <v>0</v>
      </c>
      <c r="E68" s="55">
        <f t="shared" si="33"/>
        <v>0</v>
      </c>
      <c r="F68" s="55">
        <f t="shared" si="33"/>
        <v>0</v>
      </c>
      <c r="G68" s="55">
        <f t="shared" si="33"/>
        <v>0</v>
      </c>
      <c r="H68" s="55">
        <f t="shared" si="33"/>
        <v>0</v>
      </c>
      <c r="I68" s="55">
        <f t="shared" si="33"/>
        <v>1218082.5</v>
      </c>
      <c r="J68" s="55">
        <f t="shared" si="33"/>
        <v>0</v>
      </c>
      <c r="K68" s="55">
        <f t="shared" si="32"/>
        <v>1218082.5</v>
      </c>
    </row>
    <row r="69" spans="1:11">
      <c r="A69" t="s">
        <v>121</v>
      </c>
      <c r="B69" s="55">
        <f>+B58</f>
        <v>0</v>
      </c>
      <c r="C69" s="55">
        <f t="shared" ref="C69:J69" si="34">+C58</f>
        <v>0</v>
      </c>
      <c r="D69" s="55">
        <f t="shared" si="34"/>
        <v>0</v>
      </c>
      <c r="E69" s="55">
        <f t="shared" si="34"/>
        <v>0</v>
      </c>
      <c r="F69" s="55">
        <f t="shared" si="34"/>
        <v>0</v>
      </c>
      <c r="G69" s="55">
        <f t="shared" si="34"/>
        <v>0</v>
      </c>
      <c r="H69" s="55">
        <f t="shared" si="34"/>
        <v>0</v>
      </c>
      <c r="I69" s="55">
        <f t="shared" si="34"/>
        <v>418208.14285714284</v>
      </c>
      <c r="J69" s="55">
        <f t="shared" si="34"/>
        <v>557610.85714285716</v>
      </c>
      <c r="K69" s="55">
        <f t="shared" si="32"/>
        <v>975819</v>
      </c>
    </row>
    <row r="70" spans="1:11" ht="15" thickBot="1">
      <c r="A70" t="s">
        <v>118</v>
      </c>
      <c r="B70" s="58">
        <f>SUM(B62:B69)</f>
        <v>0</v>
      </c>
      <c r="C70" s="58">
        <f t="shared" ref="C70:J70" si="35">SUM(C62:C69)</f>
        <v>2291201</v>
      </c>
      <c r="D70" s="58">
        <f t="shared" si="35"/>
        <v>2827714</v>
      </c>
      <c r="E70" s="58">
        <f t="shared" si="35"/>
        <v>2912545.5</v>
      </c>
      <c r="F70" s="58">
        <f t="shared" si="35"/>
        <v>2999922</v>
      </c>
      <c r="G70" s="58">
        <f t="shared" si="35"/>
        <v>3089919.9</v>
      </c>
      <c r="H70" s="58">
        <f t="shared" si="35"/>
        <v>526487.60000000009</v>
      </c>
      <c r="I70" s="58">
        <f t="shared" si="35"/>
        <v>1636290.6428571427</v>
      </c>
      <c r="J70" s="58">
        <f t="shared" si="35"/>
        <v>557610.85714285716</v>
      </c>
      <c r="K70" s="58">
        <f>SUM(B70:J70)</f>
        <v>16841691.5</v>
      </c>
    </row>
  </sheetData>
  <phoneticPr fontId="5" type="noConversion"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532E3-AA44-4090-94CF-CF93DAB1430F}">
  <dimension ref="A1:J53"/>
  <sheetViews>
    <sheetView showGridLines="0" workbookViewId="0">
      <selection activeCell="I20" sqref="I20"/>
    </sheetView>
  </sheetViews>
  <sheetFormatPr defaultRowHeight="14.4"/>
  <cols>
    <col min="1" max="1" width="34.88671875" customWidth="1"/>
    <col min="2" max="7" width="12.5546875" customWidth="1"/>
    <col min="8" max="8" width="12" customWidth="1"/>
    <col min="10" max="10" width="14.5546875" bestFit="1" customWidth="1"/>
  </cols>
  <sheetData>
    <row r="1" spans="1:10">
      <c r="A1" s="5" t="s">
        <v>83</v>
      </c>
    </row>
    <row r="2" spans="1:10">
      <c r="A2" s="61" t="s">
        <v>92</v>
      </c>
      <c r="B2" s="62"/>
      <c r="C2" s="62"/>
      <c r="D2" s="62"/>
      <c r="E2" s="62"/>
      <c r="F2" s="62"/>
      <c r="G2" s="62"/>
    </row>
    <row r="4" spans="1:10" hidden="1">
      <c r="A4" s="60" t="s">
        <v>93</v>
      </c>
      <c r="B4" s="8"/>
      <c r="C4" s="8"/>
      <c r="D4" s="8"/>
      <c r="E4" s="8"/>
      <c r="F4" s="8"/>
      <c r="G4" s="8"/>
    </row>
    <row r="5" spans="1:10" hidden="1">
      <c r="A5" t="e">
        <f>+#REF!</f>
        <v>#REF!</v>
      </c>
      <c r="B5" s="56" t="e">
        <f>+#REF!</f>
        <v>#REF!</v>
      </c>
      <c r="C5" s="56" t="e">
        <f>+#REF!</f>
        <v>#REF!</v>
      </c>
      <c r="D5" s="56" t="e">
        <f>+#REF!</f>
        <v>#REF!</v>
      </c>
      <c r="E5" s="56" t="e">
        <f>+#REF!</f>
        <v>#REF!</v>
      </c>
      <c r="F5" s="56" t="e">
        <f>+#REF!</f>
        <v>#REF!</v>
      </c>
      <c r="G5" s="56" t="e">
        <f>+#REF!</f>
        <v>#REF!</v>
      </c>
    </row>
    <row r="6" spans="1:10" hidden="1">
      <c r="A6" t="s">
        <v>94</v>
      </c>
      <c r="B6" s="55" t="e">
        <f>+B5/11</f>
        <v>#REF!</v>
      </c>
      <c r="C6" s="55" t="e">
        <f t="shared" ref="C6:G6" si="0">+C5/11</f>
        <v>#REF!</v>
      </c>
      <c r="D6" s="55" t="e">
        <f t="shared" si="0"/>
        <v>#REF!</v>
      </c>
      <c r="E6" s="55" t="e">
        <f t="shared" si="0"/>
        <v>#REF!</v>
      </c>
      <c r="F6" s="55" t="e">
        <f t="shared" si="0"/>
        <v>#REF!</v>
      </c>
      <c r="G6" s="55" t="e">
        <f t="shared" si="0"/>
        <v>#REF!</v>
      </c>
    </row>
    <row r="7" spans="1:10" hidden="1">
      <c r="B7" s="55"/>
      <c r="C7" s="55"/>
      <c r="D7" s="55"/>
      <c r="E7" s="55"/>
      <c r="F7" s="55"/>
      <c r="G7" s="55"/>
    </row>
    <row r="8" spans="1:10">
      <c r="A8" s="60" t="s">
        <v>122</v>
      </c>
    </row>
    <row r="9" spans="1:10">
      <c r="A9" s="60"/>
      <c r="B9" s="9" t="s">
        <v>112</v>
      </c>
      <c r="C9" s="9" t="s">
        <v>113</v>
      </c>
      <c r="D9" s="9" t="s">
        <v>114</v>
      </c>
      <c r="E9" s="9" t="s">
        <v>115</v>
      </c>
      <c r="F9" s="9" t="s">
        <v>116</v>
      </c>
    </row>
    <row r="10" spans="1:10">
      <c r="A10" t="s">
        <v>96</v>
      </c>
      <c r="B10" s="1">
        <f>+'SubLease Scenario'!C24/1000000</f>
        <v>14.658114457771841</v>
      </c>
      <c r="C10" s="1">
        <f>+'SubLease Scenario'!D24/1000000</f>
        <v>14.254183294652904</v>
      </c>
      <c r="D10" s="1">
        <f>+'SubLease Scenario'!E24/1000000</f>
        <v>14.523751231997934</v>
      </c>
      <c r="E10" s="1">
        <f>+'SubLease Scenario'!F24/1000000</f>
        <v>14.796787948157492</v>
      </c>
      <c r="F10" s="1">
        <f>+'SubLease Scenario'!G24/1000000</f>
        <v>13.143533088266841</v>
      </c>
      <c r="H10" t="s">
        <v>97</v>
      </c>
      <c r="J10" s="55">
        <v>112727560.71333334</v>
      </c>
    </row>
    <row r="11" spans="1:10">
      <c r="A11" t="s">
        <v>94</v>
      </c>
      <c r="B11" s="1">
        <f>+B10/11</f>
        <v>1.3325558597974401</v>
      </c>
      <c r="C11" s="1">
        <f t="shared" ref="C11:F11" si="1">+C10/11</f>
        <v>1.2958348449684458</v>
      </c>
      <c r="D11" s="1">
        <f t="shared" si="1"/>
        <v>1.3203410210907214</v>
      </c>
      <c r="E11" s="1">
        <f t="shared" si="1"/>
        <v>1.3451625407415901</v>
      </c>
      <c r="F11" s="1">
        <f t="shared" si="1"/>
        <v>1.1948666443878946</v>
      </c>
      <c r="H11" t="s">
        <v>98</v>
      </c>
      <c r="J11" s="55">
        <v>255000000</v>
      </c>
    </row>
    <row r="12" spans="1:10">
      <c r="B12" s="55"/>
      <c r="C12" s="55"/>
      <c r="D12" s="55"/>
      <c r="E12" s="55"/>
      <c r="F12" s="55"/>
      <c r="J12" s="29">
        <f>+J10/J11</f>
        <v>0.4420688655424837</v>
      </c>
    </row>
    <row r="13" spans="1:10">
      <c r="A13" t="s">
        <v>99</v>
      </c>
      <c r="B13" s="1">
        <f>+C53/1000000</f>
        <v>1.5895349999999999</v>
      </c>
      <c r="C13" s="1">
        <f t="shared" ref="C13:F13" si="2">+D53/1000000</f>
        <v>2.806664</v>
      </c>
      <c r="D13" s="1">
        <f t="shared" si="2"/>
        <v>2.8908640000000001</v>
      </c>
      <c r="E13" s="1">
        <f t="shared" si="2"/>
        <v>2.9775900000000002</v>
      </c>
      <c r="F13" s="1">
        <f t="shared" si="2"/>
        <v>3.0669179999999998</v>
      </c>
    </row>
    <row r="14" spans="1:10">
      <c r="A14" t="s">
        <v>123</v>
      </c>
      <c r="B14" s="1">
        <f t="shared" ref="B14:F14" si="3">+B11*2</f>
        <v>2.6651117195948801</v>
      </c>
      <c r="C14" s="1">
        <f t="shared" si="3"/>
        <v>2.5916696899368916</v>
      </c>
      <c r="D14" s="1">
        <f t="shared" si="3"/>
        <v>2.6406820421814428</v>
      </c>
      <c r="E14" s="1">
        <f t="shared" si="3"/>
        <v>2.6903250814831803</v>
      </c>
      <c r="F14" s="1">
        <f t="shared" si="3"/>
        <v>2.3897332887757892</v>
      </c>
    </row>
    <row r="15" spans="1:10" ht="15" thickBot="1">
      <c r="A15" t="s">
        <v>101</v>
      </c>
      <c r="B15" s="3">
        <f>+B13-B14</f>
        <v>-1.0755767195948802</v>
      </c>
      <c r="C15" s="3">
        <f t="shared" ref="C15:F15" si="4">+C13-C14</f>
        <v>0.21499431006310843</v>
      </c>
      <c r="D15" s="3">
        <f t="shared" si="4"/>
        <v>0.25018195781855734</v>
      </c>
      <c r="E15" s="3">
        <f t="shared" si="4"/>
        <v>0.2872649185168199</v>
      </c>
      <c r="F15" s="3">
        <f t="shared" si="4"/>
        <v>0.67718471122421064</v>
      </c>
    </row>
    <row r="16" spans="1:10">
      <c r="A16" t="s">
        <v>102</v>
      </c>
      <c r="B16" s="1">
        <f>+B15</f>
        <v>-1.0755767195948802</v>
      </c>
      <c r="C16" s="1">
        <f>+C15+B16</f>
        <v>-0.86058240953177179</v>
      </c>
      <c r="D16" s="1">
        <f t="shared" ref="D16:F16" si="5">+D15+C16</f>
        <v>-0.61040045171321444</v>
      </c>
      <c r="E16" s="1">
        <f t="shared" si="5"/>
        <v>-0.32313553319639454</v>
      </c>
      <c r="F16" s="1">
        <f t="shared" si="5"/>
        <v>0.3540491780278161</v>
      </c>
    </row>
    <row r="18" spans="1:8">
      <c r="A18" s="64" t="s">
        <v>103</v>
      </c>
    </row>
    <row r="19" spans="1:8">
      <c r="A19" s="64" t="s">
        <v>124</v>
      </c>
      <c r="B19" s="55"/>
      <c r="C19" s="55"/>
      <c r="D19" s="55"/>
      <c r="E19" s="55"/>
      <c r="F19" s="55"/>
      <c r="G19" s="55"/>
    </row>
    <row r="20" spans="1:8">
      <c r="A20" s="64" t="s">
        <v>125</v>
      </c>
      <c r="B20" s="55"/>
      <c r="C20" s="55"/>
      <c r="D20" s="55"/>
      <c r="E20" s="55"/>
      <c r="F20" s="55"/>
      <c r="G20" s="55"/>
    </row>
    <row r="22" spans="1:8">
      <c r="A22" s="61" t="s">
        <v>109</v>
      </c>
      <c r="B22" s="63"/>
      <c r="C22" s="63"/>
      <c r="D22" s="63"/>
      <c r="E22" s="63"/>
      <c r="F22" s="63"/>
      <c r="G22" s="63"/>
      <c r="H22" s="62"/>
    </row>
    <row r="23" spans="1:8">
      <c r="B23" s="57" t="s">
        <v>126</v>
      </c>
      <c r="C23" s="57" t="s">
        <v>112</v>
      </c>
      <c r="D23" s="57" t="s">
        <v>113</v>
      </c>
      <c r="E23" s="57" t="s">
        <v>114</v>
      </c>
      <c r="F23" s="57" t="s">
        <v>115</v>
      </c>
      <c r="G23" s="57" t="s">
        <v>116</v>
      </c>
      <c r="H23" s="57" t="s">
        <v>110</v>
      </c>
    </row>
    <row r="24" spans="1:8">
      <c r="A24" s="5" t="s">
        <v>111</v>
      </c>
      <c r="B24" s="59"/>
      <c r="C24" s="59"/>
      <c r="D24" s="55"/>
      <c r="E24" s="55"/>
      <c r="F24" s="55"/>
      <c r="G24" s="55"/>
    </row>
    <row r="25" spans="1:8">
      <c r="A25" t="s">
        <v>112</v>
      </c>
      <c r="B25" s="55"/>
      <c r="C25" s="55">
        <f>1589535</f>
        <v>1589535</v>
      </c>
      <c r="D25" s="55"/>
      <c r="E25" s="55"/>
      <c r="F25" s="55"/>
      <c r="G25" s="55"/>
      <c r="H25" s="55">
        <f t="shared" ref="H25:H31" si="6">SUM(B25:G25)</f>
        <v>1589535</v>
      </c>
    </row>
    <row r="26" spans="1:8">
      <c r="A26" t="s">
        <v>113</v>
      </c>
      <c r="B26" s="55"/>
      <c r="C26" s="55"/>
      <c r="D26" s="55">
        <f>2806664</f>
        <v>2806664</v>
      </c>
      <c r="E26" s="55"/>
      <c r="F26" s="55"/>
      <c r="G26" s="55"/>
      <c r="H26" s="55">
        <f t="shared" si="6"/>
        <v>2806664</v>
      </c>
    </row>
    <row r="27" spans="1:8">
      <c r="A27" t="s">
        <v>114</v>
      </c>
      <c r="B27" s="55"/>
      <c r="C27" s="55"/>
      <c r="D27" s="55"/>
      <c r="E27" s="55">
        <f>2890864</f>
        <v>2890864</v>
      </c>
      <c r="F27" s="55"/>
      <c r="G27" s="55"/>
      <c r="H27" s="55">
        <f t="shared" si="6"/>
        <v>2890864</v>
      </c>
    </row>
    <row r="28" spans="1:8">
      <c r="A28" t="s">
        <v>115</v>
      </c>
      <c r="B28" s="55"/>
      <c r="C28" s="55"/>
      <c r="D28" s="55"/>
      <c r="E28" s="55"/>
      <c r="F28" s="55">
        <f>2977590</f>
        <v>2977590</v>
      </c>
      <c r="G28" s="55"/>
      <c r="H28" s="55">
        <f t="shared" si="6"/>
        <v>2977590</v>
      </c>
    </row>
    <row r="29" spans="1:8">
      <c r="A29" t="s">
        <v>116</v>
      </c>
      <c r="B29" s="55"/>
      <c r="C29" s="55"/>
      <c r="D29" s="55"/>
      <c r="E29" s="55"/>
      <c r="F29" s="55"/>
      <c r="G29" s="55">
        <f>3066918</f>
        <v>3066918</v>
      </c>
      <c r="H29" s="55">
        <f t="shared" si="6"/>
        <v>3066918</v>
      </c>
    </row>
    <row r="30" spans="1:8">
      <c r="A30" t="s">
        <v>117</v>
      </c>
      <c r="B30" s="55"/>
      <c r="C30" s="55"/>
      <c r="D30" s="55"/>
      <c r="E30" s="55"/>
      <c r="F30" s="55"/>
      <c r="G30" s="55"/>
      <c r="H30" s="55">
        <f t="shared" si="6"/>
        <v>0</v>
      </c>
    </row>
    <row r="31" spans="1:8" ht="15" thickBot="1">
      <c r="A31" t="s">
        <v>118</v>
      </c>
      <c r="B31" s="58">
        <f>SUM(B25:B30)</f>
        <v>0</v>
      </c>
      <c r="C31" s="58">
        <f t="shared" ref="C31:G31" si="7">SUM(C25:C30)</f>
        <v>1589535</v>
      </c>
      <c r="D31" s="58">
        <f t="shared" si="7"/>
        <v>2806664</v>
      </c>
      <c r="E31" s="58">
        <f t="shared" si="7"/>
        <v>2890864</v>
      </c>
      <c r="F31" s="58">
        <f t="shared" si="7"/>
        <v>2977590</v>
      </c>
      <c r="G31" s="58">
        <f t="shared" si="7"/>
        <v>3066918</v>
      </c>
      <c r="H31" s="58">
        <f t="shared" si="6"/>
        <v>13331571</v>
      </c>
    </row>
    <row r="32" spans="1:8">
      <c r="H32" s="55"/>
    </row>
    <row r="33" spans="1:8">
      <c r="A33" s="5" t="s">
        <v>119</v>
      </c>
      <c r="B33" s="55"/>
      <c r="C33" s="55"/>
      <c r="D33" s="55"/>
      <c r="E33" s="55"/>
      <c r="F33" s="55"/>
      <c r="G33" s="55"/>
      <c r="H33" s="55"/>
    </row>
    <row r="34" spans="1:8">
      <c r="A34" t="s">
        <v>112</v>
      </c>
      <c r="B34" s="55">
        <f>566736/5*3*0</f>
        <v>0</v>
      </c>
      <c r="C34" s="55">
        <f>(566736-B34)*0</f>
        <v>0</v>
      </c>
      <c r="D34" s="55"/>
      <c r="E34" s="55"/>
      <c r="F34" s="55"/>
      <c r="G34" s="55"/>
      <c r="H34" s="55">
        <f t="shared" ref="H34:H42" si="8">SUM(B34:G34)</f>
        <v>0</v>
      </c>
    </row>
    <row r="35" spans="1:8">
      <c r="A35" t="s">
        <v>113</v>
      </c>
      <c r="B35" s="55"/>
      <c r="C35" s="55">
        <f>1400972/12*3*0</f>
        <v>0</v>
      </c>
      <c r="D35" s="55">
        <f>1400972/12*9*0</f>
        <v>0</v>
      </c>
      <c r="E35" s="55"/>
      <c r="F35" s="55"/>
      <c r="G35" s="55"/>
      <c r="H35" s="55">
        <f t="shared" si="8"/>
        <v>0</v>
      </c>
    </row>
    <row r="36" spans="1:8">
      <c r="A36" t="s">
        <v>114</v>
      </c>
      <c r="B36" s="55"/>
      <c r="C36" s="55"/>
      <c r="D36" s="55">
        <f>1443001/12*3*0</f>
        <v>0</v>
      </c>
      <c r="E36" s="55">
        <f>1443001/12*9*0</f>
        <v>0</v>
      </c>
      <c r="F36" s="55"/>
      <c r="G36" s="55"/>
      <c r="H36" s="55">
        <f t="shared" si="8"/>
        <v>0</v>
      </c>
    </row>
    <row r="37" spans="1:8">
      <c r="A37" t="s">
        <v>115</v>
      </c>
      <c r="B37" s="55"/>
      <c r="C37" s="55"/>
      <c r="D37" s="55"/>
      <c r="E37" s="55">
        <f>1486291/12*3*0</f>
        <v>0</v>
      </c>
      <c r="F37" s="55">
        <f>1486291/12*9*0</f>
        <v>0</v>
      </c>
      <c r="G37" s="55"/>
      <c r="H37" s="55">
        <f t="shared" si="8"/>
        <v>0</v>
      </c>
    </row>
    <row r="38" spans="1:8">
      <c r="A38" t="s">
        <v>116</v>
      </c>
      <c r="B38" s="55"/>
      <c r="C38" s="55"/>
      <c r="D38" s="55"/>
      <c r="E38" s="55"/>
      <c r="F38" s="55">
        <f>1530879/12*3*0</f>
        <v>0</v>
      </c>
      <c r="G38" s="55">
        <f>1530879/12*9*0</f>
        <v>0</v>
      </c>
      <c r="H38" s="55">
        <f t="shared" si="8"/>
        <v>0</v>
      </c>
    </row>
    <row r="39" spans="1:8">
      <c r="A39" t="s">
        <v>117</v>
      </c>
      <c r="B39" s="55"/>
      <c r="C39" s="55"/>
      <c r="D39" s="55"/>
      <c r="E39" s="55"/>
      <c r="F39" s="55"/>
      <c r="G39" s="55">
        <f>1576806/12*3*0</f>
        <v>0</v>
      </c>
      <c r="H39" s="55">
        <f t="shared" si="8"/>
        <v>0</v>
      </c>
    </row>
    <row r="40" spans="1:8">
      <c r="A40" t="s">
        <v>120</v>
      </c>
      <c r="B40" s="55"/>
      <c r="C40" s="55"/>
      <c r="D40" s="55"/>
      <c r="E40" s="55"/>
      <c r="F40" s="55"/>
      <c r="G40" s="55"/>
      <c r="H40" s="55">
        <f t="shared" si="8"/>
        <v>0</v>
      </c>
    </row>
    <row r="41" spans="1:8">
      <c r="A41" t="s">
        <v>121</v>
      </c>
      <c r="B41" s="55"/>
      <c r="C41" s="55"/>
      <c r="D41" s="55"/>
      <c r="E41" s="55"/>
      <c r="F41" s="55"/>
      <c r="G41" s="55"/>
      <c r="H41" s="55">
        <f t="shared" si="8"/>
        <v>0</v>
      </c>
    </row>
    <row r="42" spans="1:8" ht="15" thickBot="1">
      <c r="A42" t="s">
        <v>118</v>
      </c>
      <c r="B42" s="58">
        <f>SUM(B34:B41)</f>
        <v>0</v>
      </c>
      <c r="C42" s="58">
        <f t="shared" ref="C42:G42" si="9">SUM(C34:C41)</f>
        <v>0</v>
      </c>
      <c r="D42" s="58">
        <f t="shared" si="9"/>
        <v>0</v>
      </c>
      <c r="E42" s="58">
        <f t="shared" si="9"/>
        <v>0</v>
      </c>
      <c r="F42" s="58">
        <f t="shared" si="9"/>
        <v>0</v>
      </c>
      <c r="G42" s="58">
        <f t="shared" si="9"/>
        <v>0</v>
      </c>
      <c r="H42" s="58">
        <f t="shared" si="8"/>
        <v>0</v>
      </c>
    </row>
    <row r="44" spans="1:8">
      <c r="A44" s="5" t="s">
        <v>118</v>
      </c>
      <c r="B44" s="55"/>
      <c r="C44" s="55"/>
      <c r="D44" s="55"/>
      <c r="E44" s="55"/>
      <c r="F44" s="55"/>
      <c r="G44" s="55"/>
      <c r="H44" s="55"/>
    </row>
    <row r="45" spans="1:8">
      <c r="A45" t="s">
        <v>112</v>
      </c>
      <c r="B45" s="55">
        <f>+B25+B34</f>
        <v>0</v>
      </c>
      <c r="C45" s="55">
        <f t="shared" ref="C45:G45" si="10">+C25+C34</f>
        <v>1589535</v>
      </c>
      <c r="D45" s="55">
        <f t="shared" si="10"/>
        <v>0</v>
      </c>
      <c r="E45" s="55">
        <f t="shared" si="10"/>
        <v>0</v>
      </c>
      <c r="F45" s="55">
        <f t="shared" si="10"/>
        <v>0</v>
      </c>
      <c r="G45" s="55">
        <f t="shared" si="10"/>
        <v>0</v>
      </c>
      <c r="H45" s="55">
        <f t="shared" ref="H45:H53" si="11">SUM(B45:G45)</f>
        <v>1589535</v>
      </c>
    </row>
    <row r="46" spans="1:8">
      <c r="A46" t="s">
        <v>113</v>
      </c>
      <c r="B46" s="55">
        <f t="shared" ref="B46:G50" si="12">+B26+B35</f>
        <v>0</v>
      </c>
      <c r="C46" s="55">
        <f t="shared" si="12"/>
        <v>0</v>
      </c>
      <c r="D46" s="55">
        <f t="shared" si="12"/>
        <v>2806664</v>
      </c>
      <c r="E46" s="55">
        <f t="shared" si="12"/>
        <v>0</v>
      </c>
      <c r="F46" s="55">
        <f t="shared" si="12"/>
        <v>0</v>
      </c>
      <c r="G46" s="55">
        <f t="shared" si="12"/>
        <v>0</v>
      </c>
      <c r="H46" s="55">
        <f t="shared" si="11"/>
        <v>2806664</v>
      </c>
    </row>
    <row r="47" spans="1:8">
      <c r="A47" t="s">
        <v>114</v>
      </c>
      <c r="B47" s="55">
        <f t="shared" si="12"/>
        <v>0</v>
      </c>
      <c r="C47" s="55">
        <f t="shared" si="12"/>
        <v>0</v>
      </c>
      <c r="D47" s="55">
        <f t="shared" si="12"/>
        <v>0</v>
      </c>
      <c r="E47" s="55">
        <f t="shared" si="12"/>
        <v>2890864</v>
      </c>
      <c r="F47" s="55">
        <f t="shared" si="12"/>
        <v>0</v>
      </c>
      <c r="G47" s="55">
        <f t="shared" si="12"/>
        <v>0</v>
      </c>
      <c r="H47" s="55">
        <f t="shared" si="11"/>
        <v>2890864</v>
      </c>
    </row>
    <row r="48" spans="1:8">
      <c r="A48" t="s">
        <v>115</v>
      </c>
      <c r="B48" s="55">
        <f t="shared" si="12"/>
        <v>0</v>
      </c>
      <c r="C48" s="55">
        <f t="shared" si="12"/>
        <v>0</v>
      </c>
      <c r="D48" s="55">
        <f t="shared" si="12"/>
        <v>0</v>
      </c>
      <c r="E48" s="55">
        <f t="shared" si="12"/>
        <v>0</v>
      </c>
      <c r="F48" s="55">
        <f t="shared" si="12"/>
        <v>2977590</v>
      </c>
      <c r="G48" s="55">
        <f t="shared" si="12"/>
        <v>0</v>
      </c>
      <c r="H48" s="55">
        <f t="shared" si="11"/>
        <v>2977590</v>
      </c>
    </row>
    <row r="49" spans="1:8">
      <c r="A49" t="s">
        <v>116</v>
      </c>
      <c r="B49" s="55">
        <f t="shared" si="12"/>
        <v>0</v>
      </c>
      <c r="C49" s="55">
        <f t="shared" si="12"/>
        <v>0</v>
      </c>
      <c r="D49" s="55">
        <f t="shared" si="12"/>
        <v>0</v>
      </c>
      <c r="E49" s="55">
        <f t="shared" si="12"/>
        <v>0</v>
      </c>
      <c r="F49" s="55">
        <f t="shared" si="12"/>
        <v>0</v>
      </c>
      <c r="G49" s="55">
        <f t="shared" si="12"/>
        <v>3066918</v>
      </c>
      <c r="H49" s="55">
        <f t="shared" si="11"/>
        <v>3066918</v>
      </c>
    </row>
    <row r="50" spans="1:8">
      <c r="A50" t="s">
        <v>117</v>
      </c>
      <c r="B50" s="55">
        <f t="shared" si="12"/>
        <v>0</v>
      </c>
      <c r="C50" s="55">
        <f t="shared" si="12"/>
        <v>0</v>
      </c>
      <c r="D50" s="55">
        <f t="shared" si="12"/>
        <v>0</v>
      </c>
      <c r="E50" s="55">
        <f t="shared" si="12"/>
        <v>0</v>
      </c>
      <c r="F50" s="55">
        <f t="shared" si="12"/>
        <v>0</v>
      </c>
      <c r="G50" s="55">
        <f t="shared" si="12"/>
        <v>0</v>
      </c>
      <c r="H50" s="55">
        <f t="shared" si="11"/>
        <v>0</v>
      </c>
    </row>
    <row r="51" spans="1:8">
      <c r="A51" t="s">
        <v>120</v>
      </c>
      <c r="B51" s="55">
        <f>+B40</f>
        <v>0</v>
      </c>
      <c r="C51" s="55">
        <f t="shared" ref="C51:G52" si="13">+C40</f>
        <v>0</v>
      </c>
      <c r="D51" s="55">
        <f t="shared" si="13"/>
        <v>0</v>
      </c>
      <c r="E51" s="55">
        <f t="shared" si="13"/>
        <v>0</v>
      </c>
      <c r="F51" s="55">
        <f t="shared" si="13"/>
        <v>0</v>
      </c>
      <c r="G51" s="55">
        <f t="shared" si="13"/>
        <v>0</v>
      </c>
      <c r="H51" s="55">
        <f t="shared" si="11"/>
        <v>0</v>
      </c>
    </row>
    <row r="52" spans="1:8">
      <c r="A52" t="s">
        <v>121</v>
      </c>
      <c r="B52" s="55">
        <f>+B41</f>
        <v>0</v>
      </c>
      <c r="C52" s="55">
        <f t="shared" si="13"/>
        <v>0</v>
      </c>
      <c r="D52" s="55">
        <f t="shared" si="13"/>
        <v>0</v>
      </c>
      <c r="E52" s="55">
        <f t="shared" si="13"/>
        <v>0</v>
      </c>
      <c r="F52" s="55">
        <f t="shared" si="13"/>
        <v>0</v>
      </c>
      <c r="G52" s="55">
        <f t="shared" si="13"/>
        <v>0</v>
      </c>
      <c r="H52" s="55">
        <f t="shared" si="11"/>
        <v>0</v>
      </c>
    </row>
    <row r="53" spans="1:8" ht="15" thickBot="1">
      <c r="A53" t="s">
        <v>118</v>
      </c>
      <c r="B53" s="58">
        <f>SUM(B45:B52)</f>
        <v>0</v>
      </c>
      <c r="C53" s="58">
        <f t="shared" ref="C53:G53" si="14">SUM(C45:C52)</f>
        <v>1589535</v>
      </c>
      <c r="D53" s="58">
        <f t="shared" si="14"/>
        <v>2806664</v>
      </c>
      <c r="E53" s="58">
        <f t="shared" si="14"/>
        <v>2890864</v>
      </c>
      <c r="F53" s="58">
        <f t="shared" si="14"/>
        <v>2977590</v>
      </c>
      <c r="G53" s="58">
        <f t="shared" si="14"/>
        <v>3066918</v>
      </c>
      <c r="H53" s="58">
        <f t="shared" si="11"/>
        <v>13331571</v>
      </c>
    </row>
  </sheetData>
  <phoneticPr fontId="5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25C4885EF66B48AAFD9E4A9CC8BF5E" ma:contentTypeVersion="4" ma:contentTypeDescription="Create a new document." ma:contentTypeScope="" ma:versionID="f75be072b016438776b4d2c94cc809dc">
  <xsd:schema xmlns:xsd="http://www.w3.org/2001/XMLSchema" xmlns:xs="http://www.w3.org/2001/XMLSchema" xmlns:p="http://schemas.microsoft.com/office/2006/metadata/properties" xmlns:ns2="6c16c6fc-c4e8-4518-9db1-1a3dadac20d5" targetNamespace="http://schemas.microsoft.com/office/2006/metadata/properties" ma:root="true" ma:fieldsID="39712d36c8343be37a8b7a02ff70dcb6" ns2:_="">
    <xsd:import namespace="6c16c6fc-c4e8-4518-9db1-1a3dadac20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16c6fc-c4e8-4518-9db1-1a3dadac20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D98A97-7345-42E1-AFD4-3F3358180F58}"/>
</file>

<file path=customXml/itemProps2.xml><?xml version="1.0" encoding="utf-8"?>
<ds:datastoreItem xmlns:ds="http://schemas.openxmlformats.org/officeDocument/2006/customXml" ds:itemID="{A07B4092-C632-4AA4-BC64-367D199F6296}"/>
</file>

<file path=customXml/itemProps3.xml><?xml version="1.0" encoding="utf-8"?>
<ds:datastoreItem xmlns:ds="http://schemas.openxmlformats.org/officeDocument/2006/customXml" ds:itemID="{3E2E831D-88FB-44B8-B8EC-9092D6295E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Assumptions</vt:lpstr>
      <vt:lpstr>Results</vt:lpstr>
      <vt:lpstr>2025 Earnings</vt:lpstr>
      <vt:lpstr>Variance</vt:lpstr>
      <vt:lpstr>SubLease Scenario</vt:lpstr>
      <vt:lpstr>SubLease Scenario Board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2024-05-10T15:03:00Z</dcterms:created>
  <dcterms:modified xsi:type="dcterms:W3CDTF">2024-05-10T15:03:00Z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2024-05-10T15:03:00Z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cc43e6ff-9bcd-4ab9-87f4-f4e652d0db6a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0x0101000C25C4885EF66B48AAFD9E4A9CC8BF5E</vt:lpwstr>
  </property>
</Properties>
</file>