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18"/>
  <workbookPr filterPrivacy="1"/>
  <xr:revisionPtr revIDLastSave="32" documentId="13_ncr:1_{6F1B60DB-DD89-43F1-AC23-55F3CA684C1A}" xr6:coauthVersionLast="47" xr6:coauthVersionMax="47" xr10:uidLastSave="{CCCD2D67-5517-40CB-ABF4-261A48BBD4E5}"/>
  <bookViews>
    <workbookView xWindow="31845" yWindow="1185" windowWidth="21600" windowHeight="11385" xr2:uid="{D9100952-4866-46B6-BA38-FA4C9AE17559}"/>
  </bookViews>
  <sheets>
    <sheet name="WACC Calculation" sheetId="1" r:id="rId1"/>
    <sheet name="Revenue Deficiency Calculation" sheetId="2" r:id="rId2"/>
    <sheet name="Current Revenue Requirement" sheetId="3" r:id="rId3"/>
    <sheet name="Scenario Revenue Requirement" sheetId="4" r:id="rId4"/>
    <sheet name="Rate Impacts" sheetId="13" r:id="rId5"/>
    <sheet name="RS_GS_GSD Bill Impacts" sheetId="14" r:id="rId6"/>
    <sheet name="GSLDPR_GSLDSU Bill Impacts" sheetId="15" r:id="rId7"/>
    <sheet name="Scenario Operating Revenue" sheetId="5" r:id="rId8"/>
    <sheet name="Scenario RS Rates" sheetId="6" r:id="rId9"/>
    <sheet name="Scenario GS Rates" sheetId="7" r:id="rId10"/>
    <sheet name="Scenario GSD Rates" sheetId="8" r:id="rId11"/>
    <sheet name="Scenario GSLDPR Rates" sheetId="9" r:id="rId12"/>
    <sheet name="Scenario GSLDSU Rates" sheetId="10" r:id="rId13"/>
    <sheet name="Scenario LS Energy Rates" sheetId="11" r:id="rId14"/>
    <sheet name="Scenario LS Facilities Rates" sheetId="12" r:id="rId15"/>
  </sheets>
  <definedNames>
    <definedName name="solver_adj" localSheetId="9" hidden="1">'Scenario GS Rates'!$B$7</definedName>
    <definedName name="solver_adj" localSheetId="10" hidden="1">'Scenario GSD Rates'!$C$7</definedName>
    <definedName name="solver_adj" localSheetId="11" hidden="1">'Scenario GSLDPR Rates'!$B$7</definedName>
    <definedName name="solver_adj" localSheetId="12" hidden="1">'Scenario GSLDSU Rates'!$B$7</definedName>
    <definedName name="solver_adj" localSheetId="8" hidden="1">'Scenario RS Rates'!$B$7</definedName>
    <definedName name="solver_cvg" localSheetId="9" hidden="1">0.0001</definedName>
    <definedName name="solver_cvg" localSheetId="10" hidden="1">0.0001</definedName>
    <definedName name="solver_cvg" localSheetId="11" hidden="1">0.0001</definedName>
    <definedName name="solver_cvg" localSheetId="12" hidden="1">0.0001</definedName>
    <definedName name="solver_cvg" localSheetId="8" hidden="1">0.0001</definedName>
    <definedName name="solver_drv" localSheetId="9" hidden="1">1</definedName>
    <definedName name="solver_drv" localSheetId="10" hidden="1">1</definedName>
    <definedName name="solver_drv" localSheetId="11" hidden="1">2</definedName>
    <definedName name="solver_drv" localSheetId="12" hidden="1">1</definedName>
    <definedName name="solver_drv" localSheetId="8" hidden="1">1</definedName>
    <definedName name="solver_eng" localSheetId="9" hidden="1">1</definedName>
    <definedName name="solver_eng" localSheetId="10" hidden="1">1</definedName>
    <definedName name="solver_eng" localSheetId="11" hidden="1">1</definedName>
    <definedName name="solver_eng" localSheetId="12" hidden="1">1</definedName>
    <definedName name="solver_eng" localSheetId="8" hidden="1">1</definedName>
    <definedName name="solver_est" localSheetId="9" hidden="1">1</definedName>
    <definedName name="solver_est" localSheetId="10" hidden="1">1</definedName>
    <definedName name="solver_est" localSheetId="11" hidden="1">1</definedName>
    <definedName name="solver_est" localSheetId="12" hidden="1">1</definedName>
    <definedName name="solver_est" localSheetId="8" hidden="1">1</definedName>
    <definedName name="solver_itr" localSheetId="9" hidden="1">2147483647</definedName>
    <definedName name="solver_itr" localSheetId="10" hidden="1">2147483647</definedName>
    <definedName name="solver_itr" localSheetId="11" hidden="1">2147483647</definedName>
    <definedName name="solver_itr" localSheetId="12" hidden="1">2147483647</definedName>
    <definedName name="solver_itr" localSheetId="8" hidden="1">2147483647</definedName>
    <definedName name="solver_lhs1" localSheetId="10" hidden="1">'Scenario GSD Rates'!$C$5</definedName>
    <definedName name="solver_lhs1" localSheetId="11" hidden="1">'Scenario GSLDPR Rates'!$B$5</definedName>
    <definedName name="solver_lhs1" localSheetId="12" hidden="1">'Scenario GSLDSU Rates'!$B$5</definedName>
    <definedName name="solver_lhs1" localSheetId="8" hidden="1">'Scenario RS Rates'!$B$5</definedName>
    <definedName name="solver_mip" localSheetId="9" hidden="1">2147483647</definedName>
    <definedName name="solver_mip" localSheetId="10" hidden="1">2147483647</definedName>
    <definedName name="solver_mip" localSheetId="11" hidden="1">2147483647</definedName>
    <definedName name="solver_mip" localSheetId="12" hidden="1">2147483647</definedName>
    <definedName name="solver_mip" localSheetId="8" hidden="1">2147483647</definedName>
    <definedName name="solver_mni" localSheetId="9" hidden="1">30</definedName>
    <definedName name="solver_mni" localSheetId="10" hidden="1">30</definedName>
    <definedName name="solver_mni" localSheetId="11" hidden="1">30</definedName>
    <definedName name="solver_mni" localSheetId="12" hidden="1">30</definedName>
    <definedName name="solver_mni" localSheetId="8" hidden="1">30</definedName>
    <definedName name="solver_mrt" localSheetId="9" hidden="1">0.075</definedName>
    <definedName name="solver_mrt" localSheetId="10" hidden="1">0.075</definedName>
    <definedName name="solver_mrt" localSheetId="11" hidden="1">0.075</definedName>
    <definedName name="solver_mrt" localSheetId="12" hidden="1">0.075</definedName>
    <definedName name="solver_mrt" localSheetId="8" hidden="1">0.075</definedName>
    <definedName name="solver_msl" localSheetId="9" hidden="1">2</definedName>
    <definedName name="solver_msl" localSheetId="10" hidden="1">2</definedName>
    <definedName name="solver_msl" localSheetId="11" hidden="1">2</definedName>
    <definedName name="solver_msl" localSheetId="12" hidden="1">2</definedName>
    <definedName name="solver_msl" localSheetId="8" hidden="1">2</definedName>
    <definedName name="solver_neg" localSheetId="9" hidden="1">2</definedName>
    <definedName name="solver_neg" localSheetId="10" hidden="1">2</definedName>
    <definedName name="solver_neg" localSheetId="11" hidden="1">2</definedName>
    <definedName name="solver_neg" localSheetId="12" hidden="1">2</definedName>
    <definedName name="solver_neg" localSheetId="8" hidden="1">2</definedName>
    <definedName name="solver_nod" localSheetId="9" hidden="1">2147483647</definedName>
    <definedName name="solver_nod" localSheetId="10" hidden="1">2147483647</definedName>
    <definedName name="solver_nod" localSheetId="11" hidden="1">2147483647</definedName>
    <definedName name="solver_nod" localSheetId="12" hidden="1">2147483647</definedName>
    <definedName name="solver_nod" localSheetId="8" hidden="1">2147483647</definedName>
    <definedName name="solver_num" localSheetId="9" hidden="1">0</definedName>
    <definedName name="solver_num" localSheetId="10" hidden="1">1</definedName>
    <definedName name="solver_num" localSheetId="11" hidden="1">1</definedName>
    <definedName name="solver_num" localSheetId="12" hidden="1">1</definedName>
    <definedName name="solver_num" localSheetId="8" hidden="1">1</definedName>
    <definedName name="solver_nwt" localSheetId="9" hidden="1">1</definedName>
    <definedName name="solver_nwt" localSheetId="10" hidden="1">1</definedName>
    <definedName name="solver_nwt" localSheetId="11" hidden="1">1</definedName>
    <definedName name="solver_nwt" localSheetId="12" hidden="1">1</definedName>
    <definedName name="solver_nwt" localSheetId="8" hidden="1">1</definedName>
    <definedName name="solver_opt" localSheetId="9" hidden="1">'Scenario GS Rates'!$B$8</definedName>
    <definedName name="solver_opt" localSheetId="10" hidden="1">'Scenario GSD Rates'!$C$8</definedName>
    <definedName name="solver_opt" localSheetId="11" hidden="1">'Scenario GSLDPR Rates'!$B$8</definedName>
    <definedName name="solver_opt" localSheetId="12" hidden="1">'Scenario GSLDSU Rates'!$B$8</definedName>
    <definedName name="solver_opt" localSheetId="8" hidden="1">'Scenario RS Rates'!$B$8</definedName>
    <definedName name="solver_pre" localSheetId="9" hidden="1">0.000001</definedName>
    <definedName name="solver_pre" localSheetId="10" hidden="1">0.000001</definedName>
    <definedName name="solver_pre" localSheetId="11" hidden="1">0.000001</definedName>
    <definedName name="solver_pre" localSheetId="12" hidden="1">0.000001</definedName>
    <definedName name="solver_pre" localSheetId="8" hidden="1">0.000001</definedName>
    <definedName name="solver_rbv" localSheetId="9" hidden="1">1</definedName>
    <definedName name="solver_rbv" localSheetId="10" hidden="1">1</definedName>
    <definedName name="solver_rbv" localSheetId="11" hidden="1">2</definedName>
    <definedName name="solver_rbv" localSheetId="12" hidden="1">1</definedName>
    <definedName name="solver_rbv" localSheetId="8" hidden="1">1</definedName>
    <definedName name="solver_rel1" localSheetId="10" hidden="1">2</definedName>
    <definedName name="solver_rel1" localSheetId="11" hidden="1">2</definedName>
    <definedName name="solver_rel1" localSheetId="12" hidden="1">2</definedName>
    <definedName name="solver_rel1" localSheetId="8" hidden="1">2</definedName>
    <definedName name="solver_rhs1" localSheetId="10" hidden="1">'Scenario GSD Rates'!$C$8</definedName>
    <definedName name="solver_rhs1" localSheetId="11" hidden="1">'Scenario GSLDPR Rates'!$B$8</definedName>
    <definedName name="solver_rhs1" localSheetId="12" hidden="1">'Scenario GSLDSU Rates'!$B$8</definedName>
    <definedName name="solver_rhs1" localSheetId="8" hidden="1">'Scenario RS Rates'!$B$8</definedName>
    <definedName name="solver_rlx" localSheetId="9" hidden="1">2</definedName>
    <definedName name="solver_rlx" localSheetId="10" hidden="1">2</definedName>
    <definedName name="solver_rlx" localSheetId="11" hidden="1">2</definedName>
    <definedName name="solver_rlx" localSheetId="12" hidden="1">2</definedName>
    <definedName name="solver_rlx" localSheetId="8" hidden="1">2</definedName>
    <definedName name="solver_rsd" localSheetId="9" hidden="1">0</definedName>
    <definedName name="solver_rsd" localSheetId="10" hidden="1">0</definedName>
    <definedName name="solver_rsd" localSheetId="11" hidden="1">0</definedName>
    <definedName name="solver_rsd" localSheetId="12" hidden="1">0</definedName>
    <definedName name="solver_rsd" localSheetId="8" hidden="1">0</definedName>
    <definedName name="solver_scl" localSheetId="9" hidden="1">1</definedName>
    <definedName name="solver_scl" localSheetId="10" hidden="1">1</definedName>
    <definedName name="solver_scl" localSheetId="11" hidden="1">2</definedName>
    <definedName name="solver_scl" localSheetId="12" hidden="1">1</definedName>
    <definedName name="solver_scl" localSheetId="8" hidden="1">1</definedName>
    <definedName name="solver_sho" localSheetId="9" hidden="1">2</definedName>
    <definedName name="solver_sho" localSheetId="10" hidden="1">2</definedName>
    <definedName name="solver_sho" localSheetId="11" hidden="1">2</definedName>
    <definedName name="solver_sho" localSheetId="12" hidden="1">2</definedName>
    <definedName name="solver_sho" localSheetId="8" hidden="1">2</definedName>
    <definedName name="solver_ssz" localSheetId="9" hidden="1">100</definedName>
    <definedName name="solver_ssz" localSheetId="10" hidden="1">100</definedName>
    <definedName name="solver_ssz" localSheetId="11" hidden="1">100</definedName>
    <definedName name="solver_ssz" localSheetId="12" hidden="1">100</definedName>
    <definedName name="solver_ssz" localSheetId="8" hidden="1">100</definedName>
    <definedName name="solver_tim" localSheetId="9" hidden="1">2147483647</definedName>
    <definedName name="solver_tim" localSheetId="10" hidden="1">2147483647</definedName>
    <definedName name="solver_tim" localSheetId="11" hidden="1">2147483647</definedName>
    <definedName name="solver_tim" localSheetId="12" hidden="1">2147483647</definedName>
    <definedName name="solver_tim" localSheetId="8" hidden="1">2147483647</definedName>
    <definedName name="solver_tol" localSheetId="9" hidden="1">0.01</definedName>
    <definedName name="solver_tol" localSheetId="10" hidden="1">0.01</definedName>
    <definedName name="solver_tol" localSheetId="11" hidden="1">0.01</definedName>
    <definedName name="solver_tol" localSheetId="12" hidden="1">0.01</definedName>
    <definedName name="solver_tol" localSheetId="8" hidden="1">0.01</definedName>
    <definedName name="solver_typ" localSheetId="9" hidden="1">3</definedName>
    <definedName name="solver_typ" localSheetId="10" hidden="1">3</definedName>
    <definedName name="solver_typ" localSheetId="11" hidden="1">3</definedName>
    <definedName name="solver_typ" localSheetId="12" hidden="1">3</definedName>
    <definedName name="solver_typ" localSheetId="8" hidden="1">3</definedName>
    <definedName name="solver_val" localSheetId="9" hidden="1">99188847</definedName>
    <definedName name="solver_val" localSheetId="10" hidden="1">410969209</definedName>
    <definedName name="solver_val" localSheetId="11" hidden="1">47890341</definedName>
    <definedName name="solver_val" localSheetId="12" hidden="1">29992417</definedName>
    <definedName name="solver_val" localSheetId="8" hidden="1">1099586862</definedName>
    <definedName name="solver_ver" localSheetId="9" hidden="1">3</definedName>
    <definedName name="solver_ver" localSheetId="10" hidden="1">3</definedName>
    <definedName name="solver_ver" localSheetId="11" hidden="1">3</definedName>
    <definedName name="solver_ver" localSheetId="12" hidden="1">3</definedName>
    <definedName name="solver_ver" localSheetId="8" hidden="1">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6" i="15" l="1"/>
  <c r="D72" i="15"/>
  <c r="D68" i="15"/>
  <c r="H86" i="15"/>
  <c r="H87" i="15"/>
  <c r="H85" i="15"/>
  <c r="H83" i="15"/>
  <c r="H82" i="15"/>
  <c r="H80" i="15"/>
  <c r="G84" i="15"/>
  <c r="G81" i="15"/>
  <c r="D70" i="15" s="1"/>
  <c r="G80" i="15"/>
  <c r="D22" i="15"/>
  <c r="D18" i="15"/>
  <c r="D14" i="15"/>
  <c r="H32" i="15"/>
  <c r="H33" i="15"/>
  <c r="H31" i="15"/>
  <c r="H29" i="15"/>
  <c r="H28" i="15"/>
  <c r="H26" i="15"/>
  <c r="G30" i="15"/>
  <c r="G27" i="15"/>
  <c r="G26" i="15"/>
  <c r="M87" i="15"/>
  <c r="M86" i="15"/>
  <c r="M85" i="15"/>
  <c r="M83" i="15"/>
  <c r="M82" i="15"/>
  <c r="M80" i="15"/>
  <c r="L84" i="15"/>
  <c r="L81" i="15"/>
  <c r="L80" i="15"/>
  <c r="M33" i="15"/>
  <c r="M32" i="15"/>
  <c r="M31" i="15"/>
  <c r="M29" i="15"/>
  <c r="M28" i="15"/>
  <c r="M26" i="15"/>
  <c r="N22" i="15" s="1"/>
  <c r="L30" i="15"/>
  <c r="L27" i="15"/>
  <c r="N13" i="15" s="1"/>
  <c r="L26" i="15"/>
  <c r="N21" i="15" s="1"/>
  <c r="M95" i="15"/>
  <c r="L95" i="15"/>
  <c r="M94" i="15"/>
  <c r="R76" i="15" s="1"/>
  <c r="L94" i="15"/>
  <c r="G94" i="15"/>
  <c r="M93" i="15"/>
  <c r="L93" i="15"/>
  <c r="S75" i="15" s="1"/>
  <c r="M92" i="15"/>
  <c r="Q76" i="15" s="1"/>
  <c r="L92" i="15"/>
  <c r="M91" i="15"/>
  <c r="L91" i="15"/>
  <c r="M90" i="15"/>
  <c r="L90" i="15"/>
  <c r="H90" i="15"/>
  <c r="M89" i="15"/>
  <c r="L89" i="15"/>
  <c r="H89" i="15"/>
  <c r="M88" i="15"/>
  <c r="G88" i="15"/>
  <c r="T76" i="15"/>
  <c r="S76" i="15"/>
  <c r="P76" i="15"/>
  <c r="J76" i="15"/>
  <c r="I76" i="15"/>
  <c r="H76" i="15"/>
  <c r="G76" i="15"/>
  <c r="F76" i="15"/>
  <c r="E76" i="15"/>
  <c r="C76" i="15"/>
  <c r="T75" i="15"/>
  <c r="Q75" i="15"/>
  <c r="P75" i="15"/>
  <c r="J75" i="15"/>
  <c r="I75" i="15"/>
  <c r="H75" i="15"/>
  <c r="G75" i="15"/>
  <c r="F75" i="15"/>
  <c r="C75" i="15"/>
  <c r="T74" i="15"/>
  <c r="Q74" i="15"/>
  <c r="P74" i="15"/>
  <c r="J74" i="15"/>
  <c r="I74" i="15"/>
  <c r="H74" i="15"/>
  <c r="G74" i="15"/>
  <c r="F74" i="15"/>
  <c r="C74" i="15"/>
  <c r="T72" i="15"/>
  <c r="S72" i="15"/>
  <c r="P72" i="15"/>
  <c r="J72" i="15"/>
  <c r="I72" i="15"/>
  <c r="H72" i="15"/>
  <c r="G72" i="15"/>
  <c r="F72" i="15"/>
  <c r="E72" i="15"/>
  <c r="C72" i="15"/>
  <c r="T71" i="15"/>
  <c r="Q71" i="15"/>
  <c r="P71" i="15"/>
  <c r="J71" i="15"/>
  <c r="I71" i="15"/>
  <c r="H71" i="15"/>
  <c r="G71" i="15"/>
  <c r="F71" i="15"/>
  <c r="E71" i="15"/>
  <c r="C71" i="15"/>
  <c r="T70" i="15"/>
  <c r="Q70" i="15"/>
  <c r="P70" i="15"/>
  <c r="J70" i="15"/>
  <c r="I70" i="15"/>
  <c r="H70" i="15"/>
  <c r="G70" i="15"/>
  <c r="F70" i="15"/>
  <c r="E70" i="15"/>
  <c r="C70" i="15"/>
  <c r="T68" i="15"/>
  <c r="S68" i="15"/>
  <c r="P68" i="15"/>
  <c r="J68" i="15"/>
  <c r="I68" i="15"/>
  <c r="H68" i="15"/>
  <c r="G68" i="15"/>
  <c r="F68" i="15"/>
  <c r="E68" i="15"/>
  <c r="C68" i="15"/>
  <c r="T67" i="15"/>
  <c r="Q67" i="15"/>
  <c r="P67" i="15"/>
  <c r="J67" i="15"/>
  <c r="I67" i="15"/>
  <c r="H67" i="15"/>
  <c r="G67" i="15"/>
  <c r="F67" i="15"/>
  <c r="E67" i="15"/>
  <c r="C67" i="15"/>
  <c r="T66" i="15"/>
  <c r="Q66" i="15"/>
  <c r="P66" i="15"/>
  <c r="J66" i="15"/>
  <c r="I66" i="15"/>
  <c r="H66" i="15"/>
  <c r="G66" i="15"/>
  <c r="F66" i="15"/>
  <c r="E66" i="15"/>
  <c r="C66" i="15"/>
  <c r="M41" i="15"/>
  <c r="L41" i="15"/>
  <c r="M40" i="15"/>
  <c r="H40" i="15"/>
  <c r="G40" i="15"/>
  <c r="L40" i="15" s="1"/>
  <c r="R21" i="15" s="1"/>
  <c r="M39" i="15"/>
  <c r="S22" i="15" s="1"/>
  <c r="L39" i="15"/>
  <c r="M38" i="15"/>
  <c r="L38" i="15"/>
  <c r="M37" i="15"/>
  <c r="L37" i="15"/>
  <c r="L36" i="15"/>
  <c r="H36" i="15"/>
  <c r="M36" i="15" s="1"/>
  <c r="L35" i="15"/>
  <c r="H35" i="15"/>
  <c r="M35" i="15" s="1"/>
  <c r="M34" i="15"/>
  <c r="G34" i="15"/>
  <c r="L34" i="15" s="1"/>
  <c r="T22" i="15"/>
  <c r="Q22" i="15"/>
  <c r="P22" i="15"/>
  <c r="J22" i="15"/>
  <c r="I22" i="15"/>
  <c r="G22" i="15"/>
  <c r="F22" i="15"/>
  <c r="C22" i="15"/>
  <c r="S21" i="15"/>
  <c r="P21" i="15"/>
  <c r="O21" i="15"/>
  <c r="K21" i="15"/>
  <c r="J21" i="15"/>
  <c r="I21" i="15"/>
  <c r="G21" i="15"/>
  <c r="F21" i="15"/>
  <c r="C21" i="15"/>
  <c r="S20" i="15"/>
  <c r="P20" i="15"/>
  <c r="J20" i="15"/>
  <c r="I20" i="15"/>
  <c r="G20" i="15"/>
  <c r="F20" i="15"/>
  <c r="C20" i="15"/>
  <c r="T18" i="15"/>
  <c r="Q18" i="15"/>
  <c r="P18" i="15"/>
  <c r="J18" i="15"/>
  <c r="I18" i="15"/>
  <c r="G18" i="15"/>
  <c r="F18" i="15"/>
  <c r="C18" i="15"/>
  <c r="R18" i="15" s="1"/>
  <c r="S17" i="15"/>
  <c r="P17" i="15"/>
  <c r="O17" i="15"/>
  <c r="N17" i="15"/>
  <c r="K17" i="15"/>
  <c r="J17" i="15"/>
  <c r="I17" i="15"/>
  <c r="G17" i="15"/>
  <c r="F17" i="15"/>
  <c r="C17" i="15"/>
  <c r="S16" i="15"/>
  <c r="P16" i="15"/>
  <c r="J16" i="15"/>
  <c r="I16" i="15"/>
  <c r="G16" i="15"/>
  <c r="F16" i="15"/>
  <c r="C16" i="15"/>
  <c r="T14" i="15"/>
  <c r="Q14" i="15"/>
  <c r="P14" i="15"/>
  <c r="J14" i="15"/>
  <c r="I14" i="15"/>
  <c r="G14" i="15"/>
  <c r="F14" i="15"/>
  <c r="C14" i="15"/>
  <c r="S13" i="15"/>
  <c r="P13" i="15"/>
  <c r="O13" i="15"/>
  <c r="J13" i="15"/>
  <c r="I13" i="15"/>
  <c r="G13" i="15"/>
  <c r="F13" i="15"/>
  <c r="C13" i="15"/>
  <c r="S12" i="15"/>
  <c r="P12" i="15"/>
  <c r="J12" i="15"/>
  <c r="I12" i="15"/>
  <c r="G12" i="15"/>
  <c r="F12" i="15"/>
  <c r="C12" i="15"/>
  <c r="I138" i="14"/>
  <c r="I134" i="14"/>
  <c r="D129" i="14"/>
  <c r="D124" i="14"/>
  <c r="D119" i="14"/>
  <c r="N119" i="14"/>
  <c r="N124" i="14"/>
  <c r="G140" i="14"/>
  <c r="G141" i="14"/>
  <c r="G139" i="14"/>
  <c r="G137" i="14"/>
  <c r="G136" i="14"/>
  <c r="G134" i="14"/>
  <c r="F138" i="14"/>
  <c r="F135" i="14"/>
  <c r="F134" i="14"/>
  <c r="F40" i="14"/>
  <c r="F39" i="14"/>
  <c r="F92" i="14"/>
  <c r="F90" i="14"/>
  <c r="L72" i="15" l="1"/>
  <c r="D74" i="15"/>
  <c r="D75" i="15"/>
  <c r="D67" i="15"/>
  <c r="D71" i="15"/>
  <c r="D66" i="15"/>
  <c r="N12" i="15"/>
  <c r="E14" i="15"/>
  <c r="H14" i="15"/>
  <c r="E16" i="15"/>
  <c r="H16" i="15"/>
  <c r="E20" i="15"/>
  <c r="H20" i="15"/>
  <c r="E22" i="15"/>
  <c r="H22" i="15"/>
  <c r="T21" i="15"/>
  <c r="T20" i="15"/>
  <c r="T17" i="15"/>
  <c r="T16" i="15"/>
  <c r="T13" i="15"/>
  <c r="T12" i="15"/>
  <c r="R75" i="15"/>
  <c r="R74" i="15"/>
  <c r="R71" i="15"/>
  <c r="K12" i="15"/>
  <c r="R12" i="15"/>
  <c r="K14" i="15"/>
  <c r="R16" i="15"/>
  <c r="K18" i="15"/>
  <c r="K20" i="15"/>
  <c r="Q21" i="15"/>
  <c r="U21" i="15" s="1"/>
  <c r="Q20" i="15"/>
  <c r="Q17" i="15"/>
  <c r="Q16" i="15"/>
  <c r="Q13" i="15"/>
  <c r="U13" i="15" s="1"/>
  <c r="Q12" i="15"/>
  <c r="N76" i="15"/>
  <c r="N72" i="15"/>
  <c r="N68" i="15"/>
  <c r="L88" i="15"/>
  <c r="E75" i="15"/>
  <c r="E13" i="15"/>
  <c r="H13" i="15"/>
  <c r="N14" i="15"/>
  <c r="R14" i="15"/>
  <c r="N16" i="15"/>
  <c r="E17" i="15"/>
  <c r="H17" i="15"/>
  <c r="N18" i="15"/>
  <c r="N20" i="15"/>
  <c r="E21" i="15"/>
  <c r="H21" i="15"/>
  <c r="R22" i="15"/>
  <c r="O66" i="15"/>
  <c r="O67" i="15"/>
  <c r="O68" i="15"/>
  <c r="Q72" i="15"/>
  <c r="E74" i="15"/>
  <c r="N75" i="15"/>
  <c r="E12" i="15"/>
  <c r="H12" i="15"/>
  <c r="E18" i="15"/>
  <c r="H18" i="15"/>
  <c r="D21" i="15"/>
  <c r="D20" i="15"/>
  <c r="D17" i="15"/>
  <c r="D16" i="15"/>
  <c r="D13" i="15"/>
  <c r="D12" i="15"/>
  <c r="O74" i="15"/>
  <c r="K16" i="15"/>
  <c r="R20" i="15"/>
  <c r="K22" i="15"/>
  <c r="Q68" i="15"/>
  <c r="O12" i="15"/>
  <c r="U12" i="15" s="1"/>
  <c r="K13" i="15"/>
  <c r="R13" i="15"/>
  <c r="O14" i="15"/>
  <c r="S14" i="15"/>
  <c r="O16" i="15"/>
  <c r="R17" i="15"/>
  <c r="U17" i="15" s="1"/>
  <c r="O18" i="15"/>
  <c r="S18" i="15"/>
  <c r="O20" i="15"/>
  <c r="O22" i="15"/>
  <c r="U22" i="15" s="1"/>
  <c r="V22" i="15" s="1"/>
  <c r="O70" i="15"/>
  <c r="O71" i="15"/>
  <c r="O72" i="15"/>
  <c r="O75" i="15"/>
  <c r="O76" i="15"/>
  <c r="N66" i="15"/>
  <c r="R66" i="15"/>
  <c r="N67" i="15"/>
  <c r="R67" i="15"/>
  <c r="R68" i="15"/>
  <c r="N70" i="15"/>
  <c r="R70" i="15"/>
  <c r="N71" i="15"/>
  <c r="R72" i="15"/>
  <c r="N74" i="15"/>
  <c r="K66" i="15"/>
  <c r="S66" i="15"/>
  <c r="K67" i="15"/>
  <c r="S67" i="15"/>
  <c r="K68" i="15"/>
  <c r="K70" i="15"/>
  <c r="L70" i="15" s="1"/>
  <c r="M70" i="15" s="1"/>
  <c r="Y70" i="15" s="1"/>
  <c r="S70" i="15"/>
  <c r="K71" i="15"/>
  <c r="L71" i="15" s="1"/>
  <c r="M71" i="15" s="1"/>
  <c r="Y71" i="15" s="1"/>
  <c r="S71" i="15"/>
  <c r="K72" i="15"/>
  <c r="K74" i="15"/>
  <c r="S74" i="15"/>
  <c r="K75" i="15"/>
  <c r="K76" i="15"/>
  <c r="F36" i="14"/>
  <c r="D127" i="14"/>
  <c r="P138" i="14"/>
  <c r="P134" i="14"/>
  <c r="N141" i="14"/>
  <c r="N140" i="14"/>
  <c r="N139" i="14"/>
  <c r="N137" i="14"/>
  <c r="N136" i="14"/>
  <c r="N134" i="14"/>
  <c r="M138" i="14"/>
  <c r="M135" i="14"/>
  <c r="M134" i="14"/>
  <c r="I92" i="14"/>
  <c r="N86" i="14" s="1"/>
  <c r="I90" i="14"/>
  <c r="N72" i="14" s="1"/>
  <c r="I36" i="14"/>
  <c r="I40" i="14"/>
  <c r="I39" i="14"/>
  <c r="N149" i="14"/>
  <c r="M149" i="14"/>
  <c r="T128" i="14" s="1"/>
  <c r="I149" i="14"/>
  <c r="P149" i="14" s="1"/>
  <c r="T126" i="14" s="1"/>
  <c r="N148" i="14"/>
  <c r="R129" i="14" s="1"/>
  <c r="M148" i="14"/>
  <c r="R127" i="14" s="1"/>
  <c r="I148" i="14"/>
  <c r="P148" i="14" s="1"/>
  <c r="G148" i="14"/>
  <c r="F148" i="14"/>
  <c r="P147" i="14"/>
  <c r="N147" i="14"/>
  <c r="M147" i="14"/>
  <c r="I147" i="14"/>
  <c r="P146" i="14"/>
  <c r="N146" i="14"/>
  <c r="M146" i="14"/>
  <c r="I146" i="14"/>
  <c r="P145" i="14"/>
  <c r="P126" i="14" s="1"/>
  <c r="N145" i="14"/>
  <c r="M145" i="14"/>
  <c r="I145" i="14"/>
  <c r="P144" i="14"/>
  <c r="M144" i="14"/>
  <c r="G144" i="14"/>
  <c r="N144" i="14" s="1"/>
  <c r="P143" i="14"/>
  <c r="M143" i="14"/>
  <c r="G143" i="14"/>
  <c r="N143" i="14" s="1"/>
  <c r="P142" i="14"/>
  <c r="N142" i="14"/>
  <c r="I142" i="14"/>
  <c r="F142" i="14"/>
  <c r="T129" i="14"/>
  <c r="S129" i="14"/>
  <c r="Q129" i="14"/>
  <c r="P129" i="14"/>
  <c r="J129" i="14"/>
  <c r="I129" i="14"/>
  <c r="H129" i="14"/>
  <c r="G129" i="14"/>
  <c r="F129" i="14"/>
  <c r="C129" i="14"/>
  <c r="S128" i="14"/>
  <c r="Q128" i="14"/>
  <c r="P128" i="14"/>
  <c r="J128" i="14"/>
  <c r="I128" i="14"/>
  <c r="H128" i="14"/>
  <c r="G128" i="14"/>
  <c r="F128" i="14"/>
  <c r="E128" i="14"/>
  <c r="C128" i="14"/>
  <c r="T127" i="14"/>
  <c r="S127" i="14"/>
  <c r="Q127" i="14"/>
  <c r="P127" i="14"/>
  <c r="J127" i="14"/>
  <c r="I127" i="14"/>
  <c r="H127" i="14"/>
  <c r="G127" i="14"/>
  <c r="F127" i="14"/>
  <c r="C127" i="14"/>
  <c r="Q126" i="14"/>
  <c r="J126" i="14"/>
  <c r="I126" i="14"/>
  <c r="H126" i="14"/>
  <c r="E126" i="14"/>
  <c r="D126" i="14"/>
  <c r="C126" i="14"/>
  <c r="S124" i="14"/>
  <c r="Q124" i="14"/>
  <c r="P124" i="14"/>
  <c r="J124" i="14"/>
  <c r="I124" i="14"/>
  <c r="H124" i="14"/>
  <c r="G124" i="14"/>
  <c r="F124" i="14"/>
  <c r="C124" i="14"/>
  <c r="S123" i="14"/>
  <c r="Q123" i="14"/>
  <c r="P123" i="14"/>
  <c r="J123" i="14"/>
  <c r="I123" i="14"/>
  <c r="H123" i="14"/>
  <c r="G123" i="14"/>
  <c r="F123" i="14"/>
  <c r="C123" i="14"/>
  <c r="T122" i="14"/>
  <c r="S122" i="14"/>
  <c r="Q122" i="14"/>
  <c r="P122" i="14"/>
  <c r="J122" i="14"/>
  <c r="I122" i="14"/>
  <c r="H122" i="14"/>
  <c r="G122" i="14"/>
  <c r="F122" i="14"/>
  <c r="E122" i="14"/>
  <c r="C122" i="14"/>
  <c r="I121" i="14"/>
  <c r="H121" i="14"/>
  <c r="E121" i="14"/>
  <c r="D121" i="14"/>
  <c r="C121" i="14"/>
  <c r="S119" i="14"/>
  <c r="Q119" i="14"/>
  <c r="P119" i="14"/>
  <c r="J119" i="14"/>
  <c r="I119" i="14"/>
  <c r="H119" i="14"/>
  <c r="G119" i="14"/>
  <c r="F119" i="14"/>
  <c r="C119" i="14"/>
  <c r="S118" i="14"/>
  <c r="Q118" i="14"/>
  <c r="P118" i="14"/>
  <c r="J118" i="14"/>
  <c r="I118" i="14"/>
  <c r="H118" i="14"/>
  <c r="G118" i="14"/>
  <c r="F118" i="14"/>
  <c r="C118" i="14"/>
  <c r="T117" i="14"/>
  <c r="S117" i="14"/>
  <c r="Q117" i="14"/>
  <c r="P117" i="14"/>
  <c r="J117" i="14"/>
  <c r="I117" i="14"/>
  <c r="H117" i="14"/>
  <c r="G117" i="14"/>
  <c r="F117" i="14"/>
  <c r="E117" i="14"/>
  <c r="C117" i="14"/>
  <c r="I116" i="14"/>
  <c r="H116" i="14"/>
  <c r="E116" i="14"/>
  <c r="D116" i="14"/>
  <c r="C116" i="14"/>
  <c r="F98" i="14"/>
  <c r="F97" i="14"/>
  <c r="I97" i="14" s="1"/>
  <c r="F96" i="14"/>
  <c r="F95" i="14"/>
  <c r="I95" i="14" s="1"/>
  <c r="F94" i="14"/>
  <c r="F93" i="14"/>
  <c r="I93" i="14" s="1"/>
  <c r="R86" i="14"/>
  <c r="K86" i="14"/>
  <c r="H86" i="14"/>
  <c r="G86" i="14"/>
  <c r="E86" i="14"/>
  <c r="Q84" i="14"/>
  <c r="K84" i="14"/>
  <c r="I84" i="14"/>
  <c r="H84" i="14"/>
  <c r="G84" i="14"/>
  <c r="E84" i="14"/>
  <c r="D84" i="14"/>
  <c r="O82" i="14"/>
  <c r="K82" i="14"/>
  <c r="H82" i="14"/>
  <c r="G82" i="14"/>
  <c r="E82" i="14"/>
  <c r="D82" i="14"/>
  <c r="R80" i="14"/>
  <c r="O80" i="14"/>
  <c r="K80" i="14"/>
  <c r="H80" i="14"/>
  <c r="G80" i="14"/>
  <c r="F80" i="14"/>
  <c r="E80" i="14"/>
  <c r="R78" i="14"/>
  <c r="N78" i="14"/>
  <c r="K78" i="14"/>
  <c r="I78" i="14"/>
  <c r="H78" i="14"/>
  <c r="G78" i="14"/>
  <c r="E78" i="14"/>
  <c r="K76" i="14"/>
  <c r="I76" i="14"/>
  <c r="H76" i="14"/>
  <c r="G76" i="14"/>
  <c r="E76" i="14"/>
  <c r="D76" i="14"/>
  <c r="R74" i="14"/>
  <c r="O74" i="14"/>
  <c r="K74" i="14"/>
  <c r="H74" i="14"/>
  <c r="G74" i="14"/>
  <c r="F74" i="14"/>
  <c r="E74" i="14"/>
  <c r="D74" i="14"/>
  <c r="R72" i="14"/>
  <c r="O72" i="14"/>
  <c r="K72" i="14"/>
  <c r="J72" i="14"/>
  <c r="I72" i="14"/>
  <c r="H72" i="14"/>
  <c r="G72" i="14"/>
  <c r="F72" i="14"/>
  <c r="E72" i="14"/>
  <c r="D72" i="14"/>
  <c r="R70" i="14"/>
  <c r="K70" i="14"/>
  <c r="J70" i="14"/>
  <c r="I70" i="14"/>
  <c r="H70" i="14"/>
  <c r="G70" i="14"/>
  <c r="F70" i="14"/>
  <c r="E70" i="14"/>
  <c r="D70" i="14"/>
  <c r="R68" i="14"/>
  <c r="O68" i="14"/>
  <c r="K68" i="14"/>
  <c r="I68" i="14"/>
  <c r="H68" i="14"/>
  <c r="G68" i="14"/>
  <c r="E68" i="14"/>
  <c r="D68" i="14"/>
  <c r="R66" i="14"/>
  <c r="O66" i="14"/>
  <c r="K66" i="14"/>
  <c r="J66" i="14"/>
  <c r="H66" i="14"/>
  <c r="G66" i="14"/>
  <c r="F66" i="14"/>
  <c r="E66" i="14"/>
  <c r="D66" i="14"/>
  <c r="R64" i="14"/>
  <c r="Q64" i="14"/>
  <c r="O64" i="14"/>
  <c r="K64" i="14"/>
  <c r="I64" i="14"/>
  <c r="H64" i="14"/>
  <c r="G64" i="14"/>
  <c r="E64" i="14"/>
  <c r="D64" i="14"/>
  <c r="I48" i="14"/>
  <c r="I47" i="14"/>
  <c r="I46" i="14"/>
  <c r="S26" i="14" s="1"/>
  <c r="I45" i="14"/>
  <c r="Q30" i="14" s="1"/>
  <c r="I44" i="14"/>
  <c r="I43" i="14"/>
  <c r="I42" i="14"/>
  <c r="O26" i="14" s="1"/>
  <c r="N16" i="14"/>
  <c r="T32" i="14"/>
  <c r="S32" i="14"/>
  <c r="R32" i="14"/>
  <c r="Q32" i="14"/>
  <c r="P32" i="14"/>
  <c r="O32" i="14"/>
  <c r="K32" i="14"/>
  <c r="J32" i="14"/>
  <c r="I32" i="14"/>
  <c r="H32" i="14"/>
  <c r="G32" i="14"/>
  <c r="F32" i="14"/>
  <c r="E32" i="14"/>
  <c r="T30" i="14"/>
  <c r="S30" i="14"/>
  <c r="R30" i="14"/>
  <c r="P30" i="14"/>
  <c r="O30" i="14"/>
  <c r="K30" i="14"/>
  <c r="J30" i="14"/>
  <c r="I30" i="14"/>
  <c r="H30" i="14"/>
  <c r="G30" i="14"/>
  <c r="F30" i="14"/>
  <c r="E30" i="14"/>
  <c r="S28" i="14"/>
  <c r="R28" i="14"/>
  <c r="Q28" i="14"/>
  <c r="O28" i="14"/>
  <c r="N28" i="14"/>
  <c r="K28" i="14"/>
  <c r="J28" i="14"/>
  <c r="I28" i="14"/>
  <c r="H28" i="14"/>
  <c r="G28" i="14"/>
  <c r="F28" i="14"/>
  <c r="E28" i="14"/>
  <c r="R26" i="14"/>
  <c r="Q26" i="14"/>
  <c r="N26" i="14"/>
  <c r="K26" i="14"/>
  <c r="J26" i="14"/>
  <c r="I26" i="14"/>
  <c r="H26" i="14"/>
  <c r="G26" i="14"/>
  <c r="F26" i="14"/>
  <c r="E26" i="14"/>
  <c r="T24" i="14"/>
  <c r="S24" i="14"/>
  <c r="R24" i="14"/>
  <c r="Q24" i="14"/>
  <c r="P24" i="14"/>
  <c r="O24" i="14"/>
  <c r="K24" i="14"/>
  <c r="J24" i="14"/>
  <c r="I24" i="14"/>
  <c r="H24" i="14"/>
  <c r="G24" i="14"/>
  <c r="F24" i="14"/>
  <c r="E24" i="14"/>
  <c r="S22" i="14"/>
  <c r="R22" i="14"/>
  <c r="O22" i="14"/>
  <c r="N22" i="14"/>
  <c r="K22" i="14"/>
  <c r="J22" i="14"/>
  <c r="I22" i="14"/>
  <c r="H22" i="14"/>
  <c r="G22" i="14"/>
  <c r="F22" i="14"/>
  <c r="E22" i="14"/>
  <c r="S20" i="14"/>
  <c r="R20" i="14"/>
  <c r="Q20" i="14"/>
  <c r="O20" i="14"/>
  <c r="N20" i="14"/>
  <c r="K20" i="14"/>
  <c r="J20" i="14"/>
  <c r="I20" i="14"/>
  <c r="H20" i="14"/>
  <c r="G20" i="14"/>
  <c r="F20" i="14"/>
  <c r="E20" i="14"/>
  <c r="T18" i="14"/>
  <c r="S18" i="14"/>
  <c r="R18" i="14"/>
  <c r="Q18" i="14"/>
  <c r="P18" i="14"/>
  <c r="O18" i="14"/>
  <c r="N18" i="14"/>
  <c r="K18" i="14"/>
  <c r="J18" i="14"/>
  <c r="I18" i="14"/>
  <c r="H18" i="14"/>
  <c r="G18" i="14"/>
  <c r="F18" i="14"/>
  <c r="E18" i="14"/>
  <c r="D18" i="14"/>
  <c r="T16" i="14"/>
  <c r="S16" i="14"/>
  <c r="R16" i="14"/>
  <c r="Q16" i="14"/>
  <c r="P16" i="14"/>
  <c r="O16" i="14"/>
  <c r="K16" i="14"/>
  <c r="J16" i="14"/>
  <c r="I16" i="14"/>
  <c r="H16" i="14"/>
  <c r="G16" i="14"/>
  <c r="F16" i="14"/>
  <c r="E16" i="14"/>
  <c r="S14" i="14"/>
  <c r="R14" i="14"/>
  <c r="O14" i="14"/>
  <c r="N14" i="14"/>
  <c r="K14" i="14"/>
  <c r="J14" i="14"/>
  <c r="I14" i="14"/>
  <c r="H14" i="14"/>
  <c r="G14" i="14"/>
  <c r="F14" i="14"/>
  <c r="E14" i="14"/>
  <c r="T12" i="14"/>
  <c r="S12" i="14"/>
  <c r="R12" i="14"/>
  <c r="Q12" i="14"/>
  <c r="P12" i="14"/>
  <c r="O12" i="14"/>
  <c r="K12" i="14"/>
  <c r="J12" i="14"/>
  <c r="I12" i="14"/>
  <c r="H12" i="14"/>
  <c r="G12" i="14"/>
  <c r="F12" i="14"/>
  <c r="E12" i="14"/>
  <c r="Q23" i="13"/>
  <c r="Q459" i="13"/>
  <c r="Q357" i="13"/>
  <c r="Q173" i="13"/>
  <c r="Q71" i="13"/>
  <c r="N592" i="13"/>
  <c r="N589" i="13"/>
  <c r="Q568" i="13"/>
  <c r="Q565" i="13"/>
  <c r="Q559" i="13"/>
  <c r="Q556" i="13"/>
  <c r="Q416" i="13"/>
  <c r="Q412" i="13"/>
  <c r="Q409" i="13"/>
  <c r="N570" i="13"/>
  <c r="N568" i="13"/>
  <c r="N566" i="13"/>
  <c r="N565" i="13"/>
  <c r="N562" i="13"/>
  <c r="N559" i="13"/>
  <c r="N558" i="13"/>
  <c r="N556" i="13"/>
  <c r="N553" i="13"/>
  <c r="N552" i="13"/>
  <c r="N551" i="13"/>
  <c r="Q551" i="13" s="1"/>
  <c r="N550" i="13"/>
  <c r="N547" i="13"/>
  <c r="Q547" i="13" s="1"/>
  <c r="N546" i="13"/>
  <c r="N545" i="13"/>
  <c r="Q545" i="13" s="1"/>
  <c r="N542" i="13"/>
  <c r="N541" i="13"/>
  <c r="Q541" i="13" s="1"/>
  <c r="N416" i="13"/>
  <c r="N414" i="13"/>
  <c r="N412" i="13"/>
  <c r="N410" i="13"/>
  <c r="N409" i="13"/>
  <c r="N408" i="13"/>
  <c r="N405" i="13"/>
  <c r="N404" i="13"/>
  <c r="Q404" i="13" s="1"/>
  <c r="N403" i="13"/>
  <c r="N402" i="13"/>
  <c r="Q402" i="13" s="1"/>
  <c r="N399" i="13"/>
  <c r="N398" i="13"/>
  <c r="Q398" i="13" s="1"/>
  <c r="Q468" i="13"/>
  <c r="Q464" i="13"/>
  <c r="Q354" i="13"/>
  <c r="N507" i="13"/>
  <c r="N506" i="13"/>
  <c r="Q506" i="13" s="1"/>
  <c r="N502" i="13"/>
  <c r="Q502" i="13" s="1"/>
  <c r="N500" i="13"/>
  <c r="N498" i="13"/>
  <c r="N497" i="13"/>
  <c r="Q497" i="13" s="1"/>
  <c r="N469" i="13"/>
  <c r="N468" i="13"/>
  <c r="N465" i="13"/>
  <c r="N464" i="13"/>
  <c r="N462" i="13"/>
  <c r="N459" i="13"/>
  <c r="N458" i="13"/>
  <c r="N457" i="13"/>
  <c r="Q457" i="13" s="1"/>
  <c r="N456" i="13"/>
  <c r="Q456" i="13" s="1"/>
  <c r="N453" i="13"/>
  <c r="N452" i="13"/>
  <c r="N451" i="13"/>
  <c r="Q451" i="13" s="1"/>
  <c r="N448" i="13"/>
  <c r="Q448" i="13" s="1"/>
  <c r="N447" i="13"/>
  <c r="N372" i="13"/>
  <c r="N371" i="13"/>
  <c r="Q371" i="13" s="1"/>
  <c r="N368" i="13"/>
  <c r="Q368" i="13" s="1"/>
  <c r="N366" i="13"/>
  <c r="N364" i="13"/>
  <c r="N362" i="13"/>
  <c r="Q362" i="13" s="1"/>
  <c r="N361" i="13"/>
  <c r="Q361" i="13" s="1"/>
  <c r="N360" i="13"/>
  <c r="N357" i="13"/>
  <c r="N356" i="13"/>
  <c r="Q356" i="13" s="1"/>
  <c r="N355" i="13"/>
  <c r="N354" i="13"/>
  <c r="N351" i="13"/>
  <c r="N350" i="13"/>
  <c r="Q350" i="13" s="1"/>
  <c r="Q308" i="13"/>
  <c r="Q278" i="13"/>
  <c r="Q270" i="13"/>
  <c r="Q264" i="13"/>
  <c r="Q258" i="13"/>
  <c r="Q254" i="13"/>
  <c r="I213" i="13"/>
  <c r="I212" i="13"/>
  <c r="I211" i="13"/>
  <c r="I210" i="13"/>
  <c r="I209" i="13"/>
  <c r="I208" i="13"/>
  <c r="Q191" i="13"/>
  <c r="Q185" i="13"/>
  <c r="Q179" i="13"/>
  <c r="Q169" i="13"/>
  <c r="Q164" i="13"/>
  <c r="Q160" i="13"/>
  <c r="N328" i="13"/>
  <c r="N327" i="13"/>
  <c r="N326" i="13"/>
  <c r="Q326" i="13" s="1"/>
  <c r="N325" i="13"/>
  <c r="N321" i="13"/>
  <c r="N319" i="13"/>
  <c r="N316" i="13"/>
  <c r="Q316" i="13" s="1"/>
  <c r="N313" i="13"/>
  <c r="N312" i="13"/>
  <c r="N311" i="13"/>
  <c r="N310" i="13"/>
  <c r="N308" i="13"/>
  <c r="N307" i="13"/>
  <c r="N306" i="13"/>
  <c r="N305" i="13"/>
  <c r="Q305" i="13" s="1"/>
  <c r="N278" i="13"/>
  <c r="N275" i="13"/>
  <c r="N274" i="13"/>
  <c r="N272" i="13"/>
  <c r="N270" i="13"/>
  <c r="N269" i="13"/>
  <c r="N268" i="13"/>
  <c r="N267" i="13"/>
  <c r="N264" i="13"/>
  <c r="N263" i="13"/>
  <c r="N262" i="13"/>
  <c r="N259" i="13"/>
  <c r="N258" i="13"/>
  <c r="N257" i="13"/>
  <c r="N256" i="13"/>
  <c r="N255" i="13"/>
  <c r="N254" i="13"/>
  <c r="N213" i="13"/>
  <c r="N212" i="13"/>
  <c r="N211" i="13"/>
  <c r="Q211" i="13" s="1"/>
  <c r="N210" i="13"/>
  <c r="N209" i="13"/>
  <c r="N208" i="13"/>
  <c r="N192" i="13"/>
  <c r="Q192" i="13" s="1"/>
  <c r="N191" i="13"/>
  <c r="N190" i="13"/>
  <c r="N187" i="13"/>
  <c r="N186" i="13"/>
  <c r="Q186" i="13" s="1"/>
  <c r="N185" i="13"/>
  <c r="N184" i="13"/>
  <c r="N183" i="13"/>
  <c r="N182" i="13"/>
  <c r="Q182" i="13" s="1"/>
  <c r="N179" i="13"/>
  <c r="N178" i="13"/>
  <c r="N177" i="13"/>
  <c r="N176" i="13"/>
  <c r="Q176" i="13" s="1"/>
  <c r="N173" i="13"/>
  <c r="N172" i="13"/>
  <c r="N171" i="13"/>
  <c r="N170" i="13"/>
  <c r="Q170" i="13" s="1"/>
  <c r="N169" i="13"/>
  <c r="N167" i="13"/>
  <c r="N166" i="13"/>
  <c r="N165" i="13"/>
  <c r="Q165" i="13" s="1"/>
  <c r="N164" i="13"/>
  <c r="N163" i="13"/>
  <c r="N162" i="13"/>
  <c r="N161" i="13"/>
  <c r="Q161" i="13" s="1"/>
  <c r="N160" i="13"/>
  <c r="N159" i="13"/>
  <c r="Q113" i="13"/>
  <c r="Q68" i="13"/>
  <c r="Q62" i="13"/>
  <c r="N113" i="13"/>
  <c r="N110" i="13"/>
  <c r="N73" i="13"/>
  <c r="N71" i="13"/>
  <c r="N70" i="13"/>
  <c r="N69" i="13"/>
  <c r="N68" i="13"/>
  <c r="N67" i="13"/>
  <c r="N64" i="13"/>
  <c r="N63" i="13"/>
  <c r="N62" i="13"/>
  <c r="Q15" i="13"/>
  <c r="N21" i="13"/>
  <c r="N20" i="13"/>
  <c r="N19" i="13"/>
  <c r="Q19" i="13" s="1"/>
  <c r="N15" i="13"/>
  <c r="N14" i="13"/>
  <c r="Q592" i="13"/>
  <c r="Q589" i="13"/>
  <c r="T586" i="13"/>
  <c r="S586" i="13"/>
  <c r="R586" i="13"/>
  <c r="Q586" i="13"/>
  <c r="O586" i="13"/>
  <c r="N586" i="13"/>
  <c r="M586" i="13"/>
  <c r="L586" i="13"/>
  <c r="J586" i="13"/>
  <c r="I586" i="13"/>
  <c r="H586" i="13"/>
  <c r="F586" i="13"/>
  <c r="D586" i="13"/>
  <c r="C586" i="13"/>
  <c r="B586" i="13"/>
  <c r="A586" i="13"/>
  <c r="T585" i="13"/>
  <c r="S585" i="13"/>
  <c r="R585" i="13"/>
  <c r="Q585" i="13"/>
  <c r="O585" i="13"/>
  <c r="N585" i="13"/>
  <c r="M585" i="13"/>
  <c r="L585" i="13"/>
  <c r="J585" i="13"/>
  <c r="I585" i="13"/>
  <c r="H585" i="13"/>
  <c r="G585" i="13"/>
  <c r="F585" i="13"/>
  <c r="E585" i="13"/>
  <c r="D585" i="13"/>
  <c r="C585" i="13"/>
  <c r="B585" i="13"/>
  <c r="A585" i="13"/>
  <c r="T584" i="13"/>
  <c r="S584" i="13"/>
  <c r="R584" i="13"/>
  <c r="Q584" i="13"/>
  <c r="O584" i="13"/>
  <c r="N584" i="13"/>
  <c r="M584" i="13"/>
  <c r="L584" i="13"/>
  <c r="J584" i="13"/>
  <c r="I584" i="13"/>
  <c r="H584" i="13"/>
  <c r="G584" i="13"/>
  <c r="F584" i="13"/>
  <c r="E584" i="13"/>
  <c r="D584" i="13"/>
  <c r="C584" i="13"/>
  <c r="B584" i="13"/>
  <c r="A584" i="13"/>
  <c r="T583" i="13"/>
  <c r="S583" i="13"/>
  <c r="R583" i="13"/>
  <c r="Q583" i="13"/>
  <c r="O583" i="13"/>
  <c r="N583" i="13"/>
  <c r="M583" i="13"/>
  <c r="L583" i="13"/>
  <c r="J583" i="13"/>
  <c r="I583" i="13"/>
  <c r="H583" i="13"/>
  <c r="G583" i="13"/>
  <c r="F583" i="13"/>
  <c r="E583" i="13"/>
  <c r="D583" i="13"/>
  <c r="C583" i="13"/>
  <c r="B583" i="13"/>
  <c r="A583" i="13"/>
  <c r="T582" i="13"/>
  <c r="S582" i="13"/>
  <c r="R582" i="13"/>
  <c r="Q582" i="13"/>
  <c r="O582" i="13"/>
  <c r="N582" i="13"/>
  <c r="M582" i="13"/>
  <c r="L582" i="13"/>
  <c r="J582" i="13"/>
  <c r="I582" i="13"/>
  <c r="H582" i="13"/>
  <c r="G582" i="13"/>
  <c r="F582" i="13"/>
  <c r="E582" i="13"/>
  <c r="D582" i="13"/>
  <c r="C582" i="13"/>
  <c r="B582" i="13"/>
  <c r="A582" i="13"/>
  <c r="Q570" i="13"/>
  <c r="Q566" i="13"/>
  <c r="Q562" i="13"/>
  <c r="Q558" i="13"/>
  <c r="Q552" i="13"/>
  <c r="Q550" i="13"/>
  <c r="Q546" i="13"/>
  <c r="Q542" i="13"/>
  <c r="T538" i="13"/>
  <c r="S538" i="13"/>
  <c r="R538" i="13"/>
  <c r="Q538" i="13"/>
  <c r="O538" i="13"/>
  <c r="N538" i="13"/>
  <c r="M538" i="13"/>
  <c r="L538" i="13"/>
  <c r="J538" i="13"/>
  <c r="I538" i="13"/>
  <c r="H538" i="13"/>
  <c r="F538" i="13"/>
  <c r="D538" i="13"/>
  <c r="C538" i="13"/>
  <c r="B538" i="13"/>
  <c r="A538" i="13"/>
  <c r="T537" i="13"/>
  <c r="S537" i="13"/>
  <c r="R537" i="13"/>
  <c r="Q537" i="13"/>
  <c r="O537" i="13"/>
  <c r="N537" i="13"/>
  <c r="M537" i="13"/>
  <c r="L537" i="13"/>
  <c r="J537" i="13"/>
  <c r="I537" i="13"/>
  <c r="H537" i="13"/>
  <c r="G537" i="13"/>
  <c r="F537" i="13"/>
  <c r="E537" i="13"/>
  <c r="D537" i="13"/>
  <c r="C537" i="13"/>
  <c r="B537" i="13"/>
  <c r="A537" i="13"/>
  <c r="T536" i="13"/>
  <c r="S536" i="13"/>
  <c r="R536" i="13"/>
  <c r="Q536" i="13"/>
  <c r="O536" i="13"/>
  <c r="N536" i="13"/>
  <c r="M536" i="13"/>
  <c r="L536" i="13"/>
  <c r="J536" i="13"/>
  <c r="I536" i="13"/>
  <c r="H536" i="13"/>
  <c r="G536" i="13"/>
  <c r="F536" i="13"/>
  <c r="E536" i="13"/>
  <c r="D536" i="13"/>
  <c r="C536" i="13"/>
  <c r="B536" i="13"/>
  <c r="A536" i="13"/>
  <c r="T535" i="13"/>
  <c r="S535" i="13"/>
  <c r="R535" i="13"/>
  <c r="Q535" i="13"/>
  <c r="O535" i="13"/>
  <c r="N535" i="13"/>
  <c r="M535" i="13"/>
  <c r="L535" i="13"/>
  <c r="J535" i="13"/>
  <c r="I535" i="13"/>
  <c r="H535" i="13"/>
  <c r="G535" i="13"/>
  <c r="F535" i="13"/>
  <c r="E535" i="13"/>
  <c r="D535" i="13"/>
  <c r="C535" i="13"/>
  <c r="B535" i="13"/>
  <c r="A535" i="13"/>
  <c r="T534" i="13"/>
  <c r="S534" i="13"/>
  <c r="R534" i="13"/>
  <c r="Q534" i="13"/>
  <c r="O534" i="13"/>
  <c r="N534" i="13"/>
  <c r="M534" i="13"/>
  <c r="L534" i="13"/>
  <c r="J534" i="13"/>
  <c r="I534" i="13"/>
  <c r="H534" i="13"/>
  <c r="G534" i="13"/>
  <c r="F534" i="13"/>
  <c r="E534" i="13"/>
  <c r="D534" i="13"/>
  <c r="C534" i="13"/>
  <c r="B534" i="13"/>
  <c r="A534" i="13"/>
  <c r="Q507" i="13"/>
  <c r="Q500" i="13"/>
  <c r="Q498" i="13"/>
  <c r="L495" i="13"/>
  <c r="C495" i="13"/>
  <c r="T492" i="13"/>
  <c r="S492" i="13"/>
  <c r="R492" i="13"/>
  <c r="Q492" i="13"/>
  <c r="O492" i="13"/>
  <c r="N492" i="13"/>
  <c r="M492" i="13"/>
  <c r="L492" i="13"/>
  <c r="J492" i="13"/>
  <c r="I492" i="13"/>
  <c r="H492" i="13"/>
  <c r="F492" i="13"/>
  <c r="D492" i="13"/>
  <c r="C492" i="13"/>
  <c r="B492" i="13"/>
  <c r="A492" i="13"/>
  <c r="T491" i="13"/>
  <c r="S491" i="13"/>
  <c r="R491" i="13"/>
  <c r="Q491" i="13"/>
  <c r="O491" i="13"/>
  <c r="N491" i="13"/>
  <c r="M491" i="13"/>
  <c r="L491" i="13"/>
  <c r="J491" i="13"/>
  <c r="I491" i="13"/>
  <c r="H491" i="13"/>
  <c r="G491" i="13"/>
  <c r="F491" i="13"/>
  <c r="E491" i="13"/>
  <c r="D491" i="13"/>
  <c r="C491" i="13"/>
  <c r="B491" i="13"/>
  <c r="A491" i="13"/>
  <c r="T490" i="13"/>
  <c r="S490" i="13"/>
  <c r="R490" i="13"/>
  <c r="Q490" i="13"/>
  <c r="O490" i="13"/>
  <c r="N490" i="13"/>
  <c r="M490" i="13"/>
  <c r="L490" i="13"/>
  <c r="J490" i="13"/>
  <c r="I490" i="13"/>
  <c r="H490" i="13"/>
  <c r="G490" i="13"/>
  <c r="F490" i="13"/>
  <c r="E490" i="13"/>
  <c r="D490" i="13"/>
  <c r="C490" i="13"/>
  <c r="B490" i="13"/>
  <c r="A490" i="13"/>
  <c r="T489" i="13"/>
  <c r="S489" i="13"/>
  <c r="R489" i="13"/>
  <c r="Q489" i="13"/>
  <c r="O489" i="13"/>
  <c r="N489" i="13"/>
  <c r="M489" i="13"/>
  <c r="L489" i="13"/>
  <c r="J489" i="13"/>
  <c r="I489" i="13"/>
  <c r="H489" i="13"/>
  <c r="G489" i="13"/>
  <c r="F489" i="13"/>
  <c r="E489" i="13"/>
  <c r="D489" i="13"/>
  <c r="C489" i="13"/>
  <c r="B489" i="13"/>
  <c r="A489" i="13"/>
  <c r="T488" i="13"/>
  <c r="S488" i="13"/>
  <c r="R488" i="13"/>
  <c r="Q488" i="13"/>
  <c r="O488" i="13"/>
  <c r="N488" i="13"/>
  <c r="M488" i="13"/>
  <c r="L488" i="13"/>
  <c r="J488" i="13"/>
  <c r="I488" i="13"/>
  <c r="H488" i="13"/>
  <c r="G488" i="13"/>
  <c r="F488" i="13"/>
  <c r="E488" i="13"/>
  <c r="D488" i="13"/>
  <c r="C488" i="13"/>
  <c r="B488" i="13"/>
  <c r="A488" i="13"/>
  <c r="Q469" i="13"/>
  <c r="Q465" i="13"/>
  <c r="Q462" i="13"/>
  <c r="Q458" i="13"/>
  <c r="Q453" i="13"/>
  <c r="Q452" i="13"/>
  <c r="Q447" i="13"/>
  <c r="T444" i="13"/>
  <c r="S444" i="13"/>
  <c r="R444" i="13"/>
  <c r="Q444" i="13"/>
  <c r="O444" i="13"/>
  <c r="N444" i="13"/>
  <c r="M444" i="13"/>
  <c r="L444" i="13"/>
  <c r="J444" i="13"/>
  <c r="I444" i="13"/>
  <c r="H444" i="13"/>
  <c r="F444" i="13"/>
  <c r="D444" i="13"/>
  <c r="C444" i="13"/>
  <c r="B444" i="13"/>
  <c r="A444" i="13"/>
  <c r="T443" i="13"/>
  <c r="S443" i="13"/>
  <c r="R443" i="13"/>
  <c r="Q443" i="13"/>
  <c r="O443" i="13"/>
  <c r="N443" i="13"/>
  <c r="M443" i="13"/>
  <c r="L443" i="13"/>
  <c r="J443" i="13"/>
  <c r="I443" i="13"/>
  <c r="H443" i="13"/>
  <c r="G443" i="13"/>
  <c r="F443" i="13"/>
  <c r="E443" i="13"/>
  <c r="D443" i="13"/>
  <c r="C443" i="13"/>
  <c r="B443" i="13"/>
  <c r="A443" i="13"/>
  <c r="T442" i="13"/>
  <c r="S442" i="13"/>
  <c r="R442" i="13"/>
  <c r="Q442" i="13"/>
  <c r="O442" i="13"/>
  <c r="N442" i="13"/>
  <c r="M442" i="13"/>
  <c r="L442" i="13"/>
  <c r="J442" i="13"/>
  <c r="I442" i="13"/>
  <c r="H442" i="13"/>
  <c r="G442" i="13"/>
  <c r="F442" i="13"/>
  <c r="E442" i="13"/>
  <c r="D442" i="13"/>
  <c r="C442" i="13"/>
  <c r="B442" i="13"/>
  <c r="A442" i="13"/>
  <c r="T441" i="13"/>
  <c r="S441" i="13"/>
  <c r="R441" i="13"/>
  <c r="Q441" i="13"/>
  <c r="O441" i="13"/>
  <c r="N441" i="13"/>
  <c r="M441" i="13"/>
  <c r="L441" i="13"/>
  <c r="J441" i="13"/>
  <c r="I441" i="13"/>
  <c r="H441" i="13"/>
  <c r="G441" i="13"/>
  <c r="F441" i="13"/>
  <c r="E441" i="13"/>
  <c r="D441" i="13"/>
  <c r="C441" i="13"/>
  <c r="B441" i="13"/>
  <c r="A441" i="13"/>
  <c r="T440" i="13"/>
  <c r="S440" i="13"/>
  <c r="R440" i="13"/>
  <c r="Q440" i="13"/>
  <c r="O440" i="13"/>
  <c r="N440" i="13"/>
  <c r="M440" i="13"/>
  <c r="L440" i="13"/>
  <c r="J440" i="13"/>
  <c r="I440" i="13"/>
  <c r="H440" i="13"/>
  <c r="G440" i="13"/>
  <c r="F440" i="13"/>
  <c r="E440" i="13"/>
  <c r="D440" i="13"/>
  <c r="C440" i="13"/>
  <c r="B440" i="13"/>
  <c r="A440" i="13"/>
  <c r="Q414" i="13"/>
  <c r="Q410" i="13"/>
  <c r="Q408" i="13"/>
  <c r="Q403" i="13"/>
  <c r="Q399" i="13"/>
  <c r="T396" i="13"/>
  <c r="S396" i="13"/>
  <c r="R396" i="13"/>
  <c r="Q396" i="13"/>
  <c r="O396" i="13"/>
  <c r="N396" i="13"/>
  <c r="M396" i="13"/>
  <c r="L396" i="13"/>
  <c r="J396" i="13"/>
  <c r="I396" i="13"/>
  <c r="H396" i="13"/>
  <c r="F396" i="13"/>
  <c r="D396" i="13"/>
  <c r="C396" i="13"/>
  <c r="B396" i="13"/>
  <c r="A396" i="13"/>
  <c r="T395" i="13"/>
  <c r="S395" i="13"/>
  <c r="R395" i="13"/>
  <c r="Q395" i="13"/>
  <c r="O395" i="13"/>
  <c r="N395" i="13"/>
  <c r="M395" i="13"/>
  <c r="L395" i="13"/>
  <c r="J395" i="13"/>
  <c r="I395" i="13"/>
  <c r="H395" i="13"/>
  <c r="G395" i="13"/>
  <c r="F395" i="13"/>
  <c r="E395" i="13"/>
  <c r="D395" i="13"/>
  <c r="C395" i="13"/>
  <c r="B395" i="13"/>
  <c r="A395" i="13"/>
  <c r="T394" i="13"/>
  <c r="S394" i="13"/>
  <c r="R394" i="13"/>
  <c r="Q394" i="13"/>
  <c r="O394" i="13"/>
  <c r="N394" i="13"/>
  <c r="M394" i="13"/>
  <c r="L394" i="13"/>
  <c r="J394" i="13"/>
  <c r="I394" i="13"/>
  <c r="H394" i="13"/>
  <c r="G394" i="13"/>
  <c r="F394" i="13"/>
  <c r="E394" i="13"/>
  <c r="D394" i="13"/>
  <c r="C394" i="13"/>
  <c r="B394" i="13"/>
  <c r="A394" i="13"/>
  <c r="T393" i="13"/>
  <c r="S393" i="13"/>
  <c r="R393" i="13"/>
  <c r="Q393" i="13"/>
  <c r="O393" i="13"/>
  <c r="N393" i="13"/>
  <c r="M393" i="13"/>
  <c r="L393" i="13"/>
  <c r="J393" i="13"/>
  <c r="I393" i="13"/>
  <c r="H393" i="13"/>
  <c r="G393" i="13"/>
  <c r="F393" i="13"/>
  <c r="E393" i="13"/>
  <c r="D393" i="13"/>
  <c r="C393" i="13"/>
  <c r="B393" i="13"/>
  <c r="A393" i="13"/>
  <c r="T392" i="13"/>
  <c r="S392" i="13"/>
  <c r="R392" i="13"/>
  <c r="Q392" i="13"/>
  <c r="O392" i="13"/>
  <c r="N392" i="13"/>
  <c r="M392" i="13"/>
  <c r="L392" i="13"/>
  <c r="J392" i="13"/>
  <c r="I392" i="13"/>
  <c r="H392" i="13"/>
  <c r="G392" i="13"/>
  <c r="F392" i="13"/>
  <c r="E392" i="13"/>
  <c r="D392" i="13"/>
  <c r="C392" i="13"/>
  <c r="B392" i="13"/>
  <c r="A392" i="13"/>
  <c r="Q372" i="13"/>
  <c r="Q366" i="13"/>
  <c r="Q364" i="13"/>
  <c r="Q360" i="13"/>
  <c r="Q355" i="13"/>
  <c r="Q351" i="13"/>
  <c r="T348" i="13"/>
  <c r="S348" i="13"/>
  <c r="R348" i="13"/>
  <c r="Q348" i="13"/>
  <c r="O348" i="13"/>
  <c r="N348" i="13"/>
  <c r="M348" i="13"/>
  <c r="L348" i="13"/>
  <c r="J348" i="13"/>
  <c r="I348" i="13"/>
  <c r="H348" i="13"/>
  <c r="F348" i="13"/>
  <c r="D348" i="13"/>
  <c r="C348" i="13"/>
  <c r="B348" i="13"/>
  <c r="A348" i="13"/>
  <c r="T347" i="13"/>
  <c r="S347" i="13"/>
  <c r="R347" i="13"/>
  <c r="Q347" i="13"/>
  <c r="O347" i="13"/>
  <c r="H347" i="13"/>
  <c r="G347" i="13"/>
  <c r="F347" i="13"/>
  <c r="E347" i="13"/>
  <c r="D347" i="13"/>
  <c r="C347" i="13"/>
  <c r="B347" i="13"/>
  <c r="A347" i="13"/>
  <c r="T346" i="13"/>
  <c r="S346" i="13"/>
  <c r="R346" i="13"/>
  <c r="Q346" i="13"/>
  <c r="O346" i="13"/>
  <c r="N346" i="13"/>
  <c r="M346" i="13"/>
  <c r="L346" i="13"/>
  <c r="J346" i="13"/>
  <c r="I346" i="13"/>
  <c r="H346" i="13"/>
  <c r="G346" i="13"/>
  <c r="F346" i="13"/>
  <c r="E346" i="13"/>
  <c r="D346" i="13"/>
  <c r="C346" i="13"/>
  <c r="B346" i="13"/>
  <c r="A346" i="13"/>
  <c r="T345" i="13"/>
  <c r="S345" i="13"/>
  <c r="R345" i="13"/>
  <c r="Q345" i="13"/>
  <c r="O345" i="13"/>
  <c r="N345" i="13"/>
  <c r="M345" i="13"/>
  <c r="L345" i="13"/>
  <c r="J345" i="13"/>
  <c r="I345" i="13"/>
  <c r="H345" i="13"/>
  <c r="G345" i="13"/>
  <c r="F345" i="13"/>
  <c r="E345" i="13"/>
  <c r="D345" i="13"/>
  <c r="C345" i="13"/>
  <c r="B345" i="13"/>
  <c r="A345" i="13"/>
  <c r="T344" i="13"/>
  <c r="S344" i="13"/>
  <c r="R344" i="13"/>
  <c r="Q344" i="13"/>
  <c r="O344" i="13"/>
  <c r="N344" i="13"/>
  <c r="M344" i="13"/>
  <c r="L344" i="13"/>
  <c r="J344" i="13"/>
  <c r="I344" i="13"/>
  <c r="H344" i="13"/>
  <c r="G344" i="13"/>
  <c r="F344" i="13"/>
  <c r="E344" i="13"/>
  <c r="D344" i="13"/>
  <c r="C344" i="13"/>
  <c r="B344" i="13"/>
  <c r="A344" i="13"/>
  <c r="Q328" i="13"/>
  <c r="Q327" i="13"/>
  <c r="Q325" i="13"/>
  <c r="Q321" i="13"/>
  <c r="Q319" i="13"/>
  <c r="Q313" i="13"/>
  <c r="Q312" i="13"/>
  <c r="Q307" i="13"/>
  <c r="Q306" i="13"/>
  <c r="T300" i="13"/>
  <c r="S300" i="13"/>
  <c r="R300" i="13"/>
  <c r="Q300" i="13"/>
  <c r="O300" i="13"/>
  <c r="N300" i="13"/>
  <c r="M300" i="13"/>
  <c r="L300" i="13"/>
  <c r="J300" i="13"/>
  <c r="I300" i="13"/>
  <c r="H300" i="13"/>
  <c r="F300" i="13"/>
  <c r="D300" i="13"/>
  <c r="C300" i="13"/>
  <c r="B300" i="13"/>
  <c r="A300" i="13"/>
  <c r="T299" i="13"/>
  <c r="S299" i="13"/>
  <c r="R299" i="13"/>
  <c r="Q299" i="13"/>
  <c r="O299" i="13"/>
  <c r="H299" i="13"/>
  <c r="G299" i="13"/>
  <c r="F299" i="13"/>
  <c r="E299" i="13"/>
  <c r="D299" i="13"/>
  <c r="C299" i="13"/>
  <c r="B299" i="13"/>
  <c r="A299" i="13"/>
  <c r="T298" i="13"/>
  <c r="S298" i="13"/>
  <c r="R298" i="13"/>
  <c r="Q298" i="13"/>
  <c r="O298" i="13"/>
  <c r="N298" i="13"/>
  <c r="M298" i="13"/>
  <c r="L298" i="13"/>
  <c r="J298" i="13"/>
  <c r="I298" i="13"/>
  <c r="H298" i="13"/>
  <c r="G298" i="13"/>
  <c r="F298" i="13"/>
  <c r="E298" i="13"/>
  <c r="D298" i="13"/>
  <c r="C298" i="13"/>
  <c r="B298" i="13"/>
  <c r="A298" i="13"/>
  <c r="T297" i="13"/>
  <c r="S297" i="13"/>
  <c r="R297" i="13"/>
  <c r="Q297" i="13"/>
  <c r="O297" i="13"/>
  <c r="N297" i="13"/>
  <c r="M297" i="13"/>
  <c r="L297" i="13"/>
  <c r="J297" i="13"/>
  <c r="I297" i="13"/>
  <c r="H297" i="13"/>
  <c r="G297" i="13"/>
  <c r="F297" i="13"/>
  <c r="E297" i="13"/>
  <c r="D297" i="13"/>
  <c r="C297" i="13"/>
  <c r="B297" i="13"/>
  <c r="A297" i="13"/>
  <c r="T296" i="13"/>
  <c r="S296" i="13"/>
  <c r="R296" i="13"/>
  <c r="Q296" i="13"/>
  <c r="O296" i="13"/>
  <c r="N296" i="13"/>
  <c r="M296" i="13"/>
  <c r="L296" i="13"/>
  <c r="J296" i="13"/>
  <c r="I296" i="13"/>
  <c r="H296" i="13"/>
  <c r="G296" i="13"/>
  <c r="F296" i="13"/>
  <c r="E296" i="13"/>
  <c r="D296" i="13"/>
  <c r="C296" i="13"/>
  <c r="B296" i="13"/>
  <c r="A296" i="13"/>
  <c r="Q275" i="13"/>
  <c r="Q274" i="13"/>
  <c r="Q272" i="13"/>
  <c r="Q269" i="13"/>
  <c r="Q268" i="13"/>
  <c r="Q267" i="13"/>
  <c r="Q263" i="13"/>
  <c r="Q262" i="13"/>
  <c r="Q259" i="13"/>
  <c r="Q257" i="13"/>
  <c r="Q256" i="13"/>
  <c r="Q255" i="13"/>
  <c r="T252" i="13"/>
  <c r="S252" i="13"/>
  <c r="R252" i="13"/>
  <c r="Q252" i="13"/>
  <c r="O252" i="13"/>
  <c r="N252" i="13"/>
  <c r="M252" i="13"/>
  <c r="L252" i="13"/>
  <c r="J252" i="13"/>
  <c r="I252" i="13"/>
  <c r="H252" i="13"/>
  <c r="F252" i="13"/>
  <c r="D252" i="13"/>
  <c r="C252" i="13"/>
  <c r="B252" i="13"/>
  <c r="A252" i="13"/>
  <c r="T251" i="13"/>
  <c r="S251" i="13"/>
  <c r="R251" i="13"/>
  <c r="Q251" i="13"/>
  <c r="O251" i="13"/>
  <c r="H251" i="13"/>
  <c r="G251" i="13"/>
  <c r="F251" i="13"/>
  <c r="E251" i="13"/>
  <c r="D251" i="13"/>
  <c r="C251" i="13"/>
  <c r="B251" i="13"/>
  <c r="A251" i="13"/>
  <c r="T250" i="13"/>
  <c r="S250" i="13"/>
  <c r="R250" i="13"/>
  <c r="Q250" i="13"/>
  <c r="O250" i="13"/>
  <c r="N250" i="13"/>
  <c r="M250" i="13"/>
  <c r="L250" i="13"/>
  <c r="J250" i="13"/>
  <c r="I250" i="13"/>
  <c r="H250" i="13"/>
  <c r="G250" i="13"/>
  <c r="F250" i="13"/>
  <c r="E250" i="13"/>
  <c r="D250" i="13"/>
  <c r="C250" i="13"/>
  <c r="B250" i="13"/>
  <c r="A250" i="13"/>
  <c r="T249" i="13"/>
  <c r="S249" i="13"/>
  <c r="R249" i="13"/>
  <c r="Q249" i="13"/>
  <c r="O249" i="13"/>
  <c r="N249" i="13"/>
  <c r="M249" i="13"/>
  <c r="L249" i="13"/>
  <c r="J249" i="13"/>
  <c r="I249" i="13"/>
  <c r="H249" i="13"/>
  <c r="G249" i="13"/>
  <c r="F249" i="13"/>
  <c r="E249" i="13"/>
  <c r="D249" i="13"/>
  <c r="C249" i="13"/>
  <c r="B249" i="13"/>
  <c r="A249" i="13"/>
  <c r="T248" i="13"/>
  <c r="S248" i="13"/>
  <c r="R248" i="13"/>
  <c r="Q248" i="13"/>
  <c r="O248" i="13"/>
  <c r="N248" i="13"/>
  <c r="M248" i="13"/>
  <c r="L248" i="13"/>
  <c r="J248" i="13"/>
  <c r="I248" i="13"/>
  <c r="H248" i="13"/>
  <c r="G248" i="13"/>
  <c r="F248" i="13"/>
  <c r="E248" i="13"/>
  <c r="D248" i="13"/>
  <c r="C248" i="13"/>
  <c r="B248" i="13"/>
  <c r="A248" i="13"/>
  <c r="Q213" i="13"/>
  <c r="Q212" i="13"/>
  <c r="Q210" i="13"/>
  <c r="Q209" i="13"/>
  <c r="Q208" i="13"/>
  <c r="T204" i="13"/>
  <c r="S204" i="13"/>
  <c r="R204" i="13"/>
  <c r="Q204" i="13"/>
  <c r="O204" i="13"/>
  <c r="N204" i="13"/>
  <c r="M204" i="13"/>
  <c r="L204" i="13"/>
  <c r="J204" i="13"/>
  <c r="I204" i="13"/>
  <c r="H204" i="13"/>
  <c r="F204" i="13"/>
  <c r="D204" i="13"/>
  <c r="C204" i="13"/>
  <c r="B204" i="13"/>
  <c r="A204" i="13"/>
  <c r="T203" i="13"/>
  <c r="S203" i="13"/>
  <c r="R203" i="13"/>
  <c r="Q203" i="13"/>
  <c r="O203" i="13"/>
  <c r="H203" i="13"/>
  <c r="G203" i="13"/>
  <c r="F203" i="13"/>
  <c r="E203" i="13"/>
  <c r="D203" i="13"/>
  <c r="C203" i="13"/>
  <c r="B203" i="13"/>
  <c r="A203" i="13"/>
  <c r="T202" i="13"/>
  <c r="S202" i="13"/>
  <c r="R202" i="13"/>
  <c r="Q202" i="13"/>
  <c r="O202" i="13"/>
  <c r="N202" i="13"/>
  <c r="M202" i="13"/>
  <c r="L202" i="13"/>
  <c r="J202" i="13"/>
  <c r="I202" i="13"/>
  <c r="H202" i="13"/>
  <c r="G202" i="13"/>
  <c r="F202" i="13"/>
  <c r="E202" i="13"/>
  <c r="D202" i="13"/>
  <c r="C202" i="13"/>
  <c r="B202" i="13"/>
  <c r="A202" i="13"/>
  <c r="T201" i="13"/>
  <c r="S201" i="13"/>
  <c r="R201" i="13"/>
  <c r="Q201" i="13"/>
  <c r="O201" i="13"/>
  <c r="N201" i="13"/>
  <c r="M201" i="13"/>
  <c r="L201" i="13"/>
  <c r="J201" i="13"/>
  <c r="I201" i="13"/>
  <c r="H201" i="13"/>
  <c r="G201" i="13"/>
  <c r="F201" i="13"/>
  <c r="E201" i="13"/>
  <c r="D201" i="13"/>
  <c r="C201" i="13"/>
  <c r="B201" i="13"/>
  <c r="A201" i="13"/>
  <c r="T200" i="13"/>
  <c r="S200" i="13"/>
  <c r="R200" i="13"/>
  <c r="Q200" i="13"/>
  <c r="O200" i="13"/>
  <c r="N200" i="13"/>
  <c r="M200" i="13"/>
  <c r="L200" i="13"/>
  <c r="J200" i="13"/>
  <c r="I200" i="13"/>
  <c r="H200" i="13"/>
  <c r="G200" i="13"/>
  <c r="F200" i="13"/>
  <c r="E200" i="13"/>
  <c r="D200" i="13"/>
  <c r="C200" i="13"/>
  <c r="B200" i="13"/>
  <c r="A200" i="13"/>
  <c r="Q190" i="13"/>
  <c r="Q187" i="13"/>
  <c r="Q184" i="13"/>
  <c r="Q183" i="13"/>
  <c r="Q178" i="13"/>
  <c r="Q177" i="13"/>
  <c r="Q172" i="13"/>
  <c r="Q171" i="13"/>
  <c r="Q167" i="13"/>
  <c r="Q166" i="13"/>
  <c r="Q163" i="13"/>
  <c r="Q162" i="13"/>
  <c r="Q159" i="13"/>
  <c r="T156" i="13"/>
  <c r="S156" i="13"/>
  <c r="R156" i="13"/>
  <c r="Q156" i="13"/>
  <c r="O156" i="13"/>
  <c r="N156" i="13"/>
  <c r="M156" i="13"/>
  <c r="L156" i="13"/>
  <c r="J156" i="13"/>
  <c r="I156" i="13"/>
  <c r="H156" i="13"/>
  <c r="F156" i="13"/>
  <c r="D156" i="13"/>
  <c r="C156" i="13"/>
  <c r="B156" i="13"/>
  <c r="A156" i="13"/>
  <c r="T155" i="13"/>
  <c r="S155" i="13"/>
  <c r="R155" i="13"/>
  <c r="Q155" i="13"/>
  <c r="O155" i="13"/>
  <c r="H155" i="13"/>
  <c r="G155" i="13"/>
  <c r="F155" i="13"/>
  <c r="E155" i="13"/>
  <c r="D155" i="13"/>
  <c r="C155" i="13"/>
  <c r="B155" i="13"/>
  <c r="A155" i="13"/>
  <c r="T154" i="13"/>
  <c r="S154" i="13"/>
  <c r="R154" i="13"/>
  <c r="Q154" i="13"/>
  <c r="O154" i="13"/>
  <c r="N154" i="13"/>
  <c r="M154" i="13"/>
  <c r="L154" i="13"/>
  <c r="J154" i="13"/>
  <c r="I154" i="13"/>
  <c r="H154" i="13"/>
  <c r="G154" i="13"/>
  <c r="F154" i="13"/>
  <c r="E154" i="13"/>
  <c r="D154" i="13"/>
  <c r="C154" i="13"/>
  <c r="B154" i="13"/>
  <c r="A154" i="13"/>
  <c r="T153" i="13"/>
  <c r="S153" i="13"/>
  <c r="R153" i="13"/>
  <c r="Q153" i="13"/>
  <c r="O153" i="13"/>
  <c r="N153" i="13"/>
  <c r="M153" i="13"/>
  <c r="L153" i="13"/>
  <c r="J153" i="13"/>
  <c r="I153" i="13"/>
  <c r="H153" i="13"/>
  <c r="G153" i="13"/>
  <c r="F153" i="13"/>
  <c r="E153" i="13"/>
  <c r="D153" i="13"/>
  <c r="C153" i="13"/>
  <c r="B153" i="13"/>
  <c r="A153" i="13"/>
  <c r="T152" i="13"/>
  <c r="S152" i="13"/>
  <c r="R152" i="13"/>
  <c r="Q152" i="13"/>
  <c r="O152" i="13"/>
  <c r="N152" i="13"/>
  <c r="M152" i="13"/>
  <c r="L152" i="13"/>
  <c r="J152" i="13"/>
  <c r="I152" i="13"/>
  <c r="H152" i="13"/>
  <c r="G152" i="13"/>
  <c r="F152" i="13"/>
  <c r="E152" i="13"/>
  <c r="D152" i="13"/>
  <c r="C152" i="13"/>
  <c r="B152" i="13"/>
  <c r="A152" i="13"/>
  <c r="Q110" i="13"/>
  <c r="T108" i="13"/>
  <c r="S108" i="13"/>
  <c r="R108" i="13"/>
  <c r="Q108" i="13"/>
  <c r="O108" i="13"/>
  <c r="N108" i="13"/>
  <c r="M108" i="13"/>
  <c r="L108" i="13"/>
  <c r="J108" i="13"/>
  <c r="I108" i="13"/>
  <c r="H108" i="13"/>
  <c r="F108" i="13"/>
  <c r="D108" i="13"/>
  <c r="C108" i="13"/>
  <c r="B108" i="13"/>
  <c r="A108" i="13"/>
  <c r="T107" i="13"/>
  <c r="S107" i="13"/>
  <c r="R107" i="13"/>
  <c r="Q107" i="13"/>
  <c r="O107" i="13"/>
  <c r="H107" i="13"/>
  <c r="G107" i="13"/>
  <c r="F107" i="13"/>
  <c r="E107" i="13"/>
  <c r="D107" i="13"/>
  <c r="C107" i="13"/>
  <c r="B107" i="13"/>
  <c r="A107" i="13"/>
  <c r="T106" i="13"/>
  <c r="S106" i="13"/>
  <c r="R106" i="13"/>
  <c r="Q106" i="13"/>
  <c r="O106" i="13"/>
  <c r="N106" i="13"/>
  <c r="M106" i="13"/>
  <c r="L106" i="13"/>
  <c r="J106" i="13"/>
  <c r="I106" i="13"/>
  <c r="H106" i="13"/>
  <c r="G106" i="13"/>
  <c r="F106" i="13"/>
  <c r="E106" i="13"/>
  <c r="D106" i="13"/>
  <c r="C106" i="13"/>
  <c r="B106" i="13"/>
  <c r="A106" i="13"/>
  <c r="T105" i="13"/>
  <c r="S105" i="13"/>
  <c r="R105" i="13"/>
  <c r="Q105" i="13"/>
  <c r="O105" i="13"/>
  <c r="N105" i="13"/>
  <c r="M105" i="13"/>
  <c r="L105" i="13"/>
  <c r="J105" i="13"/>
  <c r="I105" i="13"/>
  <c r="H105" i="13"/>
  <c r="G105" i="13"/>
  <c r="F105" i="13"/>
  <c r="E105" i="13"/>
  <c r="D105" i="13"/>
  <c r="C105" i="13"/>
  <c r="B105" i="13"/>
  <c r="A105" i="13"/>
  <c r="T104" i="13"/>
  <c r="S104" i="13"/>
  <c r="R104" i="13"/>
  <c r="Q104" i="13"/>
  <c r="O104" i="13"/>
  <c r="N104" i="13"/>
  <c r="M104" i="13"/>
  <c r="L104" i="13"/>
  <c r="J104" i="13"/>
  <c r="I104" i="13"/>
  <c r="H104" i="13"/>
  <c r="G104" i="13"/>
  <c r="F104" i="13"/>
  <c r="E104" i="13"/>
  <c r="D104" i="13"/>
  <c r="C104" i="13"/>
  <c r="B104" i="13"/>
  <c r="A104" i="13"/>
  <c r="Q73" i="13"/>
  <c r="Q70" i="13"/>
  <c r="Q69" i="13"/>
  <c r="Q67" i="13"/>
  <c r="Q64" i="13"/>
  <c r="Q63" i="13"/>
  <c r="T60" i="13"/>
  <c r="S60" i="13"/>
  <c r="R60" i="13"/>
  <c r="Q60" i="13"/>
  <c r="O60" i="13"/>
  <c r="N60" i="13"/>
  <c r="M60" i="13"/>
  <c r="L60" i="13"/>
  <c r="J60" i="13"/>
  <c r="I60" i="13"/>
  <c r="H60" i="13"/>
  <c r="F60" i="13"/>
  <c r="D60" i="13"/>
  <c r="C60" i="13"/>
  <c r="B60" i="13"/>
  <c r="A60" i="13"/>
  <c r="T59" i="13"/>
  <c r="S59" i="13"/>
  <c r="R59" i="13"/>
  <c r="Q59" i="13"/>
  <c r="O59" i="13"/>
  <c r="H59" i="13"/>
  <c r="G59" i="13"/>
  <c r="F59" i="13"/>
  <c r="E59" i="13"/>
  <c r="D59" i="13"/>
  <c r="C59" i="13"/>
  <c r="B59" i="13"/>
  <c r="A59" i="13"/>
  <c r="T58" i="13"/>
  <c r="S58" i="13"/>
  <c r="R58" i="13"/>
  <c r="Q58" i="13"/>
  <c r="O58" i="13"/>
  <c r="N58" i="13"/>
  <c r="M58" i="13"/>
  <c r="L58" i="13"/>
  <c r="J58" i="13"/>
  <c r="I58" i="13"/>
  <c r="H58" i="13"/>
  <c r="G58" i="13"/>
  <c r="F58" i="13"/>
  <c r="E58" i="13"/>
  <c r="D58" i="13"/>
  <c r="C58" i="13"/>
  <c r="B58" i="13"/>
  <c r="A58" i="13"/>
  <c r="T57" i="13"/>
  <c r="S57" i="13"/>
  <c r="R57" i="13"/>
  <c r="Q57" i="13"/>
  <c r="O57" i="13"/>
  <c r="N57" i="13"/>
  <c r="M57" i="13"/>
  <c r="L57" i="13"/>
  <c r="J57" i="13"/>
  <c r="I57" i="13"/>
  <c r="H57" i="13"/>
  <c r="G57" i="13"/>
  <c r="F57" i="13"/>
  <c r="E57" i="13"/>
  <c r="D57" i="13"/>
  <c r="C57" i="13"/>
  <c r="B57" i="13"/>
  <c r="A57" i="13"/>
  <c r="T56" i="13"/>
  <c r="S56" i="13"/>
  <c r="R56" i="13"/>
  <c r="Q56" i="13"/>
  <c r="O56" i="13"/>
  <c r="N56" i="13"/>
  <c r="M56" i="13"/>
  <c r="L56" i="13"/>
  <c r="J56" i="13"/>
  <c r="I56" i="13"/>
  <c r="H56" i="13"/>
  <c r="G56" i="13"/>
  <c r="F56" i="13"/>
  <c r="E56" i="13"/>
  <c r="D56" i="13"/>
  <c r="C56" i="13"/>
  <c r="B56" i="13"/>
  <c r="A56" i="13"/>
  <c r="Q21" i="13"/>
  <c r="Q20" i="13"/>
  <c r="Q14" i="13"/>
  <c r="F11" i="5"/>
  <c r="F10" i="5"/>
  <c r="F9" i="5"/>
  <c r="F8" i="5"/>
  <c r="F7" i="5"/>
  <c r="F6" i="5"/>
  <c r="F5" i="5"/>
  <c r="B5" i="10"/>
  <c r="O135" i="10"/>
  <c r="U134" i="10"/>
  <c r="V134" i="10" s="1"/>
  <c r="S134" i="10"/>
  <c r="L134" i="10"/>
  <c r="S133" i="10"/>
  <c r="S135" i="10" s="1"/>
  <c r="L133" i="10"/>
  <c r="L135" i="10" s="1"/>
  <c r="H135" i="10"/>
  <c r="S129" i="10"/>
  <c r="L129" i="10"/>
  <c r="S128" i="10"/>
  <c r="O130" i="10"/>
  <c r="L128" i="10"/>
  <c r="O109" i="10"/>
  <c r="S108" i="10"/>
  <c r="U108" i="10" s="1"/>
  <c r="V108" i="10" s="1"/>
  <c r="L108" i="10"/>
  <c r="U107" i="10"/>
  <c r="V107" i="10" s="1"/>
  <c r="S107" i="10"/>
  <c r="L107" i="10"/>
  <c r="L109" i="10" s="1"/>
  <c r="H109" i="10"/>
  <c r="S103" i="10"/>
  <c r="U103" i="10" s="1"/>
  <c r="V103" i="10" s="1"/>
  <c r="L103" i="10"/>
  <c r="S102" i="10"/>
  <c r="U102" i="10" s="1"/>
  <c r="V102" i="10" s="1"/>
  <c r="L102" i="10"/>
  <c r="S101" i="10"/>
  <c r="U101" i="10" s="1"/>
  <c r="V101" i="10" s="1"/>
  <c r="L101" i="10"/>
  <c r="S100" i="10"/>
  <c r="U100" i="10" s="1"/>
  <c r="V100" i="10" s="1"/>
  <c r="L100" i="10"/>
  <c r="S99" i="10"/>
  <c r="L99" i="10"/>
  <c r="S98" i="10"/>
  <c r="O104" i="10"/>
  <c r="O95" i="10"/>
  <c r="L94" i="10"/>
  <c r="L93" i="10"/>
  <c r="L92" i="10"/>
  <c r="H95" i="10"/>
  <c r="H89" i="10"/>
  <c r="Q88" i="10"/>
  <c r="S88" i="10" s="1"/>
  <c r="U88" i="10" s="1"/>
  <c r="V88" i="10" s="1"/>
  <c r="L88" i="10"/>
  <c r="S87" i="10"/>
  <c r="U87" i="10" s="1"/>
  <c r="V87" i="10" s="1"/>
  <c r="L87" i="10"/>
  <c r="L86" i="10"/>
  <c r="L85" i="10"/>
  <c r="L89" i="10" s="1"/>
  <c r="Q85" i="10"/>
  <c r="Q86" i="10" s="1"/>
  <c r="Q87" i="10" s="1"/>
  <c r="H82" i="10"/>
  <c r="S81" i="10"/>
  <c r="U81" i="10" s="1"/>
  <c r="V81" i="10" s="1"/>
  <c r="L81" i="10"/>
  <c r="L80" i="10"/>
  <c r="L79" i="10"/>
  <c r="L78" i="10"/>
  <c r="L82" i="10" s="1"/>
  <c r="Q78" i="10"/>
  <c r="H75" i="10"/>
  <c r="S74" i="10"/>
  <c r="S73" i="10"/>
  <c r="O75" i="10"/>
  <c r="L73" i="10"/>
  <c r="U46" i="10"/>
  <c r="V46" i="10" s="1"/>
  <c r="S46" i="10"/>
  <c r="L46" i="10"/>
  <c r="U45" i="10"/>
  <c r="V45" i="10" s="1"/>
  <c r="S45" i="10"/>
  <c r="S47" i="10" s="1"/>
  <c r="L45" i="10"/>
  <c r="H47" i="10"/>
  <c r="H43" i="10"/>
  <c r="S42" i="10"/>
  <c r="S41" i="10"/>
  <c r="O43" i="10"/>
  <c r="L41" i="10"/>
  <c r="S37" i="10"/>
  <c r="U37" i="10" s="1"/>
  <c r="V37" i="10" s="1"/>
  <c r="L37" i="10"/>
  <c r="S36" i="10"/>
  <c r="U36" i="10" s="1"/>
  <c r="V36" i="10" s="1"/>
  <c r="L36" i="10"/>
  <c r="L38" i="10" s="1"/>
  <c r="H38" i="10"/>
  <c r="S32" i="10"/>
  <c r="U32" i="10" s="1"/>
  <c r="V32" i="10" s="1"/>
  <c r="L32" i="10"/>
  <c r="S31" i="10"/>
  <c r="L31" i="10"/>
  <c r="S30" i="10"/>
  <c r="O33" i="10"/>
  <c r="O27" i="10"/>
  <c r="L26" i="10"/>
  <c r="L25" i="10"/>
  <c r="Q23" i="10"/>
  <c r="S19" i="10"/>
  <c r="U19" i="10" s="1"/>
  <c r="V19" i="10" s="1"/>
  <c r="L19" i="10"/>
  <c r="S18" i="10"/>
  <c r="L18" i="10"/>
  <c r="L20" i="10" s="1"/>
  <c r="H20" i="10"/>
  <c r="B5" i="9"/>
  <c r="O141" i="9"/>
  <c r="H141" i="9"/>
  <c r="Q140" i="9"/>
  <c r="S140" i="9" s="1"/>
  <c r="Q139" i="9"/>
  <c r="S139" i="9" s="1"/>
  <c r="L139" i="9"/>
  <c r="S134" i="9"/>
  <c r="U134" i="9" s="1"/>
  <c r="V134" i="9" s="1"/>
  <c r="L134" i="9"/>
  <c r="O135" i="9"/>
  <c r="L133" i="9"/>
  <c r="L135" i="9" s="1"/>
  <c r="O130" i="9"/>
  <c r="S129" i="9"/>
  <c r="U129" i="9" s="1"/>
  <c r="V129" i="9" s="1"/>
  <c r="L129" i="9"/>
  <c r="S128" i="9"/>
  <c r="L128" i="9"/>
  <c r="L130" i="9" s="1"/>
  <c r="H130" i="9"/>
  <c r="S108" i="9"/>
  <c r="L108" i="9"/>
  <c r="O109" i="9"/>
  <c r="H109" i="9"/>
  <c r="O104" i="9"/>
  <c r="L103" i="9"/>
  <c r="L102" i="9"/>
  <c r="L101" i="9"/>
  <c r="S100" i="9"/>
  <c r="U100" i="9" s="1"/>
  <c r="V100" i="9" s="1"/>
  <c r="L100" i="9"/>
  <c r="L99" i="9"/>
  <c r="L98" i="9"/>
  <c r="L104" i="9" s="1"/>
  <c r="H104" i="9"/>
  <c r="S94" i="9"/>
  <c r="U94" i="9" s="1"/>
  <c r="V94" i="9" s="1"/>
  <c r="L94" i="9"/>
  <c r="S93" i="9"/>
  <c r="U93" i="9" s="1"/>
  <c r="V93" i="9" s="1"/>
  <c r="L93" i="9"/>
  <c r="S92" i="9"/>
  <c r="O95" i="9"/>
  <c r="H95" i="9"/>
  <c r="O89" i="9"/>
  <c r="L88" i="9"/>
  <c r="S87" i="9"/>
  <c r="U87" i="9" s="1"/>
  <c r="V87" i="9" s="1"/>
  <c r="L87" i="9"/>
  <c r="S86" i="9"/>
  <c r="U86" i="9" s="1"/>
  <c r="V86" i="9" s="1"/>
  <c r="L86" i="9"/>
  <c r="S85" i="9"/>
  <c r="L85" i="9"/>
  <c r="L89" i="9" s="1"/>
  <c r="Q85" i="9"/>
  <c r="Q86" i="9" s="1"/>
  <c r="Q87" i="9" s="1"/>
  <c r="Q88" i="9" s="1"/>
  <c r="S88" i="9" s="1"/>
  <c r="H89" i="9"/>
  <c r="H82" i="9"/>
  <c r="L81" i="9"/>
  <c r="L80" i="9"/>
  <c r="L79" i="9"/>
  <c r="L78" i="9"/>
  <c r="L82" i="9" s="1"/>
  <c r="Q78" i="9"/>
  <c r="S81" i="9" s="1"/>
  <c r="U81" i="9" s="1"/>
  <c r="V81" i="9" s="1"/>
  <c r="S74" i="9"/>
  <c r="U74" i="9" s="1"/>
  <c r="V74" i="9" s="1"/>
  <c r="L74" i="9"/>
  <c r="O75" i="9"/>
  <c r="L73" i="9"/>
  <c r="L75" i="9" s="1"/>
  <c r="O52" i="9"/>
  <c r="H52" i="9"/>
  <c r="Q51" i="9"/>
  <c r="S51" i="9" s="1"/>
  <c r="Q50" i="9"/>
  <c r="S50" i="9" s="1"/>
  <c r="L50" i="9"/>
  <c r="S46" i="9"/>
  <c r="L46" i="9"/>
  <c r="O47" i="9"/>
  <c r="H47" i="9"/>
  <c r="O43" i="9"/>
  <c r="S42" i="9"/>
  <c r="U42" i="9" s="1"/>
  <c r="V42" i="9" s="1"/>
  <c r="L42" i="9"/>
  <c r="S41" i="9"/>
  <c r="L41" i="9"/>
  <c r="L43" i="9" s="1"/>
  <c r="H43" i="9"/>
  <c r="S37" i="9"/>
  <c r="U37" i="9" s="1"/>
  <c r="V37" i="9" s="1"/>
  <c r="L37" i="9"/>
  <c r="O38" i="9"/>
  <c r="L36" i="9"/>
  <c r="L38" i="9" s="1"/>
  <c r="O33" i="9"/>
  <c r="L32" i="9"/>
  <c r="L31" i="9"/>
  <c r="L30" i="9"/>
  <c r="L33" i="9" s="1"/>
  <c r="H33" i="9"/>
  <c r="O27" i="9"/>
  <c r="H27" i="9"/>
  <c r="L26" i="9"/>
  <c r="L25" i="9"/>
  <c r="L24" i="9"/>
  <c r="Q23" i="9"/>
  <c r="S23" i="9"/>
  <c r="L23" i="9"/>
  <c r="L27" i="9" s="1"/>
  <c r="O20" i="9"/>
  <c r="L19" i="9"/>
  <c r="L18" i="9"/>
  <c r="C5" i="8"/>
  <c r="R356" i="8"/>
  <c r="R355" i="8"/>
  <c r="R354" i="8"/>
  <c r="R353" i="8"/>
  <c r="I350" i="8"/>
  <c r="T349" i="8"/>
  <c r="T348" i="8"/>
  <c r="T347" i="8"/>
  <c r="V347" i="8" s="1"/>
  <c r="W347" i="8" s="1"/>
  <c r="M347" i="8"/>
  <c r="T346" i="8"/>
  <c r="T345" i="8"/>
  <c r="T344" i="8"/>
  <c r="P350" i="8"/>
  <c r="T316" i="8"/>
  <c r="V316" i="8" s="1"/>
  <c r="W316" i="8" s="1"/>
  <c r="M316" i="8"/>
  <c r="T315" i="8"/>
  <c r="V315" i="8" s="1"/>
  <c r="W315" i="8" s="1"/>
  <c r="M315" i="8"/>
  <c r="T314" i="8"/>
  <c r="M314" i="8"/>
  <c r="V314" i="8" s="1"/>
  <c r="W314" i="8" s="1"/>
  <c r="V313" i="8"/>
  <c r="W313" i="8" s="1"/>
  <c r="T313" i="8"/>
  <c r="M313" i="8"/>
  <c r="T310" i="8"/>
  <c r="V310" i="8" s="1"/>
  <c r="W310" i="8" s="1"/>
  <c r="M310" i="8"/>
  <c r="T309" i="8"/>
  <c r="V309" i="8" s="1"/>
  <c r="W309" i="8" s="1"/>
  <c r="M309" i="8"/>
  <c r="T308" i="8"/>
  <c r="M308" i="8"/>
  <c r="V308" i="8" s="1"/>
  <c r="W308" i="8" s="1"/>
  <c r="V307" i="8"/>
  <c r="W307" i="8" s="1"/>
  <c r="T307" i="8"/>
  <c r="M307" i="8"/>
  <c r="I317" i="8"/>
  <c r="T303" i="8"/>
  <c r="T302" i="8"/>
  <c r="T301" i="8"/>
  <c r="V301" i="8" s="1"/>
  <c r="W301" i="8" s="1"/>
  <c r="M301" i="8"/>
  <c r="T300" i="8"/>
  <c r="T299" i="8"/>
  <c r="T298" i="8"/>
  <c r="P304" i="8"/>
  <c r="T295" i="8"/>
  <c r="V295" i="8" s="1"/>
  <c r="W295" i="8" s="1"/>
  <c r="M295" i="8"/>
  <c r="T294" i="8"/>
  <c r="M294" i="8"/>
  <c r="T293" i="8"/>
  <c r="V293" i="8" s="1"/>
  <c r="W293" i="8" s="1"/>
  <c r="M293" i="8"/>
  <c r="T292" i="8"/>
  <c r="V292" i="8" s="1"/>
  <c r="W292" i="8" s="1"/>
  <c r="M292" i="8"/>
  <c r="W291" i="8"/>
  <c r="T291" i="8"/>
  <c r="V291" i="8" s="1"/>
  <c r="M291" i="8"/>
  <c r="T290" i="8"/>
  <c r="M290" i="8"/>
  <c r="M296" i="8" s="1"/>
  <c r="I296" i="8"/>
  <c r="M263" i="8"/>
  <c r="T262" i="8"/>
  <c r="M261" i="8"/>
  <c r="T260" i="8"/>
  <c r="M260" i="8"/>
  <c r="M259" i="8"/>
  <c r="T258" i="8"/>
  <c r="M257" i="8"/>
  <c r="T256" i="8"/>
  <c r="M256" i="8"/>
  <c r="M255" i="8"/>
  <c r="T254" i="8"/>
  <c r="M253" i="8"/>
  <c r="T252" i="8"/>
  <c r="M252" i="8"/>
  <c r="M251" i="8"/>
  <c r="T250" i="8"/>
  <c r="M249" i="8"/>
  <c r="T248" i="8"/>
  <c r="M248" i="8"/>
  <c r="M247" i="8"/>
  <c r="T246" i="8"/>
  <c r="M244" i="8"/>
  <c r="T243" i="8"/>
  <c r="M243" i="8"/>
  <c r="M242" i="8"/>
  <c r="T241" i="8"/>
  <c r="M241" i="8"/>
  <c r="T240" i="8"/>
  <c r="M240" i="8"/>
  <c r="T239" i="8"/>
  <c r="V239" i="8" s="1"/>
  <c r="W239" i="8" s="1"/>
  <c r="M239" i="8"/>
  <c r="T238" i="8"/>
  <c r="M238" i="8"/>
  <c r="T237" i="8"/>
  <c r="M237" i="8"/>
  <c r="T236" i="8"/>
  <c r="M236" i="8"/>
  <c r="M216" i="8"/>
  <c r="M215" i="8"/>
  <c r="M214" i="8"/>
  <c r="M213" i="8"/>
  <c r="M212" i="8"/>
  <c r="M211" i="8"/>
  <c r="M210" i="8"/>
  <c r="M209" i="8"/>
  <c r="M208" i="8"/>
  <c r="M207" i="8"/>
  <c r="M206" i="8"/>
  <c r="R205" i="8"/>
  <c r="M201" i="8"/>
  <c r="M200" i="8"/>
  <c r="M199" i="8"/>
  <c r="M198" i="8"/>
  <c r="M197" i="8"/>
  <c r="M196" i="8"/>
  <c r="M195" i="8"/>
  <c r="M194" i="8"/>
  <c r="M192" i="8"/>
  <c r="R192" i="8"/>
  <c r="R191" i="8"/>
  <c r="R190" i="8"/>
  <c r="M190" i="8"/>
  <c r="T186" i="8"/>
  <c r="M186" i="8"/>
  <c r="T185" i="8"/>
  <c r="M185" i="8"/>
  <c r="T184" i="8"/>
  <c r="M184" i="8"/>
  <c r="T183" i="8"/>
  <c r="M183" i="8"/>
  <c r="V183" i="8" s="1"/>
  <c r="W183" i="8" s="1"/>
  <c r="T182" i="8"/>
  <c r="V182" i="8" s="1"/>
  <c r="W182" i="8" s="1"/>
  <c r="M182" i="8"/>
  <c r="E182" i="8"/>
  <c r="E183" i="8" s="1"/>
  <c r="E184" i="8" s="1"/>
  <c r="E185" i="8" s="1"/>
  <c r="E186" i="8" s="1"/>
  <c r="E187" i="8" s="1"/>
  <c r="E188" i="8" s="1"/>
  <c r="E189" i="8" s="1"/>
  <c r="E190" i="8" s="1"/>
  <c r="E191" i="8" s="1"/>
  <c r="E192" i="8" s="1"/>
  <c r="E193" i="8" s="1"/>
  <c r="E194" i="8" s="1"/>
  <c r="E195" i="8" s="1"/>
  <c r="E196" i="8" s="1"/>
  <c r="E197" i="8" s="1"/>
  <c r="E198" i="8" s="1"/>
  <c r="E199" i="8" s="1"/>
  <c r="E200" i="8" s="1"/>
  <c r="E201" i="8" s="1"/>
  <c r="E202" i="8" s="1"/>
  <c r="E203" i="8" s="1"/>
  <c r="E204" i="8" s="1"/>
  <c r="E205" i="8" s="1"/>
  <c r="E206" i="8" s="1"/>
  <c r="E207" i="8" s="1"/>
  <c r="E208" i="8" s="1"/>
  <c r="E209" i="8" s="1"/>
  <c r="E210" i="8" s="1"/>
  <c r="E211" i="8" s="1"/>
  <c r="E212" i="8" s="1"/>
  <c r="E213" i="8" s="1"/>
  <c r="E214" i="8" s="1"/>
  <c r="E215" i="8" s="1"/>
  <c r="E216" i="8" s="1"/>
  <c r="E217" i="8" s="1"/>
  <c r="E181" i="8"/>
  <c r="E180" i="8"/>
  <c r="R158" i="8"/>
  <c r="R157" i="8"/>
  <c r="P153" i="8"/>
  <c r="T152" i="8"/>
  <c r="M152" i="8"/>
  <c r="V152" i="8" s="1"/>
  <c r="W152" i="8" s="1"/>
  <c r="T151" i="8"/>
  <c r="M151" i="8"/>
  <c r="V151" i="8" s="1"/>
  <c r="W151" i="8" s="1"/>
  <c r="T150" i="8"/>
  <c r="T153" i="8" s="1"/>
  <c r="M150" i="8"/>
  <c r="M153" i="8" s="1"/>
  <c r="I153" i="8"/>
  <c r="M145" i="8"/>
  <c r="P146" i="8"/>
  <c r="M144" i="8"/>
  <c r="M146" i="8" s="1"/>
  <c r="P141" i="8"/>
  <c r="M140" i="8"/>
  <c r="R140" i="8"/>
  <c r="T140" i="8" s="1"/>
  <c r="V140" i="8" s="1"/>
  <c r="W140" i="8" s="1"/>
  <c r="M139" i="8"/>
  <c r="R139" i="8"/>
  <c r="T139" i="8" s="1"/>
  <c r="V139" i="8" s="1"/>
  <c r="W139" i="8" s="1"/>
  <c r="M138" i="8"/>
  <c r="R138" i="8"/>
  <c r="T138" i="8" s="1"/>
  <c r="V138" i="8" s="1"/>
  <c r="W138" i="8" s="1"/>
  <c r="I141" i="8"/>
  <c r="M134" i="8"/>
  <c r="I158" i="8" s="1"/>
  <c r="M158" i="8" s="1"/>
  <c r="M133" i="8"/>
  <c r="M132" i="8"/>
  <c r="P129" i="8"/>
  <c r="T128" i="8"/>
  <c r="M128" i="8"/>
  <c r="V128" i="8" s="1"/>
  <c r="W128" i="8" s="1"/>
  <c r="T127" i="8"/>
  <c r="M127" i="8"/>
  <c r="V127" i="8" s="1"/>
  <c r="W127" i="8" s="1"/>
  <c r="T126" i="8"/>
  <c r="T129" i="8" s="1"/>
  <c r="M126" i="8"/>
  <c r="I129" i="8"/>
  <c r="T103" i="8"/>
  <c r="V103" i="8" s="1"/>
  <c r="W103" i="8" s="1"/>
  <c r="M104" i="8"/>
  <c r="M99" i="8"/>
  <c r="M100" i="8" s="1"/>
  <c r="R95" i="8"/>
  <c r="R94" i="8"/>
  <c r="R93" i="8"/>
  <c r="R92" i="8"/>
  <c r="T87" i="8"/>
  <c r="T86" i="8"/>
  <c r="T85" i="8"/>
  <c r="M85" i="8"/>
  <c r="T84" i="8"/>
  <c r="T83" i="8"/>
  <c r="T82" i="8"/>
  <c r="P88" i="8"/>
  <c r="M82" i="8"/>
  <c r="T77" i="8"/>
  <c r="V77" i="8" s="1"/>
  <c r="W77" i="8" s="1"/>
  <c r="M77" i="8"/>
  <c r="T76" i="8"/>
  <c r="T78" i="8" s="1"/>
  <c r="M76" i="8"/>
  <c r="T75" i="8"/>
  <c r="M75" i="8"/>
  <c r="V75" i="8" s="1"/>
  <c r="W75" i="8" s="1"/>
  <c r="V74" i="8"/>
  <c r="W74" i="8" s="1"/>
  <c r="T74" i="8"/>
  <c r="M74" i="8"/>
  <c r="I78" i="8"/>
  <c r="T51" i="8"/>
  <c r="M51" i="8"/>
  <c r="T50" i="8"/>
  <c r="M50" i="8"/>
  <c r="M49" i="8"/>
  <c r="M48" i="8"/>
  <c r="T47" i="8"/>
  <c r="T46" i="8"/>
  <c r="V46" i="8" s="1"/>
  <c r="W46" i="8" s="1"/>
  <c r="M46" i="8"/>
  <c r="M45" i="8"/>
  <c r="M44" i="8"/>
  <c r="T43" i="8"/>
  <c r="M43" i="8"/>
  <c r="T39" i="8"/>
  <c r="M39" i="8"/>
  <c r="V39" i="8" s="1"/>
  <c r="W39" i="8" s="1"/>
  <c r="M38" i="8"/>
  <c r="M37" i="8"/>
  <c r="M36" i="8"/>
  <c r="M35" i="8"/>
  <c r="M34" i="8"/>
  <c r="M32" i="8"/>
  <c r="M31" i="8"/>
  <c r="M30" i="8"/>
  <c r="R29" i="8"/>
  <c r="M29" i="8"/>
  <c r="T28" i="8"/>
  <c r="M28" i="8"/>
  <c r="R28" i="8"/>
  <c r="T37" i="8" s="1"/>
  <c r="V37" i="8" s="1"/>
  <c r="W37" i="8" s="1"/>
  <c r="T27" i="8"/>
  <c r="M27" i="8"/>
  <c r="R27" i="8"/>
  <c r="T23" i="8"/>
  <c r="T22" i="8"/>
  <c r="M22" i="8"/>
  <c r="V22" i="8" s="1"/>
  <c r="W22" i="8" s="1"/>
  <c r="T21" i="8"/>
  <c r="V21" i="8" s="1"/>
  <c r="W21" i="8" s="1"/>
  <c r="M21" i="8"/>
  <c r="E21" i="8"/>
  <c r="E22" i="8" s="1"/>
  <c r="E23" i="8" s="1"/>
  <c r="E24" i="8" s="1"/>
  <c r="E25" i="8" s="1"/>
  <c r="E26" i="8" s="1"/>
  <c r="E27" i="8" s="1"/>
  <c r="E28" i="8" s="1"/>
  <c r="E29" i="8" s="1"/>
  <c r="E30" i="8" s="1"/>
  <c r="E31" i="8" s="1"/>
  <c r="E32" i="8" s="1"/>
  <c r="E33" i="8" s="1"/>
  <c r="E34" i="8" s="1"/>
  <c r="E35" i="8" s="1"/>
  <c r="E36" i="8" s="1"/>
  <c r="E37" i="8" s="1"/>
  <c r="E38" i="8" s="1"/>
  <c r="E39" i="8" s="1"/>
  <c r="E40" i="8" s="1"/>
  <c r="E41" i="8" s="1"/>
  <c r="E42" i="8" s="1"/>
  <c r="E43" i="8" s="1"/>
  <c r="E44" i="8" s="1"/>
  <c r="E45" i="8" s="1"/>
  <c r="E46" i="8" s="1"/>
  <c r="E47" i="8" s="1"/>
  <c r="E48" i="8" s="1"/>
  <c r="E49" i="8" s="1"/>
  <c r="E50" i="8" s="1"/>
  <c r="E51" i="8" s="1"/>
  <c r="E52" i="8" s="1"/>
  <c r="E53" i="8" s="1"/>
  <c r="E54" i="8" s="1"/>
  <c r="E55" i="8" s="1"/>
  <c r="T20" i="8"/>
  <c r="V20" i="8" s="1"/>
  <c r="W20" i="8" s="1"/>
  <c r="M20" i="8"/>
  <c r="E20" i="8"/>
  <c r="T19" i="8"/>
  <c r="V19" i="8" s="1"/>
  <c r="W19" i="8" s="1"/>
  <c r="M19" i="8"/>
  <c r="E19" i="8"/>
  <c r="T18" i="8"/>
  <c r="M18" i="8"/>
  <c r="E18" i="8"/>
  <c r="B5" i="7"/>
  <c r="O78" i="7"/>
  <c r="L77" i="7"/>
  <c r="L78" i="7" s="1"/>
  <c r="Q77" i="7"/>
  <c r="H78" i="7"/>
  <c r="S73" i="7"/>
  <c r="O74" i="7"/>
  <c r="L73" i="7"/>
  <c r="L74" i="7" s="1"/>
  <c r="H39" i="7"/>
  <c r="O36" i="7"/>
  <c r="S35" i="7"/>
  <c r="U35" i="7" s="1"/>
  <c r="V35" i="7" s="1"/>
  <c r="L35" i="7"/>
  <c r="S34" i="7"/>
  <c r="L34" i="7"/>
  <c r="L36" i="7" s="1"/>
  <c r="H36" i="7"/>
  <c r="S30" i="7"/>
  <c r="U30" i="7" s="1"/>
  <c r="V30" i="7" s="1"/>
  <c r="L30" i="7"/>
  <c r="L29" i="7"/>
  <c r="L28" i="7"/>
  <c r="L27" i="7"/>
  <c r="Q26" i="7"/>
  <c r="S26" i="7" s="1"/>
  <c r="L26" i="7"/>
  <c r="Q25" i="7"/>
  <c r="O31" i="7"/>
  <c r="L25" i="7"/>
  <c r="L31" i="7" s="1"/>
  <c r="O22" i="7"/>
  <c r="S21" i="7"/>
  <c r="U21" i="7" s="1"/>
  <c r="V21" i="7" s="1"/>
  <c r="L21" i="7"/>
  <c r="S20" i="7"/>
  <c r="U20" i="7" s="1"/>
  <c r="V20" i="7" s="1"/>
  <c r="L20" i="7"/>
  <c r="S19" i="7"/>
  <c r="U19" i="7" s="1"/>
  <c r="V19" i="7" s="1"/>
  <c r="L19" i="7"/>
  <c r="L22" i="7" s="1"/>
  <c r="H22" i="7"/>
  <c r="B5" i="6"/>
  <c r="H37" i="6"/>
  <c r="S33" i="6"/>
  <c r="S34" i="6" s="1"/>
  <c r="O33" i="6"/>
  <c r="L33" i="6"/>
  <c r="L34" i="6" s="1"/>
  <c r="H31" i="6"/>
  <c r="Q30" i="6"/>
  <c r="S30" i="6" s="1"/>
  <c r="L30" i="6"/>
  <c r="Q29" i="6"/>
  <c r="S29" i="6" s="1"/>
  <c r="L29" i="6"/>
  <c r="L28" i="6"/>
  <c r="Q27" i="6"/>
  <c r="Q28" i="6" s="1"/>
  <c r="O31" i="6"/>
  <c r="L27" i="6"/>
  <c r="O21" i="6"/>
  <c r="S20" i="6"/>
  <c r="L20" i="6"/>
  <c r="S19" i="6"/>
  <c r="L19" i="6"/>
  <c r="H21" i="6"/>
  <c r="B2" i="12"/>
  <c r="S338" i="12"/>
  <c r="Q333" i="12"/>
  <c r="M333" i="12"/>
  <c r="N333" i="12" s="1"/>
  <c r="M332" i="12"/>
  <c r="N332" i="12" s="1"/>
  <c r="P332" i="12"/>
  <c r="G335" i="12"/>
  <c r="Q327" i="12"/>
  <c r="M326" i="12"/>
  <c r="P326" i="12"/>
  <c r="I313" i="12"/>
  <c r="M306" i="12"/>
  <c r="N306" i="12" s="1"/>
  <c r="Q306" i="12"/>
  <c r="P306" i="12"/>
  <c r="R306" i="12" s="1"/>
  <c r="S306" i="12" s="1"/>
  <c r="T306" i="12" s="1"/>
  <c r="P305" i="12"/>
  <c r="Q305" i="12"/>
  <c r="M305" i="12"/>
  <c r="N305" i="12" s="1"/>
  <c r="R304" i="12"/>
  <c r="S304" i="12" s="1"/>
  <c r="M304" i="12"/>
  <c r="N304" i="12" s="1"/>
  <c r="Q304" i="12"/>
  <c r="P304" i="12"/>
  <c r="Q303" i="12"/>
  <c r="M302" i="12"/>
  <c r="N302" i="12" s="1"/>
  <c r="Q302" i="12"/>
  <c r="P302" i="12"/>
  <c r="P301" i="12"/>
  <c r="Q301" i="12"/>
  <c r="M301" i="12"/>
  <c r="N301" i="12" s="1"/>
  <c r="R300" i="12"/>
  <c r="S300" i="12" s="1"/>
  <c r="M300" i="12"/>
  <c r="N300" i="12" s="1"/>
  <c r="Q300" i="12"/>
  <c r="P300" i="12"/>
  <c r="Q299" i="12"/>
  <c r="M298" i="12"/>
  <c r="N298" i="12" s="1"/>
  <c r="Q298" i="12"/>
  <c r="P298" i="12"/>
  <c r="P297" i="12"/>
  <c r="R297" i="12" s="1"/>
  <c r="S297" i="12" s="1"/>
  <c r="T297" i="12" s="1"/>
  <c r="Q297" i="12"/>
  <c r="M297" i="12"/>
  <c r="N297" i="12" s="1"/>
  <c r="R296" i="12"/>
  <c r="S296" i="12" s="1"/>
  <c r="T296" i="12" s="1"/>
  <c r="M296" i="12"/>
  <c r="N296" i="12" s="1"/>
  <c r="Q296" i="12"/>
  <c r="P296" i="12"/>
  <c r="Q295" i="12"/>
  <c r="M294" i="12"/>
  <c r="N294" i="12" s="1"/>
  <c r="Q294" i="12"/>
  <c r="P294" i="12"/>
  <c r="R294" i="12" s="1"/>
  <c r="S294" i="12" s="1"/>
  <c r="T294" i="12" s="1"/>
  <c r="P293" i="12"/>
  <c r="R293" i="12" s="1"/>
  <c r="S293" i="12" s="1"/>
  <c r="T293" i="12" s="1"/>
  <c r="Q293" i="12"/>
  <c r="M293" i="12"/>
  <c r="N293" i="12" s="1"/>
  <c r="R292" i="12"/>
  <c r="S292" i="12" s="1"/>
  <c r="T292" i="12" s="1"/>
  <c r="M292" i="12"/>
  <c r="N292" i="12" s="1"/>
  <c r="Q292" i="12"/>
  <c r="P292" i="12"/>
  <c r="Q291" i="12"/>
  <c r="M290" i="12"/>
  <c r="N290" i="12" s="1"/>
  <c r="Q290" i="12"/>
  <c r="P290" i="12"/>
  <c r="R290" i="12" s="1"/>
  <c r="S290" i="12" s="1"/>
  <c r="T290" i="12" s="1"/>
  <c r="P289" i="12"/>
  <c r="Q289" i="12"/>
  <c r="M289" i="12"/>
  <c r="N289" i="12" s="1"/>
  <c r="R288" i="12"/>
  <c r="S288" i="12" s="1"/>
  <c r="M288" i="12"/>
  <c r="N288" i="12" s="1"/>
  <c r="Q288" i="12"/>
  <c r="P288" i="12"/>
  <c r="Q287" i="12"/>
  <c r="M286" i="12"/>
  <c r="N286" i="12" s="1"/>
  <c r="Q286" i="12"/>
  <c r="P286" i="12"/>
  <c r="P285" i="12"/>
  <c r="R285" i="12" s="1"/>
  <c r="S285" i="12" s="1"/>
  <c r="Q285" i="12"/>
  <c r="M285" i="12"/>
  <c r="Q284" i="12"/>
  <c r="M284" i="12"/>
  <c r="P284" i="12"/>
  <c r="N284" i="12"/>
  <c r="Q283" i="12"/>
  <c r="M283" i="12"/>
  <c r="N283" i="12" s="1"/>
  <c r="Q282" i="12"/>
  <c r="M282" i="12"/>
  <c r="P282" i="12"/>
  <c r="R282" i="12" s="1"/>
  <c r="N282" i="12"/>
  <c r="Q281" i="12"/>
  <c r="Q280" i="12"/>
  <c r="M280" i="12"/>
  <c r="P280" i="12"/>
  <c r="R280" i="12" s="1"/>
  <c r="N280" i="12"/>
  <c r="Q279" i="12"/>
  <c r="P279" i="12"/>
  <c r="M279" i="12"/>
  <c r="Q278" i="12"/>
  <c r="M278" i="12"/>
  <c r="N278" i="12" s="1"/>
  <c r="P278" i="12"/>
  <c r="R278" i="12" s="1"/>
  <c r="S278" i="12" s="1"/>
  <c r="Q277" i="12"/>
  <c r="M277" i="12"/>
  <c r="N277" i="12" s="1"/>
  <c r="Q276" i="12"/>
  <c r="N276" i="12"/>
  <c r="M276" i="12"/>
  <c r="P276" i="12"/>
  <c r="Q275" i="12"/>
  <c r="P275" i="12"/>
  <c r="M275" i="12"/>
  <c r="Q274" i="12"/>
  <c r="M274" i="12"/>
  <c r="N274" i="12" s="1"/>
  <c r="P274" i="12"/>
  <c r="R274" i="12" s="1"/>
  <c r="S274" i="12" s="1"/>
  <c r="T274" i="12" s="1"/>
  <c r="I261" i="12"/>
  <c r="S243" i="12"/>
  <c r="T243" i="12" s="1"/>
  <c r="M243" i="12"/>
  <c r="Q243" i="12"/>
  <c r="P243" i="12"/>
  <c r="R243" i="12" s="1"/>
  <c r="I243" i="12"/>
  <c r="Q242" i="12"/>
  <c r="N242" i="12"/>
  <c r="M242" i="12"/>
  <c r="P242" i="12"/>
  <c r="R242" i="12" s="1"/>
  <c r="S242" i="12" s="1"/>
  <c r="T242" i="12" s="1"/>
  <c r="I242" i="12"/>
  <c r="Q241" i="12"/>
  <c r="M241" i="12"/>
  <c r="N241" i="12" s="1"/>
  <c r="I241" i="12"/>
  <c r="P240" i="12"/>
  <c r="R240" i="12" s="1"/>
  <c r="S240" i="12" s="1"/>
  <c r="T240" i="12" s="1"/>
  <c r="Q240" i="12"/>
  <c r="I240" i="12"/>
  <c r="Q239" i="12"/>
  <c r="M239" i="12"/>
  <c r="N239" i="12" s="1"/>
  <c r="I239" i="12"/>
  <c r="M238" i="12"/>
  <c r="N238" i="12" s="1"/>
  <c r="Q238" i="12"/>
  <c r="P238" i="12"/>
  <c r="R238" i="12" s="1"/>
  <c r="S238" i="12" s="1"/>
  <c r="T238" i="12" s="1"/>
  <c r="I238" i="12"/>
  <c r="R237" i="12"/>
  <c r="S237" i="12" s="1"/>
  <c r="T237" i="12" s="1"/>
  <c r="Q237" i="12"/>
  <c r="M237" i="12"/>
  <c r="N237" i="12" s="1"/>
  <c r="P237" i="12"/>
  <c r="I237" i="12"/>
  <c r="P236" i="12"/>
  <c r="Q236" i="12"/>
  <c r="I236" i="12"/>
  <c r="P235" i="12"/>
  <c r="Q235" i="12"/>
  <c r="I235" i="12"/>
  <c r="Q234" i="12"/>
  <c r="I234" i="12"/>
  <c r="P233" i="12"/>
  <c r="I233" i="12"/>
  <c r="T232" i="12"/>
  <c r="P232" i="12"/>
  <c r="M232" i="12"/>
  <c r="N232" i="12" s="1"/>
  <c r="Q232" i="12"/>
  <c r="R232" i="12" s="1"/>
  <c r="S232" i="12" s="1"/>
  <c r="I232" i="12"/>
  <c r="P231" i="12"/>
  <c r="Q231" i="12"/>
  <c r="I231" i="12"/>
  <c r="P230" i="12"/>
  <c r="R230" i="12" s="1"/>
  <c r="S230" i="12" s="1"/>
  <c r="T230" i="12" s="1"/>
  <c r="Q230" i="12"/>
  <c r="M230" i="12"/>
  <c r="N230" i="12" s="1"/>
  <c r="I230" i="12"/>
  <c r="P229" i="12"/>
  <c r="I229" i="12"/>
  <c r="P228" i="12"/>
  <c r="M228" i="12"/>
  <c r="N228" i="12" s="1"/>
  <c r="Q228" i="12"/>
  <c r="R228" i="12" s="1"/>
  <c r="S228" i="12" s="1"/>
  <c r="T228" i="12" s="1"/>
  <c r="I228" i="12"/>
  <c r="P227" i="12"/>
  <c r="Q227" i="12"/>
  <c r="I227" i="12"/>
  <c r="Q226" i="12"/>
  <c r="I226" i="12"/>
  <c r="P225" i="12"/>
  <c r="I225" i="12"/>
  <c r="P224" i="12"/>
  <c r="M224" i="12"/>
  <c r="N224" i="12" s="1"/>
  <c r="Q224" i="12"/>
  <c r="R224" i="12" s="1"/>
  <c r="S224" i="12" s="1"/>
  <c r="T224" i="12" s="1"/>
  <c r="I224" i="12"/>
  <c r="P223" i="12"/>
  <c r="Q223" i="12"/>
  <c r="I223" i="12"/>
  <c r="Q190" i="12"/>
  <c r="P190" i="12"/>
  <c r="R190" i="12" s="1"/>
  <c r="S190" i="12" s="1"/>
  <c r="T190" i="12" s="1"/>
  <c r="N190" i="12"/>
  <c r="M190" i="12"/>
  <c r="I190" i="12"/>
  <c r="Q189" i="12"/>
  <c r="P189" i="12"/>
  <c r="R189" i="12" s="1"/>
  <c r="S189" i="12" s="1"/>
  <c r="I189" i="12"/>
  <c r="M188" i="12"/>
  <c r="Q188" i="12"/>
  <c r="R188" i="12" s="1"/>
  <c r="S188" i="12" s="1"/>
  <c r="P188" i="12"/>
  <c r="I188" i="12"/>
  <c r="Q187" i="12"/>
  <c r="P187" i="12"/>
  <c r="R187" i="12" s="1"/>
  <c r="M187" i="12"/>
  <c r="I187" i="12"/>
  <c r="Q186" i="12"/>
  <c r="P186" i="12"/>
  <c r="I186" i="12"/>
  <c r="Q185" i="12"/>
  <c r="I185" i="12"/>
  <c r="N184" i="12"/>
  <c r="Q184" i="12"/>
  <c r="M184" i="12"/>
  <c r="I184" i="12"/>
  <c r="M183" i="12"/>
  <c r="N183" i="12" s="1"/>
  <c r="Q183" i="12"/>
  <c r="P183" i="12"/>
  <c r="R183" i="12" s="1"/>
  <c r="S183" i="12" s="1"/>
  <c r="T183" i="12" s="1"/>
  <c r="I183" i="12"/>
  <c r="Q182" i="12"/>
  <c r="P182" i="12"/>
  <c r="R182" i="12" s="1"/>
  <c r="S182" i="12" s="1"/>
  <c r="I182" i="12"/>
  <c r="P181" i="12"/>
  <c r="Q181" i="12"/>
  <c r="M181" i="12"/>
  <c r="N181" i="12" s="1"/>
  <c r="I181" i="12"/>
  <c r="Q180" i="12"/>
  <c r="M180" i="12"/>
  <c r="N180" i="12" s="1"/>
  <c r="I180" i="12"/>
  <c r="Q179" i="12"/>
  <c r="M179" i="12"/>
  <c r="N179" i="12" s="1"/>
  <c r="P179" i="12"/>
  <c r="I179" i="12"/>
  <c r="P178" i="12"/>
  <c r="I178" i="12"/>
  <c r="P177" i="12"/>
  <c r="Q177" i="12"/>
  <c r="I177" i="12"/>
  <c r="N176" i="12"/>
  <c r="Q176" i="12"/>
  <c r="M176" i="12"/>
  <c r="I176" i="12"/>
  <c r="Q175" i="12"/>
  <c r="M175" i="12"/>
  <c r="N175" i="12" s="1"/>
  <c r="P175" i="12"/>
  <c r="R175" i="12" s="1"/>
  <c r="S175" i="12" s="1"/>
  <c r="T175" i="12" s="1"/>
  <c r="I175" i="12"/>
  <c r="P174" i="12"/>
  <c r="I174" i="12"/>
  <c r="P173" i="12"/>
  <c r="Q173" i="12"/>
  <c r="I173" i="12"/>
  <c r="Q172" i="12"/>
  <c r="M172" i="12"/>
  <c r="N172" i="12" s="1"/>
  <c r="I172" i="12"/>
  <c r="Q171" i="12"/>
  <c r="M171" i="12"/>
  <c r="N171" i="12" s="1"/>
  <c r="P171" i="12"/>
  <c r="I171" i="12"/>
  <c r="R170" i="12"/>
  <c r="M170" i="12"/>
  <c r="Q170" i="12"/>
  <c r="P170" i="12"/>
  <c r="I170" i="12"/>
  <c r="Q153" i="12"/>
  <c r="P153" i="12"/>
  <c r="I153" i="12"/>
  <c r="Q152" i="12"/>
  <c r="M152" i="12"/>
  <c r="N152" i="12" s="1"/>
  <c r="I152" i="12"/>
  <c r="Q151" i="12"/>
  <c r="M151" i="12"/>
  <c r="N151" i="12" s="1"/>
  <c r="I151" i="12"/>
  <c r="R150" i="12"/>
  <c r="M150" i="12"/>
  <c r="N150" i="12" s="1"/>
  <c r="Q150" i="12"/>
  <c r="P150" i="12"/>
  <c r="I150" i="12"/>
  <c r="Q149" i="12"/>
  <c r="P149" i="12"/>
  <c r="I149" i="12"/>
  <c r="Q148" i="12"/>
  <c r="I148" i="12"/>
  <c r="N147" i="12"/>
  <c r="Q147" i="12"/>
  <c r="M147" i="12"/>
  <c r="I147" i="12"/>
  <c r="R146" i="12"/>
  <c r="M146" i="12"/>
  <c r="Q146" i="12"/>
  <c r="P146" i="12"/>
  <c r="I146" i="12"/>
  <c r="Q145" i="12"/>
  <c r="P145" i="12"/>
  <c r="I145" i="12"/>
  <c r="P144" i="12"/>
  <c r="Q144" i="12"/>
  <c r="M144" i="12"/>
  <c r="N144" i="12" s="1"/>
  <c r="I144" i="12"/>
  <c r="N143" i="12"/>
  <c r="Q143" i="12"/>
  <c r="M143" i="12"/>
  <c r="I143" i="12"/>
  <c r="M142" i="12"/>
  <c r="Q142" i="12"/>
  <c r="P142" i="12"/>
  <c r="R142" i="12" s="1"/>
  <c r="S142" i="12" s="1"/>
  <c r="T142" i="12" s="1"/>
  <c r="I142" i="12"/>
  <c r="Q141" i="12"/>
  <c r="P141" i="12"/>
  <c r="R141" i="12" s="1"/>
  <c r="S141" i="12" s="1"/>
  <c r="T141" i="12" s="1"/>
  <c r="I141" i="12"/>
  <c r="P140" i="12"/>
  <c r="Q140" i="12"/>
  <c r="M140" i="12"/>
  <c r="N140" i="12" s="1"/>
  <c r="I140" i="12"/>
  <c r="N139" i="12"/>
  <c r="Q139" i="12"/>
  <c r="M139" i="12"/>
  <c r="I139" i="12"/>
  <c r="M138" i="12"/>
  <c r="Q138" i="12"/>
  <c r="P138" i="12"/>
  <c r="R138" i="12" s="1"/>
  <c r="S138" i="12" s="1"/>
  <c r="T138" i="12" s="1"/>
  <c r="I138" i="12"/>
  <c r="M137" i="12"/>
  <c r="N137" i="12" s="1"/>
  <c r="P137" i="12"/>
  <c r="I137" i="12"/>
  <c r="N134" i="12"/>
  <c r="Q134" i="12"/>
  <c r="M134" i="12"/>
  <c r="M153" i="12" s="1"/>
  <c r="N153" i="12" s="1"/>
  <c r="I134" i="12"/>
  <c r="M133" i="12"/>
  <c r="Q133" i="12"/>
  <c r="P133" i="12"/>
  <c r="R133" i="12" s="1"/>
  <c r="S133" i="12" s="1"/>
  <c r="I133" i="12"/>
  <c r="Q132" i="12"/>
  <c r="P132" i="12"/>
  <c r="R132" i="12" s="1"/>
  <c r="S132" i="12" s="1"/>
  <c r="I132" i="12"/>
  <c r="P131" i="12"/>
  <c r="Q131" i="12"/>
  <c r="M131" i="12"/>
  <c r="N131" i="12" s="1"/>
  <c r="I131" i="12"/>
  <c r="N130" i="12"/>
  <c r="Q130" i="12"/>
  <c r="M130" i="12"/>
  <c r="I130" i="12"/>
  <c r="M129" i="12"/>
  <c r="Q129" i="12"/>
  <c r="P129" i="12"/>
  <c r="R129" i="12" s="1"/>
  <c r="S129" i="12" s="1"/>
  <c r="I129" i="12"/>
  <c r="Q128" i="12"/>
  <c r="P128" i="12"/>
  <c r="R128" i="12" s="1"/>
  <c r="S128" i="12" s="1"/>
  <c r="I128" i="12"/>
  <c r="P127" i="12"/>
  <c r="Q127" i="12"/>
  <c r="M127" i="12"/>
  <c r="N127" i="12" s="1"/>
  <c r="I127" i="12"/>
  <c r="N126" i="12"/>
  <c r="Q126" i="12"/>
  <c r="M126" i="12"/>
  <c r="I126" i="12"/>
  <c r="M125" i="12"/>
  <c r="Q125" i="12"/>
  <c r="P125" i="12"/>
  <c r="R125" i="12" s="1"/>
  <c r="S125" i="12" s="1"/>
  <c r="I125" i="12"/>
  <c r="M124" i="12"/>
  <c r="N124" i="12" s="1"/>
  <c r="Q124" i="12"/>
  <c r="P124" i="12"/>
  <c r="I124" i="12"/>
  <c r="P123" i="12"/>
  <c r="Q123" i="12"/>
  <c r="I123" i="12"/>
  <c r="Q122" i="12"/>
  <c r="P122" i="12"/>
  <c r="I122" i="12"/>
  <c r="Q121" i="12"/>
  <c r="M121" i="12"/>
  <c r="N121" i="12" s="1"/>
  <c r="I121" i="12"/>
  <c r="N120" i="12"/>
  <c r="Q120" i="12"/>
  <c r="M120" i="12"/>
  <c r="I120" i="12"/>
  <c r="R119" i="12"/>
  <c r="M119" i="12"/>
  <c r="Q119" i="12"/>
  <c r="P119" i="12"/>
  <c r="I119" i="12"/>
  <c r="Q118" i="12"/>
  <c r="P118" i="12"/>
  <c r="I118" i="12"/>
  <c r="I105" i="12"/>
  <c r="P103" i="12"/>
  <c r="N99" i="12"/>
  <c r="Q99" i="12"/>
  <c r="M99" i="12"/>
  <c r="I99" i="12"/>
  <c r="R98" i="12"/>
  <c r="M98" i="12"/>
  <c r="Q98" i="12"/>
  <c r="P98" i="12"/>
  <c r="I98" i="12"/>
  <c r="Q97" i="12"/>
  <c r="P97" i="12"/>
  <c r="I97" i="12"/>
  <c r="Q96" i="12"/>
  <c r="M96" i="12"/>
  <c r="N96" i="12" s="1"/>
  <c r="I96" i="12"/>
  <c r="N95" i="12"/>
  <c r="Q95" i="12"/>
  <c r="M95" i="12"/>
  <c r="I95" i="12"/>
  <c r="M94" i="12"/>
  <c r="N94" i="12" s="1"/>
  <c r="Q94" i="12"/>
  <c r="P94" i="12"/>
  <c r="R94" i="12" s="1"/>
  <c r="S94" i="12" s="1"/>
  <c r="T94" i="12" s="1"/>
  <c r="I94" i="12"/>
  <c r="Q93" i="12"/>
  <c r="P93" i="12"/>
  <c r="R93" i="12" s="1"/>
  <c r="S93" i="12" s="1"/>
  <c r="T93" i="12" s="1"/>
  <c r="I93" i="12"/>
  <c r="P92" i="12"/>
  <c r="Q92" i="12"/>
  <c r="M92" i="12"/>
  <c r="N92" i="12" s="1"/>
  <c r="I92" i="12"/>
  <c r="Q91" i="12"/>
  <c r="M91" i="12"/>
  <c r="N91" i="12" s="1"/>
  <c r="I91" i="12"/>
  <c r="M90" i="12"/>
  <c r="Q90" i="12"/>
  <c r="R90" i="12" s="1"/>
  <c r="S90" i="12" s="1"/>
  <c r="T90" i="12" s="1"/>
  <c r="P90" i="12"/>
  <c r="I90" i="12"/>
  <c r="Q89" i="12"/>
  <c r="P89" i="12"/>
  <c r="I89" i="12"/>
  <c r="P88" i="12"/>
  <c r="R88" i="12" s="1"/>
  <c r="S88" i="12" s="1"/>
  <c r="T88" i="12" s="1"/>
  <c r="Q88" i="12"/>
  <c r="M88" i="12"/>
  <c r="N88" i="12" s="1"/>
  <c r="I88" i="12"/>
  <c r="N87" i="12"/>
  <c r="M87" i="12"/>
  <c r="Q87" i="12"/>
  <c r="P87" i="12"/>
  <c r="I87" i="12"/>
  <c r="R86" i="12"/>
  <c r="M86" i="12"/>
  <c r="Q86" i="12"/>
  <c r="P86" i="12"/>
  <c r="I86" i="12"/>
  <c r="Q82" i="12"/>
  <c r="M82" i="12"/>
  <c r="N82" i="12" s="1"/>
  <c r="I82" i="12"/>
  <c r="N81" i="12"/>
  <c r="M81" i="12"/>
  <c r="Q81" i="12"/>
  <c r="P81" i="12"/>
  <c r="I81" i="12"/>
  <c r="M80" i="12"/>
  <c r="Q80" i="12"/>
  <c r="R80" i="12" s="1"/>
  <c r="S80" i="12" s="1"/>
  <c r="T80" i="12" s="1"/>
  <c r="P80" i="12"/>
  <c r="I80" i="12"/>
  <c r="Q79" i="12"/>
  <c r="P79" i="12"/>
  <c r="I79" i="12"/>
  <c r="P78" i="12"/>
  <c r="R78" i="12" s="1"/>
  <c r="S78" i="12" s="1"/>
  <c r="T78" i="12" s="1"/>
  <c r="Q78" i="12"/>
  <c r="M78" i="12"/>
  <c r="N78" i="12" s="1"/>
  <c r="I78" i="12"/>
  <c r="N77" i="12"/>
  <c r="M77" i="12"/>
  <c r="Q77" i="12"/>
  <c r="P77" i="12"/>
  <c r="I77" i="12"/>
  <c r="R76" i="12"/>
  <c r="M76" i="12"/>
  <c r="Q76" i="12"/>
  <c r="P76" i="12"/>
  <c r="I76" i="12"/>
  <c r="Q75" i="12"/>
  <c r="P75" i="12"/>
  <c r="I75" i="12"/>
  <c r="Q74" i="12"/>
  <c r="M74" i="12"/>
  <c r="N74" i="12" s="1"/>
  <c r="I74" i="12"/>
  <c r="N73" i="12"/>
  <c r="M73" i="12"/>
  <c r="Q73" i="12"/>
  <c r="P73" i="12"/>
  <c r="I73" i="12"/>
  <c r="M72" i="12"/>
  <c r="Q72" i="12"/>
  <c r="R72" i="12" s="1"/>
  <c r="S72" i="12" s="1"/>
  <c r="T72" i="12" s="1"/>
  <c r="P72" i="12"/>
  <c r="I72" i="12"/>
  <c r="Q71" i="12"/>
  <c r="P71" i="12"/>
  <c r="I71" i="12"/>
  <c r="P70" i="12"/>
  <c r="R70" i="12" s="1"/>
  <c r="S70" i="12" s="1"/>
  <c r="T70" i="12" s="1"/>
  <c r="Q70" i="12"/>
  <c r="M70" i="12"/>
  <c r="N70" i="12" s="1"/>
  <c r="I70" i="12"/>
  <c r="N69" i="12"/>
  <c r="M69" i="12"/>
  <c r="Q69" i="12"/>
  <c r="P69" i="12"/>
  <c r="I69" i="12"/>
  <c r="R68" i="12"/>
  <c r="M68" i="12"/>
  <c r="Q68" i="12"/>
  <c r="P68" i="12"/>
  <c r="I68" i="12"/>
  <c r="Q67" i="12"/>
  <c r="P67" i="12"/>
  <c r="I67" i="12"/>
  <c r="Q66" i="12"/>
  <c r="M66" i="12"/>
  <c r="N66" i="12" s="1"/>
  <c r="I66" i="12"/>
  <c r="I53" i="12"/>
  <c r="Q47" i="12"/>
  <c r="P47" i="12"/>
  <c r="I47" i="12"/>
  <c r="P46" i="12"/>
  <c r="R46" i="12" s="1"/>
  <c r="S46" i="12" s="1"/>
  <c r="T46" i="12" s="1"/>
  <c r="Q46" i="12"/>
  <c r="M46" i="12"/>
  <c r="N46" i="12" s="1"/>
  <c r="I46" i="12"/>
  <c r="Q45" i="12"/>
  <c r="M45" i="12"/>
  <c r="N45" i="12" s="1"/>
  <c r="I45" i="12"/>
  <c r="M44" i="12"/>
  <c r="N44" i="12" s="1"/>
  <c r="Q44" i="12"/>
  <c r="P44" i="12"/>
  <c r="R44" i="12" s="1"/>
  <c r="S44" i="12" s="1"/>
  <c r="T44" i="12" s="1"/>
  <c r="I44" i="12"/>
  <c r="Q43" i="12"/>
  <c r="P43" i="12"/>
  <c r="I43" i="12"/>
  <c r="Q42" i="12"/>
  <c r="M42" i="12"/>
  <c r="N42" i="12" s="1"/>
  <c r="I42" i="12"/>
  <c r="N41" i="12"/>
  <c r="Q41" i="12"/>
  <c r="M41" i="12"/>
  <c r="I41" i="12"/>
  <c r="R40" i="12"/>
  <c r="M40" i="12"/>
  <c r="Q40" i="12"/>
  <c r="P40" i="12"/>
  <c r="I40" i="12"/>
  <c r="Q39" i="12"/>
  <c r="P39" i="12"/>
  <c r="I39" i="12"/>
  <c r="Q38" i="12"/>
  <c r="M38" i="12"/>
  <c r="N38" i="12" s="1"/>
  <c r="I38" i="12"/>
  <c r="N37" i="12"/>
  <c r="Q37" i="12"/>
  <c r="M37" i="12"/>
  <c r="I37" i="12"/>
  <c r="M36" i="12"/>
  <c r="N36" i="12" s="1"/>
  <c r="Q36" i="12"/>
  <c r="P36" i="12"/>
  <c r="R36" i="12" s="1"/>
  <c r="S36" i="12" s="1"/>
  <c r="T36" i="12" s="1"/>
  <c r="I36" i="12"/>
  <c r="Q35" i="12"/>
  <c r="P35" i="12"/>
  <c r="R35" i="12" s="1"/>
  <c r="S35" i="12" s="1"/>
  <c r="T35" i="12" s="1"/>
  <c r="I35" i="12"/>
  <c r="P34" i="12"/>
  <c r="Q34" i="12"/>
  <c r="M34" i="12"/>
  <c r="N34" i="12" s="1"/>
  <c r="I34" i="12"/>
  <c r="M29" i="12"/>
  <c r="N29" i="12" s="1"/>
  <c r="Q29" i="12"/>
  <c r="P29" i="12"/>
  <c r="R29" i="12" s="1"/>
  <c r="S29" i="12" s="1"/>
  <c r="T29" i="12" s="1"/>
  <c r="I29" i="12"/>
  <c r="Q28" i="12"/>
  <c r="P28" i="12"/>
  <c r="R28" i="12" s="1"/>
  <c r="S28" i="12" s="1"/>
  <c r="T28" i="12" s="1"/>
  <c r="I28" i="12"/>
  <c r="Q27" i="12"/>
  <c r="M27" i="12"/>
  <c r="N27" i="12" s="1"/>
  <c r="I27" i="12"/>
  <c r="N26" i="12"/>
  <c r="M26" i="12"/>
  <c r="Q26" i="12"/>
  <c r="P26" i="12"/>
  <c r="R26" i="12" s="1"/>
  <c r="S26" i="12" s="1"/>
  <c r="T26" i="12" s="1"/>
  <c r="I26" i="12"/>
  <c r="M25" i="12"/>
  <c r="N25" i="12" s="1"/>
  <c r="Q25" i="12"/>
  <c r="P25" i="12"/>
  <c r="R25" i="12" s="1"/>
  <c r="S25" i="12" s="1"/>
  <c r="T25" i="12" s="1"/>
  <c r="I25" i="12"/>
  <c r="Q24" i="12"/>
  <c r="P24" i="12"/>
  <c r="I24" i="12"/>
  <c r="Q23" i="12"/>
  <c r="M23" i="12"/>
  <c r="N23" i="12" s="1"/>
  <c r="I23" i="12"/>
  <c r="N22" i="12"/>
  <c r="Q22" i="12"/>
  <c r="M22" i="12"/>
  <c r="I22" i="12"/>
  <c r="M21" i="12"/>
  <c r="N21" i="12" s="1"/>
  <c r="Q21" i="12"/>
  <c r="P21" i="12"/>
  <c r="I21" i="12"/>
  <c r="Q20" i="12"/>
  <c r="P20" i="12"/>
  <c r="R20" i="12" s="1"/>
  <c r="S20" i="12" s="1"/>
  <c r="T20" i="12" s="1"/>
  <c r="I20" i="12"/>
  <c r="Q19" i="12"/>
  <c r="M19" i="12"/>
  <c r="N19" i="12" s="1"/>
  <c r="I19" i="12"/>
  <c r="M18" i="12"/>
  <c r="N18" i="12" s="1"/>
  <c r="Q18" i="12"/>
  <c r="P18" i="12"/>
  <c r="R18" i="12" s="1"/>
  <c r="S18" i="12" s="1"/>
  <c r="T18" i="12" s="1"/>
  <c r="I18" i="12"/>
  <c r="M17" i="12"/>
  <c r="N17" i="12" s="1"/>
  <c r="P17" i="12"/>
  <c r="I17" i="12"/>
  <c r="Q16" i="12"/>
  <c r="P16" i="12"/>
  <c r="R16" i="12" s="1"/>
  <c r="S16" i="12" s="1"/>
  <c r="T16" i="12" s="1"/>
  <c r="I16" i="12"/>
  <c r="Q15" i="12"/>
  <c r="M15" i="12"/>
  <c r="N15" i="12" s="1"/>
  <c r="I15" i="12"/>
  <c r="M14" i="12"/>
  <c r="N14" i="12" s="1"/>
  <c r="Q14" i="12"/>
  <c r="P14" i="12"/>
  <c r="R14" i="12" s="1"/>
  <c r="S14" i="12" s="1"/>
  <c r="T14" i="12" s="1"/>
  <c r="I14" i="12"/>
  <c r="M13" i="12"/>
  <c r="N13" i="12" s="1"/>
  <c r="P13" i="12"/>
  <c r="I13" i="12"/>
  <c r="B5" i="11"/>
  <c r="Q20" i="11"/>
  <c r="L20" i="11"/>
  <c r="S18" i="11"/>
  <c r="Q18" i="11"/>
  <c r="L18" i="11"/>
  <c r="D11" i="5"/>
  <c r="D10" i="5"/>
  <c r="D6" i="5"/>
  <c r="D7" i="5"/>
  <c r="D8" i="5"/>
  <c r="D9" i="5"/>
  <c r="D5" i="5"/>
  <c r="C13" i="5"/>
  <c r="D2" i="5"/>
  <c r="L67" i="15" l="1"/>
  <c r="M67" i="15" s="1"/>
  <c r="Y67" i="15" s="1"/>
  <c r="L75" i="15"/>
  <c r="M72" i="15"/>
  <c r="Y72" i="15" s="1"/>
  <c r="L74" i="15"/>
  <c r="M74" i="15" s="1"/>
  <c r="Y74" i="15" s="1"/>
  <c r="Z22" i="15"/>
  <c r="M75" i="15"/>
  <c r="Y75" i="15" s="1"/>
  <c r="U67" i="15"/>
  <c r="V67" i="15" s="1"/>
  <c r="L22" i="15"/>
  <c r="M22" i="15" s="1"/>
  <c r="U68" i="15"/>
  <c r="V68" i="15" s="1"/>
  <c r="U70" i="15"/>
  <c r="V70" i="15" s="1"/>
  <c r="L12" i="15"/>
  <c r="M12" i="15" s="1"/>
  <c r="Y12" i="15" s="1"/>
  <c r="U20" i="15"/>
  <c r="V20" i="15" s="1"/>
  <c r="U16" i="15"/>
  <c r="V16" i="15"/>
  <c r="V13" i="15"/>
  <c r="L66" i="15"/>
  <c r="M66" i="15" s="1"/>
  <c r="Y66" i="15" s="1"/>
  <c r="V17" i="15"/>
  <c r="U66" i="15"/>
  <c r="V66" i="15" s="1"/>
  <c r="V21" i="15"/>
  <c r="L14" i="15"/>
  <c r="M14" i="15" s="1"/>
  <c r="Y14" i="15" s="1"/>
  <c r="L13" i="15"/>
  <c r="M13" i="15" s="1"/>
  <c r="Y13" i="15" s="1"/>
  <c r="L21" i="15"/>
  <c r="M21" i="15" s="1"/>
  <c r="Y21" i="15" s="1"/>
  <c r="U18" i="15"/>
  <c r="V18" i="15"/>
  <c r="U76" i="15"/>
  <c r="V76" i="15" s="1"/>
  <c r="L68" i="15"/>
  <c r="M68" i="15" s="1"/>
  <c r="Y68" i="15" s="1"/>
  <c r="V12" i="15"/>
  <c r="L17" i="15"/>
  <c r="M17" i="15" s="1"/>
  <c r="Y17" i="15" s="1"/>
  <c r="U75" i="15"/>
  <c r="V75" i="15" s="1"/>
  <c r="V74" i="15"/>
  <c r="U74" i="15"/>
  <c r="L20" i="15"/>
  <c r="M20" i="15" s="1"/>
  <c r="Y20" i="15" s="1"/>
  <c r="U72" i="15"/>
  <c r="V72" i="15" s="1"/>
  <c r="U71" i="15"/>
  <c r="V71" i="15" s="1"/>
  <c r="L76" i="15"/>
  <c r="M76" i="15" s="1"/>
  <c r="Y76" i="15" s="1"/>
  <c r="L18" i="15"/>
  <c r="M18" i="15" s="1"/>
  <c r="Y18" i="15" s="1"/>
  <c r="L16" i="15"/>
  <c r="M16" i="15" s="1"/>
  <c r="Y16" i="15" s="1"/>
  <c r="U14" i="15"/>
  <c r="V14" i="15"/>
  <c r="D12" i="14"/>
  <c r="D26" i="14"/>
  <c r="D32" i="14"/>
  <c r="L32" i="14" s="1"/>
  <c r="M32" i="14" s="1"/>
  <c r="Y32" i="14" s="1"/>
  <c r="D122" i="14"/>
  <c r="D117" i="14"/>
  <c r="D118" i="14"/>
  <c r="D123" i="14"/>
  <c r="D128" i="14"/>
  <c r="N74" i="14"/>
  <c r="N70" i="14"/>
  <c r="N80" i="14"/>
  <c r="D16" i="14"/>
  <c r="U18" i="14"/>
  <c r="D24" i="14"/>
  <c r="L24" i="14" s="1"/>
  <c r="M24" i="14" s="1"/>
  <c r="Y24" i="14" s="1"/>
  <c r="U20" i="14"/>
  <c r="V18" i="14"/>
  <c r="L12" i="14"/>
  <c r="M12" i="14" s="1"/>
  <c r="L18" i="14"/>
  <c r="M18" i="14" s="1"/>
  <c r="Y18" i="14" s="1"/>
  <c r="L70" i="14"/>
  <c r="M70" i="14" s="1"/>
  <c r="Y70" i="14" s="1"/>
  <c r="F82" i="14"/>
  <c r="L82" i="14" s="1"/>
  <c r="M82" i="14" s="1"/>
  <c r="Y82" i="14" s="1"/>
  <c r="F84" i="14"/>
  <c r="F76" i="14"/>
  <c r="I94" i="14"/>
  <c r="F86" i="14"/>
  <c r="F68" i="14"/>
  <c r="F64" i="14"/>
  <c r="F78" i="14"/>
  <c r="J82" i="14"/>
  <c r="J84" i="14"/>
  <c r="J76" i="14"/>
  <c r="J86" i="14"/>
  <c r="J80" i="14"/>
  <c r="J68" i="14"/>
  <c r="J64" i="14"/>
  <c r="J78" i="14"/>
  <c r="J74" i="14"/>
  <c r="I98" i="14"/>
  <c r="T116" i="14"/>
  <c r="T121" i="14"/>
  <c r="U16" i="14"/>
  <c r="V16" i="14" s="1"/>
  <c r="D20" i="14"/>
  <c r="D22" i="14"/>
  <c r="D14" i="14"/>
  <c r="D28" i="14"/>
  <c r="D30" i="14"/>
  <c r="P28" i="14"/>
  <c r="U28" i="14" s="1"/>
  <c r="P26" i="14"/>
  <c r="U26" i="14" s="1"/>
  <c r="P20" i="14"/>
  <c r="P22" i="14"/>
  <c r="P14" i="14"/>
  <c r="U14" i="14" s="1"/>
  <c r="T28" i="14"/>
  <c r="T20" i="14"/>
  <c r="T26" i="14"/>
  <c r="T22" i="14"/>
  <c r="T14" i="14"/>
  <c r="Q80" i="14"/>
  <c r="Q82" i="14"/>
  <c r="Q86" i="14"/>
  <c r="Q76" i="14"/>
  <c r="Q74" i="14"/>
  <c r="Q66" i="14"/>
  <c r="Q70" i="14"/>
  <c r="Q68" i="14"/>
  <c r="Q78" i="14"/>
  <c r="Q72" i="14"/>
  <c r="N126" i="14"/>
  <c r="N121" i="14"/>
  <c r="N116" i="14"/>
  <c r="N129" i="14"/>
  <c r="M142" i="14"/>
  <c r="O127" i="14" s="1"/>
  <c r="E127" i="14"/>
  <c r="E123" i="14"/>
  <c r="E118" i="14"/>
  <c r="N32" i="14"/>
  <c r="N82" i="14"/>
  <c r="N84" i="14"/>
  <c r="N76" i="14"/>
  <c r="N68" i="14"/>
  <c r="N64" i="14"/>
  <c r="I80" i="14"/>
  <c r="I82" i="14"/>
  <c r="I74" i="14"/>
  <c r="L74" i="14" s="1"/>
  <c r="M74" i="14" s="1"/>
  <c r="Y74" i="14" s="1"/>
  <c r="I66" i="14"/>
  <c r="L66" i="14" s="1"/>
  <c r="O119" i="14"/>
  <c r="O124" i="14"/>
  <c r="N128" i="14"/>
  <c r="N127" i="14"/>
  <c r="N123" i="14"/>
  <c r="N122" i="14"/>
  <c r="N118" i="14"/>
  <c r="N117" i="14"/>
  <c r="Q121" i="14"/>
  <c r="Q116" i="14"/>
  <c r="S126" i="14"/>
  <c r="S121" i="14"/>
  <c r="T124" i="14"/>
  <c r="T119" i="14"/>
  <c r="N12" i="14"/>
  <c r="Q14" i="14"/>
  <c r="Q22" i="14"/>
  <c r="U22" i="14" s="1"/>
  <c r="N24" i="14"/>
  <c r="N30" i="14"/>
  <c r="N66" i="14"/>
  <c r="L72" i="14"/>
  <c r="M72" i="14" s="1"/>
  <c r="Y72" i="14" s="1"/>
  <c r="I86" i="14"/>
  <c r="O84" i="14"/>
  <c r="O76" i="14"/>
  <c r="O86" i="14"/>
  <c r="O78" i="14"/>
  <c r="O70" i="14"/>
  <c r="I96" i="14"/>
  <c r="P116" i="14"/>
  <c r="O117" i="14"/>
  <c r="O118" i="14"/>
  <c r="T118" i="14"/>
  <c r="E119" i="14"/>
  <c r="P121" i="14"/>
  <c r="O122" i="14"/>
  <c r="T123" i="14"/>
  <c r="E124" i="14"/>
  <c r="O128" i="14"/>
  <c r="E129" i="14"/>
  <c r="D86" i="14"/>
  <c r="D78" i="14"/>
  <c r="D80" i="14"/>
  <c r="R82" i="14"/>
  <c r="R84" i="14"/>
  <c r="R76" i="14"/>
  <c r="S116" i="14"/>
  <c r="O121" i="14"/>
  <c r="O126" i="14"/>
  <c r="O129" i="14"/>
  <c r="F126" i="14"/>
  <c r="F121" i="14"/>
  <c r="F116" i="14"/>
  <c r="J116" i="14"/>
  <c r="R116" i="14"/>
  <c r="R117" i="14"/>
  <c r="R118" i="14"/>
  <c r="R119" i="14"/>
  <c r="J121" i="14"/>
  <c r="R121" i="14"/>
  <c r="R122" i="14"/>
  <c r="R123" i="14"/>
  <c r="R124" i="14"/>
  <c r="R126" i="14"/>
  <c r="R128" i="14"/>
  <c r="G116" i="14"/>
  <c r="K116" i="14"/>
  <c r="O116" i="14"/>
  <c r="K117" i="14"/>
  <c r="K118" i="14"/>
  <c r="K119" i="14"/>
  <c r="G121" i="14"/>
  <c r="K121" i="14"/>
  <c r="K122" i="14"/>
  <c r="K123" i="14"/>
  <c r="K124" i="14"/>
  <c r="G126" i="14"/>
  <c r="K126" i="14"/>
  <c r="K127" i="14"/>
  <c r="K128" i="14"/>
  <c r="K129" i="14"/>
  <c r="S93" i="10"/>
  <c r="S92" i="10"/>
  <c r="U92" i="10" s="1"/>
  <c r="V92" i="10" s="1"/>
  <c r="U93" i="10"/>
  <c r="V93" i="10" s="1"/>
  <c r="S94" i="10"/>
  <c r="U94" i="10" s="1"/>
  <c r="V94" i="10" s="1"/>
  <c r="U18" i="10"/>
  <c r="V18" i="10" s="1"/>
  <c r="S20" i="10"/>
  <c r="S24" i="10"/>
  <c r="U24" i="10" s="1"/>
  <c r="V24" i="10" s="1"/>
  <c r="S43" i="10"/>
  <c r="U41" i="10"/>
  <c r="V41" i="10" s="1"/>
  <c r="U42" i="10"/>
  <c r="V42" i="10" s="1"/>
  <c r="S104" i="10"/>
  <c r="S33" i="10"/>
  <c r="S75" i="10"/>
  <c r="U73" i="10"/>
  <c r="V73" i="10" s="1"/>
  <c r="L130" i="10"/>
  <c r="H130" i="10"/>
  <c r="S79" i="10"/>
  <c r="U79" i="10" s="1"/>
  <c r="V79" i="10" s="1"/>
  <c r="S109" i="10"/>
  <c r="U109" i="10" s="1"/>
  <c r="V109" i="10" s="1"/>
  <c r="O20" i="10"/>
  <c r="U31" i="10"/>
  <c r="V31" i="10" s="1"/>
  <c r="O38" i="10"/>
  <c r="U99" i="10"/>
  <c r="V99" i="10" s="1"/>
  <c r="S38" i="10"/>
  <c r="U38" i="10" s="1"/>
  <c r="V38" i="10" s="1"/>
  <c r="S85" i="10"/>
  <c r="O89" i="10"/>
  <c r="H104" i="10"/>
  <c r="U135" i="10"/>
  <c r="V135" i="10" s="1"/>
  <c r="H27" i="10"/>
  <c r="L23" i="10"/>
  <c r="L27" i="10" s="1"/>
  <c r="L50" i="10" s="1"/>
  <c r="S23" i="10"/>
  <c r="H33" i="10"/>
  <c r="L47" i="10"/>
  <c r="U47" i="10" s="1"/>
  <c r="V47" i="10" s="1"/>
  <c r="O47" i="10"/>
  <c r="L95" i="10"/>
  <c r="L24" i="10"/>
  <c r="L30" i="10"/>
  <c r="L33" i="10" s="1"/>
  <c r="L42" i="10"/>
  <c r="L43" i="10" s="1"/>
  <c r="L74" i="10"/>
  <c r="L75" i="10" s="1"/>
  <c r="S78" i="10"/>
  <c r="O82" i="10"/>
  <c r="S80" i="10"/>
  <c r="U80" i="10" s="1"/>
  <c r="V80" i="10" s="1"/>
  <c r="S86" i="10"/>
  <c r="U86" i="10" s="1"/>
  <c r="V86" i="10" s="1"/>
  <c r="L98" i="10"/>
  <c r="L104" i="10" s="1"/>
  <c r="S130" i="10"/>
  <c r="U130" i="10" s="1"/>
  <c r="V130" i="10" s="1"/>
  <c r="U128" i="10"/>
  <c r="V128" i="10" s="1"/>
  <c r="U129" i="10"/>
  <c r="V129" i="10" s="1"/>
  <c r="U133" i="10"/>
  <c r="V133" i="10" s="1"/>
  <c r="S30" i="9"/>
  <c r="U30" i="9" s="1"/>
  <c r="V30" i="9" s="1"/>
  <c r="S99" i="9"/>
  <c r="U99" i="9" s="1"/>
  <c r="V99" i="9" s="1"/>
  <c r="S103" i="9"/>
  <c r="U103" i="9" s="1"/>
  <c r="V103" i="9" s="1"/>
  <c r="S31" i="9"/>
  <c r="U31" i="9" s="1"/>
  <c r="V31" i="9" s="1"/>
  <c r="S32" i="9"/>
  <c r="U32" i="9" s="1"/>
  <c r="V32" i="9" s="1"/>
  <c r="S101" i="9"/>
  <c r="U101" i="9" s="1"/>
  <c r="V101" i="9" s="1"/>
  <c r="S98" i="9"/>
  <c r="U98" i="9" s="1"/>
  <c r="V98" i="9" s="1"/>
  <c r="S102" i="9"/>
  <c r="U102" i="9" s="1"/>
  <c r="V102" i="9" s="1"/>
  <c r="U139" i="9"/>
  <c r="V139" i="9" s="1"/>
  <c r="S141" i="9"/>
  <c r="U41" i="9"/>
  <c r="V41" i="9" s="1"/>
  <c r="S43" i="9"/>
  <c r="U43" i="9" s="1"/>
  <c r="V43" i="9" s="1"/>
  <c r="S78" i="9"/>
  <c r="S79" i="9"/>
  <c r="U79" i="9" s="1"/>
  <c r="V79" i="9" s="1"/>
  <c r="S80" i="9"/>
  <c r="U80" i="9" s="1"/>
  <c r="V80" i="9" s="1"/>
  <c r="U108" i="9"/>
  <c r="V108" i="9" s="1"/>
  <c r="S24" i="9"/>
  <c r="U24" i="9" s="1"/>
  <c r="V24" i="9" s="1"/>
  <c r="U51" i="9"/>
  <c r="V51" i="9" s="1"/>
  <c r="S95" i="9"/>
  <c r="L20" i="9"/>
  <c r="H20" i="9"/>
  <c r="S25" i="9"/>
  <c r="U25" i="9" s="1"/>
  <c r="V25" i="9" s="1"/>
  <c r="S89" i="9"/>
  <c r="U89" i="9" s="1"/>
  <c r="V89" i="9" s="1"/>
  <c r="U85" i="9"/>
  <c r="V85" i="9" s="1"/>
  <c r="S18" i="9"/>
  <c r="S19" i="9"/>
  <c r="U19" i="9" s="1"/>
  <c r="V19" i="9" s="1"/>
  <c r="U23" i="9"/>
  <c r="V23" i="9" s="1"/>
  <c r="S26" i="9"/>
  <c r="U26" i="9" s="1"/>
  <c r="V26" i="9" s="1"/>
  <c r="U46" i="9"/>
  <c r="V46" i="9" s="1"/>
  <c r="U50" i="9"/>
  <c r="V50" i="9" s="1"/>
  <c r="S52" i="9"/>
  <c r="U128" i="9"/>
  <c r="V128" i="9" s="1"/>
  <c r="S130" i="9"/>
  <c r="U130" i="9" s="1"/>
  <c r="V130" i="9" s="1"/>
  <c r="H135" i="9"/>
  <c r="S36" i="9"/>
  <c r="S45" i="9"/>
  <c r="L51" i="9"/>
  <c r="L52" i="9" s="1"/>
  <c r="S73" i="9"/>
  <c r="S107" i="9"/>
  <c r="S133" i="9"/>
  <c r="L140" i="9"/>
  <c r="U140" i="9" s="1"/>
  <c r="V140" i="9" s="1"/>
  <c r="H38" i="9"/>
  <c r="H75" i="9"/>
  <c r="L45" i="9"/>
  <c r="L47" i="9" s="1"/>
  <c r="O82" i="9"/>
  <c r="L92" i="9"/>
  <c r="L95" i="9" s="1"/>
  <c r="L107" i="9"/>
  <c r="L109" i="9" s="1"/>
  <c r="T45" i="8"/>
  <c r="V45" i="8" s="1"/>
  <c r="W45" i="8" s="1"/>
  <c r="T44" i="8"/>
  <c r="V44" i="8" s="1"/>
  <c r="W44" i="8" s="1"/>
  <c r="T244" i="8"/>
  <c r="V244" i="8" s="1"/>
  <c r="W244" i="8" s="1"/>
  <c r="V240" i="8"/>
  <c r="W240" i="8" s="1"/>
  <c r="T253" i="8"/>
  <c r="V253" i="8" s="1"/>
  <c r="W253" i="8" s="1"/>
  <c r="V238" i="8"/>
  <c r="W238" i="8" s="1"/>
  <c r="T261" i="8"/>
  <c r="V261" i="8" s="1"/>
  <c r="W261" i="8" s="1"/>
  <c r="P92" i="8"/>
  <c r="T92" i="8" s="1"/>
  <c r="R132" i="8"/>
  <c r="T132" i="8" s="1"/>
  <c r="T49" i="8"/>
  <c r="V49" i="8" s="1"/>
  <c r="W49" i="8" s="1"/>
  <c r="V50" i="8"/>
  <c r="W50" i="8" s="1"/>
  <c r="V237" i="8"/>
  <c r="W237" i="8" s="1"/>
  <c r="T249" i="8"/>
  <c r="V249" i="8" s="1"/>
  <c r="W249" i="8" s="1"/>
  <c r="T257" i="8"/>
  <c r="V257" i="8" s="1"/>
  <c r="W257" i="8" s="1"/>
  <c r="V18" i="8"/>
  <c r="W18" i="8" s="1"/>
  <c r="R134" i="8"/>
  <c r="T29" i="8"/>
  <c r="T88" i="8"/>
  <c r="V82" i="8"/>
  <c r="W82" i="8" s="1"/>
  <c r="M129" i="8"/>
  <c r="V87" i="8"/>
  <c r="W87" i="8" s="1"/>
  <c r="P135" i="8"/>
  <c r="T24" i="8"/>
  <c r="V27" i="8"/>
  <c r="W27" i="8" s="1"/>
  <c r="I93" i="8"/>
  <c r="M93" i="8" s="1"/>
  <c r="I95" i="8"/>
  <c r="M95" i="8" s="1"/>
  <c r="M33" i="8"/>
  <c r="M40" i="8" s="1"/>
  <c r="T34" i="8"/>
  <c r="V34" i="8" s="1"/>
  <c r="W34" i="8" s="1"/>
  <c r="P52" i="8"/>
  <c r="M47" i="8"/>
  <c r="V47" i="8" s="1"/>
  <c r="W47" i="8" s="1"/>
  <c r="T48" i="8"/>
  <c r="V48" i="8" s="1"/>
  <c r="W48" i="8" s="1"/>
  <c r="I52" i="8"/>
  <c r="V76" i="8"/>
  <c r="W76" i="8" s="1"/>
  <c r="M83" i="8"/>
  <c r="M87" i="8"/>
  <c r="T104" i="8"/>
  <c r="V104" i="8" s="1"/>
  <c r="W104" i="8" s="1"/>
  <c r="M135" i="8"/>
  <c r="R133" i="8"/>
  <c r="T133" i="8" s="1"/>
  <c r="T134" i="8"/>
  <c r="M141" i="8"/>
  <c r="T145" i="8"/>
  <c r="V145" i="8" s="1"/>
  <c r="W145" i="8" s="1"/>
  <c r="V185" i="8"/>
  <c r="W185" i="8" s="1"/>
  <c r="R206" i="8"/>
  <c r="R207" i="8" s="1"/>
  <c r="T205" i="8"/>
  <c r="V126" i="8"/>
  <c r="W126" i="8" s="1"/>
  <c r="V150" i="8"/>
  <c r="W150" i="8" s="1"/>
  <c r="P24" i="8"/>
  <c r="M23" i="8"/>
  <c r="M24" i="8" s="1"/>
  <c r="P78" i="8"/>
  <c r="M84" i="8"/>
  <c r="V84" i="8"/>
  <c r="W84" i="8" s="1"/>
  <c r="I88" i="8"/>
  <c r="V129" i="8"/>
  <c r="W129" i="8" s="1"/>
  <c r="V153" i="8"/>
  <c r="W153" i="8" s="1"/>
  <c r="M181" i="8"/>
  <c r="M187" i="8" s="1"/>
  <c r="I187" i="8"/>
  <c r="V184" i="8"/>
  <c r="W184" i="8" s="1"/>
  <c r="V186" i="8"/>
  <c r="W186" i="8" s="1"/>
  <c r="T196" i="8"/>
  <c r="V196" i="8" s="1"/>
  <c r="W196" i="8" s="1"/>
  <c r="I40" i="8"/>
  <c r="M52" i="8"/>
  <c r="V43" i="8"/>
  <c r="W43" i="8" s="1"/>
  <c r="V51" i="8"/>
  <c r="W51" i="8" s="1"/>
  <c r="V85" i="8"/>
  <c r="W85" i="8" s="1"/>
  <c r="I146" i="8"/>
  <c r="I157" i="8"/>
  <c r="T201" i="8"/>
  <c r="V201" i="8" s="1"/>
  <c r="W201" i="8" s="1"/>
  <c r="T192" i="8"/>
  <c r="T199" i="8"/>
  <c r="V199" i="8" s="1"/>
  <c r="W199" i="8" s="1"/>
  <c r="I24" i="8"/>
  <c r="V28" i="8"/>
  <c r="W28" i="8" s="1"/>
  <c r="T31" i="8"/>
  <c r="P40" i="8"/>
  <c r="M78" i="8"/>
  <c r="V78" i="8" s="1"/>
  <c r="W78" i="8" s="1"/>
  <c r="M86" i="8"/>
  <c r="V86" i="8" s="1"/>
  <c r="W86" i="8" s="1"/>
  <c r="I100" i="8"/>
  <c r="P99" i="8"/>
  <c r="T99" i="8" s="1"/>
  <c r="I135" i="8"/>
  <c r="T141" i="8"/>
  <c r="V141" i="8" s="1"/>
  <c r="W141" i="8" s="1"/>
  <c r="T197" i="8"/>
  <c r="V197" i="8" s="1"/>
  <c r="W197" i="8" s="1"/>
  <c r="T200" i="8"/>
  <c r="V200" i="8" s="1"/>
  <c r="W200" i="8" s="1"/>
  <c r="T193" i="8"/>
  <c r="T195" i="8"/>
  <c r="P187" i="8"/>
  <c r="T191" i="8"/>
  <c r="I356" i="8"/>
  <c r="M356" i="8" s="1"/>
  <c r="M205" i="8"/>
  <c r="M217" i="8" s="1"/>
  <c r="I217" i="8"/>
  <c r="M300" i="8"/>
  <c r="V300" i="8"/>
  <c r="W300" i="8" s="1"/>
  <c r="P317" i="8"/>
  <c r="I202" i="8"/>
  <c r="V236" i="8"/>
  <c r="W236" i="8" s="1"/>
  <c r="V243" i="8"/>
  <c r="W243" i="8" s="1"/>
  <c r="V248" i="8"/>
  <c r="W248" i="8" s="1"/>
  <c r="V252" i="8"/>
  <c r="W252" i="8" s="1"/>
  <c r="V256" i="8"/>
  <c r="W256" i="8" s="1"/>
  <c r="V260" i="8"/>
  <c r="W260" i="8" s="1"/>
  <c r="I264" i="8"/>
  <c r="T317" i="8"/>
  <c r="V317" i="8" s="1"/>
  <c r="W317" i="8" s="1"/>
  <c r="T350" i="8"/>
  <c r="T144" i="8"/>
  <c r="T181" i="8"/>
  <c r="M191" i="8"/>
  <c r="P217" i="8"/>
  <c r="T206" i="8"/>
  <c r="V206" i="8" s="1"/>
  <c r="W206" i="8" s="1"/>
  <c r="V290" i="8"/>
  <c r="W290" i="8" s="1"/>
  <c r="V294" i="8"/>
  <c r="W294" i="8" s="1"/>
  <c r="P296" i="8"/>
  <c r="I304" i="8"/>
  <c r="M346" i="8"/>
  <c r="V346" i="8" s="1"/>
  <c r="W346" i="8" s="1"/>
  <c r="I354" i="8"/>
  <c r="M354" i="8" s="1"/>
  <c r="T194" i="8"/>
  <c r="T190" i="8"/>
  <c r="M193" i="8"/>
  <c r="T198" i="8"/>
  <c r="V198" i="8" s="1"/>
  <c r="W198" i="8" s="1"/>
  <c r="P202" i="8"/>
  <c r="V241" i="8"/>
  <c r="W241" i="8" s="1"/>
  <c r="T242" i="8"/>
  <c r="V242" i="8" s="1"/>
  <c r="W242" i="8" s="1"/>
  <c r="M246" i="8"/>
  <c r="V246" i="8" s="1"/>
  <c r="W246" i="8" s="1"/>
  <c r="T247" i="8"/>
  <c r="V247" i="8" s="1"/>
  <c r="W247" i="8" s="1"/>
  <c r="M250" i="8"/>
  <c r="V250" i="8" s="1"/>
  <c r="W250" i="8" s="1"/>
  <c r="T251" i="8"/>
  <c r="V251" i="8" s="1"/>
  <c r="W251" i="8" s="1"/>
  <c r="M254" i="8"/>
  <c r="V254" i="8"/>
  <c r="W254" i="8" s="1"/>
  <c r="T255" i="8"/>
  <c r="V255" i="8" s="1"/>
  <c r="W255" i="8" s="1"/>
  <c r="M258" i="8"/>
  <c r="V258" i="8" s="1"/>
  <c r="W258" i="8" s="1"/>
  <c r="T259" i="8"/>
  <c r="V259" i="8" s="1"/>
  <c r="W259" i="8" s="1"/>
  <c r="M262" i="8"/>
  <c r="I355" i="8" s="1"/>
  <c r="M355" i="8" s="1"/>
  <c r="T263" i="8"/>
  <c r="V263" i="8" s="1"/>
  <c r="W263" i="8" s="1"/>
  <c r="T296" i="8"/>
  <c r="V296" i="8" s="1"/>
  <c r="W296" i="8" s="1"/>
  <c r="T304" i="8"/>
  <c r="V298" i="8"/>
  <c r="W298" i="8" s="1"/>
  <c r="V348" i="8"/>
  <c r="W348" i="8" s="1"/>
  <c r="V349" i="8"/>
  <c r="W349" i="8" s="1"/>
  <c r="P264" i="8"/>
  <c r="M298" i="8"/>
  <c r="M302" i="8"/>
  <c r="V302" i="8" s="1"/>
  <c r="W302" i="8" s="1"/>
  <c r="M317" i="8"/>
  <c r="M344" i="8"/>
  <c r="M348" i="8"/>
  <c r="M299" i="8"/>
  <c r="V299" i="8" s="1"/>
  <c r="W299" i="8" s="1"/>
  <c r="M303" i="8"/>
  <c r="V303" i="8" s="1"/>
  <c r="W303" i="8" s="1"/>
  <c r="M345" i="8"/>
  <c r="V345" i="8" s="1"/>
  <c r="W345" i="8" s="1"/>
  <c r="M349" i="8"/>
  <c r="S29" i="7"/>
  <c r="U29" i="7" s="1"/>
  <c r="V29" i="7" s="1"/>
  <c r="S27" i="7"/>
  <c r="U27" i="7" s="1"/>
  <c r="V27" i="7" s="1"/>
  <c r="U26" i="7"/>
  <c r="V26" i="7" s="1"/>
  <c r="S74" i="7"/>
  <c r="U73" i="7"/>
  <c r="V73" i="7" s="1"/>
  <c r="S77" i="7"/>
  <c r="U34" i="7"/>
  <c r="V34" i="7" s="1"/>
  <c r="L82" i="7"/>
  <c r="H74" i="7"/>
  <c r="S22" i="7"/>
  <c r="S25" i="7"/>
  <c r="S36" i="7"/>
  <c r="U36" i="7" s="1"/>
  <c r="V36" i="7" s="1"/>
  <c r="L38" i="7"/>
  <c r="L39" i="7" s="1"/>
  <c r="L41" i="7" s="1"/>
  <c r="H31" i="7"/>
  <c r="O38" i="7"/>
  <c r="S38" i="7" s="1"/>
  <c r="L31" i="6"/>
  <c r="U19" i="6"/>
  <c r="V19" i="6" s="1"/>
  <c r="U29" i="6"/>
  <c r="V29" i="6" s="1"/>
  <c r="U30" i="6"/>
  <c r="V30" i="6" s="1"/>
  <c r="U34" i="6"/>
  <c r="L21" i="6"/>
  <c r="U20" i="6"/>
  <c r="V20" i="6" s="1"/>
  <c r="S28" i="6"/>
  <c r="U28" i="6" s="1"/>
  <c r="V28" i="6" s="1"/>
  <c r="U33" i="6"/>
  <c r="S21" i="6"/>
  <c r="S27" i="6"/>
  <c r="L36" i="6"/>
  <c r="L37" i="6" s="1"/>
  <c r="O36" i="6"/>
  <c r="S36" i="6" s="1"/>
  <c r="R21" i="12"/>
  <c r="S21" i="12" s="1"/>
  <c r="T21" i="12" s="1"/>
  <c r="S68" i="12"/>
  <c r="T68" i="12" s="1"/>
  <c r="S76" i="12"/>
  <c r="T76" i="12" s="1"/>
  <c r="M148" i="12"/>
  <c r="N148" i="12" s="1"/>
  <c r="P148" i="12"/>
  <c r="R148" i="12" s="1"/>
  <c r="S148" i="12" s="1"/>
  <c r="T148" i="12" s="1"/>
  <c r="Q13" i="12"/>
  <c r="R13" i="12" s="1"/>
  <c r="S13" i="12" s="1"/>
  <c r="Q17" i="12"/>
  <c r="R17" i="12" s="1"/>
  <c r="S17" i="12" s="1"/>
  <c r="T17" i="12" s="1"/>
  <c r="P27" i="12"/>
  <c r="R27" i="12" s="1"/>
  <c r="S27" i="12" s="1"/>
  <c r="T27" i="12" s="1"/>
  <c r="R34" i="12"/>
  <c r="S34" i="12" s="1"/>
  <c r="R39" i="12"/>
  <c r="S39" i="12" s="1"/>
  <c r="T39" i="12" s="1"/>
  <c r="R67" i="12"/>
  <c r="S67" i="12" s="1"/>
  <c r="T67" i="12" s="1"/>
  <c r="N72" i="12"/>
  <c r="R73" i="12"/>
  <c r="S73" i="12" s="1"/>
  <c r="T73" i="12" s="1"/>
  <c r="R75" i="12"/>
  <c r="S75" i="12" s="1"/>
  <c r="T75" i="12" s="1"/>
  <c r="N80" i="12"/>
  <c r="R81" i="12"/>
  <c r="S81" i="12" s="1"/>
  <c r="T81" i="12" s="1"/>
  <c r="N90" i="12"/>
  <c r="R92" i="12"/>
  <c r="S92" i="12" s="1"/>
  <c r="T92" i="12" s="1"/>
  <c r="R97" i="12"/>
  <c r="S97" i="12" s="1"/>
  <c r="T97" i="12" s="1"/>
  <c r="R118" i="12"/>
  <c r="S118" i="12" s="1"/>
  <c r="R124" i="12"/>
  <c r="S124" i="12" s="1"/>
  <c r="T124" i="12" s="1"/>
  <c r="T125" i="12"/>
  <c r="S146" i="12"/>
  <c r="T146" i="12" s="1"/>
  <c r="S170" i="12"/>
  <c r="S40" i="12"/>
  <c r="T40" i="12" s="1"/>
  <c r="S86" i="12"/>
  <c r="M20" i="12"/>
  <c r="N20" i="12" s="1"/>
  <c r="R24" i="12"/>
  <c r="S24" i="12" s="1"/>
  <c r="T24" i="12" s="1"/>
  <c r="P38" i="12"/>
  <c r="R38" i="12" s="1"/>
  <c r="S38" i="12" s="1"/>
  <c r="T38" i="12" s="1"/>
  <c r="R43" i="12"/>
  <c r="S43" i="12" s="1"/>
  <c r="T43" i="12" s="1"/>
  <c r="P66" i="12"/>
  <c r="R66" i="12" s="1"/>
  <c r="S66" i="12" s="1"/>
  <c r="P74" i="12"/>
  <c r="R74" i="12" s="1"/>
  <c r="S74" i="12" s="1"/>
  <c r="T74" i="12" s="1"/>
  <c r="P82" i="12"/>
  <c r="R82" i="12" s="1"/>
  <c r="S82" i="12" s="1"/>
  <c r="T82" i="12" s="1"/>
  <c r="P96" i="12"/>
  <c r="R96" i="12" s="1"/>
  <c r="S96" i="12" s="1"/>
  <c r="T96" i="12" s="1"/>
  <c r="R122" i="12"/>
  <c r="S122" i="12" s="1"/>
  <c r="Q174" i="12"/>
  <c r="R174" i="12" s="1"/>
  <c r="S174" i="12" s="1"/>
  <c r="M174" i="12"/>
  <c r="N174" i="12" s="1"/>
  <c r="S187" i="12"/>
  <c r="I246" i="12"/>
  <c r="S98" i="12"/>
  <c r="T98" i="12" s="1"/>
  <c r="S119" i="12"/>
  <c r="M16" i="12"/>
  <c r="N16" i="12" s="1"/>
  <c r="N30" i="12" s="1"/>
  <c r="G246" i="12"/>
  <c r="P15" i="12"/>
  <c r="R15" i="12" s="1"/>
  <c r="S15" i="12" s="1"/>
  <c r="T15" i="12" s="1"/>
  <c r="P19" i="12"/>
  <c r="R19" i="12" s="1"/>
  <c r="S19" i="12" s="1"/>
  <c r="T19" i="12" s="1"/>
  <c r="P23" i="12"/>
  <c r="R23" i="12" s="1"/>
  <c r="S23" i="12" s="1"/>
  <c r="T23" i="12" s="1"/>
  <c r="N40" i="12"/>
  <c r="P42" i="12"/>
  <c r="R42" i="12" s="1"/>
  <c r="S42" i="12" s="1"/>
  <c r="T42" i="12" s="1"/>
  <c r="R47" i="12"/>
  <c r="S47" i="12" s="1"/>
  <c r="T47" i="12" s="1"/>
  <c r="N68" i="12"/>
  <c r="R69" i="12"/>
  <c r="S69" i="12" s="1"/>
  <c r="T69" i="12" s="1"/>
  <c r="R71" i="12"/>
  <c r="S71" i="12" s="1"/>
  <c r="T71" i="12" s="1"/>
  <c r="N76" i="12"/>
  <c r="R77" i="12"/>
  <c r="S77" i="12" s="1"/>
  <c r="T77" i="12" s="1"/>
  <c r="R79" i="12"/>
  <c r="S79" i="12" s="1"/>
  <c r="T79" i="12" s="1"/>
  <c r="N86" i="12"/>
  <c r="N100" i="12" s="1"/>
  <c r="R87" i="12"/>
  <c r="S87" i="12" s="1"/>
  <c r="T87" i="12" s="1"/>
  <c r="R89" i="12"/>
  <c r="S89" i="12" s="1"/>
  <c r="T89" i="12" s="1"/>
  <c r="N98" i="12"/>
  <c r="N119" i="12"/>
  <c r="P121" i="12"/>
  <c r="R121" i="12" s="1"/>
  <c r="S121" i="12" s="1"/>
  <c r="T121" i="12" s="1"/>
  <c r="P22" i="12"/>
  <c r="R22" i="12" s="1"/>
  <c r="S22" i="12" s="1"/>
  <c r="T22" i="12" s="1"/>
  <c r="M24" i="12"/>
  <c r="N24" i="12" s="1"/>
  <c r="M28" i="12"/>
  <c r="N28" i="12" s="1"/>
  <c r="M35" i="12"/>
  <c r="N35" i="12" s="1"/>
  <c r="P37" i="12"/>
  <c r="R37" i="12" s="1"/>
  <c r="S37" i="12" s="1"/>
  <c r="T37" i="12" s="1"/>
  <c r="M39" i="12"/>
  <c r="N39" i="12" s="1"/>
  <c r="P41" i="12"/>
  <c r="R41" i="12" s="1"/>
  <c r="S41" i="12" s="1"/>
  <c r="T41" i="12" s="1"/>
  <c r="M43" i="12"/>
  <c r="N43" i="12" s="1"/>
  <c r="P45" i="12"/>
  <c r="R45" i="12" s="1"/>
  <c r="S45" i="12" s="1"/>
  <c r="T45" i="12" s="1"/>
  <c r="M47" i="12"/>
  <c r="N47" i="12" s="1"/>
  <c r="M67" i="12"/>
  <c r="N67" i="12" s="1"/>
  <c r="N83" i="12" s="1"/>
  <c r="M71" i="12"/>
  <c r="N71" i="12" s="1"/>
  <c r="M75" i="12"/>
  <c r="N75" i="12" s="1"/>
  <c r="M79" i="12"/>
  <c r="N79" i="12" s="1"/>
  <c r="M89" i="12"/>
  <c r="N89" i="12" s="1"/>
  <c r="P91" i="12"/>
  <c r="R91" i="12" s="1"/>
  <c r="S91" i="12" s="1"/>
  <c r="T91" i="12" s="1"/>
  <c r="M93" i="12"/>
  <c r="N93" i="12" s="1"/>
  <c r="P95" i="12"/>
  <c r="R95" i="12" s="1"/>
  <c r="S95" i="12" s="1"/>
  <c r="T95" i="12" s="1"/>
  <c r="M97" i="12"/>
  <c r="N97" i="12" s="1"/>
  <c r="P99" i="12"/>
  <c r="R99" i="12" s="1"/>
  <c r="S99" i="12" s="1"/>
  <c r="T99" i="12" s="1"/>
  <c r="M118" i="12"/>
  <c r="N118" i="12" s="1"/>
  <c r="P120" i="12"/>
  <c r="R120" i="12" s="1"/>
  <c r="S120" i="12" s="1"/>
  <c r="T120" i="12" s="1"/>
  <c r="M122" i="12"/>
  <c r="N122" i="12" s="1"/>
  <c r="R123" i="12"/>
  <c r="S123" i="12" s="1"/>
  <c r="R127" i="12"/>
  <c r="S127" i="12" s="1"/>
  <c r="T127" i="12" s="1"/>
  <c r="R131" i="12"/>
  <c r="S131" i="12" s="1"/>
  <c r="T131" i="12" s="1"/>
  <c r="R140" i="12"/>
  <c r="S140" i="12" s="1"/>
  <c r="T140" i="12" s="1"/>
  <c r="R144" i="12"/>
  <c r="S144" i="12" s="1"/>
  <c r="T144" i="12" s="1"/>
  <c r="R145" i="12"/>
  <c r="S145" i="12" s="1"/>
  <c r="T145" i="12" s="1"/>
  <c r="S150" i="12"/>
  <c r="T150" i="12" s="1"/>
  <c r="M226" i="12"/>
  <c r="N226" i="12" s="1"/>
  <c r="P226" i="12"/>
  <c r="R226" i="12" s="1"/>
  <c r="S226" i="12" s="1"/>
  <c r="T226" i="12" s="1"/>
  <c r="M234" i="12"/>
  <c r="N234" i="12" s="1"/>
  <c r="P234" i="12"/>
  <c r="R234" i="12" s="1"/>
  <c r="S234" i="12" s="1"/>
  <c r="M291" i="12"/>
  <c r="N291" i="12" s="1"/>
  <c r="P291" i="12"/>
  <c r="R291" i="12" s="1"/>
  <c r="S291" i="12" s="1"/>
  <c r="T291" i="12" s="1"/>
  <c r="M123" i="12"/>
  <c r="N123" i="12" s="1"/>
  <c r="N125" i="12"/>
  <c r="N129" i="12"/>
  <c r="T129" i="12" s="1"/>
  <c r="N133" i="12"/>
  <c r="T133" i="12" s="1"/>
  <c r="Q137" i="12"/>
  <c r="R137" i="12" s="1"/>
  <c r="S137" i="12" s="1"/>
  <c r="N138" i="12"/>
  <c r="N154" i="12" s="1"/>
  <c r="N142" i="12"/>
  <c r="R149" i="12"/>
  <c r="S149" i="12" s="1"/>
  <c r="T149" i="12" s="1"/>
  <c r="R171" i="12"/>
  <c r="S171" i="12" s="1"/>
  <c r="T171" i="12" s="1"/>
  <c r="Q178" i="12"/>
  <c r="R178" i="12" s="1"/>
  <c r="S178" i="12" s="1"/>
  <c r="T178" i="12" s="1"/>
  <c r="M178" i="12"/>
  <c r="N178" i="12" s="1"/>
  <c r="R179" i="12"/>
  <c r="S179" i="12" s="1"/>
  <c r="T179" i="12" s="1"/>
  <c r="Q225" i="12"/>
  <c r="R225" i="12" s="1"/>
  <c r="S225" i="12" s="1"/>
  <c r="T225" i="12" s="1"/>
  <c r="M225" i="12"/>
  <c r="N225" i="12" s="1"/>
  <c r="Q233" i="12"/>
  <c r="R233" i="12" s="1"/>
  <c r="S233" i="12" s="1"/>
  <c r="M233" i="12"/>
  <c r="N233" i="12" s="1"/>
  <c r="N146" i="12"/>
  <c r="P152" i="12"/>
  <c r="R152" i="12" s="1"/>
  <c r="S152" i="12" s="1"/>
  <c r="T152" i="12" s="1"/>
  <c r="R153" i="12"/>
  <c r="S153" i="12" s="1"/>
  <c r="T153" i="12" s="1"/>
  <c r="N170" i="12"/>
  <c r="M185" i="12"/>
  <c r="N185" i="12" s="1"/>
  <c r="P185" i="12"/>
  <c r="R185" i="12" s="1"/>
  <c r="S185" i="12" s="1"/>
  <c r="P126" i="12"/>
  <c r="R126" i="12" s="1"/>
  <c r="S126" i="12" s="1"/>
  <c r="T126" i="12" s="1"/>
  <c r="M128" i="12"/>
  <c r="N128" i="12" s="1"/>
  <c r="T128" i="12" s="1"/>
  <c r="P130" i="12"/>
  <c r="R130" i="12" s="1"/>
  <c r="S130" i="12" s="1"/>
  <c r="T130" i="12" s="1"/>
  <c r="M132" i="12"/>
  <c r="N132" i="12" s="1"/>
  <c r="T132" i="12" s="1"/>
  <c r="P134" i="12"/>
  <c r="R134" i="12" s="1"/>
  <c r="S134" i="12" s="1"/>
  <c r="T134" i="12" s="1"/>
  <c r="P139" i="12"/>
  <c r="R139" i="12" s="1"/>
  <c r="S139" i="12" s="1"/>
  <c r="T139" i="12" s="1"/>
  <c r="M141" i="12"/>
  <c r="N141" i="12" s="1"/>
  <c r="P143" i="12"/>
  <c r="R143" i="12" s="1"/>
  <c r="S143" i="12" s="1"/>
  <c r="T143" i="12" s="1"/>
  <c r="M145" i="12"/>
  <c r="N145" i="12" s="1"/>
  <c r="P147" i="12"/>
  <c r="R147" i="12" s="1"/>
  <c r="S147" i="12" s="1"/>
  <c r="T147" i="12" s="1"/>
  <c r="M149" i="12"/>
  <c r="N149" i="12" s="1"/>
  <c r="P151" i="12"/>
  <c r="R151" i="12" s="1"/>
  <c r="S151" i="12" s="1"/>
  <c r="T151" i="12" s="1"/>
  <c r="P172" i="12"/>
  <c r="R172" i="12" s="1"/>
  <c r="S172" i="12" s="1"/>
  <c r="T172" i="12" s="1"/>
  <c r="P176" i="12"/>
  <c r="R176" i="12" s="1"/>
  <c r="S176" i="12" s="1"/>
  <c r="T176" i="12" s="1"/>
  <c r="R181" i="12"/>
  <c r="S181" i="12" s="1"/>
  <c r="T181" i="12" s="1"/>
  <c r="R186" i="12"/>
  <c r="S186" i="12" s="1"/>
  <c r="N188" i="12"/>
  <c r="T188" i="12" s="1"/>
  <c r="R236" i="12"/>
  <c r="S236" i="12" s="1"/>
  <c r="T236" i="12" s="1"/>
  <c r="M281" i="12"/>
  <c r="N281" i="12" s="1"/>
  <c r="P281" i="12"/>
  <c r="R281" i="12" s="1"/>
  <c r="S281" i="12" s="1"/>
  <c r="G328" i="12"/>
  <c r="N326" i="12"/>
  <c r="R173" i="12"/>
  <c r="S173" i="12" s="1"/>
  <c r="T173" i="12" s="1"/>
  <c r="R177" i="12"/>
  <c r="S177" i="12" s="1"/>
  <c r="Q229" i="12"/>
  <c r="R229" i="12" s="1"/>
  <c r="S229" i="12" s="1"/>
  <c r="T229" i="12" s="1"/>
  <c r="M229" i="12"/>
  <c r="N229" i="12" s="1"/>
  <c r="M173" i="12"/>
  <c r="N173" i="12" s="1"/>
  <c r="M177" i="12"/>
  <c r="N177" i="12" s="1"/>
  <c r="T278" i="12"/>
  <c r="R284" i="12"/>
  <c r="S284" i="12" s="1"/>
  <c r="T284" i="12" s="1"/>
  <c r="P180" i="12"/>
  <c r="R180" i="12" s="1"/>
  <c r="S180" i="12" s="1"/>
  <c r="T180" i="12" s="1"/>
  <c r="M182" i="12"/>
  <c r="N182" i="12" s="1"/>
  <c r="T182" i="12" s="1"/>
  <c r="P184" i="12"/>
  <c r="R184" i="12" s="1"/>
  <c r="S184" i="12" s="1"/>
  <c r="T184" i="12" s="1"/>
  <c r="M186" i="12"/>
  <c r="N186" i="12" s="1"/>
  <c r="M189" i="12"/>
  <c r="N189" i="12" s="1"/>
  <c r="T189" i="12" s="1"/>
  <c r="R223" i="12"/>
  <c r="S223" i="12" s="1"/>
  <c r="R227" i="12"/>
  <c r="S227" i="12" s="1"/>
  <c r="T227" i="12" s="1"/>
  <c r="R231" i="12"/>
  <c r="S231" i="12" s="1"/>
  <c r="R235" i="12"/>
  <c r="S235" i="12" s="1"/>
  <c r="P241" i="12"/>
  <c r="R241" i="12" s="1"/>
  <c r="S241" i="12" s="1"/>
  <c r="T241" i="12" s="1"/>
  <c r="N275" i="12"/>
  <c r="P277" i="12"/>
  <c r="R277" i="12" s="1"/>
  <c r="S277" i="12" s="1"/>
  <c r="T277" i="12" s="1"/>
  <c r="N279" i="12"/>
  <c r="S282" i="12"/>
  <c r="T282" i="12" s="1"/>
  <c r="P283" i="12"/>
  <c r="R283" i="12" s="1"/>
  <c r="S283" i="12" s="1"/>
  <c r="T283" i="12" s="1"/>
  <c r="M295" i="12"/>
  <c r="N295" i="12" s="1"/>
  <c r="P295" i="12"/>
  <c r="R295" i="12" s="1"/>
  <c r="S295" i="12" s="1"/>
  <c r="T300" i="12"/>
  <c r="R301" i="12"/>
  <c r="S301" i="12" s="1"/>
  <c r="T301" i="12" s="1"/>
  <c r="M223" i="12"/>
  <c r="N223" i="12" s="1"/>
  <c r="M227" i="12"/>
  <c r="N227" i="12" s="1"/>
  <c r="M231" i="12"/>
  <c r="N231" i="12" s="1"/>
  <c r="M235" i="12"/>
  <c r="N235" i="12" s="1"/>
  <c r="M236" i="12"/>
  <c r="N236" i="12" s="1"/>
  <c r="P239" i="12"/>
  <c r="R239" i="12" s="1"/>
  <c r="S239" i="12" s="1"/>
  <c r="T239" i="12" s="1"/>
  <c r="M240" i="12"/>
  <c r="N240" i="12" s="1"/>
  <c r="N243" i="12"/>
  <c r="R276" i="12"/>
  <c r="S276" i="12" s="1"/>
  <c r="T276" i="12" s="1"/>
  <c r="S280" i="12"/>
  <c r="T280" i="12" s="1"/>
  <c r="N285" i="12"/>
  <c r="T285" i="12" s="1"/>
  <c r="T288" i="12"/>
  <c r="R289" i="12"/>
  <c r="S289" i="12" s="1"/>
  <c r="T289" i="12" s="1"/>
  <c r="R298" i="12"/>
  <c r="S298" i="12" s="1"/>
  <c r="T298" i="12" s="1"/>
  <c r="M299" i="12"/>
  <c r="N299" i="12" s="1"/>
  <c r="P299" i="12"/>
  <c r="R299" i="12" s="1"/>
  <c r="S299" i="12" s="1"/>
  <c r="T299" i="12" s="1"/>
  <c r="T304" i="12"/>
  <c r="R305" i="12"/>
  <c r="S305" i="12" s="1"/>
  <c r="T305" i="12" s="1"/>
  <c r="N187" i="12"/>
  <c r="R275" i="12"/>
  <c r="S275" i="12" s="1"/>
  <c r="R279" i="12"/>
  <c r="S279" i="12" s="1"/>
  <c r="T279" i="12" s="1"/>
  <c r="R286" i="12"/>
  <c r="S286" i="12" s="1"/>
  <c r="T286" i="12" s="1"/>
  <c r="M287" i="12"/>
  <c r="N287" i="12" s="1"/>
  <c r="P287" i="12"/>
  <c r="R287" i="12" s="1"/>
  <c r="S287" i="12" s="1"/>
  <c r="R302" i="12"/>
  <c r="S302" i="12" s="1"/>
  <c r="T302" i="12" s="1"/>
  <c r="M303" i="12"/>
  <c r="N303" i="12" s="1"/>
  <c r="P303" i="12"/>
  <c r="R303" i="12" s="1"/>
  <c r="S303" i="12" s="1"/>
  <c r="T303" i="12" s="1"/>
  <c r="N335" i="12"/>
  <c r="M327" i="12"/>
  <c r="N327" i="12" s="1"/>
  <c r="S339" i="12"/>
  <c r="T339" i="12" s="1"/>
  <c r="T338" i="12"/>
  <c r="Q326" i="12"/>
  <c r="R326" i="12" s="1"/>
  <c r="S326" i="12" s="1"/>
  <c r="Q332" i="12"/>
  <c r="R332" i="12" s="1"/>
  <c r="S332" i="12" s="1"/>
  <c r="P327" i="12"/>
  <c r="R327" i="12" s="1"/>
  <c r="S327" i="12" s="1"/>
  <c r="T327" i="12" s="1"/>
  <c r="P333" i="12"/>
  <c r="R333" i="12" s="1"/>
  <c r="S333" i="12" s="1"/>
  <c r="T333" i="12" s="1"/>
  <c r="N339" i="12"/>
  <c r="L23" i="11"/>
  <c r="U18" i="11"/>
  <c r="S20" i="11"/>
  <c r="U20" i="11" s="1"/>
  <c r="V20" i="11" s="1"/>
  <c r="W66" i="15" l="1"/>
  <c r="X66" i="15" s="1"/>
  <c r="Z66" i="15"/>
  <c r="W75" i="15"/>
  <c r="X75" i="15" s="1"/>
  <c r="Z75" i="15"/>
  <c r="W70" i="15"/>
  <c r="X70" i="15" s="1"/>
  <c r="Z70" i="15"/>
  <c r="W71" i="15"/>
  <c r="X71" i="15" s="1"/>
  <c r="Z71" i="15"/>
  <c r="Y22" i="15"/>
  <c r="W22" i="15"/>
  <c r="X22" i="15" s="1"/>
  <c r="W67" i="15"/>
  <c r="X67" i="15" s="1"/>
  <c r="Z67" i="15"/>
  <c r="W76" i="15"/>
  <c r="X76" i="15" s="1"/>
  <c r="Z76" i="15"/>
  <c r="W68" i="15"/>
  <c r="X68" i="15" s="1"/>
  <c r="Z68" i="15"/>
  <c r="W72" i="15"/>
  <c r="X72" i="15" s="1"/>
  <c r="Z72" i="15"/>
  <c r="W74" i="15"/>
  <c r="X74" i="15" s="1"/>
  <c r="Z74" i="15"/>
  <c r="Z16" i="15"/>
  <c r="W16" i="15"/>
  <c r="X16" i="15" s="1"/>
  <c r="W12" i="15"/>
  <c r="X12" i="15" s="1"/>
  <c r="Z12" i="15"/>
  <c r="Z21" i="15"/>
  <c r="W21" i="15"/>
  <c r="X21" i="15" s="1"/>
  <c r="Z17" i="15"/>
  <c r="W17" i="15"/>
  <c r="X17" i="15" s="1"/>
  <c r="Z14" i="15"/>
  <c r="W14" i="15"/>
  <c r="X14" i="15" s="1"/>
  <c r="W20" i="15"/>
  <c r="X20" i="15" s="1"/>
  <c r="Z20" i="15"/>
  <c r="Z18" i="15"/>
  <c r="W18" i="15"/>
  <c r="X18" i="15" s="1"/>
  <c r="Z13" i="15"/>
  <c r="W13" i="15"/>
  <c r="X13" i="15" s="1"/>
  <c r="L117" i="14"/>
  <c r="M117" i="14" s="1"/>
  <c r="Y117" i="14" s="1"/>
  <c r="L122" i="14"/>
  <c r="M122" i="14" s="1"/>
  <c r="Y122" i="14" s="1"/>
  <c r="L121" i="14"/>
  <c r="M121" i="14" s="1"/>
  <c r="Y121" i="14" s="1"/>
  <c r="L123" i="14"/>
  <c r="M123" i="14" s="1"/>
  <c r="Y123" i="14" s="1"/>
  <c r="L128" i="14"/>
  <c r="M128" i="14" s="1"/>
  <c r="Y128" i="14" s="1"/>
  <c r="L16" i="14"/>
  <c r="M16" i="14" s="1"/>
  <c r="L26" i="14"/>
  <c r="M26" i="14" s="1"/>
  <c r="Y26" i="14" s="1"/>
  <c r="L118" i="14"/>
  <c r="M118" i="14" s="1"/>
  <c r="Y118" i="14" s="1"/>
  <c r="Z16" i="14"/>
  <c r="V22" i="14"/>
  <c r="L119" i="14"/>
  <c r="M119" i="14" s="1"/>
  <c r="Y119" i="14" s="1"/>
  <c r="L78" i="14"/>
  <c r="M78" i="14" s="1"/>
  <c r="Y78" i="14" s="1"/>
  <c r="M66" i="14"/>
  <c r="Y66" i="14" s="1"/>
  <c r="U117" i="14"/>
  <c r="V117" i="14" s="1"/>
  <c r="U127" i="14"/>
  <c r="V127" i="14" s="1"/>
  <c r="L126" i="14"/>
  <c r="M126" i="14" s="1"/>
  <c r="Y126" i="14" s="1"/>
  <c r="U32" i="14"/>
  <c r="V32" i="14" s="1"/>
  <c r="L124" i="14"/>
  <c r="M124" i="14" s="1"/>
  <c r="Y124" i="14" s="1"/>
  <c r="L22" i="14"/>
  <c r="M22" i="14" s="1"/>
  <c r="Y22" i="14" s="1"/>
  <c r="W18" i="14"/>
  <c r="X18" i="14" s="1"/>
  <c r="Z18" i="14"/>
  <c r="L80" i="14"/>
  <c r="M80" i="14" s="1"/>
  <c r="Y80" i="14" s="1"/>
  <c r="L14" i="14"/>
  <c r="M14" i="14" s="1"/>
  <c r="Y14" i="14" s="1"/>
  <c r="L86" i="14"/>
  <c r="M86" i="14" s="1"/>
  <c r="Y86" i="14" s="1"/>
  <c r="U30" i="14"/>
  <c r="V30" i="14"/>
  <c r="U12" i="14"/>
  <c r="V12" i="14" s="1"/>
  <c r="W12" i="14" s="1"/>
  <c r="X12" i="14" s="1"/>
  <c r="U118" i="14"/>
  <c r="V118" i="14" s="1"/>
  <c r="U128" i="14"/>
  <c r="V128" i="14" s="1"/>
  <c r="U76" i="14"/>
  <c r="U119" i="14"/>
  <c r="V119" i="14" s="1"/>
  <c r="U121" i="14"/>
  <c r="V121" i="14" s="1"/>
  <c r="L30" i="14"/>
  <c r="M30" i="14" s="1"/>
  <c r="Y30" i="14" s="1"/>
  <c r="L20" i="14"/>
  <c r="M20" i="14" s="1"/>
  <c r="Y20" i="14" s="1"/>
  <c r="V28" i="14"/>
  <c r="P86" i="14"/>
  <c r="U86" i="14" s="1"/>
  <c r="P78" i="14"/>
  <c r="P80" i="14"/>
  <c r="P82" i="14"/>
  <c r="U82" i="14" s="1"/>
  <c r="V82" i="14" s="1"/>
  <c r="P72" i="14"/>
  <c r="P84" i="14"/>
  <c r="P64" i="14"/>
  <c r="U64" i="14" s="1"/>
  <c r="P76" i="14"/>
  <c r="P70" i="14"/>
  <c r="P68" i="14"/>
  <c r="P74" i="14"/>
  <c r="P66" i="14"/>
  <c r="U66" i="14" s="1"/>
  <c r="V14" i="14"/>
  <c r="L127" i="14"/>
  <c r="M127" i="14" s="1"/>
  <c r="Y127" i="14" s="1"/>
  <c r="L116" i="14"/>
  <c r="M116" i="14" s="1"/>
  <c r="Y116" i="14" s="1"/>
  <c r="L84" i="14"/>
  <c r="M84" i="14" s="1"/>
  <c r="Y84" i="14" s="1"/>
  <c r="L129" i="14"/>
  <c r="M129" i="14" s="1"/>
  <c r="Y129" i="14" s="1"/>
  <c r="V129" i="14"/>
  <c r="U129" i="14"/>
  <c r="V26" i="14"/>
  <c r="T86" i="14"/>
  <c r="T78" i="14"/>
  <c r="T80" i="14"/>
  <c r="T72" i="14"/>
  <c r="T76" i="14"/>
  <c r="T74" i="14"/>
  <c r="T64" i="14"/>
  <c r="T82" i="14"/>
  <c r="T68" i="14"/>
  <c r="T84" i="14"/>
  <c r="U84" i="14" s="1"/>
  <c r="T66" i="14"/>
  <c r="T70" i="14"/>
  <c r="U116" i="14"/>
  <c r="V116" i="14" s="1"/>
  <c r="O123" i="14"/>
  <c r="S84" i="14"/>
  <c r="S76" i="14"/>
  <c r="S86" i="14"/>
  <c r="S78" i="14"/>
  <c r="S70" i="14"/>
  <c r="U70" i="14" s="1"/>
  <c r="S80" i="14"/>
  <c r="S66" i="14"/>
  <c r="S74" i="14"/>
  <c r="S64" i="14"/>
  <c r="S82" i="14"/>
  <c r="S72" i="14"/>
  <c r="S68" i="14"/>
  <c r="U24" i="14"/>
  <c r="V24" i="14" s="1"/>
  <c r="U122" i="14"/>
  <c r="V122" i="14" s="1"/>
  <c r="V124" i="14"/>
  <c r="U124" i="14"/>
  <c r="U126" i="14"/>
  <c r="V126" i="14" s="1"/>
  <c r="V20" i="14"/>
  <c r="L28" i="14"/>
  <c r="M28" i="14" s="1"/>
  <c r="Y28" i="14" s="1"/>
  <c r="L64" i="14"/>
  <c r="M64" i="14" s="1"/>
  <c r="L76" i="14"/>
  <c r="M76" i="14" s="1"/>
  <c r="Y76" i="14" s="1"/>
  <c r="L68" i="14"/>
  <c r="M68" i="14" s="1"/>
  <c r="Y68" i="14" s="1"/>
  <c r="S95" i="10"/>
  <c r="U95" i="10" s="1"/>
  <c r="V95" i="10" s="1"/>
  <c r="U33" i="10"/>
  <c r="V33" i="10" s="1"/>
  <c r="S82" i="10"/>
  <c r="U82" i="10" s="1"/>
  <c r="V82" i="10" s="1"/>
  <c r="U78" i="10"/>
  <c r="V78" i="10" s="1"/>
  <c r="S26" i="10"/>
  <c r="U26" i="10" s="1"/>
  <c r="V26" i="10" s="1"/>
  <c r="S25" i="10"/>
  <c r="U25" i="10" s="1"/>
  <c r="V25" i="10" s="1"/>
  <c r="L138" i="10"/>
  <c r="U98" i="10"/>
  <c r="V98" i="10" s="1"/>
  <c r="U20" i="10"/>
  <c r="V20" i="10" s="1"/>
  <c r="S89" i="10"/>
  <c r="U89" i="10" s="1"/>
  <c r="V89" i="10" s="1"/>
  <c r="U85" i="10"/>
  <c r="V85" i="10" s="1"/>
  <c r="S138" i="10"/>
  <c r="U138" i="10" s="1"/>
  <c r="V138" i="10" s="1"/>
  <c r="U75" i="10"/>
  <c r="V75" i="10" s="1"/>
  <c r="U23" i="10"/>
  <c r="V23" i="10" s="1"/>
  <c r="U74" i="10"/>
  <c r="V74" i="10" s="1"/>
  <c r="U30" i="10"/>
  <c r="V30" i="10" s="1"/>
  <c r="U104" i="10"/>
  <c r="V104" i="10" s="1"/>
  <c r="U43" i="10"/>
  <c r="V43" i="10" s="1"/>
  <c r="S104" i="9"/>
  <c r="U104" i="9" s="1"/>
  <c r="V104" i="9" s="1"/>
  <c r="S33" i="9"/>
  <c r="U33" i="9" s="1"/>
  <c r="V33" i="9" s="1"/>
  <c r="L144" i="9"/>
  <c r="L141" i="9"/>
  <c r="U52" i="9"/>
  <c r="V52" i="9" s="1"/>
  <c r="S82" i="9"/>
  <c r="U82" i="9" s="1"/>
  <c r="V82" i="9" s="1"/>
  <c r="U78" i="9"/>
  <c r="V78" i="9" s="1"/>
  <c r="S75" i="9"/>
  <c r="U73" i="9"/>
  <c r="V73" i="9" s="1"/>
  <c r="S135" i="9"/>
  <c r="U135" i="9" s="1"/>
  <c r="V135" i="9" s="1"/>
  <c r="U133" i="9"/>
  <c r="V133" i="9" s="1"/>
  <c r="S47" i="9"/>
  <c r="U47" i="9" s="1"/>
  <c r="V47" i="9" s="1"/>
  <c r="U45" i="9"/>
  <c r="V45" i="9" s="1"/>
  <c r="S27" i="9"/>
  <c r="U27" i="9" s="1"/>
  <c r="V27" i="9" s="1"/>
  <c r="U92" i="9"/>
  <c r="V92" i="9" s="1"/>
  <c r="U141" i="9"/>
  <c r="V141" i="9" s="1"/>
  <c r="S20" i="9"/>
  <c r="U18" i="9"/>
  <c r="V18" i="9" s="1"/>
  <c r="S109" i="9"/>
  <c r="U109" i="9" s="1"/>
  <c r="V109" i="9" s="1"/>
  <c r="U107" i="9"/>
  <c r="V107" i="9" s="1"/>
  <c r="S38" i="9"/>
  <c r="U38" i="9" s="1"/>
  <c r="V38" i="9" s="1"/>
  <c r="U36" i="9"/>
  <c r="V36" i="9" s="1"/>
  <c r="L54" i="9"/>
  <c r="U95" i="9"/>
  <c r="V95" i="9" s="1"/>
  <c r="V144" i="8"/>
  <c r="W144" i="8" s="1"/>
  <c r="T146" i="8"/>
  <c r="V146" i="8" s="1"/>
  <c r="W146" i="8" s="1"/>
  <c r="V205" i="8"/>
  <c r="W205" i="8" s="1"/>
  <c r="M264" i="8"/>
  <c r="M350" i="8"/>
  <c r="V350" i="8" s="1"/>
  <c r="W350" i="8" s="1"/>
  <c r="V262" i="8"/>
  <c r="W262" i="8" s="1"/>
  <c r="T202" i="8"/>
  <c r="V202" i="8" s="1"/>
  <c r="W202" i="8" s="1"/>
  <c r="V190" i="8"/>
  <c r="W190" i="8" s="1"/>
  <c r="I353" i="8"/>
  <c r="V344" i="8"/>
  <c r="W344" i="8" s="1"/>
  <c r="P353" i="8"/>
  <c r="V191" i="8"/>
  <c r="W191" i="8" s="1"/>
  <c r="V133" i="8"/>
  <c r="W133" i="8" s="1"/>
  <c r="P157" i="8"/>
  <c r="P94" i="8"/>
  <c r="T94" i="8" s="1"/>
  <c r="V31" i="8"/>
  <c r="W31" i="8" s="1"/>
  <c r="M88" i="8"/>
  <c r="V23" i="8"/>
  <c r="W23" i="8" s="1"/>
  <c r="T32" i="8"/>
  <c r="T264" i="8"/>
  <c r="V264" i="8" s="1"/>
  <c r="W264" i="8" s="1"/>
  <c r="V29" i="8"/>
  <c r="W29" i="8" s="1"/>
  <c r="P93" i="8"/>
  <c r="V194" i="8"/>
  <c r="W194" i="8" s="1"/>
  <c r="T187" i="8"/>
  <c r="V181" i="8"/>
  <c r="W181" i="8" s="1"/>
  <c r="T100" i="8"/>
  <c r="V100" i="8" s="1"/>
  <c r="W100" i="8" s="1"/>
  <c r="V99" i="8"/>
  <c r="W99" i="8" s="1"/>
  <c r="V192" i="8"/>
  <c r="W192" i="8" s="1"/>
  <c r="T30" i="8"/>
  <c r="V24" i="8"/>
  <c r="W24" i="8" s="1"/>
  <c r="I94" i="8"/>
  <c r="M94" i="8" s="1"/>
  <c r="V195" i="8"/>
  <c r="W195" i="8" s="1"/>
  <c r="M304" i="8"/>
  <c r="V304" i="8" s="1"/>
  <c r="W304" i="8" s="1"/>
  <c r="V193" i="8"/>
  <c r="W193" i="8" s="1"/>
  <c r="M157" i="8"/>
  <c r="M159" i="8" s="1"/>
  <c r="M162" i="8" s="1"/>
  <c r="I159" i="8"/>
  <c r="T36" i="8"/>
  <c r="V36" i="8" s="1"/>
  <c r="W36" i="8" s="1"/>
  <c r="T33" i="8"/>
  <c r="V33" i="8" s="1"/>
  <c r="W33" i="8" s="1"/>
  <c r="M202" i="8"/>
  <c r="T207" i="8"/>
  <c r="V207" i="8" s="1"/>
  <c r="W207" i="8" s="1"/>
  <c r="R208" i="8"/>
  <c r="V134" i="8"/>
  <c r="W134" i="8" s="1"/>
  <c r="P158" i="8"/>
  <c r="T158" i="8" s="1"/>
  <c r="V158" i="8" s="1"/>
  <c r="W158" i="8" s="1"/>
  <c r="I92" i="8"/>
  <c r="V132" i="8"/>
  <c r="W132" i="8" s="1"/>
  <c r="T135" i="8"/>
  <c r="T52" i="8"/>
  <c r="V52" i="8" s="1"/>
  <c r="W52" i="8" s="1"/>
  <c r="V83" i="8"/>
  <c r="W83" i="8" s="1"/>
  <c r="S28" i="7"/>
  <c r="U28" i="7" s="1"/>
  <c r="V28" i="7" s="1"/>
  <c r="U74" i="7"/>
  <c r="V74" i="7" s="1"/>
  <c r="S39" i="7"/>
  <c r="U39" i="7" s="1"/>
  <c r="V39" i="7" s="1"/>
  <c r="U38" i="7"/>
  <c r="V38" i="7" s="1"/>
  <c r="U25" i="7"/>
  <c r="V25" i="7" s="1"/>
  <c r="U22" i="7"/>
  <c r="V22" i="7" s="1"/>
  <c r="S78" i="7"/>
  <c r="U78" i="7" s="1"/>
  <c r="V78" i="7" s="1"/>
  <c r="U77" i="7"/>
  <c r="V77" i="7" s="1"/>
  <c r="S31" i="6"/>
  <c r="U31" i="6" s="1"/>
  <c r="V31" i="6" s="1"/>
  <c r="U27" i="6"/>
  <c r="V27" i="6" s="1"/>
  <c r="U21" i="6"/>
  <c r="V21" i="6" s="1"/>
  <c r="L39" i="6"/>
  <c r="S37" i="6"/>
  <c r="U37" i="6" s="1"/>
  <c r="V37" i="6" s="1"/>
  <c r="U36" i="6"/>
  <c r="V36" i="6" s="1"/>
  <c r="T326" i="12"/>
  <c r="S328" i="12"/>
  <c r="T137" i="12"/>
  <c r="S154" i="12"/>
  <c r="T154" i="12" s="1"/>
  <c r="T332" i="12"/>
  <c r="S335" i="12"/>
  <c r="T335" i="12" s="1"/>
  <c r="N328" i="12"/>
  <c r="S191" i="12"/>
  <c r="T170" i="12"/>
  <c r="S244" i="12"/>
  <c r="T223" i="12"/>
  <c r="N191" i="12"/>
  <c r="N135" i="12"/>
  <c r="T174" i="12"/>
  <c r="T122" i="12"/>
  <c r="S83" i="12"/>
  <c r="T83" i="12" s="1"/>
  <c r="T66" i="12"/>
  <c r="S48" i="12"/>
  <c r="T48" i="12" s="1"/>
  <c r="T34" i="12"/>
  <c r="T295" i="12"/>
  <c r="T235" i="12"/>
  <c r="T177" i="12"/>
  <c r="T281" i="12"/>
  <c r="T186" i="12"/>
  <c r="T233" i="12"/>
  <c r="T123" i="12"/>
  <c r="N48" i="12"/>
  <c r="N246" i="12" s="1"/>
  <c r="N341" i="12" s="1"/>
  <c r="S100" i="12"/>
  <c r="T100" i="12" s="1"/>
  <c r="T86" i="12"/>
  <c r="S135" i="12"/>
  <c r="T135" i="12" s="1"/>
  <c r="T118" i="12"/>
  <c r="T13" i="12"/>
  <c r="S30" i="12"/>
  <c r="T287" i="12"/>
  <c r="T275" i="12"/>
  <c r="N244" i="12"/>
  <c r="T231" i="12"/>
  <c r="T185" i="12"/>
  <c r="T234" i="12"/>
  <c r="T119" i="12"/>
  <c r="T187" i="12"/>
  <c r="U23" i="11"/>
  <c r="V18" i="11"/>
  <c r="S23" i="11"/>
  <c r="B8" i="11" s="1"/>
  <c r="D13" i="5"/>
  <c r="D15" i="5" s="1"/>
  <c r="Y16" i="14" l="1"/>
  <c r="W16" i="14"/>
  <c r="X16" i="14" s="1"/>
  <c r="V76" i="14"/>
  <c r="W76" i="14" s="1"/>
  <c r="X76" i="14" s="1"/>
  <c r="W116" i="14"/>
  <c r="X116" i="14" s="1"/>
  <c r="Z116" i="14"/>
  <c r="V84" i="14"/>
  <c r="W127" i="14"/>
  <c r="X127" i="14" s="1"/>
  <c r="Z127" i="14"/>
  <c r="W119" i="14"/>
  <c r="X119" i="14" s="1"/>
  <c r="Z119" i="14"/>
  <c r="W126" i="14"/>
  <c r="X126" i="14" s="1"/>
  <c r="Z126" i="14"/>
  <c r="V70" i="14"/>
  <c r="W128" i="14"/>
  <c r="X128" i="14" s="1"/>
  <c r="Z128" i="14"/>
  <c r="Z24" i="14"/>
  <c r="W24" i="14"/>
  <c r="X24" i="14" s="1"/>
  <c r="Z82" i="14"/>
  <c r="W82" i="14"/>
  <c r="X82" i="14" s="1"/>
  <c r="W121" i="14"/>
  <c r="X121" i="14" s="1"/>
  <c r="Z121" i="14"/>
  <c r="W118" i="14"/>
  <c r="X118" i="14" s="1"/>
  <c r="Z118" i="14"/>
  <c r="Z32" i="14"/>
  <c r="W32" i="14"/>
  <c r="X32" i="14" s="1"/>
  <c r="W122" i="14"/>
  <c r="X122" i="14" s="1"/>
  <c r="Z122" i="14"/>
  <c r="V64" i="14"/>
  <c r="W64" i="14" s="1"/>
  <c r="X64" i="14" s="1"/>
  <c r="W117" i="14"/>
  <c r="X117" i="14" s="1"/>
  <c r="Z117" i="14"/>
  <c r="U78" i="14"/>
  <c r="V78" i="14" s="1"/>
  <c r="U123" i="14"/>
  <c r="V123" i="14" s="1"/>
  <c r="V66" i="14"/>
  <c r="W22" i="14"/>
  <c r="X22" i="14" s="1"/>
  <c r="Z22" i="14"/>
  <c r="W124" i="14"/>
  <c r="X124" i="14" s="1"/>
  <c r="Z124" i="14"/>
  <c r="W129" i="14"/>
  <c r="X129" i="14" s="1"/>
  <c r="Z129" i="14"/>
  <c r="U74" i="14"/>
  <c r="V74" i="14" s="1"/>
  <c r="W26" i="14"/>
  <c r="X26" i="14" s="1"/>
  <c r="Z26" i="14"/>
  <c r="W14" i="14"/>
  <c r="X14" i="14" s="1"/>
  <c r="Z14" i="14"/>
  <c r="U72" i="14"/>
  <c r="V72" i="14" s="1"/>
  <c r="V86" i="14"/>
  <c r="U68" i="14"/>
  <c r="V68" i="14" s="1"/>
  <c r="W20" i="14"/>
  <c r="X20" i="14" s="1"/>
  <c r="Z20" i="14"/>
  <c r="U80" i="14"/>
  <c r="V80" i="14" s="1"/>
  <c r="W30" i="14"/>
  <c r="X30" i="14" s="1"/>
  <c r="Z30" i="14"/>
  <c r="W28" i="14"/>
  <c r="X28" i="14" s="1"/>
  <c r="Z28" i="14"/>
  <c r="S27" i="10"/>
  <c r="S54" i="9"/>
  <c r="U20" i="9"/>
  <c r="V20" i="9" s="1"/>
  <c r="S144" i="9"/>
  <c r="U144" i="9" s="1"/>
  <c r="V144" i="9" s="1"/>
  <c r="U75" i="9"/>
  <c r="V75" i="9" s="1"/>
  <c r="V135" i="8"/>
  <c r="W135" i="8" s="1"/>
  <c r="V187" i="8"/>
  <c r="W187" i="8" s="1"/>
  <c r="I357" i="8"/>
  <c r="M353" i="8"/>
  <c r="M357" i="8" s="1"/>
  <c r="M361" i="8" s="1"/>
  <c r="V88" i="8"/>
  <c r="W88" i="8" s="1"/>
  <c r="V30" i="8"/>
  <c r="W30" i="8" s="1"/>
  <c r="V32" i="8"/>
  <c r="W32" i="8" s="1"/>
  <c r="P95" i="8"/>
  <c r="T95" i="8" s="1"/>
  <c r="V95" i="8" s="1"/>
  <c r="W95" i="8" s="1"/>
  <c r="T93" i="8"/>
  <c r="I96" i="8"/>
  <c r="M92" i="8"/>
  <c r="T38" i="8"/>
  <c r="V38" i="8" s="1"/>
  <c r="W38" i="8" s="1"/>
  <c r="T35" i="8"/>
  <c r="V35" i="8" s="1"/>
  <c r="W35" i="8" s="1"/>
  <c r="V94" i="8"/>
  <c r="W94" i="8" s="1"/>
  <c r="T353" i="8"/>
  <c r="R209" i="8"/>
  <c r="T208" i="8"/>
  <c r="V208" i="8" s="1"/>
  <c r="W208" i="8" s="1"/>
  <c r="P354" i="8"/>
  <c r="T354" i="8" s="1"/>
  <c r="V354" i="8" s="1"/>
  <c r="W354" i="8" s="1"/>
  <c r="P159" i="8"/>
  <c r="T157" i="8"/>
  <c r="S31" i="7"/>
  <c r="U31" i="7" s="1"/>
  <c r="V31" i="7" s="1"/>
  <c r="S82" i="7"/>
  <c r="U82" i="7" s="1"/>
  <c r="V82" i="7" s="1"/>
  <c r="S39" i="6"/>
  <c r="B8" i="6" s="1"/>
  <c r="S246" i="12"/>
  <c r="T30" i="12"/>
  <c r="T328" i="12"/>
  <c r="T191" i="12"/>
  <c r="V23" i="11"/>
  <c r="Z76" i="14" l="1"/>
  <c r="Z68" i="14"/>
  <c r="W68" i="14"/>
  <c r="X68" i="14" s="1"/>
  <c r="W78" i="14"/>
  <c r="X78" i="14" s="1"/>
  <c r="Z78" i="14"/>
  <c r="Z74" i="14"/>
  <c r="W74" i="14"/>
  <c r="X74" i="14" s="1"/>
  <c r="Z80" i="14"/>
  <c r="W80" i="14"/>
  <c r="X80" i="14" s="1"/>
  <c r="W72" i="14"/>
  <c r="X72" i="14" s="1"/>
  <c r="Z72" i="14"/>
  <c r="W123" i="14"/>
  <c r="X123" i="14" s="1"/>
  <c r="Z123" i="14"/>
  <c r="W66" i="14"/>
  <c r="X66" i="14" s="1"/>
  <c r="Z66" i="14"/>
  <c r="W84" i="14"/>
  <c r="X84" i="14" s="1"/>
  <c r="Z84" i="14"/>
  <c r="W86" i="14"/>
  <c r="X86" i="14" s="1"/>
  <c r="Z86" i="14"/>
  <c r="W70" i="14"/>
  <c r="X70" i="14" s="1"/>
  <c r="Z70" i="14"/>
  <c r="U27" i="10"/>
  <c r="V27" i="10" s="1"/>
  <c r="S50" i="10"/>
  <c r="B8" i="9"/>
  <c r="U54" i="9"/>
  <c r="V54" i="9" s="1"/>
  <c r="V157" i="8"/>
  <c r="W157" i="8" s="1"/>
  <c r="T159" i="8"/>
  <c r="R210" i="8"/>
  <c r="T209" i="8"/>
  <c r="T40" i="8"/>
  <c r="M96" i="8"/>
  <c r="M107" i="8" s="1"/>
  <c r="V92" i="8"/>
  <c r="W92" i="8" s="1"/>
  <c r="P96" i="8"/>
  <c r="V353" i="8"/>
  <c r="W353" i="8" s="1"/>
  <c r="V93" i="8"/>
  <c r="W93" i="8" s="1"/>
  <c r="T96" i="8"/>
  <c r="V96" i="8" s="1"/>
  <c r="W96" i="8" s="1"/>
  <c r="S41" i="7"/>
  <c r="U41" i="7" s="1"/>
  <c r="V41" i="7" s="1"/>
  <c r="U39" i="6"/>
  <c r="V39" i="6" s="1"/>
  <c r="S341" i="12"/>
  <c r="T246" i="12"/>
  <c r="U50" i="10" l="1"/>
  <c r="V50" i="10" s="1"/>
  <c r="B8" i="10"/>
  <c r="V209" i="8"/>
  <c r="W209" i="8" s="1"/>
  <c r="R211" i="8"/>
  <c r="T210" i="8"/>
  <c r="V159" i="8"/>
  <c r="W159" i="8" s="1"/>
  <c r="T162" i="8"/>
  <c r="V162" i="8" s="1"/>
  <c r="W162" i="8" s="1"/>
  <c r="V40" i="8"/>
  <c r="W40" i="8" s="1"/>
  <c r="T107" i="8"/>
  <c r="B8" i="7"/>
  <c r="T341" i="12"/>
  <c r="B5" i="12"/>
  <c r="T211" i="8" l="1"/>
  <c r="R212" i="8"/>
  <c r="V107" i="8"/>
  <c r="W107" i="8" s="1"/>
  <c r="V210" i="8"/>
  <c r="W210" i="8" s="1"/>
  <c r="R213" i="8" l="1"/>
  <c r="T212" i="8"/>
  <c r="V211" i="8"/>
  <c r="W211" i="8" s="1"/>
  <c r="V212" i="8" l="1"/>
  <c r="W212" i="8" s="1"/>
  <c r="P355" i="8"/>
  <c r="R214" i="8"/>
  <c r="T213" i="8"/>
  <c r="V213" i="8" l="1"/>
  <c r="W213" i="8" s="1"/>
  <c r="P356" i="8"/>
  <c r="T356" i="8" s="1"/>
  <c r="V356" i="8" s="1"/>
  <c r="W356" i="8" s="1"/>
  <c r="R215" i="8"/>
  <c r="T214" i="8"/>
  <c r="V214" i="8" s="1"/>
  <c r="W214" i="8" s="1"/>
  <c r="T355" i="8"/>
  <c r="P357" i="8" l="1"/>
  <c r="R216" i="8"/>
  <c r="T216" i="8" s="1"/>
  <c r="T215" i="8"/>
  <c r="V215" i="8" s="1"/>
  <c r="W215" i="8" s="1"/>
  <c r="V355" i="8"/>
  <c r="W355" i="8" s="1"/>
  <c r="T357" i="8"/>
  <c r="V357" i="8" s="1"/>
  <c r="W357" i="8" s="1"/>
  <c r="V216" i="8" l="1"/>
  <c r="W216" i="8" s="1"/>
  <c r="T217" i="8"/>
  <c r="V217" i="8" l="1"/>
  <c r="W217" i="8" s="1"/>
  <c r="T361" i="8"/>
  <c r="V361" i="8" l="1"/>
  <c r="W361" i="8" s="1"/>
  <c r="C8" i="8"/>
  <c r="H12" i="4" l="1"/>
  <c r="D3" i="4"/>
  <c r="D4" i="4"/>
  <c r="F4" i="4" s="1"/>
  <c r="H4" i="4" s="1"/>
  <c r="D5" i="4"/>
  <c r="D6" i="4"/>
  <c r="F6" i="4" s="1"/>
  <c r="H6" i="4" s="1"/>
  <c r="D7" i="4"/>
  <c r="D8" i="4"/>
  <c r="F8" i="4" s="1"/>
  <c r="H8" i="4" s="1"/>
  <c r="D2" i="4"/>
  <c r="E10" i="4"/>
  <c r="C10" i="4"/>
  <c r="C12" i="4" s="1"/>
  <c r="G8" i="4"/>
  <c r="G7" i="4"/>
  <c r="F7" i="4"/>
  <c r="H7" i="4" s="1"/>
  <c r="G6" i="4"/>
  <c r="G5" i="4"/>
  <c r="F5" i="4"/>
  <c r="H5" i="4" s="1"/>
  <c r="G4" i="4"/>
  <c r="G3" i="4"/>
  <c r="F3" i="4"/>
  <c r="H3" i="4" s="1"/>
  <c r="G2" i="4"/>
  <c r="H12" i="3"/>
  <c r="H10" i="3"/>
  <c r="H3" i="3"/>
  <c r="H4" i="3"/>
  <c r="H5" i="3"/>
  <c r="H6" i="3"/>
  <c r="H7" i="3"/>
  <c r="H8" i="3"/>
  <c r="H2" i="3"/>
  <c r="G3" i="3"/>
  <c r="G4" i="3"/>
  <c r="G5" i="3"/>
  <c r="G6" i="3"/>
  <c r="G7" i="3"/>
  <c r="G8" i="3"/>
  <c r="G2" i="3"/>
  <c r="F10" i="3"/>
  <c r="F3" i="3"/>
  <c r="F4" i="3"/>
  <c r="F5" i="3"/>
  <c r="F6" i="3"/>
  <c r="F7" i="3"/>
  <c r="F8" i="3"/>
  <c r="F2" i="3"/>
  <c r="E10" i="3"/>
  <c r="D10" i="3"/>
  <c r="D3" i="3"/>
  <c r="D4" i="3"/>
  <c r="D5" i="3"/>
  <c r="D6" i="3"/>
  <c r="D7" i="3"/>
  <c r="D8" i="3"/>
  <c r="D2" i="3"/>
  <c r="C12" i="3"/>
  <c r="C10" i="3"/>
  <c r="D10" i="4" l="1"/>
  <c r="F2" i="4"/>
  <c r="H2" i="4" l="1"/>
  <c r="H10" i="4" s="1"/>
  <c r="F10" i="4"/>
  <c r="F21" i="1" l="1"/>
  <c r="F9" i="1"/>
  <c r="F11" i="1"/>
  <c r="F19" i="1"/>
  <c r="D14" i="2"/>
  <c r="D4" i="2"/>
  <c r="C14" i="2"/>
  <c r="K19" i="1"/>
  <c r="M19" i="1" s="1"/>
  <c r="K17" i="1"/>
  <c r="K15" i="1"/>
  <c r="K13" i="1"/>
  <c r="K11" i="1"/>
  <c r="M11" i="1" s="1"/>
  <c r="K9" i="1"/>
  <c r="K7" i="1"/>
  <c r="K5" i="1"/>
  <c r="M5" i="1" s="1"/>
  <c r="L13" i="1"/>
  <c r="M13" i="1" s="1"/>
  <c r="M17" i="1"/>
  <c r="M15" i="1"/>
  <c r="M9" i="1"/>
  <c r="M7" i="1"/>
  <c r="D19" i="1"/>
  <c r="D17" i="1"/>
  <c r="F17" i="1" s="1"/>
  <c r="D15" i="1"/>
  <c r="F15" i="1" s="1"/>
  <c r="D13" i="1"/>
  <c r="F13" i="1" s="1"/>
  <c r="D11" i="1"/>
  <c r="D9" i="1"/>
  <c r="D7" i="1"/>
  <c r="F7" i="1" s="1"/>
  <c r="D5" i="1"/>
  <c r="F5" i="1" s="1"/>
  <c r="M21" i="1" l="1"/>
  <c r="D6" i="2" s="1"/>
  <c r="D8" i="2" s="1"/>
  <c r="D12" i="2" s="1"/>
  <c r="D18" i="2" s="1"/>
  <c r="C6" i="2"/>
  <c r="C8" i="2" s="1"/>
  <c r="C12" i="2" s="1"/>
  <c r="C18" i="2" s="1"/>
</calcChain>
</file>

<file path=xl/sharedStrings.xml><?xml version="1.0" encoding="utf-8"?>
<sst xmlns="http://schemas.openxmlformats.org/spreadsheetml/2006/main" count="3950" uniqueCount="1200">
  <si>
    <t>Source: MFR Schedule D-1a</t>
  </si>
  <si>
    <t>Current WACC</t>
  </si>
  <si>
    <t>Scenario WACC</t>
  </si>
  <si>
    <t>Class of Capital</t>
  </si>
  <si>
    <t>Jursidictional</t>
  </si>
  <si>
    <t>Ratio</t>
  </si>
  <si>
    <t>Cost Rate</t>
  </si>
  <si>
    <t>Weighted Cost Rate</t>
  </si>
  <si>
    <t>Long Term Debt</t>
  </si>
  <si>
    <t>Short Term Debt</t>
  </si>
  <si>
    <t>Customer Deposits</t>
  </si>
  <si>
    <t>Preferred Stock</t>
  </si>
  <si>
    <t>Common Equity</t>
  </si>
  <si>
    <t>Deferred Income Taxes</t>
  </si>
  <si>
    <t>Tax Credits -  Zero Cost</t>
  </si>
  <si>
    <t>Tax Credits - Weighted Costs</t>
  </si>
  <si>
    <t>WACC</t>
  </si>
  <si>
    <t>Source: MFR Schedule A-1</t>
  </si>
  <si>
    <t>Current Revenue Deficiency</t>
  </si>
  <si>
    <t>Scenario Revenue Deficiency</t>
  </si>
  <si>
    <t>Description</t>
  </si>
  <si>
    <t>Amount (000)</t>
  </si>
  <si>
    <t>Jurisdictional Adjusted Rate Base</t>
  </si>
  <si>
    <t>Rate of Return on Rate Base Requested</t>
  </si>
  <si>
    <t>Jurisdictional Net Operating Income Requested</t>
  </si>
  <si>
    <t>Jurisdictional Adjusted Net Operating Income</t>
  </si>
  <si>
    <t>Net Operating Income Deficiency (Excess)</t>
  </si>
  <si>
    <t>Earned Rate of Return</t>
  </si>
  <si>
    <t>Net Operating Income Multiplier</t>
  </si>
  <si>
    <t>Revenue Increase (Decrease) Requested</t>
  </si>
  <si>
    <t>Rate Base</t>
  </si>
  <si>
    <t>Required Revenue</t>
  </si>
  <si>
    <t>Current Net Operating Income</t>
  </si>
  <si>
    <t>Variance</t>
  </si>
  <si>
    <t>Expansion Factor</t>
  </si>
  <si>
    <t>Revenue Deficiency</t>
  </si>
  <si>
    <t>RS</t>
  </si>
  <si>
    <t>GS</t>
  </si>
  <si>
    <t>GSD</t>
  </si>
  <si>
    <t>GSLDPR</t>
  </si>
  <si>
    <t>GSLDSU</t>
  </si>
  <si>
    <t>LS Energy</t>
  </si>
  <si>
    <t>LS Facilities</t>
  </si>
  <si>
    <t>Total</t>
  </si>
  <si>
    <t>Check</t>
  </si>
  <si>
    <t>SUMMARY OF TARIFFS</t>
  </si>
  <si>
    <t>(1)</t>
  </si>
  <si>
    <t>(2)</t>
  </si>
  <si>
    <t>(3)</t>
  </si>
  <si>
    <t>(4)</t>
  </si>
  <si>
    <t>(5)</t>
  </si>
  <si>
    <t>(6)</t>
  </si>
  <si>
    <t xml:space="preserve">Current </t>
  </si>
  <si>
    <t>Proposed</t>
  </si>
  <si>
    <t>Percent</t>
  </si>
  <si>
    <t>Line</t>
  </si>
  <si>
    <t>Rate</t>
  </si>
  <si>
    <t>Current Proposed</t>
  </si>
  <si>
    <t>Scenario Proposed</t>
  </si>
  <si>
    <t>Increase</t>
  </si>
  <si>
    <t>No.</t>
  </si>
  <si>
    <t>Schedule</t>
  </si>
  <si>
    <t>Type of Charge</t>
  </si>
  <si>
    <t>((5)-(3))/(3)</t>
  </si>
  <si>
    <t>RS/RSVP1</t>
  </si>
  <si>
    <t>Basic Service Charge:</t>
  </si>
  <si>
    <t>Standard</t>
  </si>
  <si>
    <t>$/Day</t>
  </si>
  <si>
    <t>RSVP-1</t>
  </si>
  <si>
    <t>Energy and Demand Charge:</t>
  </si>
  <si>
    <t xml:space="preserve">   First 1,000 kWh</t>
  </si>
  <si>
    <t>$/kWh</t>
  </si>
  <si>
    <t xml:space="preserve">   All additional kWh</t>
  </si>
  <si>
    <t>Senior Care program</t>
  </si>
  <si>
    <t>$/Eligible Bill</t>
  </si>
  <si>
    <t>GS/GST</t>
  </si>
  <si>
    <t>Standard - Unmetered</t>
  </si>
  <si>
    <t>Time-of-Day</t>
  </si>
  <si>
    <t>Standard Unmetered</t>
  </si>
  <si>
    <t>Time-of-Day On-Peak</t>
  </si>
  <si>
    <t>Time-of-Day Off-Peak</t>
  </si>
  <si>
    <t>Time-of-Day Super Off-Peak</t>
  </si>
  <si>
    <t>Emergency Relay Charge</t>
  </si>
  <si>
    <t>CS</t>
  </si>
  <si>
    <t>GSD/GSD Opt./GSDT</t>
  </si>
  <si>
    <t>Standard Secondary</t>
  </si>
  <si>
    <t>Standard Primary</t>
  </si>
  <si>
    <t>Standard Subtransmission</t>
  </si>
  <si>
    <t xml:space="preserve"> Optional Secondary</t>
  </si>
  <si>
    <t xml:space="preserve"> Optional Primary</t>
  </si>
  <si>
    <t xml:space="preserve"> Optional Subtransmission</t>
  </si>
  <si>
    <t xml:space="preserve"> Time-of-Day Secondary</t>
  </si>
  <si>
    <t xml:space="preserve"> Time-of-Day Primary</t>
  </si>
  <si>
    <t xml:space="preserve"> Time-of-Day Subtransmission</t>
  </si>
  <si>
    <t>Energy Charge:</t>
  </si>
  <si>
    <t xml:space="preserve"> Optional</t>
  </si>
  <si>
    <t xml:space="preserve"> Time-of-Day On-Peak</t>
  </si>
  <si>
    <t xml:space="preserve"> Time-of-Day Off-Peak</t>
  </si>
  <si>
    <t xml:space="preserve"> Time-of-Day Super Off-Peak</t>
  </si>
  <si>
    <t xml:space="preserve"> Demand Charge:</t>
  </si>
  <si>
    <t>Standard (all delivery voltages)</t>
  </si>
  <si>
    <t>$/kW</t>
  </si>
  <si>
    <t xml:space="preserve"> Optional (all delivery voltages)</t>
  </si>
  <si>
    <t xml:space="preserve"> Time-of-Day Billing (all delivery voltages)</t>
  </si>
  <si>
    <t xml:space="preserve"> Time-of-Day Peak (all delivery voltages)</t>
  </si>
  <si>
    <t>Delivery Voltage Credit:</t>
  </si>
  <si>
    <t>Optional Primary</t>
  </si>
  <si>
    <t>Optional Subtransmission</t>
  </si>
  <si>
    <t>Emergency Relay  Power Supply Charge:</t>
  </si>
  <si>
    <t>¢/kWh</t>
  </si>
  <si>
    <t>Continued on Page 5</t>
  </si>
  <si>
    <t>Continued from Page 4</t>
  </si>
  <si>
    <t>Metering Voltage Adjustment:</t>
  </si>
  <si>
    <t>%</t>
  </si>
  <si>
    <t>SBD/SBDT</t>
  </si>
  <si>
    <t xml:space="preserve"> Supplemental  Demand Charge:</t>
  </si>
  <si>
    <t>Standard  (All delivery voltages)</t>
  </si>
  <si>
    <t xml:space="preserve"> Time-of-Day Billing  (All delivery voltages)</t>
  </si>
  <si>
    <t xml:space="preserve"> Time-of-Day Peak  (All delivery voltages)</t>
  </si>
  <si>
    <t xml:space="preserve"> Supplemental Energy Charge:</t>
  </si>
  <si>
    <t>Standard (All delivery voltages)</t>
  </si>
  <si>
    <t>Time-of-Day On-Peak (All delivery voltages)</t>
  </si>
  <si>
    <t>Time-of-Day Off-Peak (All delivery voltages)</t>
  </si>
  <si>
    <t>Time-of-Day Super Off-Peak (All delivery voltages)</t>
  </si>
  <si>
    <t xml:space="preserve">  Standby Demand Charge (All):</t>
  </si>
  <si>
    <t>Local Facilities Reservation</t>
  </si>
  <si>
    <t xml:space="preserve">     Plus the greater of</t>
  </si>
  <si>
    <t>Power Supply Reservation, or</t>
  </si>
  <si>
    <t>$/kW-Mo</t>
  </si>
  <si>
    <t>Power Supply Demand</t>
  </si>
  <si>
    <t>$/kW-Day</t>
  </si>
  <si>
    <t xml:space="preserve"> Standby Energy Charge:</t>
  </si>
  <si>
    <t>Time-of-Day (All delivery voltages)</t>
  </si>
  <si>
    <t>Continued on Page 7</t>
  </si>
  <si>
    <t>Continued from Page 6</t>
  </si>
  <si>
    <t>Supplemental</t>
  </si>
  <si>
    <t>Standby</t>
  </si>
  <si>
    <t>Time-of-Day Primary</t>
  </si>
  <si>
    <t>Time-of-Day Subtransmission</t>
  </si>
  <si>
    <t xml:space="preserve">Emergency Relay  Power Supply Charge (all): </t>
  </si>
  <si>
    <t>Supplemental and Standby</t>
  </si>
  <si>
    <t>Power Factor Charge (all):</t>
  </si>
  <si>
    <t>$/kVARh</t>
  </si>
  <si>
    <t>Power Factor Credit (all):</t>
  </si>
  <si>
    <t>Supplemental and Stanby</t>
  </si>
  <si>
    <t>GSLDPR/GSLDTPR</t>
  </si>
  <si>
    <t xml:space="preserve"> Time-of-Day On-Peak - Primary</t>
  </si>
  <si>
    <t xml:space="preserve"> Time-of-Day Off-Peak - Primary</t>
  </si>
  <si>
    <t xml:space="preserve"> Time-of-Day Super Off-Peak - Primary</t>
  </si>
  <si>
    <t xml:space="preserve"> Time-of-Day Billing - (All delivery voltages)</t>
  </si>
  <si>
    <t xml:space="preserve"> Time-of-Day Peak -  (All delivery voltages)</t>
  </si>
  <si>
    <t>Emergency Relay Power Supply Charge (all):</t>
  </si>
  <si>
    <t>Standard subtransmission</t>
  </si>
  <si>
    <t xml:space="preserve"> Time-of-Day subtransmission</t>
  </si>
  <si>
    <t>GSLDSU/GSLDTSU</t>
  </si>
  <si>
    <t xml:space="preserve"> Time-of-Day On-Peak  -Subtransmission</t>
  </si>
  <si>
    <t xml:space="preserve"> Time-of-Day Off-Peak  -Subtransmission</t>
  </si>
  <si>
    <t xml:space="preserve"> Time-of-Day Super Off-Peak  -Subtransmission</t>
  </si>
  <si>
    <t>SBLDPR/SBLDTPR</t>
  </si>
  <si>
    <t xml:space="preserve"> Time-of-Day</t>
  </si>
  <si>
    <t xml:space="preserve"> Time-of-Day Billing</t>
  </si>
  <si>
    <t xml:space="preserve"> Time-of-Day Peak</t>
  </si>
  <si>
    <t xml:space="preserve">  Standby Demand Charge:</t>
  </si>
  <si>
    <t xml:space="preserve"> Time-of-Day (all periods)</t>
  </si>
  <si>
    <t>Continued on Page 11</t>
  </si>
  <si>
    <t>Continued from Page 10</t>
  </si>
  <si>
    <t>Emergency Relay  Power Supply Charge (all):</t>
  </si>
  <si>
    <t xml:space="preserve">Standard </t>
  </si>
  <si>
    <t>Time of Day</t>
  </si>
  <si>
    <t>SBLDSU,SBLDTSU</t>
  </si>
  <si>
    <t>New Rate</t>
  </si>
  <si>
    <t>Time-of-Day (all periods)</t>
  </si>
  <si>
    <t>LS-1, LS-2</t>
  </si>
  <si>
    <t>LS-1 and LS 2</t>
  </si>
  <si>
    <t xml:space="preserve">Basic Service Charge: </t>
  </si>
  <si>
    <t>(for metered streetlighting accounts only)</t>
  </si>
  <si>
    <t>FULL REVENUE REQUIREMENTS BILL COMPARISON - TYPICAL MONTHLY BILLS</t>
  </si>
  <si>
    <t>RS - RESIDENTIAL SERVICE</t>
  </si>
  <si>
    <t>RATE SCHEDULE</t>
  </si>
  <si>
    <t xml:space="preserve"> BILL UNDER CURRENTLY PROPOSED RATES</t>
  </si>
  <si>
    <t>BILL UNDER SCENARIO PROPOSED RATES</t>
  </si>
  <si>
    <t xml:space="preserve">INCREASE </t>
  </si>
  <si>
    <t>COSTS IN CENTS/KWH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</si>
  <si>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</si>
  <si>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</si>
  <si>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</si>
  <si>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</si>
  <si>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</si>
  <si>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</si>
  <si>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</si>
  <si>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</si>
  <si>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</si>
  <si>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</si>
  <si>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</si>
  <si>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</si>
  <si>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</si>
  <si>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</si>
  <si>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</si>
  <si>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</si>
  <si>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</si>
  <si>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</si>
  <si>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</si>
  <si>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 xml:space="preserve">                    TYPICAL</t>
  </si>
  <si>
    <t>BASE</t>
  </si>
  <si>
    <t>FUEL</t>
  </si>
  <si>
    <t>ECCR</t>
  </si>
  <si>
    <t>CAPACITY</t>
  </si>
  <si>
    <t>ECRC</t>
  </si>
  <si>
    <t>CLEAN ENERGY</t>
  </si>
  <si>
    <t>SPPCRC</t>
  </si>
  <si>
    <t>STORM</t>
  </si>
  <si>
    <t>GRT</t>
  </si>
  <si>
    <t>TOTAL</t>
  </si>
  <si>
    <t>DOLLARS</t>
  </si>
  <si>
    <t>PERCENT</t>
  </si>
  <si>
    <t>PRESENT</t>
  </si>
  <si>
    <t>PROPOSED</t>
  </si>
  <si>
    <t>KW</t>
  </si>
  <si>
    <t>KWH</t>
  </si>
  <si>
    <t>RATE</t>
  </si>
  <si>
    <t>CHARGE</t>
  </si>
  <si>
    <t>TRANS. MECH</t>
  </si>
  <si>
    <t>SURCHARGE</t>
  </si>
  <si>
    <t>(21)-(12)</t>
  </si>
  <si>
    <t>(22)/(12)</t>
  </si>
  <si>
    <t>(12)/(2)*100</t>
  </si>
  <si>
    <t>(21)/(2)*100</t>
  </si>
  <si>
    <t xml:space="preserve">PROPOSED </t>
  </si>
  <si>
    <t xml:space="preserve">BASIC SERVICE CHARGE </t>
  </si>
  <si>
    <t>$/Bill</t>
  </si>
  <si>
    <t>DEMAND CHARGE</t>
  </si>
  <si>
    <t>ENERGY CHARGE</t>
  </si>
  <si>
    <t>0 - 1,000 KWH</t>
  </si>
  <si>
    <t>Over 1,000 KWH</t>
  </si>
  <si>
    <t xml:space="preserve">FUEL CHARGE </t>
  </si>
  <si>
    <t>CONSERVATION CHARGE</t>
  </si>
  <si>
    <t>CAPACITY CHARGE</t>
  </si>
  <si>
    <t>CLEAN ENERGY TRANSITION MECHANISM</t>
  </si>
  <si>
    <t>ENVIRONMENTAL CHARGE</t>
  </si>
  <si>
    <t>STORM PROTECTION PLAN</t>
  </si>
  <si>
    <t>STORM SURCHARGE</t>
  </si>
  <si>
    <t xml:space="preserve"> Note: Present and proposed cost recovery clause factors are the approved January 2024 factors.  </t>
  </si>
  <si>
    <t>GS - GENERAL SERVICE NON-DEMAND</t>
  </si>
  <si>
    <t>FUEL CHARGE</t>
  </si>
  <si>
    <t>GSD - GENERAL SERVICE DEMAND</t>
  </si>
  <si>
    <t>GSDT</t>
  </si>
  <si>
    <t>GSD OPT.</t>
  </si>
  <si>
    <t>BILLING</t>
  </si>
  <si>
    <t xml:space="preserve">PEAK </t>
  </si>
  <si>
    <t>ON-PEAK</t>
  </si>
  <si>
    <t>OFF-PEAK</t>
  </si>
  <si>
    <t>SUPER OFF-PEAK</t>
  </si>
  <si>
    <t xml:space="preserve">Notes: </t>
  </si>
  <si>
    <t>A.  The kWh for each kW group is based on 20, 35, 60, and 90% load factors (LF).</t>
  </si>
  <si>
    <t xml:space="preserve">B.  Charges at 20% LF are based on the GSD Option rate; 35% and 60% LF charges are based on the standard rate; and 90% LF charges are based on the TOD rate.  </t>
  </si>
  <si>
    <t xml:space="preserve">C.  All calculations assume meter and service at secondary voltage.   </t>
  </si>
  <si>
    <t xml:space="preserve">D.  Present TOD energy charges assume 25/75 on/off-peak % for 90% LF. Proposed TOD energy charges assume 25/40/35 on/off-peak/super off-peak % for 90% LF.  </t>
  </si>
  <si>
    <t>E.  Peak demand to billing demand ratios are assumed to be 99% at 90% LF.</t>
  </si>
  <si>
    <t xml:space="preserve">G.  Present and proposed cost recovery clause factors are the approved January 2024 factors.  </t>
  </si>
  <si>
    <t xml:space="preserve">GSLDPR/GSLDTPR- GENERAL SERVICE LARGE DEMAND/ TOU/ PRIMARY SERVED </t>
  </si>
  <si>
    <t>GSLDTPR</t>
  </si>
  <si>
    <t>BILLING DEMAND</t>
  </si>
  <si>
    <t>PEAK DEMAND CHARGE</t>
  </si>
  <si>
    <t>A.  The kWh for each kW group is based on 35, 60, and 90% load factors (LF).</t>
  </si>
  <si>
    <t>B.  Charges at 35% and 60% LF are based on standard rates and charges at  90% LF are based on TOD rates.  Peak demand to billing demand ratios are assumed to be 99% at 90% LF.</t>
  </si>
  <si>
    <t>C.  Calculations assume meter and service at primary voltage and a power factor of 85%.</t>
  </si>
  <si>
    <t xml:space="preserve">D.  Present TOD energy charges assume 25/75 on/off-peak % for 90% LF.  Proposed TOD energy charges assume 25/40/35 on/off-peak/super off-peak % for 90% LF.  </t>
  </si>
  <si>
    <t xml:space="preserve">E.  Present and proposed cost recovery clause factors are the approved January 2024 factors. </t>
  </si>
  <si>
    <t xml:space="preserve">GSLDSU/GSLDTSU- GENERAL SERVICE LARGE DEMAND/ TOU/ SUBTRANSMISSION SERVED </t>
  </si>
  <si>
    <t>GSLDTSU</t>
  </si>
  <si>
    <t>Supporting Schedules:  E-13c, E-14 Supplement</t>
  </si>
  <si>
    <t>Recap Schedules:</t>
  </si>
  <si>
    <t>Current minus Scenario Revenue Deficiency</t>
  </si>
  <si>
    <t>Currently Proposed</t>
  </si>
  <si>
    <t>BASE REVENUE BY RATE SCHEDULE - CALCULATIONS</t>
  </si>
  <si>
    <t>Manual Input Target</t>
  </si>
  <si>
    <t>Percent Increase</t>
  </si>
  <si>
    <t>Achieved Target</t>
  </si>
  <si>
    <t xml:space="preserve">                  Rate Schedule</t>
  </si>
  <si>
    <t>RS, RSVP-1</t>
  </si>
  <si>
    <t>Type of</t>
  </si>
  <si>
    <t>Present Revenue Calculation</t>
  </si>
  <si>
    <t>Proposed Revenue Calculation</t>
  </si>
  <si>
    <t>Revenue</t>
  </si>
  <si>
    <t>Revenue Percent</t>
  </si>
  <si>
    <t>Billing Determinant</t>
  </si>
  <si>
    <t>Rate Description</t>
  </si>
  <si>
    <t>Charges</t>
  </si>
  <si>
    <t>Units</t>
  </si>
  <si>
    <t>Charge/Unit</t>
  </si>
  <si>
    <t>$ Revenue</t>
  </si>
  <si>
    <t>Difference</t>
  </si>
  <si>
    <t>Monthly_DailyCustomers_Forecast.RS</t>
  </si>
  <si>
    <t>RS Basic Service Charge</t>
  </si>
  <si>
    <t>Days</t>
  </si>
  <si>
    <t>Monthly_DailyCustomers_Forecast.RSVP</t>
  </si>
  <si>
    <t>RSVP Basic Service Charge</t>
  </si>
  <si>
    <t xml:space="preserve"> RSVP-1</t>
  </si>
  <si>
    <t xml:space="preserve">Total </t>
  </si>
  <si>
    <t xml:space="preserve"> Total Days</t>
  </si>
  <si>
    <t xml:space="preserve"> Energy Charge:</t>
  </si>
  <si>
    <t>BillDeter_RS.Tier_1</t>
  </si>
  <si>
    <t>RS Tier 1 Energy Charge</t>
  </si>
  <si>
    <t>First 1,000 kWh</t>
  </si>
  <si>
    <t>kWh</t>
  </si>
  <si>
    <t>BillDeter_RS.Tier_2</t>
  </si>
  <si>
    <t>RS Tier 2 Energy Charge</t>
  </si>
  <si>
    <t>All additional kWh</t>
  </si>
  <si>
    <t>Monthly_Sales_Forecast.RSVP</t>
  </si>
  <si>
    <t>RSVP Energy Charge</t>
  </si>
  <si>
    <t>SunSelect_kWh.RS_Tier1</t>
  </si>
  <si>
    <t>Sun Select Energy Charge</t>
  </si>
  <si>
    <t>SSR-1 (Sun Select)**</t>
  </si>
  <si>
    <t>Bills</t>
  </si>
  <si>
    <t>New Program</t>
  </si>
  <si>
    <t>AMI Opt-Out</t>
  </si>
  <si>
    <t xml:space="preserve">Total Base Revenue: </t>
  </si>
  <si>
    <t>**Sun Select kWh are excluded from total kWh</t>
  </si>
  <si>
    <t>Recap Schedules:  E-13a</t>
  </si>
  <si>
    <t>GS, GST</t>
  </si>
  <si>
    <t>Monthly_DailyCustomers_Forecast.GS</t>
  </si>
  <si>
    <t>GS Metered Basic Service Charge</t>
  </si>
  <si>
    <t>Standard Metered</t>
  </si>
  <si>
    <t>Monthly_DailyCustomers_Forecast.GSUnMetered</t>
  </si>
  <si>
    <t>GS Unmetered Basic Service Charge</t>
  </si>
  <si>
    <t>Monthly_DailyCustomers_Forecast.GST</t>
  </si>
  <si>
    <t>GST Basic Service Charge</t>
  </si>
  <si>
    <t>T-O-D</t>
  </si>
  <si>
    <t>Total Days</t>
  </si>
  <si>
    <t>Monthly_Sales_Forecast.GS</t>
  </si>
  <si>
    <t>GS Metered Energy Charge</t>
  </si>
  <si>
    <t>Monthly_Sales_Forecast.GSUnMetered</t>
  </si>
  <si>
    <t>GS Unmetered Energy Charge</t>
  </si>
  <si>
    <t>BillDeter_GST.Energy_On</t>
  </si>
  <si>
    <t>GST On-Peak Energy Charge</t>
  </si>
  <si>
    <t>T-O-D On-Peak</t>
  </si>
  <si>
    <t>BillDeter_GST.Energy_Off</t>
  </si>
  <si>
    <t>GST Off-Peak Energy Charge</t>
  </si>
  <si>
    <t>T-O-D Off-Peak</t>
  </si>
  <si>
    <t>BillDeter_GST.Energy_Off2</t>
  </si>
  <si>
    <t>GST Super Off-Peak Energy Charge</t>
  </si>
  <si>
    <t>T-O-D Super Off-Peak</t>
  </si>
  <si>
    <t>SunSelect_kWh.GS</t>
  </si>
  <si>
    <t>GS Sun Select Energy Charge</t>
  </si>
  <si>
    <t>Emergency Relay Charge:</t>
  </si>
  <si>
    <t>BillDeter_GS.EmergRelay_GS</t>
  </si>
  <si>
    <t>GS Emergency Relay Charge</t>
  </si>
  <si>
    <t>BillDeter_GS.EmergRelay_GST</t>
  </si>
  <si>
    <t>GST Emergency Relay Charge</t>
  </si>
  <si>
    <t>Monthly_DailyCustomers_Forecast.CS</t>
  </si>
  <si>
    <t>CS Basic Service Charge</t>
  </si>
  <si>
    <t>Monthly_Sales_Forecast.CS</t>
  </si>
  <si>
    <t>CS Energy Charge</t>
  </si>
  <si>
    <t>GSD,GSDT</t>
  </si>
  <si>
    <t>Secondary BD</t>
  </si>
  <si>
    <t>Monthly_DailyCustomers_Forecast.RSD</t>
  </si>
  <si>
    <t>BillDeter_GSD.Customer_SEC</t>
  </si>
  <si>
    <t>GSD Basic Service Charge Secondary</t>
  </si>
  <si>
    <t xml:space="preserve">   Standard - Secondary</t>
  </si>
  <si>
    <t>BillDeter_GSD.Customer_PRI</t>
  </si>
  <si>
    <t>GSD Basic Service Charge Primary</t>
  </si>
  <si>
    <t xml:space="preserve">   Standard - Primary</t>
  </si>
  <si>
    <t>BillDeter_GSD.Customer_SUB</t>
  </si>
  <si>
    <t>GSD Basic Service Charge Subtransmission</t>
  </si>
  <si>
    <t>Standard - Subtransmission</t>
  </si>
  <si>
    <t>BillDeter_GSDT.Customer_SEC</t>
  </si>
  <si>
    <t>GSDT Basic Service Charge Secondary</t>
  </si>
  <si>
    <t xml:space="preserve">    T-O-D - Secondary</t>
  </si>
  <si>
    <t>BillDeter_GSDT.Customer_PRI</t>
  </si>
  <si>
    <t>GSDT Basic Service Charge Primary</t>
  </si>
  <si>
    <t xml:space="preserve">    T-O-D - Primary</t>
  </si>
  <si>
    <t>BillDeter_GSDT.Customer_SUB</t>
  </si>
  <si>
    <t>GSDT Basic Service Charge Subtransmission</t>
  </si>
  <si>
    <t>T-O-D - Subtransmission</t>
  </si>
  <si>
    <t>Monthly_Sales_Forecast.RSD</t>
  </si>
  <si>
    <t>BillDeter_GSD.Energy_SEC</t>
  </si>
  <si>
    <t>GSD Energy Charge Secondary</t>
  </si>
  <si>
    <t>BillDeter_GSD.Energy_PRI</t>
  </si>
  <si>
    <t>GSD Energy Charge Primary</t>
  </si>
  <si>
    <t>BillDeter_GSD.Energy_SUB</t>
  </si>
  <si>
    <t>GSD Energy Charge Subtransmission</t>
  </si>
  <si>
    <t>BillDeter_GSDT.Energy_On_SEC</t>
  </si>
  <si>
    <t>GSDT On-Peak Energy Charge Secondary</t>
  </si>
  <si>
    <t xml:space="preserve">   T-O-D On-Peak - Secondary</t>
  </si>
  <si>
    <t>BillDeter_GSDT.Energy_On_PRI</t>
  </si>
  <si>
    <t>GSDT On-Peak Energy Charge Primary</t>
  </si>
  <si>
    <t xml:space="preserve">   T-O-D On-Peak - Primary</t>
  </si>
  <si>
    <t>BillDeter_GSDT.Energy_On_SUB</t>
  </si>
  <si>
    <t>GSDT On-Peak Energy Charge Subtransmission</t>
  </si>
  <si>
    <t xml:space="preserve">   T-O-D On-Peak - Subtrans.</t>
  </si>
  <si>
    <t>BillDeter_GSDT.Energy_Off_SEC</t>
  </si>
  <si>
    <t>GSDT Off-Peak Energy Charge Secondary</t>
  </si>
  <si>
    <t xml:space="preserve">   T-O-D Off-Peak - Secondary</t>
  </si>
  <si>
    <t>BillDeter_GSDT.Energy_Off_PRI</t>
  </si>
  <si>
    <t>GSDT Off-Peak Energy Charge Primary</t>
  </si>
  <si>
    <t xml:space="preserve">   T-O-D Off-Peak - Primary</t>
  </si>
  <si>
    <t>BillDeter_GSDT.Energy_Off_SUB</t>
  </si>
  <si>
    <t>GSDT Off-Peak Energy Charge Subtransmission</t>
  </si>
  <si>
    <t xml:space="preserve">   T-O-D Off-Peak - Subtrans.</t>
  </si>
  <si>
    <t>BillDeter_GSDT.Energy_Off2_SEC</t>
  </si>
  <si>
    <t>GSDT Super Off-Peak Energy Charge Secondary</t>
  </si>
  <si>
    <t xml:space="preserve">   T-O-D Super Off-Peak - Secondary</t>
  </si>
  <si>
    <t>BillDeter_GSDT.Energy_Off2_PRI</t>
  </si>
  <si>
    <t>GSDT Super Off-Peak Energy Charge Primary</t>
  </si>
  <si>
    <t xml:space="preserve">   T-O-D Super Off-Peak - Primary</t>
  </si>
  <si>
    <t>BillDeter_GSDT.Energy_Off2_SUB</t>
  </si>
  <si>
    <t>GSDT Super Off-Peak Energy Charge Subtransmission</t>
  </si>
  <si>
    <t xml:space="preserve">   T-O-D Super Off-Peak - Subtrans.</t>
  </si>
  <si>
    <t>SunSelect_kWh.GSD_Secondary</t>
  </si>
  <si>
    <t>GSD Sun Select Energy Charge</t>
  </si>
  <si>
    <t>BillDeter_RSD.Billing_kW</t>
  </si>
  <si>
    <t>BillDeter_GSD.Billing_kw_SEC</t>
  </si>
  <si>
    <t>GSD Demand Charge Secondary</t>
  </si>
  <si>
    <t>kW</t>
  </si>
  <si>
    <t>BillDeter_GSD.Billing_kw_PRI</t>
  </si>
  <si>
    <t>GSD Demand Charge Primary</t>
  </si>
  <si>
    <t>BillDeter_GSD.Billing_kw_SUB</t>
  </si>
  <si>
    <t>GSD Demand Charge Subtransmission</t>
  </si>
  <si>
    <t>BillDeter_GSDT.Billing_kw_SEC</t>
  </si>
  <si>
    <t>GSDT Billing Demand Charge Secondary</t>
  </si>
  <si>
    <t xml:space="preserve">   T-O-D Billing - Secondary</t>
  </si>
  <si>
    <t>BillDeter_GSDT.Billing_kw_PRI</t>
  </si>
  <si>
    <t>GSDT Billing Demand Charge Primary</t>
  </si>
  <si>
    <t xml:space="preserve">   T-O-D Billing - Primary</t>
  </si>
  <si>
    <t>BillDeter_GSDT.Billing_kw_SUB</t>
  </si>
  <si>
    <t>GSDT Billing Demand Charge Subtransmission</t>
  </si>
  <si>
    <t xml:space="preserve">   T-O-D Billing - Subtrans.</t>
  </si>
  <si>
    <t>BillDeter_GSDT.Peak_kw_SEC</t>
  </si>
  <si>
    <t>GSDT Peak Demand Charge Secondary</t>
  </si>
  <si>
    <t xml:space="preserve">   T-O-D Peak - Secondary</t>
  </si>
  <si>
    <t>kW  (1)</t>
  </si>
  <si>
    <t>BillDeter_GSDT.Peak_kw_PRI</t>
  </si>
  <si>
    <t>GSDT Peak Demand Charge Primary</t>
  </si>
  <si>
    <t xml:space="preserve">   T-O-D Peak - Primary</t>
  </si>
  <si>
    <t>BillDeter_GSDT.Peak_kw_SUB</t>
  </si>
  <si>
    <t>GSDT Peak Demand Charge Subtransmission</t>
  </si>
  <si>
    <t xml:space="preserve">   T-O-D Peak - Subtrans.</t>
  </si>
  <si>
    <t>Continued from Page 5</t>
  </si>
  <si>
    <t>BillDeter_GSD.TxOwn_kw_PRI</t>
  </si>
  <si>
    <t>GSD Delivery Voltage Credit Primary</t>
  </si>
  <si>
    <t xml:space="preserve">   Standard Primary</t>
  </si>
  <si>
    <t>BillDeter_GSD.TxOwn_kw_SUB</t>
  </si>
  <si>
    <t>GSD Delivery Voltage Credit Subtransmission</t>
  </si>
  <si>
    <t>BillDeter_GSDT.TxOwn_kw_PRI</t>
  </si>
  <si>
    <t>GSDT Delivery Voltage Credit Primary</t>
  </si>
  <si>
    <t xml:space="preserve">   T-O-D Primary</t>
  </si>
  <si>
    <t>BillDeter_GSDT.TxOwn_kw_SUB</t>
  </si>
  <si>
    <t>GSDT Delivery Voltage Credit Subtransmission</t>
  </si>
  <si>
    <t>T-O-D Subtransmission</t>
  </si>
  <si>
    <t>BillDeter_GSD.EmergRelay_SEC</t>
  </si>
  <si>
    <t>GSD Emergency Relay Charge Secondary</t>
  </si>
  <si>
    <t xml:space="preserve">   Standard Secondary</t>
  </si>
  <si>
    <t>BillDeter_GSD.EmergRelay_PRI</t>
  </si>
  <si>
    <t>GSD Emergency Relay Charge Primary</t>
  </si>
  <si>
    <t>BillDeter_GSD.EmergRelay_SUB</t>
  </si>
  <si>
    <t>GSD Emergency Relay Charge Subtransmission</t>
  </si>
  <si>
    <t>BillDeter_GSDT.EmergRelay_SEC</t>
  </si>
  <si>
    <t>GSDT Emergency Relay Charge Secondary</t>
  </si>
  <si>
    <t xml:space="preserve">   T-O-D Secondary</t>
  </si>
  <si>
    <t>BillDeter_GSDT.EmergRelay_PRI</t>
  </si>
  <si>
    <t>GSDT Emergency Relay Charge Primary</t>
  </si>
  <si>
    <t>BillDeter_GSDT.EmergRelay_SUB</t>
  </si>
  <si>
    <t>GSDT Emergency Relay Charge Subtransmission</t>
  </si>
  <si>
    <t>GSD Meter Level Discount Primary</t>
  </si>
  <si>
    <t>$</t>
  </si>
  <si>
    <t>GSD Meter Level Discount Subtransmission</t>
  </si>
  <si>
    <t>GSDT Meter Level Discount Primary</t>
  </si>
  <si>
    <t>GSDT Meter Level Discount Subtransmission</t>
  </si>
  <si>
    <t>EDR/CISR Credit</t>
  </si>
  <si>
    <t xml:space="preserve">GSD Optional </t>
  </si>
  <si>
    <t>BillDeter_GSD_Option.Customer_SEC</t>
  </si>
  <si>
    <t>GSDO Basic Service Charge Secondary</t>
  </si>
  <si>
    <t>Optional - Secondary</t>
  </si>
  <si>
    <t>BillDeter_GSD_Option.Customer_PRI</t>
  </si>
  <si>
    <t>GSDO Basic Service Charge Primary</t>
  </si>
  <si>
    <t>Optional - Primary</t>
  </si>
  <si>
    <t>BillDeter_GSD_Option.Customer_SUB</t>
  </si>
  <si>
    <t>GSDO Basic Service Charge Subtransmission</t>
  </si>
  <si>
    <t xml:space="preserve">Optional - Subtransmission </t>
  </si>
  <si>
    <t>BillDeter_GSD_Option.Energy_SEC</t>
  </si>
  <si>
    <t>GSDO Energy Charge Secondary</t>
  </si>
  <si>
    <t>BillDeter_GSD_Option.Energy_PRI</t>
  </si>
  <si>
    <t>GSDO Energy Charge Primary</t>
  </si>
  <si>
    <t>BillDeter_GSD_Option.Energy_SUB</t>
  </si>
  <si>
    <t>GSDO Energy Charge Subtransmission</t>
  </si>
  <si>
    <t>BillDeter_GSD_Option.Billing_kw_SEC</t>
  </si>
  <si>
    <t>GSDO Demand Charge Secondary</t>
  </si>
  <si>
    <t>BillDeter_GSD_Option.Billing_kw_PRI</t>
  </si>
  <si>
    <t>GSDO Demand Charge Primary</t>
  </si>
  <si>
    <t>BillDeter_GSD_Option.Billing_kw_SUB</t>
  </si>
  <si>
    <t>GSDO Demand Charge Subtransmission</t>
  </si>
  <si>
    <t>Delivery Voltage Credit</t>
  </si>
  <si>
    <t>BillDeter_GSD_Option.TxOwn_kwh_PRI</t>
  </si>
  <si>
    <t>GSDO Delivery Voltage Credit Primary</t>
  </si>
  <si>
    <t>BillDeter_GSD_Option.TxOwn_kwh_SUB</t>
  </si>
  <si>
    <t>GSDO Delivery Voltage Credit Subtransmission</t>
  </si>
  <si>
    <t>Emergency Relay</t>
  </si>
  <si>
    <t>BillDeter_GSD_Option.EmergRelay_SEC</t>
  </si>
  <si>
    <t>GSDO Emergency Relay Charge Secondary</t>
  </si>
  <si>
    <t>BillDeter_GSD_Option.EmergRelay_PRI</t>
  </si>
  <si>
    <t>GSDO Emergency Relay Charge Primary</t>
  </si>
  <si>
    <t>BillDeter_GSD_Option.EmergRelay_SUB</t>
  </si>
  <si>
    <t>GSDO Emergency Relay Charge Subtransmission</t>
  </si>
  <si>
    <t>Meter Voltage Adjustment</t>
  </si>
  <si>
    <t>GSDO Meter Level Discount Primary</t>
  </si>
  <si>
    <t>GSDO Meter Level Discount Subtransmission</t>
  </si>
  <si>
    <t>BillDeter_SBD.Customer_SEC</t>
  </si>
  <si>
    <t>SBD Basic Service Charge Secondary</t>
  </si>
  <si>
    <t>BillDeter_SBD.Customer_PRI</t>
  </si>
  <si>
    <t>SBD Basic Service Charge Primary</t>
  </si>
  <si>
    <t>BillDeter_SBD.Customer_SUB</t>
  </si>
  <si>
    <t>SBD Basic Service Charge Subtransmission</t>
  </si>
  <si>
    <t>BillDeter_SBDT.Customer_SEC</t>
  </si>
  <si>
    <t>SBDT Basic Service Charge Secondary</t>
  </si>
  <si>
    <t xml:space="preserve">    T-O-D Secondary</t>
  </si>
  <si>
    <t>BillDeter_SBDT.Customer_PRI</t>
  </si>
  <si>
    <t>SBDT Basic Service Charge Primary</t>
  </si>
  <si>
    <t xml:space="preserve">    T-O-D Primary </t>
  </si>
  <si>
    <t>BillDeter_SBDT.Customer_SUB</t>
  </si>
  <si>
    <t>SBDT Basic Service Charge Subtransmission</t>
  </si>
  <si>
    <t xml:space="preserve">    T-O-D Subtransmission</t>
  </si>
  <si>
    <t xml:space="preserve">      Total</t>
  </si>
  <si>
    <t>Energy Charge - Supplemental:</t>
  </si>
  <si>
    <t>BillDeter_SBD.Energy_Supp_SEC</t>
  </si>
  <si>
    <t>SBD Supplemental Energy Charge Secondary</t>
  </si>
  <si>
    <t>BillDeter_SBD.Energy_Supp_PRI</t>
  </si>
  <si>
    <t>SBD Supplemental Energy Charge Primary</t>
  </si>
  <si>
    <t>BillDeter_SBD.Energy_Supp_SUB</t>
  </si>
  <si>
    <t>SBD Supplemental Energy Charge Subtransmission</t>
  </si>
  <si>
    <t>BillDeter_SBDT.Energy_SUPP_On_SEC</t>
  </si>
  <si>
    <t>SBDT Supplemental On-Peak Energy Charge Secondary</t>
  </si>
  <si>
    <t xml:space="preserve">    T-O-D On-Peak - Secondary</t>
  </si>
  <si>
    <t>BillDeter_SBDT.Energy_SUPP_On_PRI</t>
  </si>
  <si>
    <t>SBDT Supplemental On-Peak Energy Charge Primary</t>
  </si>
  <si>
    <t xml:space="preserve">    T-O-D On-Peak - Primary</t>
  </si>
  <si>
    <t>BillDeter_SBDT.Energy_SUPP_On_SUB</t>
  </si>
  <si>
    <t>SBDT Supplemental On-Peak Energy Charge Subtransmission</t>
  </si>
  <si>
    <t xml:space="preserve">    T-O-D On-Peak - Subtrans.</t>
  </si>
  <si>
    <t>BillDeter_SBDT.Energy_SUPP_Off_SEC</t>
  </si>
  <si>
    <t>SBDT Supplemental Off-Peak Energy Charge Secondary</t>
  </si>
  <si>
    <t xml:space="preserve">    T-O-D Off-Peak - Secondary</t>
  </si>
  <si>
    <t>BillDeter_SBDT.Energy_SUPP_Off_PRI</t>
  </si>
  <si>
    <t>SBDT Supplemental Off-Peak Energy Charge Primary</t>
  </si>
  <si>
    <t xml:space="preserve">    T-O-D Off-Peak - Primary</t>
  </si>
  <si>
    <t>BillDeter_SBDT.Energy_SUPP_Off_SUB</t>
  </si>
  <si>
    <t>SBDT Supplemental Off-Peak Energy Charge Subtransmission</t>
  </si>
  <si>
    <t xml:space="preserve">    T-O-D Off-Peak - Subtrans.</t>
  </si>
  <si>
    <t>BillDeter_SBDT.Energy_SUPP_Off2_SEC</t>
  </si>
  <si>
    <t>SBDT Supplemental Super Off-Peak Energy Charge Secondary</t>
  </si>
  <si>
    <t xml:space="preserve">    T-O-D Super Off-Peak - Secondary</t>
  </si>
  <si>
    <t>BillDeter_SBDT.Energy_SUPP_Off2_PRI</t>
  </si>
  <si>
    <t>SBDT Supplemental Super Off-Peak Energy Charge Primary</t>
  </si>
  <si>
    <t xml:space="preserve">    T-O-D Super Off-Peak - Primary</t>
  </si>
  <si>
    <t>BillDeter_SBDT.Energy_SUPP_Off2_SUB</t>
  </si>
  <si>
    <t>SBDT Supplemental Super Off-Peak Energy Charge Subtransmission</t>
  </si>
  <si>
    <t xml:space="preserve">    T-O-D Super Off-Peak - Subtrans.</t>
  </si>
  <si>
    <t>Energy Charge - Standby:</t>
  </si>
  <si>
    <t>BillDeter_SBD.Energy_SB_SEC</t>
  </si>
  <si>
    <t>SBD Standby Energy Charge Secondary</t>
  </si>
  <si>
    <t xml:space="preserve">    Standard Secondary</t>
  </si>
  <si>
    <t>BillDeter_SBD.Energy_SB_PRI</t>
  </si>
  <si>
    <t>SBD Standby Energy Charge Primary</t>
  </si>
  <si>
    <t xml:space="preserve">    Standard Primary</t>
  </si>
  <si>
    <t>BillDeter_SBD.Energy_SB_SUB</t>
  </si>
  <si>
    <t>SBD Standby Energy Charge Subtransmission</t>
  </si>
  <si>
    <t xml:space="preserve">    Standard Subtransmission</t>
  </si>
  <si>
    <t>BillDeter_SBDT.Energy_SB_On_SEC</t>
  </si>
  <si>
    <t>SBDT Standby On-Peak Energy Charge Secondary</t>
  </si>
  <si>
    <t xml:space="preserve">    T-O-D On-Peak -Secondary</t>
  </si>
  <si>
    <t>BillDeter_SBDT.Energy_SB_On_PRI</t>
  </si>
  <si>
    <t>SBDT Standby On-Peak Energy Charge Primary</t>
  </si>
  <si>
    <t>BillDeter_SBDT.Energy_SB_On_SUB</t>
  </si>
  <si>
    <t>SBDT Standby On-Peak Energy Charge Subtransmission</t>
  </si>
  <si>
    <t>BillDeter_SBDT.Energy_SB_Off_SEC</t>
  </si>
  <si>
    <t>SBDT Standby Off-Peak Energy Charge Secondary</t>
  </si>
  <si>
    <t xml:space="preserve">    T-O-D Off-Peak -Secondary</t>
  </si>
  <si>
    <t>BillDeter_SBDT.Energy_SB_Off_PRI</t>
  </si>
  <si>
    <t>SBDT Standby Off-Peak Energy Charge Primary</t>
  </si>
  <si>
    <t>BillDeter_SBDT.Energy_SB_Off_SUB</t>
  </si>
  <si>
    <t>SBDT Standby Off-Peak Energy Charge Subtransmission</t>
  </si>
  <si>
    <t>SBDT Standby Super Off-Peak Energy Charge Secondary</t>
  </si>
  <si>
    <t xml:space="preserve">    T-O-D Super Off-Peak -Secondary</t>
  </si>
  <si>
    <t>SBDT Standby Super Off-Peak Energy Charge Primary</t>
  </si>
  <si>
    <t>BillDeter_SBDT.Energy_SB_OffPk2</t>
  </si>
  <si>
    <t>SBDT Standby Super Off-Peak Energy Charge Subtransmission</t>
  </si>
  <si>
    <t>Continued from Page 14</t>
  </si>
  <si>
    <t>Demand Charge - Supplemental:</t>
  </si>
  <si>
    <t>BillDeter_SBD.SUPP_Billing_kw_SEC</t>
  </si>
  <si>
    <t>SBD Supplemental Demand Charge Secondary</t>
  </si>
  <si>
    <t>BillDeter_SBD.SUPP_Billing_kw_PRI</t>
  </si>
  <si>
    <t>SBD Supplemental Demand Charge Primary</t>
  </si>
  <si>
    <t>BillDeter_SBD.SUPP_Billing_kw_SUB</t>
  </si>
  <si>
    <t>SBD Supplemental Demand Charge Subtransmission</t>
  </si>
  <si>
    <t>BillDeter_SBDT.SUPP_Billing_kw_SEC</t>
  </si>
  <si>
    <t>SBDT Supplemental Billing Demand Secondary</t>
  </si>
  <si>
    <t xml:space="preserve">    T-O-D Billing - Secondary</t>
  </si>
  <si>
    <t>BillDeter_SBDT.SUPP_Billing_kw_PRI</t>
  </si>
  <si>
    <t>SBDT Supplemental Billing Demand Primary</t>
  </si>
  <si>
    <t xml:space="preserve">    T-O-D Billing - Primary </t>
  </si>
  <si>
    <t>BillDeter_SBDT.SUPP_Billing_kw_SUB</t>
  </si>
  <si>
    <t>SBDT Supplemental Billing Demand Subtransmission</t>
  </si>
  <si>
    <t xml:space="preserve">    T-O-D billing - Subtransmission</t>
  </si>
  <si>
    <t>BillDeter_SBDT.SUPP_Peak_kw_SEC</t>
  </si>
  <si>
    <t>SBDT Supplemental Peak Demand Secondary</t>
  </si>
  <si>
    <t xml:space="preserve">    T-O-D Peak - Secondary</t>
  </si>
  <si>
    <t>BillDeter_SBDT.SUPP_Peak_kw_PRI</t>
  </si>
  <si>
    <t>SBDT Supplemental Peak Demand Primary</t>
  </si>
  <si>
    <t xml:space="preserve">    T-O-D Peak - Primary</t>
  </si>
  <si>
    <t>BillDeter_SBDT.SUPP_Peak_kw_SUB</t>
  </si>
  <si>
    <t>SBDT Supplemental Peak Demand Subtransmission</t>
  </si>
  <si>
    <t xml:space="preserve">    T-O-D Peak - Subtransmission</t>
  </si>
  <si>
    <t>Demand Charge - Standby:</t>
  </si>
  <si>
    <t>BillDeter_SBD.SB_LFRC_kw_SEC</t>
  </si>
  <si>
    <t>SBD Local Facilities Reservation Charge Secondary</t>
  </si>
  <si>
    <t>Std. Facilities Reservation - Sec.</t>
  </si>
  <si>
    <t>BillDeter_SBD.SB_LFRC_kw_PRI</t>
  </si>
  <si>
    <t>SBD Local Facilities Reservation Charge Primary</t>
  </si>
  <si>
    <t xml:space="preserve">Std. Facilities Reservation - Pri. </t>
  </si>
  <si>
    <t>BillDeter_SBD.SB_LFRC_kw_SUB</t>
  </si>
  <si>
    <t>SBD Local Facilities Reservation Charge Subtransmission</t>
  </si>
  <si>
    <t>Std. Facilities Reservation - Sub.</t>
  </si>
  <si>
    <t>BillDeter_SBD.SB_PSRC_kw_SEC</t>
  </si>
  <si>
    <t>SBD Power Supply Reservation Charge Secondary</t>
  </si>
  <si>
    <t>Std. Power Supply Res. - Sec.</t>
  </si>
  <si>
    <t>kW (1)</t>
  </si>
  <si>
    <t xml:space="preserve"> kW-mo. </t>
  </si>
  <si>
    <t>BillDeter_SBD.SB_PSRC_kw_PRI</t>
  </si>
  <si>
    <t>SBD Power Supply Reservation Charge Primary</t>
  </si>
  <si>
    <t>Std. Power Supply Res. - Pri.</t>
  </si>
  <si>
    <t>BillDeter_SBD.SB_PSRC_kw_SUB</t>
  </si>
  <si>
    <t>SBD Power Supply Reservation Charge Subtransmission</t>
  </si>
  <si>
    <t>Std. Power Supply Res. - Sub.</t>
  </si>
  <si>
    <t>BillDeter_SBD.SB_PSDC_kw_SEC</t>
  </si>
  <si>
    <t>SBD Power Supply Demand Charge Secondary</t>
  </si>
  <si>
    <t>Std. Power Supply Dmd. - Sec.</t>
  </si>
  <si>
    <t xml:space="preserve"> kW-day </t>
  </si>
  <si>
    <t>BillDeter_SBD.SB_PSDC_kw_PRI</t>
  </si>
  <si>
    <t>SBD Power Supply Demand Charge Primary</t>
  </si>
  <si>
    <t>Std. Power Supply Dmd. - Pri.</t>
  </si>
  <si>
    <t>BillDeter_SBD.SB_PSDC_kw_SUB</t>
  </si>
  <si>
    <t>SBD Power Supply Demand Charge Subtransmission</t>
  </si>
  <si>
    <t>Std. Power Supply Dmd. - Sub.</t>
  </si>
  <si>
    <t>BillDeter_SBDT.SB_LFRC_kw_SEC</t>
  </si>
  <si>
    <t>SBDT Local Facilities Reservation Charge Secondary</t>
  </si>
  <si>
    <t>T-O-D Facilities Reservation - Sec.</t>
  </si>
  <si>
    <t>BillDeter_SBDT.SB_LFRC_kw_PRI</t>
  </si>
  <si>
    <t>SBDT Local Facilities Reservation Charge Primary</t>
  </si>
  <si>
    <t xml:space="preserve">T-O-D Facilities Reservation - Pri. </t>
  </si>
  <si>
    <t>BillDeter_SBDT.SB_LFRC_kw_SUB</t>
  </si>
  <si>
    <t>SBDT Local Facilities Reservation Charge Subtransmission</t>
  </si>
  <si>
    <t>T-O-D Facilities Reservation - Sub.</t>
  </si>
  <si>
    <t>BillDeter_SBDT.SB_PSRC_kw_SEC</t>
  </si>
  <si>
    <t>SBDT Power Supply Reservation Charge Secondary</t>
  </si>
  <si>
    <t>T-O-D Power Supply Res. - Sec.</t>
  </si>
  <si>
    <t xml:space="preserve">/ kW-mo. </t>
  </si>
  <si>
    <t>BillDeter_SBDT.SB_PSRC_kw_PRI</t>
  </si>
  <si>
    <t>SBDT Power Supply Reservation Charge Primary</t>
  </si>
  <si>
    <t>T-O-D Power Supply Res. - Pri.</t>
  </si>
  <si>
    <t>BillDeter_SBDT.SB_PSRC_kw_SUB</t>
  </si>
  <si>
    <t>SBDT Power Supply Reservation Charge Subtransmission</t>
  </si>
  <si>
    <t>T-O-D Power Supply Res. - Sub.</t>
  </si>
  <si>
    <t>BillDeter_SBDT.SB_PSDC_kw_SEC</t>
  </si>
  <si>
    <t>SBDT Power Supply Demand Charge Secondary</t>
  </si>
  <si>
    <t>T-O-D Power Supply Dmd. - Sec.</t>
  </si>
  <si>
    <t xml:space="preserve">/ kW-day </t>
  </si>
  <si>
    <t>BillDeter_SBDT.SB_PSDC_kw_PRI</t>
  </si>
  <si>
    <t>SBDT Power Supply Demand Charge Primary</t>
  </si>
  <si>
    <t>T-O-D Power Supply Dmd. - Pri.</t>
  </si>
  <si>
    <t>BillDeter_SBDT.SB_PSDC_kw_SUB</t>
  </si>
  <si>
    <t>SBDT Power Supply Demand Charge Subtransmission</t>
  </si>
  <si>
    <t>T-O-D Power Supply Dmd. - Sub.</t>
  </si>
  <si>
    <t xml:space="preserve"> (1) Not included in Total.</t>
  </si>
  <si>
    <t>Power Factor Charge Supplemental &amp; Standby:</t>
  </si>
  <si>
    <t>BillDeter_SBD.kVarh_Chg_kw_SEC</t>
  </si>
  <si>
    <t>SBD Power Factor Charge Secondary</t>
  </si>
  <si>
    <t>kVARh</t>
  </si>
  <si>
    <t>BillDeter_SBD.kVarh_Chg_kw_PRI</t>
  </si>
  <si>
    <t>SBD Power Factor Charge Primary</t>
  </si>
  <si>
    <t>BillDeter_SBD.kVarh_Chg_kw_SUB</t>
  </si>
  <si>
    <t>SBD Power Factor Charge Subtransmission</t>
  </si>
  <si>
    <t>BillDeter_SBDT.kVarh_Chg_kw_SEC</t>
  </si>
  <si>
    <t>SBDT Power Factor Charge Secondary</t>
  </si>
  <si>
    <t>BillDeter_SBDT.kVarh_Chg_kw_PRI</t>
  </si>
  <si>
    <t>SBDT Power Factor Charge Primary</t>
  </si>
  <si>
    <t>BillDeter_SBDT.kVarh_Chg_kw_SUB</t>
  </si>
  <si>
    <t>SBDT Power Factor Charge Subtransmission</t>
  </si>
  <si>
    <t>Power Factor Credit Supplemental &amp; Standby:</t>
  </si>
  <si>
    <t>BillDeter_SBD.kVarh_Crd_kw_SEC</t>
  </si>
  <si>
    <t>SBD Power Factor Credit Secondary</t>
  </si>
  <si>
    <t>BillDeter_SBD.kVarh_Crd_kw_PRI</t>
  </si>
  <si>
    <t>SBD Power Factor Credit Primary</t>
  </si>
  <si>
    <t>BillDeter_SBD.kVarh_Crd_kw_SUB</t>
  </si>
  <si>
    <t>SBD Power Factor Credit Subtransmission</t>
  </si>
  <si>
    <t>BillDeter_SBDT.kVarh_Crd_kw_SEC</t>
  </si>
  <si>
    <t>SBDT Power Factor Credit Secondary</t>
  </si>
  <si>
    <t>BillDeter_SBDT.kVarh_Crd_kw_PRI</t>
  </si>
  <si>
    <t>SBDT Power Factor Credit Primary</t>
  </si>
  <si>
    <t>BillDeter_SBDT.kVarh_Crd_kw_SUB</t>
  </si>
  <si>
    <t>SBDT Power Factor Credit Subtransmission</t>
  </si>
  <si>
    <t>Delivery Voltage Credit - Supplemental.:</t>
  </si>
  <si>
    <t>BillDeter_SBD.TxOwn_SUPP_kw_PRI</t>
  </si>
  <si>
    <t>SBD Supplemental Delivery Voltage Credit Primary</t>
  </si>
  <si>
    <t>BillDeter_SBD.TxOwn_SUPP_kw_SUB</t>
  </si>
  <si>
    <t>SBD Supplemental Delivery Voltage Credit Subtransmission</t>
  </si>
  <si>
    <t>BillDeter_SBDT.TxOwn_SUPP_kw_PRI</t>
  </si>
  <si>
    <t>SBDT Supplemental Delivery Voltage Credit Primary</t>
  </si>
  <si>
    <t>BillDeter_SBDT.TxOwn_SUPP_kw_SUB</t>
  </si>
  <si>
    <t>SBDT Supplemental Delivery Voltage Credit Subtransmission</t>
  </si>
  <si>
    <t>Delivery Voltage Credit. - Standby.:</t>
  </si>
  <si>
    <t>BillDeter_SBD.TxOwn_SB_kw_PRI</t>
  </si>
  <si>
    <t>SBD Standby Delivery Voltage Credit Primary</t>
  </si>
  <si>
    <t xml:space="preserve">    Std.  Primary </t>
  </si>
  <si>
    <t>BillDeter_SBD.TxOwn_SB_kw_SUB</t>
  </si>
  <si>
    <t>SBD Standby Delivery Voltage Credit Subtransmission</t>
  </si>
  <si>
    <t xml:space="preserve">    Std. Subtransmission</t>
  </si>
  <si>
    <t>BillDeter_SBDT.TxOwn_SB_kw_PRI</t>
  </si>
  <si>
    <t>SBDT Standby Delivery Voltage Credit Primary</t>
  </si>
  <si>
    <t>BillDeter_SBDT.TxOwn_SB_kw_SUB</t>
  </si>
  <si>
    <t>SBDT Standby Delivery Voltage Credit Subtransmission</t>
  </si>
  <si>
    <t>Continued from Page 15</t>
  </si>
  <si>
    <t>Emergency Relay Charge - Supplemental and Standby.</t>
  </si>
  <si>
    <t>BillDeter_SBD.EmergRelay_SEC</t>
  </si>
  <si>
    <t>SBD Emergency Relay Power Supply Charge Secondary</t>
  </si>
  <si>
    <t>BillDeter_SBD.EmergRelay_PRI</t>
  </si>
  <si>
    <t>SBD Emergency Relay Power Supply Charge Primary</t>
  </si>
  <si>
    <t>BillDeter_SBD.EmergRelay_SUB</t>
  </si>
  <si>
    <t>SBD Emergency Relay Power Supply Charge Subtransmission</t>
  </si>
  <si>
    <t>BillDeter_SBDT.EmergRelay_SEC</t>
  </si>
  <si>
    <t>SBDT Emergency Relay Power Supply Charge Secondary</t>
  </si>
  <si>
    <t>BillDeter_SBDT.EmergRelay_PRI</t>
  </si>
  <si>
    <t>SBDT Emergency Relay Power Supply Charge Primary</t>
  </si>
  <si>
    <t>BillDeter_SBDT.EmergRelay_SUB</t>
  </si>
  <si>
    <t>SBDT Emergency Relay Power Supply Charge Subtransmission</t>
  </si>
  <si>
    <t>Metering Voltage Adjustment - Supplemental and Stanby.:</t>
  </si>
  <si>
    <t>SBD Meter Voltage Adjustment Primary</t>
  </si>
  <si>
    <t>SBD Meter Voltage Adjustment Subtransmission</t>
  </si>
  <si>
    <t>SBDT Meter Voltage Adjustment Primary</t>
  </si>
  <si>
    <t>SBDT Meter Voltage Adjustment Subtransmission</t>
  </si>
  <si>
    <t>GSLDPR, GSDLTPR</t>
  </si>
  <si>
    <t>BillDeter_GSLD_PR.DailyCustomer</t>
  </si>
  <si>
    <t>GSLDPR Basic Service Charge</t>
  </si>
  <si>
    <t>BillDeter_GSLDT_PR.Daily Customer</t>
  </si>
  <si>
    <t>GSLDTPR Basic Service Charge</t>
  </si>
  <si>
    <t>BillDeter_GSLD_PR.Energy</t>
  </si>
  <si>
    <t>GSLDPR Energy Charge</t>
  </si>
  <si>
    <t>BillDeter_GSLDT_PR.Energy_OnPk</t>
  </si>
  <si>
    <t>GSLDTPR On-Peak Energy Charge</t>
  </si>
  <si>
    <t>BillDeter_GSLDT_PR.Energy_OffPk</t>
  </si>
  <si>
    <t>GSLDTPR Off-Peak Energy Charge</t>
  </si>
  <si>
    <t>BillDeter_GSLDT_PR.Energy_OffPk2</t>
  </si>
  <si>
    <t>GSLDTPR Super Off-Peak Energy Charge</t>
  </si>
  <si>
    <t>BillDeter_GSLD_PR.Billing_kW</t>
  </si>
  <si>
    <t>GSLDPR Demand Charge</t>
  </si>
  <si>
    <t>BillDeter_GSLDT_PR.Billing_kW</t>
  </si>
  <si>
    <t>GSLDTPR Billing Demand Charge</t>
  </si>
  <si>
    <t>BillDeter_GSLDT_PR.Peak_kw</t>
  </si>
  <si>
    <t>GSLDTPR Peak Demand Charge</t>
  </si>
  <si>
    <t>BillDeter_GSLD_PR.EmergRelay</t>
  </si>
  <si>
    <t>GSLDPR Emergency Relay Power Supply Charge</t>
  </si>
  <si>
    <t>BillDeter_GSLDT_PR.EmergRelay</t>
  </si>
  <si>
    <t>GSLDTPR Emergency Relay Power Supply Charge</t>
  </si>
  <si>
    <t>Power Factor Charge:</t>
  </si>
  <si>
    <t>BillDeter_GSLD_PR.kVarh_Chg_kw</t>
  </si>
  <si>
    <t>GSLDPR Power Factor Charge</t>
  </si>
  <si>
    <t>BillDeter_GSLDT_PR.kVarh_Chg_kw</t>
  </si>
  <si>
    <t>GSLDTPR Power Factor Charge</t>
  </si>
  <si>
    <t>Power Factor Credit:</t>
  </si>
  <si>
    <t>BillDeter_GSLD_PR.kVarh_Crd_kw</t>
  </si>
  <si>
    <t>GSLDPR Power Factor Credit</t>
  </si>
  <si>
    <t>BillDeter_GSLDT_PR.kVarh_Crd_kw</t>
  </si>
  <si>
    <t>GSLDTPR Power Factor Credit</t>
  </si>
  <si>
    <t>GSLDPR Meter Voltage Adjustment</t>
  </si>
  <si>
    <t>GSLDTPR Meter Voltage Adjustment</t>
  </si>
  <si>
    <t>(1)  Not included in Total.</t>
  </si>
  <si>
    <t>SBLDPR,SBLDTPR</t>
  </si>
  <si>
    <t>Monthly_Customer_Forecast.SBLDPR</t>
  </si>
  <si>
    <t>SBLDPR Basic Service Charge</t>
  </si>
  <si>
    <t>Monthly_DailyCustomers_Forecast.SBLDT_PR</t>
  </si>
  <si>
    <t>SBLDTPR Basic Service Charge</t>
  </si>
  <si>
    <t>BillDeter_SBLDPR.Energy_Supp</t>
  </si>
  <si>
    <t>SBLDPR Supplemental Energy Charge</t>
  </si>
  <si>
    <t>BillDeter_SBLDT_PR.Energy_SUPP_OnPk</t>
  </si>
  <si>
    <t>SBLDTPR Supplemental On-Peak Energy Charge</t>
  </si>
  <si>
    <t>BillDeter_SBLDT_PR.Energy_SUPP_OffPk</t>
  </si>
  <si>
    <t>SBLDTPR Supplemental Off-Peak Energy Charge</t>
  </si>
  <si>
    <t>BillDeter_SBLDT_PR.Energy_SUPP_OffPk2</t>
  </si>
  <si>
    <t>SBLDTPR Supplemental Super Off-Peak Energy Charge</t>
  </si>
  <si>
    <t>total</t>
  </si>
  <si>
    <t>BillDeter_SBLDPR.Energy_SB</t>
  </si>
  <si>
    <t>SBLDPR Standby Energy Charge</t>
  </si>
  <si>
    <t>BillDeter_SBLDT_PR.Energy_SB_OnPk</t>
  </si>
  <si>
    <t>SBLDTPR Standby On-Peak Energy Charge</t>
  </si>
  <si>
    <t>BillDeter_SBLDT_PR.Energy_SB_OffPk</t>
  </si>
  <si>
    <t>SBLDTPR Standby Off-Peak Energy Charge</t>
  </si>
  <si>
    <t>BillDeter_SBLDT_PR.Energy_SB_OffPk2</t>
  </si>
  <si>
    <t>SBLDTPR Standby Super Off-Peak Energy Charge</t>
  </si>
  <si>
    <t>BillDeter_SBLDPR.SUPP_Billing_kw</t>
  </si>
  <si>
    <t>SBLDPR Supplemental Demand Charge</t>
  </si>
  <si>
    <t>BillDeter_SBLDT_PR.SUPP_Billing_kw</t>
  </si>
  <si>
    <t>SBLDTPR Supplemental Billing Demand Charge</t>
  </si>
  <si>
    <t>BillDeter_SBLDT_PR.SUPP_Peak_kw</t>
  </si>
  <si>
    <t>SBLDTPR Supplemental Peak Demand Charge</t>
  </si>
  <si>
    <t>BillDeter_SBLDPR.SB_LFRC_kw</t>
  </si>
  <si>
    <t>SBLDPR Local Facilities Reservation Charge</t>
  </si>
  <si>
    <t xml:space="preserve">   Std. Facilities Reservation - Pri. </t>
  </si>
  <si>
    <t>BillDeter_SBLDPR.SB_PSRC_kw</t>
  </si>
  <si>
    <t>SBLDPR Power Supply Reservation Charge</t>
  </si>
  <si>
    <t xml:space="preserve">   Std. Power Supply Res. - Pri.</t>
  </si>
  <si>
    <t>BillDeter_SBLDPR.SB_PSDC_kw</t>
  </si>
  <si>
    <t>SBLDPR Power Supply Demand Charge</t>
  </si>
  <si>
    <t xml:space="preserve">   Std. Power Supply Dmd. - Pri.</t>
  </si>
  <si>
    <t>BillDeter_SBLDT_PR.SB_LFRC_kw</t>
  </si>
  <si>
    <t>SBLDTPR Local Facilities Reservation Charge</t>
  </si>
  <si>
    <t>BillDeter_SBLDT_PR.SB_PSRC_kw</t>
  </si>
  <si>
    <t>SBLDTPR Power Supply Reservation Charge</t>
  </si>
  <si>
    <t>BillDeter_SBLDT_PR.SB_PSDC_kw</t>
  </si>
  <si>
    <t>SBLDTPR Power Supply Demand Charge</t>
  </si>
  <si>
    <t>BillDeter_SBLDPR.kVarh_Chg_kw</t>
  </si>
  <si>
    <t>SBLDPR Power Factor Charge</t>
  </si>
  <si>
    <t>BillDeter_SBLDT_PR.kVarh_Chg_kw</t>
  </si>
  <si>
    <t>SBLDTPR Power Factor Charge</t>
  </si>
  <si>
    <t>BillDeter_SBLDPR.kVarh_Crd_kw</t>
  </si>
  <si>
    <t>SBLDPR Power Factor Credit</t>
  </si>
  <si>
    <t>BillDeter_SBLDT_PR.kVarh_Crd_kw</t>
  </si>
  <si>
    <t>SBLDTPR Power Factor Credit</t>
  </si>
  <si>
    <t>BillDeter_SBLDPR.EmergRelay</t>
  </si>
  <si>
    <t>SBLDPR Emergency Relay Power Supply Charge</t>
  </si>
  <si>
    <t>BillDeter_SBLDT_PR.EmergRelay</t>
  </si>
  <si>
    <t>SBLDTPR Emergency Relay Power Supply Charge</t>
  </si>
  <si>
    <t>SBLDPR Meter Voltage Adjustment</t>
  </si>
  <si>
    <t>SBLDTPR Meter Voltage Adjustment</t>
  </si>
  <si>
    <t>GSLDSU, GSDLTSU</t>
  </si>
  <si>
    <t>BillDeter_GSLD_SU.DailyCustomer</t>
  </si>
  <si>
    <t>GSLDSU Basic Service Charge</t>
  </si>
  <si>
    <t xml:space="preserve">   Standard - Subtransmission</t>
  </si>
  <si>
    <t>BillDeter_GSLDT_SU.DailyCustomer</t>
  </si>
  <si>
    <t>GSLDTSU Basic Service Charge</t>
  </si>
  <si>
    <t xml:space="preserve">    T-O-D - Subtransmission</t>
  </si>
  <si>
    <t>BillDeter_GSLD_SU.Energy</t>
  </si>
  <si>
    <t>GSLDSU Energy Charge</t>
  </si>
  <si>
    <t>BillDeter_GSLDT_SU.Energy_OnPk</t>
  </si>
  <si>
    <t>GSLDTSU On-Peak Energy Charge</t>
  </si>
  <si>
    <t xml:space="preserve">   T-O-D On-Peak - Subtransmission</t>
  </si>
  <si>
    <t>BillDeter_GSLDT_SU.Energy_OffPk</t>
  </si>
  <si>
    <t>GSLDTSU Off-Peak Energy Charge</t>
  </si>
  <si>
    <t xml:space="preserve">   T-O-D Off-Peak - Subtransmission</t>
  </si>
  <si>
    <t>BillDeter_GSLDT_SU.Energy_OffPk2</t>
  </si>
  <si>
    <t>GSLDTSU Super Off-Peak Energy Charge</t>
  </si>
  <si>
    <t xml:space="preserve">   T-O-D Super Off-Peak - Subtransmission</t>
  </si>
  <si>
    <t>BillDeter_GSLD_SU.Billing_kW</t>
  </si>
  <si>
    <t>GSLDSU Demand Charge</t>
  </si>
  <si>
    <t>BillDeter_GSLDT_SU.Billing_kW</t>
  </si>
  <si>
    <t>GSLDTSU Billing Demand Charge</t>
  </si>
  <si>
    <t xml:space="preserve">   T-O-D Billing - Subtransmission</t>
  </si>
  <si>
    <t>BillDeter_GSLDT_SU.Peak_kw</t>
  </si>
  <si>
    <t>GSLDTSU Peak Demand Charge</t>
  </si>
  <si>
    <t xml:space="preserve">   T-O-D Peak - Subtransmission</t>
  </si>
  <si>
    <t>BillDeter_GSLD_SU.EmergRelay</t>
  </si>
  <si>
    <t>GSLDSU Emergency Relay Power Supply Charge</t>
  </si>
  <si>
    <t xml:space="preserve">   Standard Subtransmission</t>
  </si>
  <si>
    <t>BillDeter_GSLDT_SU.EmergRelay</t>
  </si>
  <si>
    <t>GSLDTSU Emergency Relay Power Supply Charge</t>
  </si>
  <si>
    <t xml:space="preserve">   T-O-D Subtransmission</t>
  </si>
  <si>
    <t>BillDeter_GSLD_SU.kVarh_Chg_kw</t>
  </si>
  <si>
    <t>GSLDSU Power Factor Charge</t>
  </si>
  <si>
    <t>BillDeter_GSLDT_SU.kVarh_Chg_kw</t>
  </si>
  <si>
    <t>GSLDTSU Power Factor Charge</t>
  </si>
  <si>
    <t>BillDeter_GSLD_SU.kVarh_Crd_kw</t>
  </si>
  <si>
    <t>GSLDSU Power Factor Credit</t>
  </si>
  <si>
    <t>BillDeter_GSLDT_SU.kVarh_Crd_kw</t>
  </si>
  <si>
    <t>GSLDTSU Power Factor Credit</t>
  </si>
  <si>
    <t>Monthly_Customer_Forecast.SBLDSU</t>
  </si>
  <si>
    <t>SBLDSU Basic Service Charge</t>
  </si>
  <si>
    <t>Monthly_DailyCustomers_Forecast.SBLDT_SU</t>
  </si>
  <si>
    <t>SBLDTSU Basic Service Charge</t>
  </si>
  <si>
    <t xml:space="preserve">    T-O-D Subtransmission </t>
  </si>
  <si>
    <t>BillDeter_SBLDSU.Energy_Supp</t>
  </si>
  <si>
    <t>SBLDSU Supplemental Energy Charge</t>
  </si>
  <si>
    <t>BillDeter_SBLDT_SU.Energy_SUPP_OnPk</t>
  </si>
  <si>
    <t>SBLDTSU Supplemental On-Peak Energy Charge</t>
  </si>
  <si>
    <t xml:space="preserve">    T-O-D On-Peak - Subtransmission</t>
  </si>
  <si>
    <t>BillDeter_SBLDT_SU.Energy_SUPP_OffPk</t>
  </si>
  <si>
    <t>SBLDTSU Supplemental Off-Peak Energy Charge</t>
  </si>
  <si>
    <t xml:space="preserve">    T-O-D Off-Peak - Subtransmission</t>
  </si>
  <si>
    <t>BillDeter_SBLDT_SU.Energy_SUPP_OffPk2</t>
  </si>
  <si>
    <t>SBLDTSU Supplemental Super Off-Peak Energy Charge</t>
  </si>
  <si>
    <t xml:space="preserve">    T-O-D Super Off-Peak - Subtransmission</t>
  </si>
  <si>
    <t>BillDeter_SBLDSU.Energy_SB</t>
  </si>
  <si>
    <t>SBLDSU Standby Energy Charge</t>
  </si>
  <si>
    <t>BillDeter_SBLDT_SU.Energy_SB_OnPk</t>
  </si>
  <si>
    <t>SBLDTSU Standby On-Peak Energy Charge</t>
  </si>
  <si>
    <t>BillDeter_SBLDT_SU.Energy_SB_OffPk</t>
  </si>
  <si>
    <t>SBLDTSU Standby Off-Peak Energy Charge</t>
  </si>
  <si>
    <t>BillDeter_SBLDT_SU.Energy_SB_OffPk2</t>
  </si>
  <si>
    <t>SBLDTSU Standby Super Off-Peak Energy Charge</t>
  </si>
  <si>
    <t>BillDeter_SBLDSU.SUPP_Billing_kw</t>
  </si>
  <si>
    <t>SBLDSU Supplemental Demand Charge</t>
  </si>
  <si>
    <t>BillDeter_SBLDT_SU.SUPP_Billing_kw</t>
  </si>
  <si>
    <t>SBLDTSU Supplemental Billing Demand Charge</t>
  </si>
  <si>
    <t xml:space="preserve">    T-O-D Billing - Subtransmission </t>
  </si>
  <si>
    <t>BillDeter_SBLDT_SU.SUPP_Peak_kw</t>
  </si>
  <si>
    <t>SBLDTSU Supplemental Peak Demand Charge</t>
  </si>
  <si>
    <t>BillDeter_SBLDSU.SB_LFRC_kw</t>
  </si>
  <si>
    <t>SBLDSU Local Facilities Reservation Charge</t>
  </si>
  <si>
    <t xml:space="preserve">   Std. Facilities Reservation - Sub. </t>
  </si>
  <si>
    <t>BillDeter_SBLDSU.SB_PSRC_kw</t>
  </si>
  <si>
    <t>SBLDSU Power Supply Reservation Charge</t>
  </si>
  <si>
    <t xml:space="preserve">   Std. Power Supply Res. - Sub.</t>
  </si>
  <si>
    <t>BillDeter_SBLDSU.SB_PSDC_kw</t>
  </si>
  <si>
    <t>SBLDSU Power Supply Demand Charge</t>
  </si>
  <si>
    <t xml:space="preserve">   Std. Power Supply Dmd. - Sub.</t>
  </si>
  <si>
    <t>BillDeter_SBLDT_SU.SB_LFRC_kw</t>
  </si>
  <si>
    <t>SBLDTSU Local Facilities Reservation Charge</t>
  </si>
  <si>
    <t>BillDeter_SBLDT_SU.SB_PSRC_kw</t>
  </si>
  <si>
    <t>SBLDTSU Power Supply Reservation Charge</t>
  </si>
  <si>
    <t>BillDeter_SBLDT_SU.SB_PSDC_kw</t>
  </si>
  <si>
    <t>SBLDTSU Power Supply Demand Charge</t>
  </si>
  <si>
    <t>BillDeter_SBLDSU.kVarh_Chg_kw</t>
  </si>
  <si>
    <t>SBLDSU Power Factor Charge</t>
  </si>
  <si>
    <t>BillDeter_SBLDT_SU.kVarh_Chg_kw</t>
  </si>
  <si>
    <t>SBLDSTSU Power Factor Charge</t>
  </si>
  <si>
    <t>BillDeter_SBLDSU.kVarh_Crd_kw</t>
  </si>
  <si>
    <t>SBLDSU Power Factor Credit</t>
  </si>
  <si>
    <t>BillDeter_SBLDT_SU.kVarh_Crd_kw</t>
  </si>
  <si>
    <t>SBLDSTSU Power Factor Credit</t>
  </si>
  <si>
    <t>BillDeter_SBLDSU.EmergRelay</t>
  </si>
  <si>
    <t>SBLDSU Emergency Relay Power Supply Charge</t>
  </si>
  <si>
    <t>BillDeter_SBLDT_SU.EmergRelay</t>
  </si>
  <si>
    <t>SBLDTSU Emergency Relay Power Supply Charge</t>
  </si>
  <si>
    <t>SCHEDULE E-13c</t>
  </si>
  <si>
    <t>Rate Schedule</t>
  </si>
  <si>
    <t>LS-1,LS-2</t>
  </si>
  <si>
    <t>Monthly_DailyCustomers_Forecast.LS1Metered</t>
  </si>
  <si>
    <t>LS Basic Service Charge</t>
  </si>
  <si>
    <t>Fcst_LS1_kwh.LS1_Energy</t>
  </si>
  <si>
    <t>LS Energy Charge</t>
  </si>
  <si>
    <t>Energy Charge</t>
  </si>
  <si>
    <t>Fcst_LS1_Metered_kwh.LS1_Energy</t>
  </si>
  <si>
    <t>Fcst_LS2_kwh.LS2_Energy</t>
  </si>
  <si>
    <t>Fcst_LS2_Metered_kwh.LS2_Energy</t>
  </si>
  <si>
    <t>REVENUE BY RATE SCHEDULE - LIGHTING SCHEDULE CALCULATION</t>
  </si>
  <si>
    <t>LIGHTING SCHEDULE LS-1</t>
  </si>
  <si>
    <t>Present Rates</t>
  </si>
  <si>
    <t>Proposed Rates</t>
  </si>
  <si>
    <t>Annual</t>
  </si>
  <si>
    <t>Est.</t>
  </si>
  <si>
    <t>Monthly</t>
  </si>
  <si>
    <t>Combined</t>
  </si>
  <si>
    <t>Billing</t>
  </si>
  <si>
    <t>Facility</t>
  </si>
  <si>
    <t>Maintenance</t>
  </si>
  <si>
    <t>Items</t>
  </si>
  <si>
    <t>Charge</t>
  </si>
  <si>
    <t>Rate Code</t>
  </si>
  <si>
    <t>High Pressure Sodium  - Dusk-to-Dawn Service</t>
  </si>
  <si>
    <t xml:space="preserve">   Cobra (closed) 800</t>
  </si>
  <si>
    <t>50 W</t>
  </si>
  <si>
    <t xml:space="preserve">   Cobra/Nema (closed) 802</t>
  </si>
  <si>
    <t>70 W</t>
  </si>
  <si>
    <t xml:space="preserve">   Cobra/Nema (closed) 803</t>
  </si>
  <si>
    <t>100 W</t>
  </si>
  <si>
    <t xml:space="preserve">   Cobra (closed) 804</t>
  </si>
  <si>
    <t>150 W</t>
  </si>
  <si>
    <t xml:space="preserve">   Cobra (closed) 805</t>
  </si>
  <si>
    <t>250 W</t>
  </si>
  <si>
    <t xml:space="preserve">   Cobra (closed) 806</t>
  </si>
  <si>
    <t>400 W</t>
  </si>
  <si>
    <t xml:space="preserve">   Flood (closed) 468</t>
  </si>
  <si>
    <t xml:space="preserve">   Flood (closed) 478</t>
  </si>
  <si>
    <t xml:space="preserve">   Mongoose (closed) 809</t>
  </si>
  <si>
    <t xml:space="preserve">   Post Top (PT) (closed) 509</t>
  </si>
  <si>
    <t xml:space="preserve">   Classic (PT) (closed) 570</t>
  </si>
  <si>
    <t xml:space="preserve">   Coach (PT) (closed) 810</t>
  </si>
  <si>
    <t xml:space="preserve">   Colonial (PT) (closed) 572</t>
  </si>
  <si>
    <t xml:space="preserve">   Salem (PT) (closed) 573</t>
  </si>
  <si>
    <t xml:space="preserve">   Shoebox (closed) 550</t>
  </si>
  <si>
    <t xml:space="preserve">   Shoebox (closed) 566</t>
  </si>
  <si>
    <t xml:space="preserve">   Shoebox (closed) 552</t>
  </si>
  <si>
    <t xml:space="preserve">   Subtotal this section</t>
  </si>
  <si>
    <t>Metal Halide - Dusk-to-Dawn Service</t>
  </si>
  <si>
    <t xml:space="preserve">    Cobra (closed) 704</t>
  </si>
  <si>
    <t>350 W</t>
  </si>
  <si>
    <t xml:space="preserve">    Cobra (closed) 520</t>
  </si>
  <si>
    <t xml:space="preserve">    Flood (closed) 705</t>
  </si>
  <si>
    <t xml:space="preserve">    Flood (closed) 556</t>
  </si>
  <si>
    <t xml:space="preserve">    Flood (closed) 558</t>
  </si>
  <si>
    <t>1000 W</t>
  </si>
  <si>
    <t xml:space="preserve">    General (PT) (closed) 701</t>
  </si>
  <si>
    <t xml:space="preserve">    General (PT) (closed) 574</t>
  </si>
  <si>
    <t>175 W</t>
  </si>
  <si>
    <t xml:space="preserve">    Salem (PT) (closed) 700</t>
  </si>
  <si>
    <t xml:space="preserve">    Salem (PT) (closed) 575</t>
  </si>
  <si>
    <t xml:space="preserve">    Shoebox (closed) 702</t>
  </si>
  <si>
    <t xml:space="preserve">    Shoebox (closed) 564</t>
  </si>
  <si>
    <t xml:space="preserve">    Shoebox (closed) 703</t>
  </si>
  <si>
    <t xml:space="preserve">    Shoebox (closed) 554</t>
  </si>
  <si>
    <t xml:space="preserve">    Shoebox (closed) 576</t>
  </si>
  <si>
    <t>Continued on Page 2</t>
  </si>
  <si>
    <t>Continued from Page 1</t>
  </si>
  <si>
    <t>High Pressure Sodium - Timed Service</t>
  </si>
  <si>
    <t xml:space="preserve">   Cobra (closed) 860</t>
  </si>
  <si>
    <t xml:space="preserve">   Cobra/Nema (closed) 862</t>
  </si>
  <si>
    <t xml:space="preserve">   Cobra/Nema (closed) 863</t>
  </si>
  <si>
    <t xml:space="preserve">   Cobra (closed) 864</t>
  </si>
  <si>
    <t xml:space="preserve">   Cobra (closed) 865</t>
  </si>
  <si>
    <t xml:space="preserve">   Cobra (closed) 866</t>
  </si>
  <si>
    <t xml:space="preserve">   Flood (closed) 454</t>
  </si>
  <si>
    <t xml:space="preserve">   Flood (closed) 484</t>
  </si>
  <si>
    <t xml:space="preserve">   Mongoose (closed) 869</t>
  </si>
  <si>
    <t xml:space="preserve">   Post Top (PT) (closed) 508</t>
  </si>
  <si>
    <t xml:space="preserve">   Classic (PT) (closed) 530</t>
  </si>
  <si>
    <t xml:space="preserve">   Coach (PT) (closed) 870</t>
  </si>
  <si>
    <t xml:space="preserve">   Colonial (PT) (closed) 532</t>
  </si>
  <si>
    <t xml:space="preserve">   Salem (PT) (closed) 533</t>
  </si>
  <si>
    <t xml:space="preserve">   Shoebox (closed) 534</t>
  </si>
  <si>
    <t xml:space="preserve">   Shoebox (closed) 536</t>
  </si>
  <si>
    <t xml:space="preserve">   Shoebox (closed) 538</t>
  </si>
  <si>
    <t>Metal Halide - Timed Service</t>
  </si>
  <si>
    <t xml:space="preserve">    Cobra (closed) 724</t>
  </si>
  <si>
    <t xml:space="preserve">    Cobra (closed) 522</t>
  </si>
  <si>
    <t xml:space="preserve">    Flood (closed) 725</t>
  </si>
  <si>
    <t xml:space="preserve">    Flood (closed) 541</t>
  </si>
  <si>
    <t xml:space="preserve">    Flood (closed) 578</t>
  </si>
  <si>
    <t xml:space="preserve">    General (PT) (closed) 721</t>
  </si>
  <si>
    <t xml:space="preserve">    General (PT) (closed) 548</t>
  </si>
  <si>
    <t xml:space="preserve">    Salem (PT) (closed) 720</t>
  </si>
  <si>
    <t xml:space="preserve">    Salem (PT) (closed) 568</t>
  </si>
  <si>
    <t>Shoebox (closed) 722</t>
  </si>
  <si>
    <t xml:space="preserve">    Shoebox (closed) 549</t>
  </si>
  <si>
    <t xml:space="preserve">    Shoebox (closed) 723</t>
  </si>
  <si>
    <t xml:space="preserve">    Shoebox (closed) 540</t>
  </si>
  <si>
    <t xml:space="preserve">    Shoebox (closed) 577</t>
  </si>
  <si>
    <t>Continued on Page 3</t>
  </si>
  <si>
    <t>Continued from Page 2</t>
  </si>
  <si>
    <t>Closed LED - Dusk-to-Dawn Service</t>
  </si>
  <si>
    <t xml:space="preserve">   Roadway (closed) 828</t>
  </si>
  <si>
    <t>56 W</t>
  </si>
  <si>
    <t xml:space="preserve">   Roadway (closed) 820</t>
  </si>
  <si>
    <t>103 W</t>
  </si>
  <si>
    <t xml:space="preserve">   Roadway (closed) 821</t>
  </si>
  <si>
    <t>106 W</t>
  </si>
  <si>
    <t xml:space="preserve">   Roadway (closed) 829</t>
  </si>
  <si>
    <t>157 W</t>
  </si>
  <si>
    <t xml:space="preserve">   Roadway (closed) 822</t>
  </si>
  <si>
    <t>196 W</t>
  </si>
  <si>
    <t xml:space="preserve">   Roadway (closed) 823</t>
  </si>
  <si>
    <t>206 W</t>
  </si>
  <si>
    <t xml:space="preserve">   Post Top (PT) (closed) 835</t>
  </si>
  <si>
    <t>60 W</t>
  </si>
  <si>
    <t xml:space="preserve">   Post Top (PT) (closed) 824</t>
  </si>
  <si>
    <t>67 W</t>
  </si>
  <si>
    <t xml:space="preserve">   Post Top (PT) (closed) 825</t>
  </si>
  <si>
    <t>99 W</t>
  </si>
  <si>
    <t xml:space="preserve">   Post Top (PT) (closed) 836</t>
  </si>
  <si>
    <t xml:space="preserve">   Area-Lighter (closed) 830</t>
  </si>
  <si>
    <t>152 W</t>
  </si>
  <si>
    <t xml:space="preserve">   Area-Lighter (closed) 826</t>
  </si>
  <si>
    <t>202 W</t>
  </si>
  <si>
    <t xml:space="preserve">   Area-Lighter (closed) 827</t>
  </si>
  <si>
    <t>309 W</t>
  </si>
  <si>
    <t xml:space="preserve">   Flood (closed) 831</t>
  </si>
  <si>
    <t>238 W</t>
  </si>
  <si>
    <t xml:space="preserve">   Flood (closed) 832</t>
  </si>
  <si>
    <t>359 W</t>
  </si>
  <si>
    <t xml:space="preserve">   Mongoose (closed) 833</t>
  </si>
  <si>
    <t>245 W</t>
  </si>
  <si>
    <t xml:space="preserve">   Mongoose (closed) 834</t>
  </si>
  <si>
    <t>328 W</t>
  </si>
  <si>
    <t>Closed LED - Timed Service</t>
  </si>
  <si>
    <t xml:space="preserve">   Roadway (closed) 848</t>
  </si>
  <si>
    <t xml:space="preserve">   Roadway (closed) 840</t>
  </si>
  <si>
    <t xml:space="preserve">   Roadway (closed) 841</t>
  </si>
  <si>
    <t xml:space="preserve">   Roadway (closed) 849</t>
  </si>
  <si>
    <t xml:space="preserve">   Roadway (closed) 842</t>
  </si>
  <si>
    <t xml:space="preserve">   Roadway (closed) 843</t>
  </si>
  <si>
    <t xml:space="preserve">   Post Top (PT) (closed) 855</t>
  </si>
  <si>
    <t xml:space="preserve">   Post Top (PT) (closed) 844</t>
  </si>
  <si>
    <t xml:space="preserve">   Post Top (PT) (closed) 845</t>
  </si>
  <si>
    <t xml:space="preserve">   Post Top (PT) (closed) 856</t>
  </si>
  <si>
    <t xml:space="preserve">   Area-Lighter (closed) 850</t>
  </si>
  <si>
    <t xml:space="preserve">   Area-Lighter (closed) 846</t>
  </si>
  <si>
    <t xml:space="preserve">   Area-Lighter (closed) 847</t>
  </si>
  <si>
    <t xml:space="preserve">   Flood (closed) 851</t>
  </si>
  <si>
    <t xml:space="preserve">   Flood (closed) 852</t>
  </si>
  <si>
    <t xml:space="preserve">   Mongoose (closed) 853</t>
  </si>
  <si>
    <t xml:space="preserve">   Mongoose (closed) 854</t>
  </si>
  <si>
    <t>Continued on Page 4</t>
  </si>
  <si>
    <t>Continued from Page 3</t>
  </si>
  <si>
    <t>Open LED - Dusk-to-Dawn Service</t>
  </si>
  <si>
    <t>Roadway 912</t>
  </si>
  <si>
    <t>27 W</t>
  </si>
  <si>
    <t>Roadway 914</t>
  </si>
  <si>
    <t>47 W</t>
  </si>
  <si>
    <t>Roadway/Area 921</t>
  </si>
  <si>
    <t>88 W</t>
  </si>
  <si>
    <t>Roadway 926</t>
  </si>
  <si>
    <t>105 W</t>
  </si>
  <si>
    <t>Roadway/Area 932</t>
  </si>
  <si>
    <t>133 W</t>
  </si>
  <si>
    <t>Area-Lighter 935</t>
  </si>
  <si>
    <t>143 W</t>
  </si>
  <si>
    <t>Roadway 937</t>
  </si>
  <si>
    <t>145 W</t>
  </si>
  <si>
    <t>Roadway 941</t>
  </si>
  <si>
    <t>182 W</t>
  </si>
  <si>
    <t>Area-Lighter 945</t>
  </si>
  <si>
    <t>247 W</t>
  </si>
  <si>
    <t>Area-Lighter 947</t>
  </si>
  <si>
    <t>330 W</t>
  </si>
  <si>
    <t>Flood 951</t>
  </si>
  <si>
    <t>199 W</t>
  </si>
  <si>
    <t>Flood 953</t>
  </si>
  <si>
    <t>255 W</t>
  </si>
  <si>
    <t>Mongoose 956</t>
  </si>
  <si>
    <t>225 W</t>
  </si>
  <si>
    <t>Mongoose 958</t>
  </si>
  <si>
    <t>333 W</t>
  </si>
  <si>
    <t>Granville (PT) 965</t>
  </si>
  <si>
    <t>26 W</t>
  </si>
  <si>
    <t>Granville (PT) 967</t>
  </si>
  <si>
    <t>39 W</t>
  </si>
  <si>
    <t>Granville (PT) Enh 967 ENH aka 968</t>
  </si>
  <si>
    <t>Salem (PT) 971</t>
  </si>
  <si>
    <t>55 W</t>
  </si>
  <si>
    <t>Granville (PT) 972</t>
  </si>
  <si>
    <t>Granville (PT) Enh 972 ENH aka 973</t>
  </si>
  <si>
    <t>Salem (PT) 975</t>
  </si>
  <si>
    <t>76 W</t>
  </si>
  <si>
    <t>Open LED - Timed Service</t>
  </si>
  <si>
    <t>Roadway 901</t>
  </si>
  <si>
    <t>Roadway/Area 902</t>
  </si>
  <si>
    <t>Roadway/Area 903</t>
  </si>
  <si>
    <t>Area-Lighter 904</t>
  </si>
  <si>
    <t>Roadway 905</t>
  </si>
  <si>
    <t>Area-Lighter 906</t>
  </si>
  <si>
    <t>Mongoose 907</t>
  </si>
  <si>
    <t>Roadway 981</t>
  </si>
  <si>
    <t>Roadway 982</t>
  </si>
  <si>
    <t>Roadway 983</t>
  </si>
  <si>
    <t>Area-Lighter 984</t>
  </si>
  <si>
    <t>Flood 985</t>
  </si>
  <si>
    <t>Flood 986</t>
  </si>
  <si>
    <t>Mongoose 987</t>
  </si>
  <si>
    <t>Granville (PT) 988</t>
  </si>
  <si>
    <t>Granville (PT) Enh 988 ENH aka 989</t>
  </si>
  <si>
    <t>Salem (PT) 990</t>
  </si>
  <si>
    <t>Granville Post Top PT 991</t>
  </si>
  <si>
    <t>Salem PT 992</t>
  </si>
  <si>
    <t>Granville PT 993</t>
  </si>
  <si>
    <t>Granville PT Enh 994</t>
  </si>
  <si>
    <t>Total Fixtures and kWh</t>
  </si>
  <si>
    <t>Continued on Page 6</t>
  </si>
  <si>
    <t>Pole/Wire</t>
  </si>
  <si>
    <t xml:space="preserve">  Wood - 30 ft. (inaccessible) (closed) 425</t>
  </si>
  <si>
    <t>OH wire</t>
  </si>
  <si>
    <t xml:space="preserve">  Wood - 30 ft. 626</t>
  </si>
  <si>
    <t xml:space="preserve">  Wood - 35 ft. 627</t>
  </si>
  <si>
    <t xml:space="preserve">  Wood -  up to 45 ft. 597</t>
  </si>
  <si>
    <t xml:space="preserve">  Std. Concrete - 35 ft. 637</t>
  </si>
  <si>
    <t xml:space="preserve">  Std. Concrete -  up to 45 ft. 594</t>
  </si>
  <si>
    <t xml:space="preserve">  Std. Concrete -  16ft. 599</t>
  </si>
  <si>
    <t>UG wire</t>
  </si>
  <si>
    <t xml:space="preserve">  Std. Concrete -  25 or 30 ft. 595</t>
  </si>
  <si>
    <t xml:space="preserve">  Std. Concrete -  35 ft. 588</t>
  </si>
  <si>
    <t xml:space="preserve">  Std. Concrete -  35 ft. (70-100 W or up to 100 ft span) (closed) 607</t>
  </si>
  <si>
    <t xml:space="preserve">  Std. Concrete -  35 ft. (150 W or 100-150 ft span) (closed) 612</t>
  </si>
  <si>
    <t xml:space="preserve">  Std. Concrete -  35 ft. (250 W - 400 W or above 150 ft span) (closed) 614</t>
  </si>
  <si>
    <t xml:space="preserve">  Std. Concrete -  up to 45 ft. 596</t>
  </si>
  <si>
    <t xml:space="preserve">  Round Concrete -  23 ft.  523</t>
  </si>
  <si>
    <t xml:space="preserve">  Tall Waterford -  35 ft. (Concrete) 591</t>
  </si>
  <si>
    <t xml:space="preserve">  Victorian (PT) (Concrete) 592</t>
  </si>
  <si>
    <t xml:space="preserve">  Winston (PT) (Concrete) 593</t>
  </si>
  <si>
    <t xml:space="preserve">  Waterford (PT) (Concrete) 583</t>
  </si>
  <si>
    <t xml:space="preserve">  Aluminum - 10 ft. (closed) 422</t>
  </si>
  <si>
    <t xml:space="preserve">  Aluminum - 27 ft.  616</t>
  </si>
  <si>
    <t xml:space="preserve">  Aluminum - 28 ft.  615</t>
  </si>
  <si>
    <t xml:space="preserve">  Aluminum - 37 ft.  622</t>
  </si>
  <si>
    <t xml:space="preserve">  Waterside (Aluminum) 623</t>
  </si>
  <si>
    <t xml:space="preserve">  Aluminum - (PT) (closed) 584</t>
  </si>
  <si>
    <t xml:space="preserve">  Capitol (PT)  (Aluminum) (closed) 581</t>
  </si>
  <si>
    <t xml:space="preserve">  Charleston (PT)  (Aluminum) 586</t>
  </si>
  <si>
    <t xml:space="preserve">  Charleston Banner (PT) (Aluminum) 585</t>
  </si>
  <si>
    <t xml:space="preserve">  Charleston HD (PT) (Aluminum) 590</t>
  </si>
  <si>
    <t xml:space="preserve">  Heritage (PT)(Aluminum) (closed) 580</t>
  </si>
  <si>
    <t xml:space="preserve">  Riviera (PT)  (Aluminum) (closed)</t>
  </si>
  <si>
    <t xml:space="preserve">  Steel - 30 ft. (closed) 589</t>
  </si>
  <si>
    <t xml:space="preserve">  Fiberglass (PT) - 16 ft. (closed) 624</t>
  </si>
  <si>
    <t>Winston (closed)</t>
  </si>
  <si>
    <t xml:space="preserve">  Franklin Composite 525</t>
  </si>
  <si>
    <t xml:space="preserve">  Existing Pole 641</t>
  </si>
  <si>
    <t>Total Pole/Wire</t>
  </si>
  <si>
    <t>Miscellaneous Lighting Facilities</t>
  </si>
  <si>
    <t xml:space="preserve">Timer </t>
  </si>
  <si>
    <t>Post Top Bracket (for additional post top fixtures)</t>
  </si>
  <si>
    <t xml:space="preserve"> Total Miscellaneous Lighting Facilities</t>
  </si>
  <si>
    <t>LS-2 Lighting Facilities</t>
  </si>
  <si>
    <t>LS-2</t>
  </si>
  <si>
    <t xml:space="preserve"> Total LS-2 Facilities</t>
  </si>
  <si>
    <t>Total Base Revenue</t>
  </si>
  <si>
    <t>Supporting Schedules: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</si>
</sst>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000%"/>
    <numFmt numFmtId="166" formatCode="0.0%"/>
    <numFmt numFmtId="167" formatCode="0.000000"/>
    <numFmt numFmtId="168" formatCode="0.000"/>
    <numFmt numFmtId="169" formatCode="0.0"/>
    <numFmt numFmtId="170" formatCode="_(* #,##0_);_(* \(#,##0\);_(* &quot;-&quot;??_);_(@_)"/>
    <numFmt numFmtId="171" formatCode="_(&quot;$&quot;* #,##0_);_(&quot;$&quot;* \(#,##0\);_(&quot;$&quot;* &quot;-&quot;??_);_(@_)"/>
    <numFmt numFmtId="172" formatCode="_(&quot;$&quot;* #,##0.00000_);_(&quot;$&quot;* \(#,##0.00000\);_(&quot;$&quot;* &quot;-&quot;??_);_(@_)"/>
    <numFmt numFmtId="173" formatCode="0.000%"/>
    <numFmt numFmtId="174" formatCode="_(* #,##0.0000_);_(* \(#,##0.0000\);_(* &quot;-&quot;??_);_(@_)"/>
    <numFmt numFmtId="175" formatCode="_(* #,##0.000_);_(* \(#,##0.000\);_(* &quot;-&quot;??_);_(@_)"/>
    <numFmt numFmtId="176" formatCode="_(* #,##0.00000_);_(* \(#,##0.00000\);_(* &quot;-&quot;??_);_(@_)"/>
    <numFmt numFmtId="177" formatCode="_(* #,##0.0_);_(* \(#,##0.0\);_(* &quot;-&quot;??_);_(@_)"/>
    <numFmt numFmtId="178" formatCode="#,##0.0_);\(#,##0.0\)"/>
  </numFmts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rial"/>
      <family val="2"/>
    </font>
    <font>
      <u/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9"/>
      <color theme="1"/>
      <name val="Aptos Narrow"/>
      <family val="2"/>
      <scheme val="minor"/>
    </font>
    <font>
      <sz val="8"/>
      <color rgb="FFFF0000"/>
      <name val="Arial"/>
      <family val="2"/>
    </font>
    <font>
      <sz val="8"/>
      <color theme="1"/>
      <name val="Arial"/>
      <family val="2"/>
    </font>
    <font>
      <u/>
      <sz val="8"/>
      <color indexed="8"/>
      <name val="Arial"/>
      <family val="2"/>
    </font>
    <font>
      <sz val="8"/>
      <color rgb="FFFF0000"/>
      <name val="Aptos Narrow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u val="singleAccounting"/>
      <sz val="8"/>
      <name val="Arial"/>
      <family val="2"/>
    </font>
    <font>
      <sz val="8"/>
      <color indexed="12"/>
      <name val="Arial"/>
      <family val="2"/>
    </font>
    <font>
      <sz val="7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4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34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164" fontId="0" fillId="0" borderId="6" xfId="0" applyNumberFormat="1" applyBorder="1"/>
    <xf numFmtId="0" fontId="0" fillId="0" borderId="6" xfId="0" applyBorder="1"/>
    <xf numFmtId="0" fontId="0" fillId="0" borderId="3" xfId="0" applyBorder="1"/>
    <xf numFmtId="0" fontId="0" fillId="0" borderId="10" xfId="0" applyBorder="1"/>
    <xf numFmtId="0" fontId="0" fillId="0" borderId="11" xfId="0" applyBorder="1"/>
    <xf numFmtId="0" fontId="0" fillId="0" borderId="2" xfId="0" applyBorder="1"/>
    <xf numFmtId="0" fontId="0" fillId="0" borderId="1" xfId="0" applyBorder="1"/>
    <xf numFmtId="164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65" fontId="0" fillId="0" borderId="5" xfId="0" applyNumberFormat="1" applyBorder="1"/>
    <xf numFmtId="10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2" fontId="0" fillId="0" borderId="0" xfId="0" applyNumberFormat="1"/>
    <xf numFmtId="1" fontId="0" fillId="0" borderId="0" xfId="0" applyNumberForma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2" xfId="0" applyFont="1" applyBorder="1"/>
    <xf numFmtId="0" fontId="4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right"/>
    </xf>
    <xf numFmtId="0" fontId="0" fillId="3" borderId="0" xfId="0" applyFill="1"/>
    <xf numFmtId="42" fontId="0" fillId="3" borderId="0" xfId="0" applyNumberFormat="1" applyFill="1"/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0" fillId="4" borderId="0" xfId="0" applyFill="1"/>
    <xf numFmtId="165" fontId="0" fillId="4" borderId="0" xfId="0" applyNumberFormat="1" applyFill="1"/>
    <xf numFmtId="42" fontId="0" fillId="4" borderId="0" xfId="0" applyNumberFormat="1" applyFill="1"/>
    <xf numFmtId="0" fontId="4" fillId="0" borderId="0" xfId="0" quotePrefix="1" applyFont="1" applyAlignment="1">
      <alignment horizontal="center"/>
    </xf>
    <xf numFmtId="0" fontId="4" fillId="0" borderId="12" xfId="0" quotePrefix="1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0" borderId="0" xfId="0" quotePrefix="1" applyFont="1"/>
    <xf numFmtId="170" fontId="4" fillId="0" borderId="0" xfId="2" applyNumberFormat="1" applyFont="1" applyFill="1" applyBorder="1" applyAlignment="1"/>
    <xf numFmtId="170" fontId="4" fillId="0" borderId="0" xfId="0" applyNumberFormat="1" applyFont="1"/>
    <xf numFmtId="0" fontId="4" fillId="0" borderId="0" xfId="0" quotePrefix="1" applyFont="1" applyAlignment="1">
      <alignment horizontal="left"/>
    </xf>
    <xf numFmtId="170" fontId="4" fillId="0" borderId="0" xfId="2" quotePrefix="1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170" fontId="4" fillId="0" borderId="0" xfId="0" quotePrefix="1" applyNumberFormat="1" applyFont="1"/>
    <xf numFmtId="170" fontId="4" fillId="0" borderId="0" xfId="2" quotePrefix="1" applyNumberFormat="1" applyFont="1" applyFill="1" applyBorder="1" applyAlignment="1"/>
    <xf numFmtId="0" fontId="7" fillId="0" borderId="0" xfId="4" quotePrefix="1" applyFont="1" applyAlignment="1">
      <alignment horizontal="center" wrapText="1"/>
    </xf>
    <xf numFmtId="171" fontId="4" fillId="0" borderId="0" xfId="3" applyNumberFormat="1" applyFont="1" applyFill="1" applyAlignment="1"/>
    <xf numFmtId="171" fontId="4" fillId="0" borderId="0" xfId="3" applyNumberFormat="1" applyFont="1" applyFill="1" applyBorder="1" applyAlignment="1"/>
    <xf numFmtId="171" fontId="4" fillId="0" borderId="14" xfId="3" applyNumberFormat="1" applyFont="1" applyFill="1" applyBorder="1" applyAlignment="1"/>
    <xf numFmtId="171" fontId="4" fillId="0" borderId="14" xfId="3" applyNumberFormat="1" applyFont="1" applyFill="1" applyBorder="1" applyAlignment="1">
      <alignment horizontal="center"/>
    </xf>
    <xf numFmtId="170" fontId="4" fillId="0" borderId="14" xfId="2" applyNumberFormat="1" applyFont="1" applyFill="1" applyBorder="1" applyAlignment="1"/>
    <xf numFmtId="171" fontId="4" fillId="0" borderId="0" xfId="3" applyNumberFormat="1" applyFont="1" applyFill="1" applyBorder="1" applyAlignment="1">
      <alignment horizontal="center"/>
    </xf>
    <xf numFmtId="170" fontId="4" fillId="0" borderId="14" xfId="3" applyNumberFormat="1" applyFont="1" applyFill="1" applyBorder="1" applyAlignment="1"/>
    <xf numFmtId="171" fontId="4" fillId="0" borderId="0" xfId="3" applyNumberFormat="1" applyFont="1" applyFill="1" applyAlignment="1">
      <alignment horizontal="right"/>
    </xf>
    <xf numFmtId="0" fontId="3" fillId="0" borderId="0" xfId="0" applyFont="1"/>
    <xf numFmtId="0" fontId="7" fillId="0" borderId="12" xfId="4" applyFont="1" applyBorder="1" applyAlignment="1">
      <alignment horizontal="center" wrapText="1"/>
    </xf>
    <xf numFmtId="171" fontId="4" fillId="0" borderId="12" xfId="3" applyNumberFormat="1" applyFont="1" applyFill="1" applyBorder="1" applyAlignment="1"/>
    <xf numFmtId="170" fontId="4" fillId="0" borderId="12" xfId="2" applyNumberFormat="1" applyFont="1" applyFill="1" applyBorder="1" applyAlignment="1"/>
    <xf numFmtId="171" fontId="4" fillId="0" borderId="12" xfId="3" applyNumberFormat="1" applyFont="1" applyFill="1" applyBorder="1" applyAlignment="1">
      <alignment horizontal="center"/>
    </xf>
    <xf numFmtId="170" fontId="4" fillId="0" borderId="12" xfId="3" applyNumberFormat="1" applyFont="1" applyFill="1" applyBorder="1" applyAlignment="1"/>
    <xf numFmtId="171" fontId="4" fillId="0" borderId="12" xfId="3" applyNumberFormat="1" applyFont="1" applyFill="1" applyBorder="1" applyAlignment="1">
      <alignment horizontal="right"/>
    </xf>
    <xf numFmtId="0" fontId="7" fillId="0" borderId="0" xfId="4" applyFont="1" applyAlignment="1">
      <alignment horizontal="left" wrapText="1"/>
    </xf>
    <xf numFmtId="0" fontId="7" fillId="0" borderId="13" xfId="4" applyFont="1" applyBorder="1" applyAlignment="1">
      <alignment horizontal="left" wrapText="1"/>
    </xf>
    <xf numFmtId="171" fontId="4" fillId="0" borderId="0" xfId="3" applyNumberFormat="1" applyFont="1" applyFill="1" applyBorder="1"/>
    <xf numFmtId="170" fontId="4" fillId="0" borderId="0" xfId="2" applyNumberFormat="1" applyFont="1" applyFill="1" applyBorder="1"/>
    <xf numFmtId="171" fontId="4" fillId="0" borderId="0" xfId="3" applyNumberFormat="1" applyFont="1" applyFill="1"/>
    <xf numFmtId="170" fontId="4" fillId="0" borderId="0" xfId="3" applyNumberFormat="1" applyFont="1" applyFill="1" applyBorder="1"/>
    <xf numFmtId="0" fontId="8" fillId="0" borderId="0" xfId="0" applyFont="1"/>
    <xf numFmtId="170" fontId="4" fillId="0" borderId="0" xfId="2" applyNumberFormat="1" applyFont="1" applyFill="1"/>
    <xf numFmtId="44" fontId="4" fillId="0" borderId="0" xfId="3" applyFont="1" applyFill="1" applyBorder="1"/>
    <xf numFmtId="170" fontId="4" fillId="0" borderId="0" xfId="2" applyNumberFormat="1" applyFont="1" applyFill="1" applyBorder="1" applyAlignment="1">
      <alignment horizontal="center"/>
    </xf>
    <xf numFmtId="165" fontId="4" fillId="0" borderId="0" xfId="1" applyNumberFormat="1" applyFont="1" applyFill="1" applyBorder="1"/>
    <xf numFmtId="44" fontId="4" fillId="0" borderId="0" xfId="3" applyFont="1" applyFill="1"/>
    <xf numFmtId="166" fontId="4" fillId="0" borderId="0" xfId="1" applyNumberFormat="1" applyFont="1" applyFill="1" applyBorder="1"/>
    <xf numFmtId="172" fontId="4" fillId="0" borderId="0" xfId="3" applyNumberFormat="1" applyFont="1" applyFill="1" applyBorder="1"/>
    <xf numFmtId="172" fontId="4" fillId="0" borderId="0" xfId="3" applyNumberFormat="1" applyFont="1" applyFill="1"/>
    <xf numFmtId="42" fontId="4" fillId="0" borderId="15" xfId="3" applyNumberFormat="1" applyFont="1" applyFill="1" applyBorder="1"/>
    <xf numFmtId="166" fontId="4" fillId="0" borderId="0" xfId="0" applyNumberFormat="1" applyFont="1"/>
    <xf numFmtId="43" fontId="4" fillId="0" borderId="0" xfId="2" applyFont="1" applyFill="1" applyBorder="1"/>
    <xf numFmtId="171" fontId="4" fillId="0" borderId="0" xfId="2" applyNumberFormat="1" applyFont="1" applyFill="1" applyBorder="1"/>
    <xf numFmtId="171" fontId="4" fillId="0" borderId="0" xfId="0" applyNumberFormat="1" applyFont="1"/>
    <xf numFmtId="44" fontId="4" fillId="0" borderId="0" xfId="0" applyNumberFormat="1" applyFont="1"/>
    <xf numFmtId="0" fontId="7" fillId="0" borderId="0" xfId="4" applyFont="1" applyAlignment="1">
      <alignment wrapText="1"/>
    </xf>
    <xf numFmtId="0" fontId="4" fillId="0" borderId="0" xfId="2" applyNumberFormat="1" applyFont="1" applyFill="1" applyBorder="1"/>
    <xf numFmtId="171" fontId="4" fillId="0" borderId="12" xfId="0" applyNumberFormat="1" applyFont="1" applyBorder="1"/>
    <xf numFmtId="0" fontId="4" fillId="0" borderId="1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13" xfId="0" applyFont="1" applyBorder="1"/>
    <xf numFmtId="0" fontId="4" fillId="0" borderId="14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165" fontId="4" fillId="0" borderId="0" xfId="1" applyNumberFormat="1" applyFont="1" applyFill="1"/>
    <xf numFmtId="37" fontId="4" fillId="0" borderId="0" xfId="2" applyNumberFormat="1" applyFont="1" applyFill="1" applyBorder="1"/>
    <xf numFmtId="43" fontId="4" fillId="0" borderId="0" xfId="2" applyFont="1" applyFill="1"/>
    <xf numFmtId="3" fontId="4" fillId="0" borderId="0" xfId="0" applyNumberFormat="1" applyFont="1"/>
    <xf numFmtId="44" fontId="0" fillId="0" borderId="0" xfId="0" applyNumberFormat="1"/>
    <xf numFmtId="169" fontId="4" fillId="0" borderId="0" xfId="3" applyNumberFormat="1" applyFont="1" applyFill="1" applyBorder="1"/>
    <xf numFmtId="42" fontId="4" fillId="0" borderId="0" xfId="3" applyNumberFormat="1" applyFont="1" applyFill="1" applyBorder="1"/>
    <xf numFmtId="170" fontId="4" fillId="0" borderId="12" xfId="0" applyNumberFormat="1" applyFont="1" applyBorder="1"/>
    <xf numFmtId="171" fontId="9" fillId="0" borderId="12" xfId="0" applyNumberFormat="1" applyFont="1" applyBorder="1"/>
    <xf numFmtId="0" fontId="7" fillId="0" borderId="14" xfId="4" applyFont="1" applyBorder="1" applyAlignment="1">
      <alignment horizontal="center" wrapText="1"/>
    </xf>
    <xf numFmtId="170" fontId="9" fillId="0" borderId="0" xfId="2" applyNumberFormat="1" applyFont="1" applyFill="1" applyBorder="1"/>
    <xf numFmtId="44" fontId="9" fillId="0" borderId="0" xfId="3" applyFont="1" applyFill="1" applyBorder="1"/>
    <xf numFmtId="0" fontId="7" fillId="0" borderId="0" xfId="4" applyFont="1" applyAlignment="1">
      <alignment horizontal="left" wrapText="1" indent="1"/>
    </xf>
    <xf numFmtId="171" fontId="0" fillId="0" borderId="0" xfId="0" applyNumberFormat="1"/>
    <xf numFmtId="0" fontId="0" fillId="0" borderId="12" xfId="0" applyBorder="1"/>
    <xf numFmtId="49" fontId="7" fillId="0" borderId="17" xfId="4" applyNumberFormat="1" applyFont="1" applyBorder="1" applyAlignment="1">
      <alignment horizontal="left" wrapText="1"/>
    </xf>
    <xf numFmtId="49" fontId="7" fillId="0" borderId="0" xfId="4" applyNumberFormat="1" applyFont="1" applyAlignment="1">
      <alignment horizontal="left" wrapText="1"/>
    </xf>
    <xf numFmtId="165" fontId="4" fillId="0" borderId="0" xfId="3" applyNumberFormat="1" applyFont="1" applyFill="1" applyBorder="1"/>
    <xf numFmtId="7" fontId="4" fillId="0" borderId="0" xfId="3" applyNumberFormat="1" applyFont="1" applyFill="1" applyBorder="1"/>
    <xf numFmtId="3" fontId="10" fillId="0" borderId="0" xfId="0" applyNumberFormat="1" applyFont="1"/>
    <xf numFmtId="49" fontId="7" fillId="0" borderId="12" xfId="4" applyNumberFormat="1" applyFont="1" applyBorder="1" applyAlignment="1">
      <alignment horizontal="left" wrapText="1"/>
    </xf>
    <xf numFmtId="3" fontId="10" fillId="0" borderId="12" xfId="0" applyNumberFormat="1" applyFont="1" applyBorder="1"/>
    <xf numFmtId="170" fontId="4" fillId="0" borderId="12" xfId="2" applyNumberFormat="1" applyFont="1" applyFill="1" applyBorder="1"/>
    <xf numFmtId="37" fontId="4" fillId="0" borderId="12" xfId="2" applyNumberFormat="1" applyFont="1" applyFill="1" applyBorder="1"/>
    <xf numFmtId="44" fontId="4" fillId="0" borderId="12" xfId="3" applyFont="1" applyFill="1" applyBorder="1"/>
    <xf numFmtId="7" fontId="4" fillId="0" borderId="12" xfId="3" applyNumberFormat="1" applyFont="1" applyFill="1" applyBorder="1"/>
    <xf numFmtId="171" fontId="4" fillId="0" borderId="12" xfId="3" applyNumberFormat="1" applyFont="1" applyFill="1" applyBorder="1"/>
    <xf numFmtId="170" fontId="4" fillId="0" borderId="0" xfId="2" applyNumberFormat="1" applyFont="1" applyFill="1" applyBorder="1" applyAlignment="1">
      <alignment horizontal="right"/>
    </xf>
    <xf numFmtId="0" fontId="10" fillId="0" borderId="0" xfId="0" applyFont="1"/>
    <xf numFmtId="171" fontId="2" fillId="0" borderId="0" xfId="0" applyNumberFormat="1" applyFont="1"/>
    <xf numFmtId="42" fontId="4" fillId="0" borderId="0" xfId="2" applyNumberFormat="1" applyFont="1" applyFill="1" applyBorder="1"/>
    <xf numFmtId="42" fontId="4" fillId="0" borderId="0" xfId="0" applyNumberFormat="1" applyFont="1"/>
    <xf numFmtId="164" fontId="4" fillId="0" borderId="12" xfId="0" applyNumberFormat="1" applyFont="1" applyBorder="1"/>
    <xf numFmtId="37" fontId="4" fillId="0" borderId="0" xfId="3" applyNumberFormat="1" applyFont="1" applyFill="1"/>
    <xf numFmtId="171" fontId="7" fillId="0" borderId="0" xfId="4" applyNumberFormat="1" applyFont="1" applyAlignment="1">
      <alignment horizontal="left" wrapText="1"/>
    </xf>
    <xf numFmtId="165" fontId="4" fillId="0" borderId="0" xfId="2" applyNumberFormat="1" applyFont="1" applyFill="1" applyBorder="1" applyAlignment="1">
      <alignment horizontal="right"/>
    </xf>
    <xf numFmtId="165" fontId="0" fillId="0" borderId="0" xfId="0" applyNumberFormat="1"/>
    <xf numFmtId="170" fontId="4" fillId="0" borderId="18" xfId="2" applyNumberFormat="1" applyFont="1" applyFill="1" applyBorder="1"/>
    <xf numFmtId="42" fontId="4" fillId="0" borderId="18" xfId="2" applyNumberFormat="1" applyFont="1" applyFill="1" applyBorder="1"/>
    <xf numFmtId="0" fontId="4" fillId="0" borderId="14" xfId="0" quotePrefix="1" applyFont="1" applyBorder="1"/>
    <xf numFmtId="0" fontId="11" fillId="0" borderId="0" xfId="4" applyFont="1" applyAlignment="1">
      <alignment horizontal="center" wrapText="1"/>
    </xf>
    <xf numFmtId="0" fontId="10" fillId="0" borderId="0" xfId="4" applyFont="1" applyAlignment="1">
      <alignment wrapText="1"/>
    </xf>
    <xf numFmtId="0" fontId="10" fillId="0" borderId="0" xfId="4" applyFont="1" applyAlignment="1">
      <alignment horizontal="left" wrapText="1"/>
    </xf>
    <xf numFmtId="170" fontId="10" fillId="0" borderId="0" xfId="0" applyNumberFormat="1" applyFont="1" applyAlignment="1">
      <alignment horizontal="right"/>
    </xf>
    <xf numFmtId="0" fontId="12" fillId="0" borderId="0" xfId="0" applyFont="1"/>
    <xf numFmtId="1" fontId="4" fillId="0" borderId="0" xfId="0" applyNumberFormat="1" applyFont="1"/>
    <xf numFmtId="42" fontId="4" fillId="0" borderId="0" xfId="3" applyNumberFormat="1" applyFont="1" applyFill="1"/>
    <xf numFmtId="3" fontId="4" fillId="0" borderId="12" xfId="0" applyNumberFormat="1" applyFont="1" applyBorder="1"/>
    <xf numFmtId="44" fontId="4" fillId="0" borderId="12" xfId="2" applyNumberFormat="1" applyFont="1" applyFill="1" applyBorder="1"/>
    <xf numFmtId="171" fontId="4" fillId="0" borderId="12" xfId="2" applyNumberFormat="1" applyFont="1" applyFill="1" applyBorder="1"/>
    <xf numFmtId="0" fontId="7" fillId="0" borderId="14" xfId="4" applyFont="1" applyBorder="1" applyAlignment="1">
      <alignment horizontal="left" wrapText="1"/>
    </xf>
    <xf numFmtId="0" fontId="4" fillId="0" borderId="14" xfId="0" applyFont="1" applyBorder="1" applyAlignment="1">
      <alignment horizontal="right"/>
    </xf>
    <xf numFmtId="37" fontId="4" fillId="0" borderId="18" xfId="3" applyNumberFormat="1" applyFont="1" applyFill="1" applyBorder="1"/>
    <xf numFmtId="37" fontId="10" fillId="0" borderId="18" xfId="3" applyNumberFormat="1" applyFont="1" applyFill="1" applyBorder="1"/>
    <xf numFmtId="171" fontId="4" fillId="0" borderId="18" xfId="3" applyNumberFormat="1" applyFont="1" applyFill="1" applyBorder="1"/>
    <xf numFmtId="44" fontId="4" fillId="0" borderId="0" xfId="2" applyNumberFormat="1" applyFont="1" applyFill="1" applyBorder="1"/>
    <xf numFmtId="173" fontId="4" fillId="0" borderId="0" xfId="1" applyNumberFormat="1" applyFont="1" applyFill="1"/>
    <xf numFmtId="0" fontId="7" fillId="0" borderId="0" xfId="4" applyFont="1" applyAlignment="1">
      <alignment horizontal="left"/>
    </xf>
    <xf numFmtId="0" fontId="4" fillId="0" borderId="0" xfId="0" applyFont="1" applyAlignment="1">
      <alignment horizontal="left" indent="1"/>
    </xf>
    <xf numFmtId="171" fontId="4" fillId="0" borderId="15" xfId="3" applyNumberFormat="1" applyFont="1" applyFill="1" applyBorder="1"/>
    <xf numFmtId="170" fontId="4" fillId="0" borderId="0" xfId="2" applyNumberFormat="1" applyFont="1" applyFill="1" applyAlignment="1">
      <alignment horizontal="center"/>
    </xf>
    <xf numFmtId="171" fontId="4" fillId="0" borderId="0" xfId="3" applyNumberFormat="1" applyFont="1" applyFill="1" applyAlignment="1">
      <alignment horizontal="center"/>
    </xf>
    <xf numFmtId="171" fontId="13" fillId="0" borderId="0" xfId="3" applyNumberFormat="1" applyFont="1" applyFill="1"/>
    <xf numFmtId="171" fontId="4" fillId="0" borderId="0" xfId="3" applyNumberFormat="1" applyFont="1" applyFill="1" applyAlignment="1">
      <alignment horizontal="left" indent="1"/>
    </xf>
    <xf numFmtId="39" fontId="4" fillId="0" borderId="0" xfId="2" applyNumberFormat="1" applyFont="1" applyFill="1" applyBorder="1"/>
    <xf numFmtId="170" fontId="4" fillId="0" borderId="14" xfId="2" applyNumberFormat="1" applyFont="1" applyFill="1" applyBorder="1"/>
    <xf numFmtId="170" fontId="4" fillId="0" borderId="0" xfId="2" applyNumberFormat="1" applyFont="1" applyFill="1" applyAlignment="1">
      <alignment horizontal="right"/>
    </xf>
    <xf numFmtId="166" fontId="4" fillId="0" borderId="0" xfId="1" applyNumberFormat="1" applyFont="1" applyFill="1" applyBorder="1" applyAlignment="1">
      <alignment horizontal="right"/>
    </xf>
    <xf numFmtId="171" fontId="4" fillId="0" borderId="0" xfId="3" applyNumberFormat="1" applyFont="1" applyFill="1" applyAlignment="1">
      <alignment horizontal="left" indent="2"/>
    </xf>
    <xf numFmtId="170" fontId="4" fillId="0" borderId="17" xfId="2" applyNumberFormat="1" applyFont="1" applyFill="1" applyBorder="1"/>
    <xf numFmtId="165" fontId="4" fillId="0" borderId="0" xfId="1" applyNumberFormat="1" applyFont="1" applyFill="1" applyBorder="1" applyAlignment="1">
      <alignment horizontal="right"/>
    </xf>
    <xf numFmtId="170" fontId="4" fillId="0" borderId="0" xfId="2" applyNumberFormat="1" applyFont="1" applyFill="1" applyBorder="1" applyAlignment="1">
      <alignment horizontal="left"/>
    </xf>
    <xf numFmtId="171" fontId="4" fillId="0" borderId="0" xfId="5" applyNumberFormat="1" applyFont="1" applyFill="1"/>
    <xf numFmtId="10" fontId="4" fillId="0" borderId="0" xfId="1" applyNumberFormat="1" applyFont="1" applyFill="1"/>
    <xf numFmtId="0" fontId="7" fillId="0" borderId="0" xfId="4" quotePrefix="1" applyFont="1" applyAlignment="1">
      <alignment horizontal="right" wrapText="1"/>
    </xf>
    <xf numFmtId="170" fontId="15" fillId="0" borderId="0" xfId="2" applyNumberFormat="1" applyFont="1" applyFill="1"/>
    <xf numFmtId="9" fontId="4" fillId="0" borderId="0" xfId="1" applyFont="1" applyFill="1" applyBorder="1"/>
    <xf numFmtId="0" fontId="4" fillId="0" borderId="0" xfId="0" applyFont="1" applyAlignment="1">
      <alignment vertical="center"/>
    </xf>
    <xf numFmtId="0" fontId="4" fillId="0" borderId="14" xfId="0" applyFont="1" applyBorder="1" applyAlignment="1">
      <alignment horizontal="center"/>
    </xf>
    <xf numFmtId="0" fontId="7" fillId="0" borderId="19" xfId="4" quotePrefix="1" applyFont="1" applyBorder="1" applyAlignment="1">
      <alignment horizontal="center" wrapText="1"/>
    </xf>
    <xf numFmtId="170" fontId="15" fillId="0" borderId="0" xfId="2" applyNumberFormat="1" applyFont="1" applyFill="1" applyBorder="1"/>
    <xf numFmtId="171" fontId="4" fillId="0" borderId="0" xfId="3" applyNumberFormat="1" applyFont="1" applyFill="1" applyAlignment="1">
      <alignment horizontal="left"/>
    </xf>
    <xf numFmtId="9" fontId="8" fillId="0" borderId="0" xfId="1" applyFont="1"/>
    <xf numFmtId="43" fontId="4" fillId="0" borderId="0" xfId="1" applyNumberFormat="1" applyFont="1" applyFill="1" applyBorder="1"/>
    <xf numFmtId="170" fontId="16" fillId="0" borderId="0" xfId="2" applyNumberFormat="1" applyFont="1" applyFill="1" applyBorder="1"/>
    <xf numFmtId="170" fontId="4" fillId="0" borderId="17" xfId="0" applyNumberFormat="1" applyFont="1" applyBorder="1"/>
    <xf numFmtId="0" fontId="16" fillId="0" borderId="0" xfId="0" applyFont="1"/>
    <xf numFmtId="174" fontId="4" fillId="0" borderId="0" xfId="0" applyNumberFormat="1" applyFont="1"/>
    <xf numFmtId="174" fontId="4" fillId="0" borderId="0" xfId="2" applyNumberFormat="1" applyFont="1" applyFill="1" applyBorder="1"/>
    <xf numFmtId="170" fontId="0" fillId="0" borderId="0" xfId="0" applyNumberFormat="1"/>
    <xf numFmtId="171" fontId="4" fillId="0" borderId="0" xfId="0" applyNumberFormat="1" applyFont="1" applyAlignment="1">
      <alignment horizontal="center"/>
    </xf>
    <xf numFmtId="171" fontId="4" fillId="0" borderId="0" xfId="1" applyNumberFormat="1" applyFont="1" applyFill="1" applyBorder="1"/>
    <xf numFmtId="0" fontId="4" fillId="0" borderId="12" xfId="0" applyFont="1" applyBorder="1" applyAlignment="1">
      <alignment vertical="center"/>
    </xf>
    <xf numFmtId="0" fontId="4" fillId="0" borderId="14" xfId="0" applyFont="1" applyBorder="1"/>
    <xf numFmtId="165" fontId="4" fillId="0" borderId="12" xfId="1" applyNumberFormat="1" applyFont="1" applyFill="1" applyBorder="1"/>
    <xf numFmtId="170" fontId="4" fillId="0" borderId="18" xfId="0" applyNumberFormat="1" applyFont="1" applyBorder="1"/>
    <xf numFmtId="0" fontId="4" fillId="0" borderId="17" xfId="0" applyFont="1" applyBorder="1"/>
    <xf numFmtId="9" fontId="4" fillId="0" borderId="0" xfId="0" applyNumberFormat="1" applyFont="1"/>
    <xf numFmtId="9" fontId="4" fillId="0" borderId="0" xfId="1" applyFont="1" applyFill="1"/>
    <xf numFmtId="170" fontId="4" fillId="0" borderId="14" xfId="0" applyNumberFormat="1" applyFont="1" applyBorder="1"/>
    <xf numFmtId="44" fontId="4" fillId="0" borderId="15" xfId="3" applyFont="1" applyFill="1" applyBorder="1"/>
    <xf numFmtId="37" fontId="4" fillId="0" borderId="0" xfId="0" applyNumberFormat="1" applyFont="1"/>
    <xf numFmtId="37" fontId="4" fillId="0" borderId="14" xfId="0" applyNumberFormat="1" applyFont="1" applyBorder="1"/>
    <xf numFmtId="3" fontId="4" fillId="0" borderId="12" xfId="0" applyNumberFormat="1" applyFont="1" applyBorder="1" applyAlignment="1">
      <alignment horizontal="right"/>
    </xf>
    <xf numFmtId="3" fontId="4" fillId="0" borderId="12" xfId="0" applyNumberFormat="1" applyFont="1" applyBorder="1" applyAlignment="1">
      <alignment horizontal="center"/>
    </xf>
    <xf numFmtId="165" fontId="4" fillId="0" borderId="12" xfId="0" applyNumberFormat="1" applyFont="1" applyBorder="1" applyAlignment="1">
      <alignment horizontal="right"/>
    </xf>
    <xf numFmtId="42" fontId="0" fillId="0" borderId="0" xfId="0" applyNumberFormat="1"/>
    <xf numFmtId="0" fontId="4" fillId="0" borderId="0" xfId="6" applyFont="1"/>
    <xf numFmtId="0" fontId="4" fillId="0" borderId="12" xfId="6" applyFont="1" applyBorder="1"/>
    <xf numFmtId="0" fontId="4" fillId="0" borderId="12" xfId="6" applyFont="1" applyBorder="1" applyAlignment="1">
      <alignment horizontal="right"/>
    </xf>
    <xf numFmtId="0" fontId="4" fillId="0" borderId="0" xfId="6" applyFont="1" applyAlignment="1">
      <alignment horizontal="right"/>
    </xf>
    <xf numFmtId="0" fontId="4" fillId="0" borderId="13" xfId="6" applyFont="1" applyBorder="1" applyAlignment="1">
      <alignment horizontal="left"/>
    </xf>
    <xf numFmtId="0" fontId="4" fillId="0" borderId="0" xfId="6" applyFont="1" applyAlignment="1">
      <alignment horizontal="left"/>
    </xf>
    <xf numFmtId="0" fontId="4" fillId="0" borderId="12" xfId="6" applyFont="1" applyBorder="1" applyAlignment="1">
      <alignment horizontal="center"/>
    </xf>
    <xf numFmtId="0" fontId="4" fillId="0" borderId="0" xfId="6" applyFont="1" applyAlignment="1">
      <alignment horizontal="center"/>
    </xf>
    <xf numFmtId="0" fontId="4" fillId="0" borderId="0" xfId="6" quotePrefix="1" applyFont="1" applyAlignment="1">
      <alignment horizontal="center"/>
    </xf>
    <xf numFmtId="0" fontId="4" fillId="0" borderId="12" xfId="6" quotePrefix="1" applyFont="1" applyBorder="1" applyAlignment="1">
      <alignment horizontal="center"/>
    </xf>
    <xf numFmtId="0" fontId="4" fillId="0" borderId="0" xfId="5" applyNumberFormat="1" applyFont="1" applyFill="1"/>
    <xf numFmtId="0" fontId="4" fillId="0" borderId="0" xfId="5" applyNumberFormat="1" applyFont="1" applyFill="1" applyAlignment="1">
      <alignment horizontal="center"/>
    </xf>
    <xf numFmtId="0" fontId="4" fillId="0" borderId="0" xfId="5" applyNumberFormat="1" applyFont="1" applyFill="1" applyBorder="1" applyAlignment="1">
      <alignment horizontal="left"/>
    </xf>
    <xf numFmtId="0" fontId="4" fillId="0" borderId="0" xfId="5" applyNumberFormat="1" applyFont="1" applyFill="1" applyBorder="1" applyAlignment="1">
      <alignment horizontal="center"/>
    </xf>
    <xf numFmtId="0" fontId="4" fillId="0" borderId="0" xfId="5" applyNumberFormat="1" applyFont="1" applyFill="1" applyBorder="1"/>
    <xf numFmtId="166" fontId="4" fillId="0" borderId="0" xfId="5" applyNumberFormat="1" applyFont="1" applyFill="1" applyBorder="1"/>
    <xf numFmtId="43" fontId="4" fillId="0" borderId="0" xfId="7" applyFont="1" applyFill="1" applyBorder="1"/>
    <xf numFmtId="166" fontId="4" fillId="0" borderId="0" xfId="8" applyNumberFormat="1" applyFont="1" applyFill="1"/>
    <xf numFmtId="0" fontId="4" fillId="0" borderId="0" xfId="7" applyNumberFormat="1" applyFont="1" applyFill="1" applyBorder="1"/>
    <xf numFmtId="0" fontId="4" fillId="0" borderId="0" xfId="7" applyNumberFormat="1" applyFont="1" applyFill="1"/>
    <xf numFmtId="0" fontId="4" fillId="0" borderId="0" xfId="7" applyNumberFormat="1" applyFont="1" applyFill="1" applyBorder="1" applyAlignment="1">
      <alignment horizontal="left"/>
    </xf>
    <xf numFmtId="175" fontId="4" fillId="0" borderId="0" xfId="7" applyNumberFormat="1" applyFont="1" applyFill="1" applyBorder="1"/>
    <xf numFmtId="9" fontId="4" fillId="0" borderId="0" xfId="8" applyFont="1" applyFill="1"/>
    <xf numFmtId="171" fontId="4" fillId="0" borderId="0" xfId="5" applyNumberFormat="1" applyFont="1" applyFill="1" applyAlignment="1">
      <alignment horizontal="left" indent="1"/>
    </xf>
    <xf numFmtId="176" fontId="4" fillId="0" borderId="0" xfId="7" applyNumberFormat="1" applyFont="1" applyFill="1" applyBorder="1"/>
    <xf numFmtId="39" fontId="4" fillId="0" borderId="0" xfId="7" applyNumberFormat="1" applyFont="1" applyFill="1" applyBorder="1"/>
    <xf numFmtId="0" fontId="4" fillId="0" borderId="0" xfId="4" quotePrefix="1" applyFont="1" applyAlignment="1">
      <alignment wrapText="1"/>
    </xf>
    <xf numFmtId="171" fontId="4" fillId="0" borderId="0" xfId="5" applyNumberFormat="1" applyFont="1" applyFill="1" applyBorder="1"/>
    <xf numFmtId="0" fontId="4" fillId="0" borderId="0" xfId="4" applyFont="1" applyAlignment="1">
      <alignment wrapText="1"/>
    </xf>
    <xf numFmtId="170" fontId="4" fillId="0" borderId="0" xfId="7" applyNumberFormat="1" applyFont="1" applyFill="1" applyBorder="1"/>
    <xf numFmtId="166" fontId="4" fillId="0" borderId="0" xfId="6" applyNumberFormat="1" applyFont="1"/>
    <xf numFmtId="0" fontId="4" fillId="0" borderId="0" xfId="7" applyNumberFormat="1" applyFont="1" applyFill="1" applyBorder="1" applyAlignment="1"/>
    <xf numFmtId="166" fontId="4" fillId="0" borderId="0" xfId="7" applyNumberFormat="1" applyFont="1" applyFill="1" applyBorder="1"/>
    <xf numFmtId="171" fontId="4" fillId="0" borderId="0" xfId="5" applyNumberFormat="1" applyFont="1" applyFill="1" applyAlignment="1">
      <alignment horizontal="left"/>
    </xf>
    <xf numFmtId="171" fontId="4" fillId="0" borderId="0" xfId="5" applyNumberFormat="1" applyFont="1" applyFill="1" applyBorder="1" applyAlignment="1">
      <alignment horizontal="center"/>
    </xf>
    <xf numFmtId="171" fontId="4" fillId="0" borderId="0" xfId="5" applyNumberFormat="1" applyFont="1" applyFill="1" applyAlignment="1"/>
    <xf numFmtId="170" fontId="4" fillId="0" borderId="0" xfId="7" applyNumberFormat="1" applyFont="1" applyFill="1"/>
    <xf numFmtId="166" fontId="4" fillId="0" borderId="0" xfId="7" applyNumberFormat="1" applyFont="1" applyFill="1"/>
    <xf numFmtId="170" fontId="4" fillId="0" borderId="0" xfId="7" applyNumberFormat="1" applyFont="1" applyFill="1" applyBorder="1" applyAlignment="1">
      <alignment horizontal="left"/>
    </xf>
    <xf numFmtId="0" fontId="4" fillId="0" borderId="12" xfId="4" applyFont="1" applyBorder="1" applyAlignment="1">
      <alignment wrapText="1"/>
    </xf>
    <xf numFmtId="171" fontId="4" fillId="0" borderId="12" xfId="5" applyNumberFormat="1" applyFont="1" applyFill="1" applyBorder="1"/>
    <xf numFmtId="43" fontId="4" fillId="0" borderId="12" xfId="7" applyFont="1" applyFill="1" applyBorder="1"/>
    <xf numFmtId="170" fontId="4" fillId="0" borderId="12" xfId="7" applyNumberFormat="1" applyFont="1" applyFill="1" applyBorder="1"/>
    <xf numFmtId="166" fontId="4" fillId="0" borderId="12" xfId="8" applyNumberFormat="1" applyFont="1" applyFill="1" applyBorder="1"/>
    <xf numFmtId="170" fontId="4" fillId="0" borderId="12" xfId="7" applyNumberFormat="1" applyFont="1" applyFill="1" applyBorder="1" applyAlignment="1">
      <alignment horizontal="right"/>
    </xf>
    <xf numFmtId="0" fontId="4" fillId="0" borderId="13" xfId="6" applyFont="1" applyBorder="1"/>
    <xf numFmtId="0" fontId="4" fillId="0" borderId="0" xfId="4" applyFont="1" applyAlignment="1">
      <alignment horizontal="center" wrapText="1"/>
    </xf>
    <xf numFmtId="177" fontId="4" fillId="0" borderId="0" xfId="7" applyNumberFormat="1" applyFont="1" applyFill="1" applyBorder="1"/>
    <xf numFmtId="9" fontId="4" fillId="0" borderId="0" xfId="7" applyNumberFormat="1" applyFont="1" applyFill="1" applyBorder="1"/>
    <xf numFmtId="9" fontId="4" fillId="0" borderId="12" xfId="7" applyNumberFormat="1" applyFont="1" applyFill="1" applyBorder="1"/>
    <xf numFmtId="9" fontId="4" fillId="0" borderId="12" xfId="8" applyFont="1" applyFill="1" applyBorder="1"/>
    <xf numFmtId="43" fontId="4" fillId="0" borderId="0" xfId="7" applyFont="1" applyFill="1"/>
    <xf numFmtId="0" fontId="4" fillId="0" borderId="13" xfId="4" applyFont="1" applyBorder="1" applyAlignment="1">
      <alignment horizontal="left" wrapText="1"/>
    </xf>
    <xf numFmtId="0" fontId="4" fillId="0" borderId="0" xfId="6" applyFont="1" applyAlignment="1">
      <alignment horizontal="left" indent="1"/>
    </xf>
    <xf numFmtId="171" fontId="4" fillId="0" borderId="0" xfId="5" applyNumberFormat="1" applyFont="1" applyFill="1" applyBorder="1" applyAlignment="1">
      <alignment horizontal="left" indent="1"/>
    </xf>
    <xf numFmtId="9" fontId="4" fillId="0" borderId="0" xfId="8" applyFont="1" applyFill="1" applyBorder="1"/>
    <xf numFmtId="176" fontId="4" fillId="0" borderId="0" xfId="7" applyNumberFormat="1" applyFont="1" applyFill="1"/>
    <xf numFmtId="178" fontId="4" fillId="0" borderId="0" xfId="7" applyNumberFormat="1" applyFont="1" applyFill="1" applyBorder="1"/>
    <xf numFmtId="175" fontId="4" fillId="0" borderId="12" xfId="7" applyNumberFormat="1" applyFont="1" applyFill="1" applyBorder="1"/>
    <xf numFmtId="43" fontId="4" fillId="0" borderId="0" xfId="6" applyNumberFormat="1" applyFont="1"/>
    <xf numFmtId="178" fontId="4" fillId="0" borderId="12" xfId="7" applyNumberFormat="1" applyFont="1" applyFill="1" applyBorder="1"/>
    <xf numFmtId="44" fontId="4" fillId="0" borderId="0" xfId="6" applyNumberFormat="1" applyFont="1"/>
    <xf numFmtId="9" fontId="4" fillId="0" borderId="0" xfId="8" applyFont="1" applyFill="1" applyAlignment="1">
      <alignment horizontal="right"/>
    </xf>
    <xf numFmtId="176" fontId="4" fillId="0" borderId="0" xfId="6" applyNumberFormat="1" applyFont="1"/>
    <xf numFmtId="0" fontId="14" fillId="0" borderId="12" xfId="6" applyBorder="1"/>
    <xf numFmtId="0" fontId="14" fillId="0" borderId="0" xfId="6"/>
    <xf numFmtId="0" fontId="13" fillId="0" borderId="0" xfId="6" quotePrefix="1" applyFont="1" applyAlignment="1">
      <alignment horizontal="center"/>
    </xf>
    <xf numFmtId="0" fontId="4" fillId="0" borderId="20" xfId="6" applyFont="1" applyBorder="1" applyAlignment="1">
      <alignment horizontal="center"/>
    </xf>
    <xf numFmtId="0" fontId="4" fillId="0" borderId="17" xfId="6" quotePrefix="1" applyFont="1" applyBorder="1" applyAlignment="1">
      <alignment horizontal="center"/>
    </xf>
    <xf numFmtId="0" fontId="4" fillId="0" borderId="21" xfId="6" quotePrefix="1" applyFont="1" applyBorder="1" applyAlignment="1">
      <alignment horizontal="center"/>
    </xf>
    <xf numFmtId="0" fontId="4" fillId="0" borderId="22" xfId="6" quotePrefix="1" applyFont="1" applyBorder="1" applyAlignment="1">
      <alignment horizontal="center"/>
    </xf>
    <xf numFmtId="0" fontId="4" fillId="0" borderId="12" xfId="4" quotePrefix="1" applyFont="1" applyBorder="1" applyAlignment="1">
      <alignment horizontal="center" wrapText="1"/>
    </xf>
    <xf numFmtId="171" fontId="4" fillId="0" borderId="12" xfId="5" applyNumberFormat="1" applyFont="1" applyFill="1" applyBorder="1" applyAlignment="1">
      <alignment horizontal="center"/>
    </xf>
    <xf numFmtId="171" fontId="4" fillId="0" borderId="23" xfId="5" applyNumberFormat="1" applyFont="1" applyFill="1" applyBorder="1" applyAlignment="1">
      <alignment horizontal="center"/>
    </xf>
    <xf numFmtId="171" fontId="4" fillId="0" borderId="24" xfId="5" applyNumberFormat="1" applyFont="1" applyFill="1" applyBorder="1" applyAlignment="1">
      <alignment horizontal="center"/>
    </xf>
    <xf numFmtId="44" fontId="4" fillId="0" borderId="25" xfId="5" applyFont="1" applyFill="1" applyBorder="1"/>
    <xf numFmtId="44" fontId="4" fillId="0" borderId="0" xfId="5" applyFont="1" applyFill="1" applyBorder="1"/>
    <xf numFmtId="44" fontId="4" fillId="0" borderId="26" xfId="5" applyFont="1" applyFill="1" applyBorder="1"/>
    <xf numFmtId="166" fontId="4" fillId="0" borderId="0" xfId="8" applyNumberFormat="1" applyFont="1" applyFill="1" applyBorder="1"/>
    <xf numFmtId="177" fontId="4" fillId="0" borderId="26" xfId="7" applyNumberFormat="1" applyFont="1" applyFill="1" applyBorder="1"/>
    <xf numFmtId="177" fontId="4" fillId="0" borderId="25" xfId="7" applyNumberFormat="1" applyFont="1" applyFill="1" applyBorder="1"/>
    <xf numFmtId="2" fontId="4" fillId="0" borderId="25" xfId="7" applyNumberFormat="1" applyFont="1" applyFill="1" applyBorder="1"/>
    <xf numFmtId="2" fontId="4" fillId="0" borderId="0" xfId="7" applyNumberFormat="1" applyFont="1" applyFill="1" applyBorder="1"/>
    <xf numFmtId="43" fontId="4" fillId="0" borderId="0" xfId="6" applyNumberFormat="1" applyFont="1" applyAlignment="1">
      <alignment horizontal="center"/>
    </xf>
    <xf numFmtId="43" fontId="4" fillId="0" borderId="0" xfId="7" applyFont="1" applyFill="1" applyBorder="1" applyAlignment="1">
      <alignment horizontal="center"/>
    </xf>
    <xf numFmtId="175" fontId="4" fillId="0" borderId="0" xfId="6" applyNumberFormat="1" applyFont="1" applyAlignment="1">
      <alignment horizontal="center"/>
    </xf>
    <xf numFmtId="0" fontId="4" fillId="0" borderId="0" xfId="6" applyFont="1" applyAlignment="1">
      <alignment horizontal="left" indent="2"/>
    </xf>
    <xf numFmtId="175" fontId="4" fillId="0" borderId="0" xfId="6" applyNumberFormat="1" applyFont="1"/>
    <xf numFmtId="170" fontId="4" fillId="0" borderId="0" xfId="6" applyNumberFormat="1" applyFont="1"/>
    <xf numFmtId="0" fontId="4" fillId="0" borderId="25" xfId="6" applyFont="1" applyBorder="1" applyAlignment="1">
      <alignment horizontal="center"/>
    </xf>
    <xf numFmtId="169" fontId="4" fillId="0" borderId="0" xfId="7" applyNumberFormat="1" applyFont="1" applyFill="1" applyBorder="1"/>
    <xf numFmtId="43" fontId="4" fillId="0" borderId="26" xfId="7" applyFont="1" applyFill="1" applyBorder="1"/>
    <xf numFmtId="43" fontId="4" fillId="0" borderId="25" xfId="7" applyFont="1" applyFill="1" applyBorder="1"/>
    <xf numFmtId="44" fontId="4" fillId="0" borderId="22" xfId="5" applyFont="1" applyFill="1" applyBorder="1"/>
    <xf numFmtId="0" fontId="5" fillId="0" borderId="0" xfId="6" applyFont="1" applyAlignment="1">
      <alignment horizontal="center"/>
    </xf>
    <xf numFmtId="0" fontId="5" fillId="0" borderId="0" xfId="6" applyFont="1"/>
    <xf numFmtId="166" fontId="14" fillId="0" borderId="0" xfId="8" applyNumberFormat="1" applyFont="1" applyFill="1"/>
    <xf numFmtId="44" fontId="14" fillId="0" borderId="0" xfId="6" applyNumberFormat="1"/>
    <xf numFmtId="175" fontId="4" fillId="0" borderId="0" xfId="7" applyNumberFormat="1" applyFont="1" applyFill="1" applyBorder="1" applyAlignment="1">
      <alignment horizontal="center"/>
    </xf>
    <xf numFmtId="170" fontId="4" fillId="0" borderId="12" xfId="7" applyNumberFormat="1" applyFont="1" applyFill="1" applyBorder="1" applyAlignment="1"/>
    <xf numFmtId="0" fontId="17" fillId="0" borderId="0" xfId="6" applyFont="1" applyAlignment="1">
      <alignment horizontal="center"/>
    </xf>
    <xf numFmtId="0" fontId="4" fillId="0" borderId="0" xfId="4" quotePrefix="1" applyFont="1" applyAlignment="1">
      <alignment horizontal="center" wrapText="1"/>
    </xf>
    <xf numFmtId="0" fontId="4" fillId="0" borderId="0" xfId="4" applyFont="1" applyAlignment="1">
      <alignment horizontal="right"/>
    </xf>
    <xf numFmtId="43" fontId="4" fillId="0" borderId="0" xfId="7" applyFont="1" applyFill="1" applyBorder="1" applyAlignment="1">
      <alignment horizontal="left"/>
    </xf>
    <xf numFmtId="44" fontId="14" fillId="0" borderId="0" xfId="5" applyFont="1" applyFill="1" applyBorder="1"/>
    <xf numFmtId="3" fontId="4" fillId="0" borderId="0" xfId="4" applyNumberFormat="1" applyFont="1" applyAlignment="1">
      <alignment horizontal="right"/>
    </xf>
    <xf numFmtId="3" fontId="4" fillId="0" borderId="0" xfId="4" applyNumberFormat="1" applyFont="1" applyAlignment="1">
      <alignment wrapText="1"/>
    </xf>
    <xf numFmtId="43" fontId="14" fillId="0" borderId="0" xfId="7" applyFont="1" applyFill="1" applyBorder="1"/>
    <xf numFmtId="43" fontId="14" fillId="0" borderId="0" xfId="6" applyNumberFormat="1"/>
    <xf numFmtId="43" fontId="4" fillId="0" borderId="27" xfId="7" applyFont="1" applyFill="1" applyBorder="1" applyAlignment="1">
      <alignment horizontal="left"/>
    </xf>
    <xf numFmtId="9" fontId="14" fillId="0" borderId="0" xfId="8" applyFont="1" applyFill="1"/>
    <xf numFmtId="9" fontId="14" fillId="0" borderId="0" xfId="8" applyFont="1" applyFill="1" applyBorder="1"/>
    <xf numFmtId="44" fontId="14" fillId="0" borderId="25" xfId="5" applyFont="1" applyFill="1" applyBorder="1"/>
    <xf numFmtId="44" fontId="14" fillId="0" borderId="0" xfId="5" applyFont="1" applyFill="1"/>
    <xf numFmtId="169" fontId="4" fillId="0" borderId="25" xfId="7" applyNumberFormat="1" applyFont="1" applyFill="1" applyBorder="1"/>
    <xf numFmtId="177" fontId="4" fillId="0" borderId="27" xfId="7" applyNumberFormat="1" applyFont="1" applyFill="1" applyBorder="1"/>
    <xf numFmtId="170" fontId="4" fillId="0" borderId="0" xfId="7" applyNumberFormat="1" applyFont="1" applyFill="1" applyBorder="1" applyAlignment="1"/>
    <xf numFmtId="170" fontId="4" fillId="0" borderId="0" xfId="7" applyNumberFormat="1" applyFont="1" applyFill="1" applyBorder="1" applyAlignment="1">
      <alignment horizontal="center"/>
    </xf>
    <xf numFmtId="43" fontId="14" fillId="0" borderId="0" xfId="7" applyFont="1" applyFill="1"/>
    <xf numFmtId="176" fontId="14" fillId="0" borderId="0" xfId="6" applyNumberFormat="1"/>
    <xf numFmtId="170" fontId="14" fillId="0" borderId="0" xfId="6" applyNumberFormat="1"/>
    <xf numFmtId="0" fontId="4" fillId="0" borderId="28" xfId="6" quotePrefix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13" xfId="4" applyFont="1" applyBorder="1" applyAlignment="1">
      <alignment horizontal="left" wrapText="1"/>
    </xf>
    <xf numFmtId="0" fontId="4" fillId="0" borderId="0" xfId="6" applyFont="1" applyAlignment="1">
      <alignment horizontal="center"/>
    </xf>
    <xf numFmtId="0" fontId="14" fillId="0" borderId="0" xfId="6" applyAlignment="1">
      <alignment horizontal="center"/>
    </xf>
    <xf numFmtId="0" fontId="4" fillId="0" borderId="14" xfId="6" applyFont="1" applyBorder="1" applyAlignment="1">
      <alignment horizontal="center"/>
    </xf>
    <xf numFmtId="0" fontId="4" fillId="0" borderId="13" xfId="6" applyFont="1" applyBorder="1" applyAlignment="1">
      <alignment horizontal="center"/>
    </xf>
    <xf numFmtId="0" fontId="4" fillId="0" borderId="12" xfId="6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7" fillId="0" borderId="13" xfId="4" applyFont="1" applyBorder="1" applyAlignment="1">
      <alignment horizontal="left" wrapText="1"/>
    </xf>
    <xf numFmtId="0" fontId="7" fillId="0" borderId="0" xfId="4" applyFont="1" applyAlignment="1">
      <alignment horizontal="left" wrapText="1"/>
    </xf>
    <xf numFmtId="0" fontId="4" fillId="0" borderId="13" xfId="0" applyFont="1" applyBorder="1" applyAlignment="1">
      <alignment horizontal="center"/>
    </xf>
    <xf numFmtId="0" fontId="7" fillId="0" borderId="14" xfId="4" applyFont="1" applyBorder="1" applyAlignment="1">
      <alignment horizontal="center" wrapText="1"/>
    </xf>
    <xf numFmtId="0" fontId="4" fillId="0" borderId="14" xfId="0" quotePrefix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0" fontId="0" fillId="0" borderId="29" xfId="1" applyNumberFormat="1" applyFont="1" applyBorder="1"/>
    <xf numFmtId="10" fontId="0" fillId="0" borderId="29" xfId="0" applyNumberFormat="1" applyBorder="1"/>
    <xf numFmtId="10" fontId="0" fillId="0" borderId="30" xfId="0" applyNumberFormat="1" applyBorder="1"/>
    <xf numFmtId="0" fontId="0" fillId="0" borderId="29" xfId="0" applyBorder="1"/>
    <xf numFmtId="0" fontId="0" fillId="0" borderId="30" xfId="0" applyBorder="1"/>
    <xf numFmtId="10" fontId="0" fillId="2" borderId="29" xfId="0" applyNumberFormat="1" applyFill="1" applyBorder="1"/>
  </cellXfs>
  <cellStyles count="9">
    <cellStyle name="Comma" xfId="2" builtinId="3"/>
    <cellStyle name="Comma 2" xfId="7" xr:uid="{B5BA55E2-975B-490A-892A-258648C7BD04}"/>
    <cellStyle name="Currency" xfId="3" builtinId="4"/>
    <cellStyle name="Currency 2" xfId="5" xr:uid="{2299AAB8-7C98-435B-B5A4-3CFF55834026}"/>
    <cellStyle name="Normal" xfId="0" builtinId="0"/>
    <cellStyle name="Normal 2" xfId="6" xr:uid="{E62FB37A-051F-4860-A2C7-D18E16807F5B}"/>
    <cellStyle name="Normal_Sheet1" xfId="4" xr:uid="{29198974-BC1A-43AF-BCE8-4A158A46BF5F}"/>
    <cellStyle name="Percent" xfId="1" builtinId="5"/>
    <cellStyle name="Percent 2" xfId="8" xr:uid="{D20DA8B8-149C-430A-9D69-96877E6073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6C344-1565-4204-BB24-B8FC1F48A58B}">
  <dimension ref="B1:M29"/>
  <sheetViews>
    <sheetView tabSelected="1" zoomScale="130" zoomScaleNormal="130" workbookViewId="0">
      <selection activeCell="B1" sqref="B1"/>
    </sheetView>
  </sheetViews>
  <sheetFormatPr defaultRowHeight="15"/>
  <cols>
    <col min="2" max="2" width="26.140625" bestFit="1" customWidth="1"/>
    <col min="3" max="4" width="13.140625" bestFit="1" customWidth="1"/>
    <col min="6" max="6" width="18" bestFit="1" customWidth="1"/>
    <col min="9" max="9" width="26.140625" bestFit="1" customWidth="1"/>
    <col min="10" max="10" width="13.140625" bestFit="1" customWidth="1"/>
    <col min="11" max="11" width="8.5703125" bestFit="1" customWidth="1"/>
    <col min="13" max="13" width="18" bestFit="1" customWidth="1"/>
  </cols>
  <sheetData>
    <row r="1" spans="2:13">
      <c r="B1" t="s">
        <v>0</v>
      </c>
    </row>
    <row r="2" spans="2:13" ht="15.75" thickBot="1"/>
    <row r="3" spans="2:13" ht="15.75" thickBot="1">
      <c r="B3" s="10"/>
      <c r="C3" s="321" t="s">
        <v>1</v>
      </c>
      <c r="D3" s="322"/>
      <c r="E3" s="322"/>
      <c r="F3" s="323"/>
      <c r="I3" s="10"/>
      <c r="J3" s="321" t="s">
        <v>2</v>
      </c>
      <c r="K3" s="322"/>
      <c r="L3" s="322"/>
      <c r="M3" s="323"/>
    </row>
    <row r="4" spans="2:13" ht="15.75" thickBot="1">
      <c r="B4" s="13" t="s">
        <v>3</v>
      </c>
      <c r="C4" s="3" t="s">
        <v>4</v>
      </c>
      <c r="D4" s="4" t="s">
        <v>5</v>
      </c>
      <c r="E4" s="5" t="s">
        <v>6</v>
      </c>
      <c r="F4" s="6" t="s">
        <v>7</v>
      </c>
      <c r="I4" s="13" t="s">
        <v>3</v>
      </c>
      <c r="J4" s="3" t="s">
        <v>4</v>
      </c>
      <c r="K4" s="4" t="s">
        <v>5</v>
      </c>
      <c r="L4" s="5" t="s">
        <v>6</v>
      </c>
      <c r="M4" s="6" t="s">
        <v>7</v>
      </c>
    </row>
    <row r="5" spans="2:13">
      <c r="B5" s="11" t="s">
        <v>8</v>
      </c>
      <c r="C5" s="7">
        <v>3536333</v>
      </c>
      <c r="D5" s="338">
        <f>+C5/SUM($C$5:$C$19)</f>
        <v>0.36091843868485379</v>
      </c>
      <c r="E5" s="339">
        <v>4.53E-2</v>
      </c>
      <c r="F5" s="340">
        <f>+ROUND(D5*E5,4)</f>
        <v>1.6299999999999999E-2</v>
      </c>
      <c r="I5" s="11" t="s">
        <v>8</v>
      </c>
      <c r="J5" s="7">
        <v>3536333</v>
      </c>
      <c r="K5" s="338">
        <f>+J5/SUM($J$5:$J$19)</f>
        <v>0.36091843868485379</v>
      </c>
      <c r="L5" s="339">
        <v>4.53E-2</v>
      </c>
      <c r="M5" s="340">
        <f>+ROUND(K5*L5,4)</f>
        <v>1.6299999999999999E-2</v>
      </c>
    </row>
    <row r="6" spans="2:13">
      <c r="B6" s="11"/>
      <c r="C6" s="8"/>
      <c r="D6" s="341"/>
      <c r="E6" s="341"/>
      <c r="F6" s="342"/>
      <c r="I6" s="11"/>
      <c r="J6" s="8"/>
      <c r="K6" s="341"/>
      <c r="L6" s="341"/>
      <c r="M6" s="342"/>
    </row>
    <row r="7" spans="2:13">
      <c r="B7" s="11" t="s">
        <v>9</v>
      </c>
      <c r="C7" s="7">
        <v>376625</v>
      </c>
      <c r="D7" s="338">
        <f>+C7/SUM($C$5:$C$19)</f>
        <v>3.8438378673525106E-2</v>
      </c>
      <c r="E7" s="339">
        <v>3.9E-2</v>
      </c>
      <c r="F7" s="340">
        <f>+ROUND(D7*E7,4)</f>
        <v>1.5E-3</v>
      </c>
      <c r="I7" s="11" t="s">
        <v>9</v>
      </c>
      <c r="J7" s="7">
        <v>376625</v>
      </c>
      <c r="K7" s="338">
        <f>+J7/SUM($J$5:$J$19)</f>
        <v>3.8438378673525106E-2</v>
      </c>
      <c r="L7" s="339">
        <v>3.9E-2</v>
      </c>
      <c r="M7" s="340">
        <f>+ROUND(K7*L7,4)</f>
        <v>1.5E-3</v>
      </c>
    </row>
    <row r="8" spans="2:13">
      <c r="B8" s="11"/>
      <c r="C8" s="8"/>
      <c r="D8" s="341"/>
      <c r="E8" s="341"/>
      <c r="F8" s="342"/>
      <c r="I8" s="11"/>
      <c r="J8" s="8"/>
      <c r="K8" s="341"/>
      <c r="L8" s="341"/>
      <c r="M8" s="342"/>
    </row>
    <row r="9" spans="2:13">
      <c r="B9" s="11" t="s">
        <v>10</v>
      </c>
      <c r="C9" s="7">
        <v>99195</v>
      </c>
      <c r="D9" s="338">
        <f>+C9/SUM($C$5:$C$19)</f>
        <v>1.0123849910442278E-2</v>
      </c>
      <c r="E9" s="339">
        <v>2.41E-2</v>
      </c>
      <c r="F9" s="340">
        <f>+ROUND(D9*E9,4)</f>
        <v>2.0000000000000001E-4</v>
      </c>
      <c r="I9" s="11" t="s">
        <v>10</v>
      </c>
      <c r="J9" s="7">
        <v>99195</v>
      </c>
      <c r="K9" s="338">
        <f>+J9/SUM($J$5:$J$19)</f>
        <v>1.0123849910442278E-2</v>
      </c>
      <c r="L9" s="339">
        <v>2.41E-2</v>
      </c>
      <c r="M9" s="340">
        <f>+ROUND(K9*L9,4)</f>
        <v>2.0000000000000001E-4</v>
      </c>
    </row>
    <row r="10" spans="2:13">
      <c r="B10" s="11"/>
      <c r="C10" s="8"/>
      <c r="D10" s="341"/>
      <c r="E10" s="341"/>
      <c r="F10" s="342"/>
      <c r="I10" s="11"/>
      <c r="J10" s="8"/>
      <c r="K10" s="341"/>
      <c r="L10" s="341"/>
      <c r="M10" s="342"/>
    </row>
    <row r="11" spans="2:13">
      <c r="B11" s="11" t="s">
        <v>11</v>
      </c>
      <c r="C11" s="7">
        <v>0</v>
      </c>
      <c r="D11" s="338">
        <f>+C11/SUM($C$5:$C$19)</f>
        <v>0</v>
      </c>
      <c r="E11" s="339">
        <v>0</v>
      </c>
      <c r="F11" s="340">
        <f>+ROUND(D11*E11,4)</f>
        <v>0</v>
      </c>
      <c r="I11" s="11" t="s">
        <v>11</v>
      </c>
      <c r="J11" s="7">
        <v>0</v>
      </c>
      <c r="K11" s="338">
        <f>+J11/SUM($J$5:$J$19)</f>
        <v>0</v>
      </c>
      <c r="L11" s="339">
        <v>0</v>
      </c>
      <c r="M11" s="340">
        <f>+ROUND(K11*L11,4)</f>
        <v>0</v>
      </c>
    </row>
    <row r="12" spans="2:13">
      <c r="B12" s="11"/>
      <c r="C12" s="8"/>
      <c r="D12" s="341"/>
      <c r="E12" s="341"/>
      <c r="F12" s="342"/>
      <c r="I12" s="11"/>
      <c r="J12" s="8"/>
      <c r="K12" s="341"/>
      <c r="L12" s="341"/>
      <c r="M12" s="342"/>
    </row>
    <row r="13" spans="2:13">
      <c r="B13" s="11" t="s">
        <v>12</v>
      </c>
      <c r="C13" s="7">
        <v>4593473</v>
      </c>
      <c r="D13" s="338">
        <f>+C13/SUM($C$5:$C$19)</f>
        <v>0.46881023458510024</v>
      </c>
      <c r="E13" s="339">
        <v>0.115</v>
      </c>
      <c r="F13" s="340">
        <f>+ROUND(D13*E13,4)</f>
        <v>5.3900000000000003E-2</v>
      </c>
      <c r="I13" s="11" t="s">
        <v>12</v>
      </c>
      <c r="J13" s="7">
        <v>4593473</v>
      </c>
      <c r="K13" s="338">
        <f>+J13/SUM($J$5:$J$19)</f>
        <v>0.46881023458510024</v>
      </c>
      <c r="L13" s="343">
        <f>+E13-0.01%</f>
        <v>0.1149</v>
      </c>
      <c r="M13" s="340">
        <f>K13*L13</f>
        <v>5.3866295953828018E-2</v>
      </c>
    </row>
    <row r="14" spans="2:13">
      <c r="B14" s="11"/>
      <c r="C14" s="8"/>
      <c r="D14" s="341"/>
      <c r="E14" s="341"/>
      <c r="F14" s="342"/>
      <c r="I14" s="11"/>
      <c r="J14" s="8"/>
      <c r="K14" s="341"/>
      <c r="L14" s="341"/>
      <c r="M14" s="342"/>
    </row>
    <row r="15" spans="2:13">
      <c r="B15" s="11" t="s">
        <v>13</v>
      </c>
      <c r="C15" s="7">
        <v>980855</v>
      </c>
      <c r="D15" s="338">
        <f>+C15/SUM($C$5:$C$19)</f>
        <v>0.10010614248608156</v>
      </c>
      <c r="E15" s="339">
        <v>0</v>
      </c>
      <c r="F15" s="340">
        <f>+ROUND(D15*E15,4)</f>
        <v>0</v>
      </c>
      <c r="I15" s="11" t="s">
        <v>13</v>
      </c>
      <c r="J15" s="7">
        <v>980855</v>
      </c>
      <c r="K15" s="338">
        <f>+J15/SUM($J$5:$J$19)</f>
        <v>0.10010614248608156</v>
      </c>
      <c r="L15" s="339">
        <v>0</v>
      </c>
      <c r="M15" s="340">
        <f>+ROUND(K15*L15,4)</f>
        <v>0</v>
      </c>
    </row>
    <row r="16" spans="2:13">
      <c r="B16" s="11"/>
      <c r="C16" s="8"/>
      <c r="D16" s="341"/>
      <c r="E16" s="341"/>
      <c r="F16" s="342"/>
      <c r="I16" s="11"/>
      <c r="J16" s="8"/>
      <c r="K16" s="341"/>
      <c r="L16" s="341"/>
      <c r="M16" s="342"/>
    </row>
    <row r="17" spans="2:13">
      <c r="B17" s="11" t="s">
        <v>14</v>
      </c>
      <c r="C17" s="7">
        <v>0</v>
      </c>
      <c r="D17" s="338">
        <f>+C17/SUM($C$5:$C$19)</f>
        <v>0</v>
      </c>
      <c r="E17" s="339">
        <v>0</v>
      </c>
      <c r="F17" s="340">
        <f>+ROUND(D17*E17,4)</f>
        <v>0</v>
      </c>
      <c r="I17" s="11" t="s">
        <v>14</v>
      </c>
      <c r="J17" s="7">
        <v>0</v>
      </c>
      <c r="K17" s="338">
        <f>+J17/SUM($J$5:$J$19)</f>
        <v>0</v>
      </c>
      <c r="L17" s="339">
        <v>0</v>
      </c>
      <c r="M17" s="340">
        <f>+ROUND(K17*L17,4)</f>
        <v>0</v>
      </c>
    </row>
    <row r="18" spans="2:13">
      <c r="B18" s="11"/>
      <c r="C18" s="8"/>
      <c r="D18" s="341"/>
      <c r="E18" s="341"/>
      <c r="F18" s="342"/>
      <c r="I18" s="11"/>
      <c r="J18" s="8"/>
      <c r="K18" s="341"/>
      <c r="L18" s="341"/>
      <c r="M18" s="342"/>
    </row>
    <row r="19" spans="2:13">
      <c r="B19" s="11" t="s">
        <v>15</v>
      </c>
      <c r="C19" s="7">
        <v>211669</v>
      </c>
      <c r="D19" s="338">
        <f>+C19/SUM($C$5:$C$19)</f>
        <v>2.160295565999704E-2</v>
      </c>
      <c r="E19" s="339">
        <v>8.2600000000000007E-2</v>
      </c>
      <c r="F19" s="340">
        <f>+ROUND(D19*E19,4)</f>
        <v>1.8E-3</v>
      </c>
      <c r="I19" s="11" t="s">
        <v>15</v>
      </c>
      <c r="J19" s="7">
        <v>211669</v>
      </c>
      <c r="K19" s="338">
        <f>+J19/SUM($J$5:$J$19)</f>
        <v>2.160295565999704E-2</v>
      </c>
      <c r="L19" s="339">
        <v>8.2600000000000007E-2</v>
      </c>
      <c r="M19" s="340">
        <f>+ROUND(K19*L19,4)</f>
        <v>1.8E-3</v>
      </c>
    </row>
    <row r="20" spans="2:13">
      <c r="B20" s="11"/>
      <c r="C20" s="8"/>
      <c r="D20" s="341"/>
      <c r="E20" s="341"/>
      <c r="F20" s="342"/>
      <c r="I20" s="11"/>
      <c r="J20" s="8"/>
      <c r="K20" s="341"/>
      <c r="L20" s="341"/>
      <c r="M20" s="342"/>
    </row>
    <row r="21" spans="2:13" ht="15.75" thickBot="1">
      <c r="B21" s="12" t="s">
        <v>16</v>
      </c>
      <c r="C21" s="9"/>
      <c r="D21" s="5"/>
      <c r="E21" s="5"/>
      <c r="F21" s="16">
        <f>+SUM(F5:F19)</f>
        <v>7.3700000000000002E-2</v>
      </c>
      <c r="I21" s="12" t="s">
        <v>16</v>
      </c>
      <c r="J21" s="9"/>
      <c r="K21" s="5"/>
      <c r="L21" s="5"/>
      <c r="M21" s="16">
        <f>+SUM(M5:M19)</f>
        <v>7.3666295953828009E-2</v>
      </c>
    </row>
    <row r="23" spans="2:13">
      <c r="C23" s="17"/>
      <c r="J23" s="17"/>
    </row>
    <row r="24" spans="2:13">
      <c r="C24" s="17"/>
      <c r="J24" s="17"/>
    </row>
    <row r="25" spans="2:13">
      <c r="C25" s="17"/>
      <c r="J25" s="17"/>
    </row>
    <row r="26" spans="2:13">
      <c r="C26" s="17"/>
      <c r="J26" s="17"/>
    </row>
    <row r="27" spans="2:13">
      <c r="C27" s="17"/>
      <c r="J27" s="17"/>
    </row>
    <row r="29" spans="2:13">
      <c r="C29" s="1"/>
      <c r="D29" s="17"/>
      <c r="J29" s="1"/>
      <c r="K29" s="18"/>
    </row>
  </sheetData>
  <mergeCells count="2">
    <mergeCell ref="C3:F3"/>
    <mergeCell ref="J3:M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95E30-1329-4159-AA47-A6A086C71BC7}">
  <dimension ref="A3:V110"/>
  <sheetViews>
    <sheetView workbookViewId="0">
      <selection activeCell="D4" sqref="D4:V10"/>
    </sheetView>
  </sheetViews>
  <sheetFormatPr defaultRowHeight="15"/>
  <cols>
    <col min="1" max="1" width="39.85546875" bestFit="1" customWidth="1"/>
    <col min="2" max="2" width="28.85546875" bestFit="1" customWidth="1"/>
    <col min="8" max="8" width="21.85546875" bestFit="1" customWidth="1"/>
    <col min="10" max="10" width="9.42578125" bestFit="1" customWidth="1"/>
    <col min="12" max="12" width="19" bestFit="1" customWidth="1"/>
    <col min="15" max="15" width="10.7109375" bestFit="1" customWidth="1"/>
    <col min="17" max="17" width="9.42578125" bestFit="1" customWidth="1"/>
    <col min="19" max="19" width="24" bestFit="1" customWidth="1"/>
    <col min="21" max="21" width="9.85546875" bestFit="1" customWidth="1"/>
    <col min="22" max="22" width="18.7109375" bestFit="1" customWidth="1"/>
  </cols>
  <sheetData>
    <row r="3" spans="1:22"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22" ht="15.75" thickBot="1">
      <c r="D4" s="24"/>
      <c r="E4" s="24"/>
      <c r="F4" s="24"/>
      <c r="G4" s="24"/>
      <c r="H4" s="24"/>
      <c r="I4" s="24"/>
      <c r="J4" s="24"/>
      <c r="K4" s="331" t="s">
        <v>274</v>
      </c>
      <c r="L4" s="331"/>
      <c r="M4" s="331"/>
      <c r="N4" s="331"/>
      <c r="O4" s="331"/>
      <c r="P4" s="24"/>
      <c r="Q4" s="24"/>
      <c r="R4" s="24"/>
      <c r="S4" s="24"/>
      <c r="T4" s="24"/>
      <c r="U4" s="24"/>
      <c r="V4" s="26"/>
    </row>
    <row r="5" spans="1:22">
      <c r="A5" s="27" t="s">
        <v>275</v>
      </c>
      <c r="B5" s="28">
        <f>+'Scenario Operating Revenue'!D6</f>
        <v>99188847.099791646</v>
      </c>
      <c r="D5" s="22"/>
      <c r="E5" s="22"/>
      <c r="F5" s="22"/>
      <c r="G5" s="22"/>
      <c r="H5" s="22"/>
      <c r="I5" s="22"/>
      <c r="K5" s="22"/>
      <c r="L5" s="22"/>
      <c r="M5" s="22"/>
      <c r="N5" s="29"/>
      <c r="O5" s="30"/>
      <c r="P5" s="22"/>
      <c r="Q5" s="30"/>
      <c r="R5" s="30"/>
      <c r="S5" s="30"/>
      <c r="T5" s="22"/>
      <c r="U5" s="22"/>
      <c r="V5" s="31"/>
    </row>
    <row r="6" spans="1:22">
      <c r="D6" s="22"/>
      <c r="E6" s="22"/>
      <c r="F6" s="22"/>
      <c r="G6" s="22"/>
      <c r="H6" s="22"/>
      <c r="I6" s="22"/>
      <c r="K6" s="22"/>
      <c r="L6" s="22"/>
      <c r="M6" s="22"/>
      <c r="N6" s="23"/>
      <c r="O6" s="31"/>
      <c r="P6" s="22"/>
      <c r="Q6" s="22"/>
      <c r="R6" s="32"/>
      <c r="S6" s="32"/>
      <c r="T6" s="31"/>
      <c r="U6" s="22"/>
      <c r="V6" s="32"/>
    </row>
    <row r="7" spans="1:22">
      <c r="A7" s="33" t="s">
        <v>276</v>
      </c>
      <c r="B7" s="34">
        <v>-0.13460298031916679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3"/>
      <c r="O7" s="31"/>
      <c r="P7" s="32"/>
      <c r="Q7" s="22"/>
      <c r="R7" s="22"/>
      <c r="S7" s="32"/>
      <c r="T7" s="31"/>
      <c r="U7" s="22"/>
      <c r="V7" s="32"/>
    </row>
    <row r="8" spans="1:22">
      <c r="A8" s="33" t="s">
        <v>277</v>
      </c>
      <c r="B8" s="35">
        <f>+(S41+S82)</f>
        <v>99188846.999996662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3"/>
      <c r="O8" s="31"/>
      <c r="P8" s="32"/>
      <c r="Q8" s="22"/>
      <c r="R8" s="22"/>
      <c r="S8" s="32"/>
      <c r="T8" s="31"/>
      <c r="U8" s="22"/>
      <c r="V8" s="32"/>
    </row>
    <row r="9" spans="1:22">
      <c r="D9" s="22"/>
      <c r="E9" s="22"/>
      <c r="F9" s="32"/>
      <c r="G9" s="22"/>
      <c r="H9" s="22"/>
      <c r="I9" s="22"/>
      <c r="J9" s="22"/>
      <c r="K9" s="36"/>
      <c r="L9" s="36"/>
      <c r="M9" s="36"/>
      <c r="N9" s="23"/>
      <c r="O9" s="22"/>
      <c r="P9" s="22"/>
      <c r="Q9" s="22"/>
      <c r="R9" s="22"/>
      <c r="S9" s="22"/>
      <c r="T9" s="22"/>
      <c r="U9" s="22"/>
      <c r="V9" s="22"/>
    </row>
    <row r="10" spans="1:22" ht="15.75" thickBot="1">
      <c r="D10" s="24"/>
      <c r="E10" s="24"/>
      <c r="F10" s="26"/>
      <c r="G10" s="37"/>
      <c r="H10" s="37"/>
      <c r="I10" s="38"/>
      <c r="J10" s="38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</row>
    <row r="11" spans="1:22">
      <c r="D11" s="22"/>
      <c r="E11" s="22"/>
      <c r="F11" s="22"/>
      <c r="G11" s="22"/>
      <c r="H11" s="36"/>
      <c r="I11" s="22"/>
      <c r="J11" s="36"/>
      <c r="K11" s="39"/>
      <c r="L11" s="36"/>
      <c r="M11" s="22"/>
      <c r="N11" s="36"/>
      <c r="O11" s="22"/>
      <c r="P11" s="39"/>
      <c r="Q11" s="22"/>
      <c r="R11" s="22"/>
      <c r="S11" s="22"/>
      <c r="T11" s="22"/>
      <c r="U11" s="22"/>
      <c r="V11" s="22"/>
    </row>
    <row r="12" spans="1:22">
      <c r="D12" s="22"/>
      <c r="E12" s="22"/>
      <c r="F12" s="22"/>
      <c r="G12" s="22"/>
      <c r="H12" s="39"/>
      <c r="I12" s="22"/>
      <c r="J12" s="22"/>
      <c r="K12" s="39"/>
      <c r="L12" s="22"/>
      <c r="M12" s="22"/>
      <c r="N12" s="36"/>
      <c r="O12" s="22"/>
      <c r="P12" s="39"/>
      <c r="Q12" s="22"/>
      <c r="R12" s="22"/>
      <c r="S12" s="22"/>
      <c r="T12" s="22"/>
      <c r="U12" s="22"/>
      <c r="V12" s="22"/>
    </row>
    <row r="13" spans="1:22">
      <c r="D13" s="22"/>
      <c r="E13" s="22"/>
      <c r="F13" s="22"/>
      <c r="G13" s="22"/>
      <c r="H13" s="22"/>
      <c r="I13" s="39"/>
      <c r="J13" s="39"/>
      <c r="K13" s="42"/>
      <c r="L13" s="42" t="s">
        <v>278</v>
      </c>
      <c r="M13" s="36"/>
      <c r="N13" s="44" t="s">
        <v>319</v>
      </c>
      <c r="O13" s="39"/>
      <c r="P13" s="22"/>
      <c r="Q13" s="39"/>
      <c r="R13" s="39"/>
      <c r="S13" s="39"/>
      <c r="T13" s="39"/>
      <c r="U13" s="39"/>
      <c r="V13" s="22"/>
    </row>
    <row r="14" spans="1:22">
      <c r="D14" s="22"/>
      <c r="E14" s="22"/>
      <c r="F14" s="22"/>
      <c r="G14" s="22"/>
      <c r="H14" s="22"/>
      <c r="I14" s="39"/>
      <c r="J14" s="39"/>
      <c r="K14" s="39"/>
      <c r="L14" s="39"/>
      <c r="M14" s="39"/>
      <c r="N14" s="36"/>
      <c r="O14" s="39"/>
      <c r="P14" s="39"/>
      <c r="Q14" s="39"/>
      <c r="R14" s="39"/>
      <c r="S14" s="39"/>
      <c r="T14" s="39"/>
      <c r="U14" s="39"/>
      <c r="V14" s="39"/>
    </row>
    <row r="15" spans="1:22">
      <c r="D15" s="23" t="s">
        <v>55</v>
      </c>
      <c r="E15" s="47" t="s">
        <v>280</v>
      </c>
      <c r="F15" s="49"/>
      <c r="G15" s="49"/>
      <c r="H15" s="50"/>
      <c r="I15" s="50"/>
      <c r="J15" s="51" t="s">
        <v>281</v>
      </c>
      <c r="K15" s="50"/>
      <c r="L15" s="50"/>
      <c r="M15" s="48"/>
      <c r="N15" s="53"/>
      <c r="O15" s="50"/>
      <c r="P15" s="51"/>
      <c r="Q15" s="51" t="s">
        <v>282</v>
      </c>
      <c r="R15" s="50"/>
      <c r="S15" s="50"/>
      <c r="T15" s="48"/>
      <c r="U15" s="55" t="s">
        <v>283</v>
      </c>
      <c r="V15" s="55" t="s">
        <v>284</v>
      </c>
    </row>
    <row r="16" spans="1:22" ht="15.75" thickBot="1">
      <c r="A16" s="56" t="s">
        <v>285</v>
      </c>
      <c r="B16" s="56" t="s">
        <v>286</v>
      </c>
      <c r="D16" s="25" t="s">
        <v>60</v>
      </c>
      <c r="E16" s="57" t="s">
        <v>287</v>
      </c>
      <c r="F16" s="58"/>
      <c r="G16" s="24"/>
      <c r="H16" s="25" t="s">
        <v>288</v>
      </c>
      <c r="I16" s="60"/>
      <c r="J16" s="60" t="s">
        <v>289</v>
      </c>
      <c r="K16" s="60"/>
      <c r="L16" s="60" t="s">
        <v>290</v>
      </c>
      <c r="M16" s="60"/>
      <c r="N16" s="60"/>
      <c r="O16" s="60" t="s">
        <v>288</v>
      </c>
      <c r="P16" s="60"/>
      <c r="Q16" s="60" t="s">
        <v>289</v>
      </c>
      <c r="R16" s="60"/>
      <c r="S16" s="60" t="s">
        <v>290</v>
      </c>
      <c r="T16" s="58"/>
      <c r="U16" s="62" t="s">
        <v>291</v>
      </c>
      <c r="V16" s="62" t="s">
        <v>59</v>
      </c>
    </row>
    <row r="17" spans="1:22">
      <c r="D17" s="22">
        <v>1</v>
      </c>
      <c r="E17" s="84"/>
      <c r="F17" s="67"/>
      <c r="G17" s="22"/>
      <c r="H17" s="22"/>
      <c r="I17" s="65"/>
      <c r="J17" s="65"/>
      <c r="K17" s="65"/>
      <c r="L17" s="65"/>
      <c r="M17" s="67"/>
      <c r="N17" s="53"/>
      <c r="O17" s="67"/>
      <c r="P17" s="65"/>
      <c r="Q17" s="65"/>
      <c r="R17" s="65"/>
      <c r="S17" s="65"/>
      <c r="T17" s="65"/>
      <c r="U17" s="65"/>
      <c r="V17" s="65"/>
    </row>
    <row r="18" spans="1:22">
      <c r="A18" s="69"/>
      <c r="B18" s="69"/>
      <c r="D18" s="22">
        <v>2</v>
      </c>
      <c r="E18" s="67" t="s">
        <v>65</v>
      </c>
      <c r="F18" s="67"/>
      <c r="G18" s="22"/>
      <c r="H18" s="22"/>
      <c r="I18" s="66"/>
      <c r="J18" s="66"/>
      <c r="K18" s="66"/>
      <c r="L18" s="66"/>
      <c r="M18" s="70"/>
      <c r="N18" s="72"/>
      <c r="O18" s="70"/>
      <c r="P18" s="66"/>
      <c r="Q18" s="66"/>
      <c r="R18" s="66"/>
      <c r="S18" s="66"/>
      <c r="T18" s="66"/>
      <c r="U18" s="66"/>
      <c r="V18" s="66"/>
    </row>
    <row r="19" spans="1:22">
      <c r="A19" s="69" t="s">
        <v>320</v>
      </c>
      <c r="B19" s="69" t="s">
        <v>321</v>
      </c>
      <c r="D19" s="22">
        <v>3</v>
      </c>
      <c r="E19" s="150" t="s">
        <v>322</v>
      </c>
      <c r="F19" s="67"/>
      <c r="G19" s="22"/>
      <c r="H19" s="70">
        <v>24905825</v>
      </c>
      <c r="I19" s="66" t="s">
        <v>294</v>
      </c>
      <c r="J19" s="71">
        <v>0.75</v>
      </c>
      <c r="K19" s="66"/>
      <c r="L19" s="66">
        <f>+H19*J19</f>
        <v>18679368.75</v>
      </c>
      <c r="M19" s="70"/>
      <c r="N19" s="72"/>
      <c r="O19" s="70">
        <v>24905825</v>
      </c>
      <c r="P19" s="66" t="s">
        <v>294</v>
      </c>
      <c r="Q19" s="71">
        <v>1.27</v>
      </c>
      <c r="R19" s="66"/>
      <c r="S19" s="66">
        <f>+O19*Q19</f>
        <v>31630397.75</v>
      </c>
      <c r="T19" s="66"/>
      <c r="U19" s="66">
        <f>+S19-L19</f>
        <v>12951029</v>
      </c>
      <c r="V19" s="73">
        <f>+IF(U19=0,0,(S19-L19)/L19)</f>
        <v>0.69333333333333336</v>
      </c>
    </row>
    <row r="20" spans="1:22">
      <c r="A20" s="69" t="s">
        <v>323</v>
      </c>
      <c r="B20" s="69" t="s">
        <v>324</v>
      </c>
      <c r="D20" s="22">
        <v>4</v>
      </c>
      <c r="E20" s="150" t="s">
        <v>78</v>
      </c>
      <c r="F20" s="67"/>
      <c r="G20" s="22"/>
      <c r="H20" s="70">
        <v>35156</v>
      </c>
      <c r="I20" s="66" t="s">
        <v>294</v>
      </c>
      <c r="J20" s="71">
        <v>0.63</v>
      </c>
      <c r="K20" s="66"/>
      <c r="L20" s="66">
        <f>+H20*J20</f>
        <v>22148.28</v>
      </c>
      <c r="M20" s="70"/>
      <c r="N20" s="72"/>
      <c r="O20" s="70">
        <v>35156</v>
      </c>
      <c r="P20" s="66" t="s">
        <v>294</v>
      </c>
      <c r="Q20" s="71">
        <v>1.06</v>
      </c>
      <c r="R20" s="66"/>
      <c r="S20" s="66">
        <f t="shared" ref="S20:S21" si="0">+O20*Q20</f>
        <v>37265.360000000001</v>
      </c>
      <c r="T20" s="66"/>
      <c r="U20" s="66">
        <f t="shared" ref="U20:U22" si="1">+S20-L20</f>
        <v>15117.080000000002</v>
      </c>
      <c r="V20" s="73">
        <f t="shared" ref="V20:V22" si="2">+IF(U20=0,0,(S20-L20)/L20)</f>
        <v>0.68253968253968267</v>
      </c>
    </row>
    <row r="21" spans="1:22" ht="16.5">
      <c r="A21" s="69" t="s">
        <v>325</v>
      </c>
      <c r="B21" s="69" t="s">
        <v>326</v>
      </c>
      <c r="D21" s="22">
        <v>5</v>
      </c>
      <c r="E21" s="150" t="s">
        <v>327</v>
      </c>
      <c r="F21" s="67"/>
      <c r="G21" s="22"/>
      <c r="H21" s="167">
        <v>830344</v>
      </c>
      <c r="I21" s="66" t="s">
        <v>294</v>
      </c>
      <c r="J21" s="71">
        <v>0.75</v>
      </c>
      <c r="K21" s="66"/>
      <c r="L21" s="66">
        <f>+H21*J21</f>
        <v>622758</v>
      </c>
      <c r="M21" s="66"/>
      <c r="N21" s="72"/>
      <c r="O21" s="167">
        <v>830344</v>
      </c>
      <c r="P21" s="66" t="s">
        <v>294</v>
      </c>
      <c r="Q21" s="71">
        <v>1.27</v>
      </c>
      <c r="R21" s="66"/>
      <c r="S21" s="66">
        <f t="shared" si="0"/>
        <v>1054536.8800000001</v>
      </c>
      <c r="T21" s="66"/>
      <c r="U21" s="66">
        <f t="shared" si="1"/>
        <v>431778.88000000012</v>
      </c>
      <c r="V21" s="73">
        <f t="shared" si="2"/>
        <v>0.69333333333333358</v>
      </c>
    </row>
    <row r="22" spans="1:22">
      <c r="A22" s="69"/>
      <c r="B22" s="69"/>
      <c r="D22" s="22">
        <v>6</v>
      </c>
      <c r="E22" s="48" t="s">
        <v>298</v>
      </c>
      <c r="F22" s="67"/>
      <c r="G22" s="22"/>
      <c r="H22" s="70">
        <f>+SUM(H19:H21)</f>
        <v>25771325</v>
      </c>
      <c r="I22" s="66" t="s">
        <v>328</v>
      </c>
      <c r="J22" s="66"/>
      <c r="K22" s="66"/>
      <c r="L22" s="129">
        <f>+SUM(L19:L21)</f>
        <v>19324275.030000001</v>
      </c>
      <c r="M22" s="66"/>
      <c r="N22" s="72"/>
      <c r="O22" s="70">
        <f>+SUM(O19:O21)</f>
        <v>25771325</v>
      </c>
      <c r="P22" s="66" t="s">
        <v>328</v>
      </c>
      <c r="Q22" s="66"/>
      <c r="R22" s="66"/>
      <c r="S22" s="129">
        <f>+SUM(S19:S21)</f>
        <v>32722199.989999998</v>
      </c>
      <c r="T22" s="66"/>
      <c r="U22" s="66">
        <f t="shared" si="1"/>
        <v>13397924.959999997</v>
      </c>
      <c r="V22" s="73">
        <f t="shared" si="2"/>
        <v>0.69332096232331442</v>
      </c>
    </row>
    <row r="23" spans="1:22">
      <c r="A23" s="69"/>
      <c r="B23" s="69"/>
      <c r="D23" s="22">
        <v>7</v>
      </c>
      <c r="E23" s="67"/>
      <c r="F23" s="67"/>
      <c r="G23" s="22"/>
      <c r="H23" s="70"/>
      <c r="I23" s="66"/>
      <c r="J23" s="66"/>
      <c r="K23" s="66"/>
      <c r="L23" s="66"/>
      <c r="M23" s="66"/>
      <c r="N23" s="72"/>
      <c r="O23" s="66"/>
      <c r="P23" s="66"/>
      <c r="Q23" s="66"/>
      <c r="R23" s="66"/>
      <c r="S23" s="66"/>
      <c r="T23" s="66"/>
      <c r="U23" s="66"/>
      <c r="V23" s="75"/>
    </row>
    <row r="24" spans="1:22">
      <c r="A24" s="69"/>
      <c r="B24" s="69"/>
      <c r="D24" s="22">
        <v>8</v>
      </c>
      <c r="E24" s="67" t="s">
        <v>94</v>
      </c>
      <c r="F24" s="65"/>
      <c r="G24" s="22"/>
      <c r="H24" s="66"/>
      <c r="I24" s="66"/>
      <c r="J24" s="66"/>
      <c r="K24" s="66"/>
      <c r="L24" s="66"/>
      <c r="M24" s="66"/>
      <c r="N24" s="72"/>
      <c r="O24" s="66"/>
      <c r="P24" s="66"/>
      <c r="Q24" s="66"/>
      <c r="R24" s="66"/>
      <c r="S24" s="66"/>
      <c r="T24" s="66"/>
      <c r="U24" s="66"/>
      <c r="V24" s="75"/>
    </row>
    <row r="25" spans="1:22">
      <c r="A25" s="69" t="s">
        <v>329</v>
      </c>
      <c r="B25" s="69" t="s">
        <v>330</v>
      </c>
      <c r="D25" s="22">
        <v>9</v>
      </c>
      <c r="E25" s="150" t="s">
        <v>66</v>
      </c>
      <c r="F25" s="65"/>
      <c r="G25" s="22"/>
      <c r="H25" s="70">
        <v>910365971</v>
      </c>
      <c r="I25" s="66" t="s">
        <v>304</v>
      </c>
      <c r="J25" s="76">
        <v>7.8619999999999995E-2</v>
      </c>
      <c r="K25" s="66"/>
      <c r="L25" s="66">
        <f>+H25*J25</f>
        <v>71572972.640019998</v>
      </c>
      <c r="M25" s="66"/>
      <c r="N25" s="72"/>
      <c r="O25" s="70">
        <v>910365971</v>
      </c>
      <c r="P25" s="66" t="s">
        <v>304</v>
      </c>
      <c r="Q25" s="76">
        <f t="shared" ref="Q25:Q26" si="3">+J25*(1+$B$7)</f>
        <v>6.8037513687307094E-2</v>
      </c>
      <c r="R25" s="66"/>
      <c r="S25" s="66">
        <f>+O25*Q25</f>
        <v>61939037.212371111</v>
      </c>
      <c r="T25" s="66"/>
      <c r="U25" s="66">
        <f t="shared" ref="U25:U30" si="4">+S25-L25</f>
        <v>-9633935.427648887</v>
      </c>
      <c r="V25" s="73">
        <f t="shared" ref="V25:V30" si="5">+IF(U25=0,0,(S25-L25)/L25)</f>
        <v>-0.13460298031916695</v>
      </c>
    </row>
    <row r="26" spans="1:22">
      <c r="A26" s="69" t="s">
        <v>331</v>
      </c>
      <c r="B26" s="69" t="s">
        <v>332</v>
      </c>
      <c r="D26" s="22">
        <v>10</v>
      </c>
      <c r="E26" s="150" t="s">
        <v>78</v>
      </c>
      <c r="F26" s="65"/>
      <c r="G26" s="22"/>
      <c r="H26" s="70">
        <v>1036577</v>
      </c>
      <c r="I26" s="66" t="s">
        <v>304</v>
      </c>
      <c r="J26" s="76">
        <v>7.8619999999999995E-2</v>
      </c>
      <c r="K26" s="66"/>
      <c r="L26" s="66">
        <f t="shared" ref="L26:L27" si="6">+H26*J26</f>
        <v>81495.683739999993</v>
      </c>
      <c r="M26" s="66"/>
      <c r="N26" s="72"/>
      <c r="O26" s="70">
        <v>1036577</v>
      </c>
      <c r="P26" s="66" t="s">
        <v>304</v>
      </c>
      <c r="Q26" s="76">
        <f t="shared" si="3"/>
        <v>6.8037513687307094E-2</v>
      </c>
      <c r="R26" s="66"/>
      <c r="S26" s="66">
        <f t="shared" ref="S26:S30" si="7">+O26*Q26</f>
        <v>70526.121825447728</v>
      </c>
      <c r="T26" s="66"/>
      <c r="U26" s="66">
        <f t="shared" si="4"/>
        <v>-10969.561914552265</v>
      </c>
      <c r="V26" s="73">
        <f t="shared" si="5"/>
        <v>-0.13460298031916684</v>
      </c>
    </row>
    <row r="27" spans="1:22">
      <c r="A27" s="69" t="s">
        <v>333</v>
      </c>
      <c r="B27" s="69" t="s">
        <v>334</v>
      </c>
      <c r="D27" s="22">
        <v>11</v>
      </c>
      <c r="E27" s="150" t="s">
        <v>335</v>
      </c>
      <c r="F27" s="65"/>
      <c r="G27" s="22"/>
      <c r="H27" s="70">
        <v>6837961</v>
      </c>
      <c r="I27" s="66" t="s">
        <v>304</v>
      </c>
      <c r="J27" s="76">
        <v>0.12317</v>
      </c>
      <c r="K27" s="168"/>
      <c r="L27" s="66">
        <f t="shared" si="6"/>
        <v>842231.65636999998</v>
      </c>
      <c r="M27" s="66"/>
      <c r="N27" s="72"/>
      <c r="O27" s="70">
        <v>6385234</v>
      </c>
      <c r="P27" s="66" t="s">
        <v>304</v>
      </c>
      <c r="Q27" s="76">
        <v>9.9079304783258576E-2</v>
      </c>
      <c r="R27" s="66"/>
      <c r="S27" s="66">
        <f t="shared" si="7"/>
        <v>632644.54559842532</v>
      </c>
      <c r="T27" s="66"/>
      <c r="U27" s="66">
        <f t="shared" si="4"/>
        <v>-209587.11077157466</v>
      </c>
      <c r="V27" s="73">
        <f t="shared" si="5"/>
        <v>-0.24884734406076653</v>
      </c>
    </row>
    <row r="28" spans="1:22">
      <c r="A28" s="69" t="s">
        <v>336</v>
      </c>
      <c r="B28" s="69" t="s">
        <v>337</v>
      </c>
      <c r="D28" s="22">
        <v>12</v>
      </c>
      <c r="E28" s="150" t="s">
        <v>338</v>
      </c>
      <c r="F28" s="65"/>
      <c r="G28" s="22"/>
      <c r="H28" s="70">
        <v>19926071</v>
      </c>
      <c r="I28" s="66" t="s">
        <v>304</v>
      </c>
      <c r="J28" s="76">
        <v>6.3310000000000005E-2</v>
      </c>
      <c r="K28" s="66"/>
      <c r="L28" s="66">
        <f>+H28*J28</f>
        <v>1261519.55501</v>
      </c>
      <c r="M28" s="66"/>
      <c r="N28" s="72"/>
      <c r="O28" s="70">
        <v>11254304</v>
      </c>
      <c r="P28" s="66" t="s">
        <v>304</v>
      </c>
      <c r="Q28" s="76">
        <v>5.3699304783258579E-2</v>
      </c>
      <c r="R28" s="66"/>
      <c r="S28" s="66">
        <f t="shared" si="7"/>
        <v>604348.30061944621</v>
      </c>
      <c r="T28" s="66"/>
      <c r="U28" s="66">
        <f t="shared" si="4"/>
        <v>-657171.2543905538</v>
      </c>
      <c r="V28" s="73">
        <f t="shared" si="5"/>
        <v>-0.52093624056849797</v>
      </c>
    </row>
    <row r="29" spans="1:22">
      <c r="A29" s="69" t="s">
        <v>339</v>
      </c>
      <c r="B29" s="69" t="s">
        <v>340</v>
      </c>
      <c r="D29" s="22">
        <v>13</v>
      </c>
      <c r="E29" s="150" t="s">
        <v>341</v>
      </c>
      <c r="H29" s="70">
        <v>0</v>
      </c>
      <c r="I29" s="66" t="s">
        <v>304</v>
      </c>
      <c r="J29" s="76">
        <v>0</v>
      </c>
      <c r="L29" s="66">
        <f>+H29*J29</f>
        <v>0</v>
      </c>
      <c r="O29" s="70">
        <v>9124494.0999999996</v>
      </c>
      <c r="P29" s="66" t="s">
        <v>304</v>
      </c>
      <c r="Q29" s="76">
        <v>4.9789304783258576E-2</v>
      </c>
      <c r="S29" s="66">
        <f t="shared" si="7"/>
        <v>454302.21773794462</v>
      </c>
      <c r="U29" s="66">
        <f t="shared" si="4"/>
        <v>454302.21773794462</v>
      </c>
      <c r="V29" s="162" t="str">
        <f>IFERROR(+IF(U29=0,0,(S29-L29)/L29),"New Rate")</f>
        <v>New Rate</v>
      </c>
    </row>
    <row r="30" spans="1:22">
      <c r="A30" s="69" t="s">
        <v>342</v>
      </c>
      <c r="B30" s="69" t="s">
        <v>343</v>
      </c>
      <c r="D30" s="22">
        <v>14</v>
      </c>
      <c r="E30" s="150" t="s">
        <v>312</v>
      </c>
      <c r="H30" s="70">
        <v>271425.18464868463</v>
      </c>
      <c r="I30" s="66" t="s">
        <v>304</v>
      </c>
      <c r="J30" s="76">
        <v>6.3E-2</v>
      </c>
      <c r="L30" s="66">
        <f>+H30*J30</f>
        <v>17099.786632867133</v>
      </c>
      <c r="O30" s="70">
        <v>271425.18464868463</v>
      </c>
      <c r="P30" s="66" t="s">
        <v>304</v>
      </c>
      <c r="Q30" s="76">
        <v>6.3E-2</v>
      </c>
      <c r="S30" s="66">
        <f t="shared" si="7"/>
        <v>17099.786632867133</v>
      </c>
      <c r="U30" s="66">
        <f t="shared" si="4"/>
        <v>0</v>
      </c>
      <c r="V30" s="73">
        <f t="shared" si="5"/>
        <v>0</v>
      </c>
    </row>
    <row r="31" spans="1:22">
      <c r="A31" s="69"/>
      <c r="B31" s="69"/>
      <c r="D31" s="22">
        <v>15</v>
      </c>
      <c r="E31" s="48" t="s">
        <v>298</v>
      </c>
      <c r="F31" s="65"/>
      <c r="G31" s="22"/>
      <c r="H31" s="161">
        <f>+SUM(H25:H29)</f>
        <v>938166580</v>
      </c>
      <c r="I31" s="66" t="s">
        <v>304</v>
      </c>
      <c r="J31" s="147"/>
      <c r="K31" s="66"/>
      <c r="L31" s="129">
        <f>+SUM(L25:L30)</f>
        <v>73775319.321772873</v>
      </c>
      <c r="M31" s="66"/>
      <c r="N31" s="72"/>
      <c r="O31" s="161">
        <f>+SUM(O25:O29)</f>
        <v>938166580.10000002</v>
      </c>
      <c r="P31" s="66" t="s">
        <v>304</v>
      </c>
      <c r="Q31" s="147"/>
      <c r="R31" s="66"/>
      <c r="S31" s="129">
        <f>+SUM(S25:S30)</f>
        <v>63717958.184785239</v>
      </c>
      <c r="T31" s="66"/>
      <c r="U31" s="66">
        <f>+S31-L31</f>
        <v>-10057361.136987634</v>
      </c>
      <c r="V31" s="73">
        <f>+IF(U31=0,0,(S31-L31)/L31)</f>
        <v>-0.13632419662085371</v>
      </c>
    </row>
    <row r="32" spans="1:22">
      <c r="A32" s="69"/>
      <c r="B32" s="69"/>
      <c r="D32" s="22">
        <v>16</v>
      </c>
      <c r="E32" s="67"/>
      <c r="F32" s="65"/>
      <c r="G32" s="22"/>
      <c r="H32" s="66"/>
      <c r="I32" s="66"/>
      <c r="J32" s="147"/>
      <c r="K32" s="66"/>
      <c r="L32" s="66"/>
      <c r="M32" s="66"/>
      <c r="N32" s="72"/>
      <c r="O32" s="66"/>
      <c r="P32" s="66"/>
      <c r="Q32" s="147"/>
      <c r="R32" s="66"/>
      <c r="S32" s="66"/>
      <c r="T32" s="66"/>
      <c r="U32" s="66"/>
      <c r="V32" s="75"/>
    </row>
    <row r="33" spans="1:22">
      <c r="A33" s="69"/>
      <c r="B33" s="69"/>
      <c r="D33" s="22">
        <v>17</v>
      </c>
      <c r="E33" s="67" t="s">
        <v>344</v>
      </c>
      <c r="F33" s="65"/>
      <c r="G33" s="22"/>
      <c r="H33" s="66"/>
      <c r="I33" s="66"/>
      <c r="J33" s="71"/>
      <c r="K33" s="66"/>
      <c r="L33" s="66"/>
      <c r="M33" s="66"/>
      <c r="N33" s="72"/>
      <c r="O33" s="66"/>
      <c r="P33" s="66"/>
      <c r="Q33" s="71"/>
      <c r="R33" s="66"/>
      <c r="S33" s="66"/>
      <c r="T33" s="66"/>
      <c r="U33" s="66"/>
      <c r="V33" s="75"/>
    </row>
    <row r="34" spans="1:22">
      <c r="A34" s="69" t="s">
        <v>345</v>
      </c>
      <c r="B34" s="69" t="s">
        <v>346</v>
      </c>
      <c r="D34" s="22">
        <v>18</v>
      </c>
      <c r="E34" s="150" t="s">
        <v>66</v>
      </c>
      <c r="F34" s="22"/>
      <c r="G34" s="22"/>
      <c r="H34" s="70">
        <v>278292.17</v>
      </c>
      <c r="I34" s="66" t="s">
        <v>304</v>
      </c>
      <c r="J34" s="76">
        <v>1.7099999999999999E-3</v>
      </c>
      <c r="K34" s="66"/>
      <c r="L34" s="66">
        <f>+H34*J34</f>
        <v>475.87961069999994</v>
      </c>
      <c r="M34" s="66"/>
      <c r="N34" s="72"/>
      <c r="O34" s="66">
        <v>278292.17</v>
      </c>
      <c r="P34" s="66" t="s">
        <v>304</v>
      </c>
      <c r="Q34" s="76">
        <v>2.5699999999999998E-3</v>
      </c>
      <c r="R34" s="66"/>
      <c r="S34" s="66">
        <f>+O34*Q34</f>
        <v>715.2108768999999</v>
      </c>
      <c r="T34" s="66"/>
      <c r="U34" s="66">
        <f t="shared" ref="U34:U36" si="8">+S34-L34</f>
        <v>239.33126619999996</v>
      </c>
      <c r="V34" s="73">
        <f t="shared" ref="V34:V36" si="9">+IF(U34=0,0,(S34-L34)/L34)</f>
        <v>0.50292397660818711</v>
      </c>
    </row>
    <row r="35" spans="1:22">
      <c r="A35" s="69" t="s">
        <v>347</v>
      </c>
      <c r="B35" s="69" t="s">
        <v>348</v>
      </c>
      <c r="D35" s="22">
        <v>19</v>
      </c>
      <c r="E35" s="150" t="s">
        <v>327</v>
      </c>
      <c r="F35" s="22"/>
      <c r="G35" s="22"/>
      <c r="H35" s="70">
        <v>0</v>
      </c>
      <c r="I35" s="66" t="s">
        <v>304</v>
      </c>
      <c r="J35" s="76">
        <v>1.7099999999999999E-3</v>
      </c>
      <c r="K35" s="66"/>
      <c r="L35" s="157">
        <f>+H35*J35</f>
        <v>0</v>
      </c>
      <c r="M35" s="66"/>
      <c r="N35" s="72"/>
      <c r="O35" s="157">
        <v>0</v>
      </c>
      <c r="P35" s="66" t="s">
        <v>304</v>
      </c>
      <c r="Q35" s="76">
        <v>2.5699999999999998E-3</v>
      </c>
      <c r="R35" s="66"/>
      <c r="S35" s="157">
        <f>+O35*Q35</f>
        <v>0</v>
      </c>
      <c r="T35" s="66"/>
      <c r="U35" s="66">
        <f t="shared" si="8"/>
        <v>0</v>
      </c>
      <c r="V35" s="73">
        <f t="shared" si="9"/>
        <v>0</v>
      </c>
    </row>
    <row r="36" spans="1:22">
      <c r="A36" s="69"/>
      <c r="B36" s="69"/>
      <c r="D36" s="22">
        <v>20</v>
      </c>
      <c r="E36" s="48" t="s">
        <v>298</v>
      </c>
      <c r="F36" s="22"/>
      <c r="G36" s="22"/>
      <c r="H36" s="161">
        <f>+SUM(H32:H35)</f>
        <v>278292.17</v>
      </c>
      <c r="I36" s="66" t="s">
        <v>304</v>
      </c>
      <c r="J36" s="22"/>
      <c r="K36" s="22"/>
      <c r="L36" s="157">
        <f>+SUM(L34:L35)</f>
        <v>475.87961069999994</v>
      </c>
      <c r="M36" s="22"/>
      <c r="N36" s="23"/>
      <c r="O36" s="70">
        <f>+SUM(O34:O35)</f>
        <v>278292.17</v>
      </c>
      <c r="P36" s="66" t="s">
        <v>304</v>
      </c>
      <c r="Q36" s="22"/>
      <c r="R36" s="22"/>
      <c r="S36" s="157">
        <f>+SUM(S34:S35)</f>
        <v>715.2108768999999</v>
      </c>
      <c r="T36" s="66"/>
      <c r="U36" s="66">
        <f t="shared" si="8"/>
        <v>239.33126619999996</v>
      </c>
      <c r="V36" s="73">
        <f t="shared" si="9"/>
        <v>0.50292397660818711</v>
      </c>
    </row>
    <row r="37" spans="1:22">
      <c r="A37" s="69"/>
      <c r="B37" s="69"/>
      <c r="D37" s="22">
        <v>21</v>
      </c>
      <c r="E37" s="22"/>
      <c r="F37" s="22"/>
      <c r="G37" s="22"/>
      <c r="H37" s="22"/>
      <c r="I37" s="22"/>
      <c r="J37" s="22"/>
      <c r="K37" s="22"/>
      <c r="L37" s="70"/>
      <c r="M37" s="22"/>
      <c r="N37" s="23"/>
      <c r="O37" s="22"/>
      <c r="P37" s="22"/>
      <c r="Q37" s="22"/>
      <c r="R37" s="22"/>
      <c r="S37" s="70"/>
      <c r="T37" s="22"/>
      <c r="U37" s="22"/>
      <c r="V37" s="75"/>
    </row>
    <row r="38" spans="1:22">
      <c r="A38" s="69"/>
      <c r="B38" s="69"/>
      <c r="D38" s="22">
        <v>22</v>
      </c>
      <c r="E38" s="22" t="s">
        <v>315</v>
      </c>
      <c r="F38" s="22"/>
      <c r="G38" s="22"/>
      <c r="H38" s="41">
        <v>4321.6866521317825</v>
      </c>
      <c r="I38" s="22" t="s">
        <v>294</v>
      </c>
      <c r="J38" s="71">
        <v>0.67</v>
      </c>
      <c r="K38" s="22"/>
      <c r="L38" s="41">
        <f>+J38*H38</f>
        <v>2895.5300569282945</v>
      </c>
      <c r="M38" s="22"/>
      <c r="N38" s="23"/>
      <c r="O38" s="41">
        <f>+H38</f>
        <v>4321.6866521317825</v>
      </c>
      <c r="P38" s="22" t="s">
        <v>294</v>
      </c>
      <c r="Q38" s="71">
        <v>0.67</v>
      </c>
      <c r="R38" s="22"/>
      <c r="S38" s="41">
        <f>+Q38*O38</f>
        <v>2895.5300569282945</v>
      </c>
      <c r="T38" s="66"/>
      <c r="U38" s="66">
        <f t="shared" ref="U38:U39" si="10">+S38-L38</f>
        <v>0</v>
      </c>
      <c r="V38" s="73">
        <f t="shared" ref="V38:V39" si="11">+IF(U38=0,0,(S38-L38)/L38)</f>
        <v>0</v>
      </c>
    </row>
    <row r="39" spans="1:22">
      <c r="A39" s="69"/>
      <c r="B39" s="69"/>
      <c r="D39" s="22">
        <v>23</v>
      </c>
      <c r="E39" s="65" t="s">
        <v>43</v>
      </c>
      <c r="F39" s="65"/>
      <c r="G39" s="22"/>
      <c r="H39" s="161">
        <f>+H38</f>
        <v>4321.6866521317825</v>
      </c>
      <c r="I39" s="163" t="s">
        <v>299</v>
      </c>
      <c r="J39" s="76"/>
      <c r="K39" s="66"/>
      <c r="L39" s="129">
        <f>+L38</f>
        <v>2895.5300569282945</v>
      </c>
      <c r="M39" s="66"/>
      <c r="N39" s="72"/>
      <c r="O39" s="161"/>
      <c r="P39" s="66" t="s">
        <v>299</v>
      </c>
      <c r="Q39" s="66"/>
      <c r="R39" s="66"/>
      <c r="S39" s="129">
        <f>+S38</f>
        <v>2895.5300569282945</v>
      </c>
      <c r="T39" s="66"/>
      <c r="U39" s="66">
        <f t="shared" si="10"/>
        <v>0</v>
      </c>
      <c r="V39" s="73">
        <f t="shared" si="11"/>
        <v>0</v>
      </c>
    </row>
    <row r="40" spans="1:22">
      <c r="A40" s="69"/>
      <c r="B40" s="69"/>
      <c r="D40" s="22">
        <v>24</v>
      </c>
    </row>
    <row r="41" spans="1:22" ht="15.75" thickBot="1">
      <c r="A41" s="69"/>
      <c r="B41" s="69"/>
      <c r="D41" s="22">
        <v>25</v>
      </c>
      <c r="E41" s="67" t="s">
        <v>316</v>
      </c>
      <c r="F41" s="22"/>
      <c r="G41" s="22"/>
      <c r="H41" s="22"/>
      <c r="I41" s="22"/>
      <c r="J41" s="22"/>
      <c r="K41" s="22"/>
      <c r="L41" s="78">
        <f>+L22+L31+L36+L39</f>
        <v>93102965.761440501</v>
      </c>
      <c r="M41" s="22"/>
      <c r="N41" s="23"/>
      <c r="O41" s="22"/>
      <c r="P41" s="22"/>
      <c r="Q41" s="22"/>
      <c r="R41" s="22"/>
      <c r="S41" s="78">
        <f>+S22+S31+S36+S39</f>
        <v>96443768.915719062</v>
      </c>
      <c r="T41" s="66"/>
      <c r="U41" s="66">
        <f t="shared" ref="U41" si="12">+S41-L41</f>
        <v>3340803.1542785615</v>
      </c>
      <c r="V41" s="73">
        <f t="shared" ref="V41" si="13">+IF(U41=0,0,(S41-L41)/L41)</f>
        <v>3.5882886511249976E-2</v>
      </c>
    </row>
    <row r="42" spans="1:22" ht="15.75" thickTop="1">
      <c r="A42" s="69"/>
      <c r="B42" s="69"/>
      <c r="D42" s="22">
        <v>26</v>
      </c>
      <c r="E42" s="84"/>
      <c r="F42" s="65"/>
      <c r="G42" s="22"/>
      <c r="H42" s="22"/>
      <c r="I42" s="66"/>
      <c r="J42" s="66"/>
      <c r="K42" s="66"/>
      <c r="L42" s="66"/>
      <c r="M42" s="66"/>
      <c r="N42" s="72"/>
      <c r="O42" s="66"/>
      <c r="P42" s="66"/>
      <c r="Q42" s="66"/>
      <c r="R42" s="66"/>
      <c r="S42" s="66"/>
      <c r="T42" s="66"/>
      <c r="U42" s="66"/>
      <c r="V42" s="66"/>
    </row>
    <row r="43" spans="1:22">
      <c r="A43" s="69"/>
      <c r="B43" s="69"/>
      <c r="D43" s="22">
        <v>27</v>
      </c>
      <c r="E43" s="84"/>
      <c r="F43" s="65"/>
      <c r="G43" s="22"/>
      <c r="H43" s="22"/>
      <c r="I43" s="66"/>
      <c r="J43" s="66"/>
      <c r="K43" s="66"/>
      <c r="L43" s="66"/>
      <c r="M43" s="66"/>
      <c r="N43" s="72"/>
      <c r="O43" s="66"/>
      <c r="P43" s="66"/>
      <c r="Q43" s="66"/>
      <c r="R43" s="66"/>
      <c r="S43" s="66"/>
      <c r="T43" s="66"/>
      <c r="U43" s="66"/>
      <c r="V43" s="66"/>
    </row>
    <row r="44" spans="1:22">
      <c r="A44" s="69"/>
      <c r="B44" s="69"/>
      <c r="D44" s="22">
        <v>28</v>
      </c>
      <c r="E44" s="84"/>
      <c r="F44" s="65" t="s">
        <v>317</v>
      </c>
      <c r="G44" s="22"/>
      <c r="H44" s="22"/>
      <c r="I44" s="66"/>
      <c r="J44" s="66"/>
      <c r="K44" s="66"/>
      <c r="L44" s="66"/>
      <c r="M44" s="66"/>
      <c r="N44" s="72"/>
      <c r="O44" s="66"/>
      <c r="P44" s="66"/>
      <c r="Q44" s="66"/>
      <c r="R44" s="66"/>
      <c r="S44" s="66"/>
      <c r="T44" s="66"/>
      <c r="U44" s="66"/>
      <c r="V44" s="66"/>
    </row>
    <row r="45" spans="1:22">
      <c r="A45" s="69"/>
      <c r="B45" s="69"/>
      <c r="D45" s="22">
        <v>29</v>
      </c>
      <c r="E45" s="84"/>
      <c r="F45" s="65"/>
      <c r="G45" s="22"/>
      <c r="H45" s="22"/>
      <c r="I45" s="66"/>
      <c r="J45" s="66"/>
      <c r="K45" s="66"/>
      <c r="L45" s="66"/>
      <c r="M45" s="66"/>
      <c r="N45" s="72"/>
      <c r="O45" s="66"/>
      <c r="P45" s="66"/>
      <c r="Q45" s="66"/>
      <c r="R45" s="66"/>
      <c r="S45" s="66"/>
      <c r="T45" s="66"/>
      <c r="U45" s="66"/>
      <c r="V45" s="66"/>
    </row>
    <row r="46" spans="1:22">
      <c r="A46" s="69"/>
      <c r="B46" s="69"/>
      <c r="D46" s="22">
        <v>30</v>
      </c>
      <c r="E46" s="22"/>
      <c r="F46" s="65"/>
      <c r="G46" s="22"/>
      <c r="H46" s="22"/>
      <c r="I46" s="66"/>
      <c r="J46" s="66"/>
      <c r="K46" s="66"/>
      <c r="L46" s="66"/>
      <c r="M46" s="66"/>
      <c r="N46" s="72"/>
      <c r="O46" s="66"/>
      <c r="P46" s="66"/>
      <c r="Q46" s="66"/>
      <c r="R46" s="66"/>
      <c r="S46" s="66"/>
      <c r="T46" s="66"/>
      <c r="U46" s="66"/>
      <c r="V46" s="66"/>
    </row>
    <row r="47" spans="1:22">
      <c r="A47" s="69"/>
      <c r="B47" s="69"/>
      <c r="D47" s="22">
        <v>31</v>
      </c>
      <c r="E47" s="84"/>
      <c r="F47" s="65"/>
      <c r="G47" s="22"/>
      <c r="H47" s="22"/>
      <c r="I47" s="66"/>
      <c r="J47" s="66"/>
      <c r="K47" s="66"/>
      <c r="L47" s="66"/>
      <c r="M47" s="66"/>
      <c r="N47" s="72"/>
      <c r="O47" s="66"/>
      <c r="P47" s="66"/>
      <c r="Q47" s="66"/>
      <c r="R47" s="66"/>
      <c r="S47" s="66"/>
      <c r="T47" s="66"/>
      <c r="U47" s="66"/>
      <c r="V47" s="66"/>
    </row>
    <row r="48" spans="1:22">
      <c r="A48" s="69"/>
      <c r="B48" s="69"/>
      <c r="D48" s="22">
        <v>32</v>
      </c>
      <c r="E48" s="169"/>
      <c r="F48" s="65"/>
      <c r="G48" s="22"/>
      <c r="H48" s="22"/>
      <c r="I48" s="66"/>
      <c r="J48" s="66"/>
      <c r="K48" s="66"/>
      <c r="L48" s="66"/>
      <c r="M48" s="66"/>
      <c r="N48" s="72"/>
      <c r="O48" s="66"/>
      <c r="P48" s="66"/>
      <c r="Q48" s="66"/>
      <c r="R48" s="66"/>
      <c r="S48" s="66"/>
      <c r="T48" s="66"/>
      <c r="U48" s="66"/>
      <c r="V48" s="66"/>
    </row>
    <row r="49" spans="1:22">
      <c r="A49" s="69"/>
      <c r="B49" s="69"/>
      <c r="D49" s="22">
        <v>33</v>
      </c>
      <c r="E49" s="84"/>
      <c r="F49" s="65"/>
      <c r="G49" s="22"/>
      <c r="H49" s="22"/>
      <c r="I49" s="66"/>
      <c r="J49" s="66"/>
      <c r="K49" s="66"/>
      <c r="L49" s="66"/>
      <c r="M49" s="66"/>
      <c r="N49" s="72"/>
      <c r="O49" s="66"/>
      <c r="P49" s="66"/>
      <c r="Q49" s="66"/>
      <c r="R49" s="66"/>
      <c r="S49" s="66"/>
      <c r="T49" s="66"/>
      <c r="U49" s="66"/>
      <c r="V49" s="66"/>
    </row>
    <row r="50" spans="1:22">
      <c r="A50" s="69"/>
      <c r="B50" s="69"/>
      <c r="D50" s="22">
        <v>34</v>
      </c>
      <c r="E50" s="84"/>
      <c r="F50" s="65"/>
      <c r="G50" s="22"/>
      <c r="H50" s="22"/>
      <c r="I50" s="66"/>
      <c r="J50" s="66"/>
      <c r="K50" s="66"/>
      <c r="L50" s="66"/>
      <c r="M50" s="66"/>
      <c r="N50" s="72"/>
      <c r="O50" s="66"/>
      <c r="P50" s="66"/>
      <c r="Q50" s="66"/>
      <c r="R50" s="66"/>
      <c r="S50" s="66"/>
      <c r="T50" s="66"/>
      <c r="U50" s="66"/>
      <c r="V50" s="66"/>
    </row>
    <row r="51" spans="1:22">
      <c r="A51" s="69"/>
      <c r="B51" s="69"/>
      <c r="D51" s="22">
        <v>35</v>
      </c>
      <c r="E51" s="84"/>
      <c r="F51" s="65"/>
      <c r="G51" s="22"/>
      <c r="H51" s="22"/>
      <c r="I51" s="66"/>
      <c r="J51" s="66"/>
      <c r="K51" s="66"/>
      <c r="L51" s="66"/>
      <c r="M51" s="66"/>
      <c r="N51" s="72"/>
      <c r="O51" s="66"/>
      <c r="P51" s="66"/>
      <c r="Q51" s="66"/>
      <c r="R51" s="66"/>
      <c r="S51" s="66"/>
      <c r="T51" s="66"/>
      <c r="U51" s="66"/>
      <c r="V51" s="66"/>
    </row>
    <row r="52" spans="1:22">
      <c r="A52" s="69"/>
      <c r="B52" s="69"/>
      <c r="D52" s="22">
        <v>36</v>
      </c>
      <c r="E52" s="84"/>
      <c r="F52" s="65"/>
      <c r="G52" s="22"/>
      <c r="H52" s="22"/>
      <c r="I52" s="66"/>
      <c r="J52" s="66"/>
      <c r="K52" s="66"/>
      <c r="L52" s="66"/>
      <c r="M52" s="66"/>
      <c r="N52" s="72"/>
      <c r="O52" s="66"/>
      <c r="P52" s="66"/>
      <c r="Q52" s="66"/>
      <c r="R52" s="66"/>
      <c r="S52" s="66"/>
      <c r="T52" s="66"/>
      <c r="U52" s="66"/>
      <c r="V52" s="66"/>
    </row>
    <row r="53" spans="1:22">
      <c r="A53" s="69"/>
      <c r="B53" s="69"/>
      <c r="D53" s="22">
        <v>37</v>
      </c>
      <c r="E53" s="84"/>
      <c r="F53" s="65"/>
      <c r="G53" s="22"/>
      <c r="H53" s="22"/>
      <c r="I53" s="66"/>
      <c r="J53" s="66"/>
      <c r="K53" s="66"/>
      <c r="L53" s="66"/>
      <c r="M53" s="66"/>
      <c r="N53" s="72"/>
      <c r="O53" s="66"/>
      <c r="P53" s="66"/>
      <c r="Q53" s="66"/>
      <c r="R53" s="66"/>
      <c r="S53" s="66"/>
      <c r="T53" s="66"/>
      <c r="U53" s="66"/>
      <c r="V53" s="66"/>
    </row>
    <row r="54" spans="1:22">
      <c r="A54" s="69"/>
      <c r="B54" s="69"/>
      <c r="D54" s="22">
        <v>38</v>
      </c>
      <c r="E54" s="84"/>
      <c r="F54" s="65"/>
      <c r="G54" s="22"/>
      <c r="H54" s="22"/>
      <c r="I54" s="66"/>
      <c r="J54" s="66"/>
      <c r="K54" s="66"/>
      <c r="L54" s="66"/>
      <c r="M54" s="66"/>
      <c r="N54" s="72"/>
      <c r="O54" s="66"/>
      <c r="P54" s="66"/>
      <c r="Q54" s="66"/>
      <c r="R54" s="66"/>
      <c r="S54" s="66"/>
      <c r="T54" s="66"/>
      <c r="U54" s="66"/>
      <c r="V54" s="66"/>
    </row>
    <row r="55" spans="1:22" ht="15.75" thickBot="1">
      <c r="A55" s="69"/>
      <c r="B55" s="69"/>
      <c r="D55" s="24">
        <v>39</v>
      </c>
      <c r="E55" s="24"/>
      <c r="F55" s="24"/>
      <c r="G55" s="24"/>
      <c r="H55" s="24"/>
      <c r="I55" s="24"/>
      <c r="J55" s="24"/>
      <c r="K55" s="24"/>
      <c r="L55" s="24"/>
      <c r="M55" s="24"/>
      <c r="N55" s="25"/>
      <c r="O55" s="24"/>
      <c r="P55" s="24"/>
      <c r="Q55" s="24"/>
      <c r="R55" s="24"/>
      <c r="S55" s="24"/>
      <c r="T55" s="24"/>
      <c r="U55" s="24"/>
      <c r="V55" s="24"/>
    </row>
    <row r="56" spans="1:22">
      <c r="A56" s="69"/>
      <c r="B56" s="69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3"/>
      <c r="O56" s="22"/>
      <c r="P56" s="22"/>
      <c r="Q56" s="22"/>
      <c r="R56" s="22"/>
      <c r="S56" s="22"/>
      <c r="T56" s="22"/>
      <c r="U56" s="22"/>
      <c r="V56" s="22"/>
    </row>
    <row r="57" spans="1:22">
      <c r="A57" s="69"/>
      <c r="B57" s="69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</row>
    <row r="58" spans="1:22" ht="15.75" thickBot="1">
      <c r="A58" s="69"/>
      <c r="B58" s="69"/>
      <c r="D58" s="24"/>
      <c r="E58" s="24"/>
      <c r="F58" s="24"/>
      <c r="G58" s="24"/>
      <c r="H58" s="24"/>
      <c r="I58" s="24"/>
      <c r="J58" s="24"/>
      <c r="K58" s="331" t="s">
        <v>274</v>
      </c>
      <c r="L58" s="331"/>
      <c r="M58" s="331"/>
      <c r="N58" s="331"/>
      <c r="O58" s="331"/>
      <c r="P58" s="24"/>
      <c r="Q58" s="24"/>
      <c r="R58" s="24"/>
      <c r="S58" s="24"/>
      <c r="T58" s="24"/>
      <c r="U58" s="24"/>
      <c r="V58" s="26"/>
    </row>
    <row r="59" spans="1:22">
      <c r="A59" s="69"/>
      <c r="B59" s="69"/>
      <c r="D59" s="22"/>
      <c r="E59" s="22"/>
      <c r="F59" s="22"/>
      <c r="G59" s="22"/>
      <c r="H59" s="22"/>
      <c r="I59" s="22"/>
      <c r="K59" s="22"/>
      <c r="L59" s="22"/>
      <c r="M59" s="22"/>
      <c r="N59" s="29"/>
      <c r="O59" s="30"/>
      <c r="P59" s="22"/>
      <c r="Q59" s="30"/>
      <c r="R59" s="30"/>
      <c r="S59" s="30"/>
      <c r="T59" s="22"/>
      <c r="U59" s="22"/>
      <c r="V59" s="31"/>
    </row>
    <row r="60" spans="1:22">
      <c r="A60" s="69"/>
      <c r="B60" s="69"/>
      <c r="D60" s="22"/>
      <c r="E60" s="22"/>
      <c r="F60" s="22"/>
      <c r="G60" s="22"/>
      <c r="H60" s="22"/>
      <c r="I60" s="22"/>
      <c r="K60" s="22"/>
      <c r="L60" s="22"/>
      <c r="M60" s="22"/>
      <c r="N60" s="23"/>
      <c r="O60" s="31"/>
      <c r="P60" s="22"/>
      <c r="Q60" s="22"/>
      <c r="R60" s="32"/>
      <c r="S60" s="32"/>
      <c r="T60" s="31"/>
      <c r="U60" s="22"/>
      <c r="V60" s="32"/>
    </row>
    <row r="61" spans="1:22">
      <c r="A61" s="69"/>
      <c r="B61" s="69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3"/>
      <c r="O61" s="31"/>
      <c r="P61" s="32"/>
      <c r="Q61" s="22"/>
      <c r="R61" s="22"/>
      <c r="S61" s="32"/>
      <c r="T61" s="31"/>
      <c r="U61" s="22"/>
      <c r="V61" s="32"/>
    </row>
    <row r="62" spans="1:22">
      <c r="A62" s="69"/>
      <c r="B62" s="69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3"/>
      <c r="O62" s="31"/>
      <c r="P62" s="32"/>
      <c r="Q62" s="22"/>
      <c r="R62" s="22"/>
      <c r="S62" s="32"/>
      <c r="T62" s="31"/>
      <c r="U62" s="22"/>
      <c r="V62" s="32"/>
    </row>
    <row r="63" spans="1:22">
      <c r="A63" s="69"/>
      <c r="B63" s="69"/>
      <c r="D63" s="22"/>
      <c r="E63" s="22"/>
      <c r="F63" s="32"/>
      <c r="G63" s="22"/>
      <c r="H63" s="22"/>
      <c r="I63" s="22"/>
      <c r="J63" s="22"/>
      <c r="K63" s="36"/>
      <c r="L63" s="36"/>
      <c r="M63" s="36"/>
      <c r="N63" s="23"/>
      <c r="O63" s="22"/>
      <c r="P63" s="22"/>
      <c r="Q63" s="22"/>
      <c r="R63" s="22"/>
      <c r="S63" s="22"/>
      <c r="T63" s="22"/>
      <c r="U63" s="22"/>
      <c r="V63" s="22"/>
    </row>
    <row r="64" spans="1:22" ht="15.75" thickBot="1">
      <c r="A64" s="69"/>
      <c r="B64" s="69"/>
      <c r="D64" s="24"/>
      <c r="E64" s="24"/>
      <c r="F64" s="26"/>
      <c r="G64" s="37"/>
      <c r="H64" s="37"/>
      <c r="I64" s="38"/>
      <c r="J64" s="38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</row>
    <row r="65" spans="1:22">
      <c r="A65" s="69"/>
      <c r="B65" s="69"/>
      <c r="D65" s="22"/>
      <c r="E65" s="22"/>
      <c r="F65" s="22"/>
      <c r="G65" s="22"/>
      <c r="H65" s="36"/>
      <c r="I65" s="22"/>
      <c r="J65" s="36"/>
      <c r="K65" s="39"/>
      <c r="L65" s="36"/>
      <c r="M65" s="22"/>
      <c r="N65" s="36"/>
      <c r="O65" s="22"/>
      <c r="P65" s="39"/>
      <c r="Q65" s="22"/>
      <c r="R65" s="22"/>
      <c r="S65" s="22"/>
      <c r="T65" s="22"/>
      <c r="U65" s="22"/>
      <c r="V65" s="22"/>
    </row>
    <row r="66" spans="1:22">
      <c r="A66" s="69"/>
      <c r="B66" s="69"/>
      <c r="D66" s="22"/>
      <c r="E66" s="22"/>
      <c r="F66" s="22"/>
      <c r="G66" s="22"/>
      <c r="H66" s="39"/>
      <c r="I66" s="22"/>
      <c r="J66" s="22"/>
      <c r="K66" s="39"/>
      <c r="L66" s="22"/>
      <c r="M66" s="22"/>
      <c r="N66" s="36"/>
      <c r="O66" s="22"/>
      <c r="P66" s="39"/>
      <c r="Q66" s="22"/>
      <c r="R66" s="22"/>
      <c r="S66" s="22"/>
      <c r="T66" s="22"/>
      <c r="U66" s="22"/>
      <c r="V66" s="22"/>
    </row>
    <row r="67" spans="1:22">
      <c r="A67" s="69"/>
      <c r="B67" s="69"/>
      <c r="D67" s="22"/>
      <c r="E67" s="22"/>
      <c r="F67" s="22"/>
      <c r="G67" s="22"/>
      <c r="H67" s="22"/>
      <c r="I67" s="39"/>
      <c r="J67" s="39"/>
      <c r="K67" s="42"/>
      <c r="L67" s="42" t="s">
        <v>278</v>
      </c>
      <c r="M67" s="36"/>
      <c r="N67" s="170" t="s">
        <v>83</v>
      </c>
      <c r="O67" s="39"/>
      <c r="P67" s="22"/>
      <c r="Q67" s="39"/>
      <c r="R67" s="39"/>
      <c r="S67" s="39"/>
      <c r="T67" s="39"/>
      <c r="U67" s="39"/>
      <c r="V67" s="22"/>
    </row>
    <row r="68" spans="1:22">
      <c r="A68" s="69"/>
      <c r="B68" s="69"/>
      <c r="D68" s="22"/>
      <c r="E68" s="22"/>
      <c r="F68" s="22"/>
      <c r="G68" s="22"/>
      <c r="H68" s="22"/>
      <c r="I68" s="39"/>
      <c r="J68" s="39"/>
      <c r="K68" s="39"/>
      <c r="L68" s="39"/>
      <c r="M68" s="39"/>
      <c r="N68" s="36"/>
      <c r="O68" s="39"/>
      <c r="P68" s="39"/>
      <c r="Q68" s="39"/>
      <c r="R68" s="39"/>
      <c r="S68" s="39"/>
      <c r="T68" s="39"/>
      <c r="U68" s="39"/>
      <c r="V68" s="39"/>
    </row>
    <row r="69" spans="1:22">
      <c r="A69" s="69"/>
      <c r="B69" s="69"/>
      <c r="D69" s="23" t="s">
        <v>55</v>
      </c>
      <c r="E69" s="171" t="s">
        <v>280</v>
      </c>
      <c r="F69" s="48"/>
      <c r="G69" s="49"/>
      <c r="H69" s="50"/>
      <c r="I69" s="50"/>
      <c r="J69" s="51" t="s">
        <v>281</v>
      </c>
      <c r="K69" s="50"/>
      <c r="L69" s="50"/>
      <c r="M69" s="48"/>
      <c r="N69" s="53"/>
      <c r="O69" s="50"/>
      <c r="P69" s="51"/>
      <c r="Q69" s="51" t="s">
        <v>282</v>
      </c>
      <c r="R69" s="50"/>
      <c r="S69" s="50"/>
      <c r="T69" s="48"/>
      <c r="U69" s="55" t="s">
        <v>283</v>
      </c>
      <c r="V69" s="55" t="s">
        <v>284</v>
      </c>
    </row>
    <row r="70" spans="1:22" ht="15.75" thickBot="1">
      <c r="A70" s="56" t="s">
        <v>285</v>
      </c>
      <c r="B70" s="56" t="s">
        <v>286</v>
      </c>
      <c r="D70" s="25" t="s">
        <v>60</v>
      </c>
      <c r="E70" s="57" t="s">
        <v>287</v>
      </c>
      <c r="F70" s="58"/>
      <c r="G70" s="24"/>
      <c r="H70" s="25" t="s">
        <v>288</v>
      </c>
      <c r="I70" s="60"/>
      <c r="J70" s="60" t="s">
        <v>289</v>
      </c>
      <c r="K70" s="60"/>
      <c r="L70" s="60" t="s">
        <v>290</v>
      </c>
      <c r="M70" s="60"/>
      <c r="N70" s="60"/>
      <c r="O70" s="60" t="s">
        <v>288</v>
      </c>
      <c r="P70" s="60"/>
      <c r="Q70" s="60" t="s">
        <v>289</v>
      </c>
      <c r="R70" s="60"/>
      <c r="S70" s="60" t="s">
        <v>290</v>
      </c>
      <c r="T70" s="58"/>
      <c r="U70" s="62" t="s">
        <v>291</v>
      </c>
      <c r="V70" s="62" t="s">
        <v>59</v>
      </c>
    </row>
    <row r="71" spans="1:22">
      <c r="A71" s="69"/>
      <c r="B71" s="69"/>
      <c r="D71" s="22">
        <v>1</v>
      </c>
      <c r="E71" s="84"/>
      <c r="F71" s="67"/>
      <c r="G71" s="22"/>
      <c r="H71" s="22"/>
      <c r="I71" s="65"/>
      <c r="J71" s="65"/>
      <c r="K71" s="65"/>
      <c r="L71" s="65"/>
      <c r="M71" s="67"/>
      <c r="N71" s="53"/>
      <c r="O71" s="67"/>
      <c r="P71" s="65"/>
      <c r="Q71" s="65"/>
      <c r="R71" s="65"/>
      <c r="S71" s="65"/>
      <c r="T71" s="65"/>
      <c r="U71" s="65"/>
      <c r="V71" s="65"/>
    </row>
    <row r="72" spans="1:22">
      <c r="A72" s="69"/>
      <c r="B72" s="69"/>
      <c r="D72" s="22">
        <v>2</v>
      </c>
      <c r="E72" s="67" t="s">
        <v>65</v>
      </c>
      <c r="F72" s="22"/>
      <c r="G72" s="22"/>
      <c r="H72" s="22"/>
      <c r="I72" s="22"/>
      <c r="J72" s="22"/>
      <c r="K72" s="22"/>
      <c r="L72" s="94"/>
      <c r="M72" s="22"/>
      <c r="N72" s="23"/>
      <c r="O72" s="22"/>
      <c r="P72" s="22"/>
      <c r="Q72" s="22"/>
      <c r="R72" s="22"/>
      <c r="S72" s="22"/>
      <c r="T72" s="66"/>
      <c r="U72" s="66"/>
      <c r="V72" s="66"/>
    </row>
    <row r="73" spans="1:22">
      <c r="A73" s="69" t="s">
        <v>349</v>
      </c>
      <c r="B73" s="69" t="s">
        <v>350</v>
      </c>
      <c r="D73" s="22">
        <v>3</v>
      </c>
      <c r="E73" s="22"/>
      <c r="F73" s="22"/>
      <c r="G73" s="22"/>
      <c r="H73" s="157">
        <v>1477390</v>
      </c>
      <c r="I73" s="22" t="s">
        <v>294</v>
      </c>
      <c r="J73" s="71">
        <v>0.75</v>
      </c>
      <c r="K73" s="66"/>
      <c r="L73" s="66">
        <f>+H73*J73</f>
        <v>1108042.5</v>
      </c>
      <c r="M73" s="70"/>
      <c r="N73" s="72"/>
      <c r="O73" s="157">
        <v>1477390</v>
      </c>
      <c r="P73" s="22" t="s">
        <v>294</v>
      </c>
      <c r="Q73" s="71">
        <v>1.27</v>
      </c>
      <c r="R73" s="22"/>
      <c r="S73" s="66">
        <f>+O73*Q73</f>
        <v>1876285.3</v>
      </c>
      <c r="T73" s="66"/>
      <c r="U73" s="66">
        <f>+S73-L73</f>
        <v>768242.8</v>
      </c>
      <c r="V73" s="73">
        <f>+IF(U73=0,0,(S73-L73)/L73)</f>
        <v>0.69333333333333336</v>
      </c>
    </row>
    <row r="74" spans="1:22">
      <c r="A74" s="69"/>
      <c r="B74" s="69"/>
      <c r="D74" s="22">
        <v>4</v>
      </c>
      <c r="E74" s="22" t="s">
        <v>43</v>
      </c>
      <c r="F74" s="22"/>
      <c r="G74" s="22"/>
      <c r="H74" s="70">
        <f>+SUM(H73)</f>
        <v>1477390</v>
      </c>
      <c r="I74" s="22" t="s">
        <v>328</v>
      </c>
      <c r="J74" s="22"/>
      <c r="K74" s="22"/>
      <c r="L74" s="129">
        <f>+SUM(L73)</f>
        <v>1108042.5</v>
      </c>
      <c r="M74" s="22"/>
      <c r="N74" s="23"/>
      <c r="O74" s="70">
        <f>+SUM(O73)</f>
        <v>1477390</v>
      </c>
      <c r="P74" s="22" t="s">
        <v>328</v>
      </c>
      <c r="Q74" s="22"/>
      <c r="R74" s="22"/>
      <c r="S74" s="129">
        <f>+SUM(S73)</f>
        <v>1876285.3</v>
      </c>
      <c r="T74" s="66"/>
      <c r="U74" s="66">
        <f>+S74-L74</f>
        <v>768242.8</v>
      </c>
      <c r="V74" s="73">
        <f>+IF(U74=0,0,(S74-L74)/L74)</f>
        <v>0.69333333333333336</v>
      </c>
    </row>
    <row r="75" spans="1:22">
      <c r="A75" s="69"/>
      <c r="B75" s="69"/>
      <c r="D75" s="22">
        <v>5</v>
      </c>
      <c r="E75" s="22"/>
      <c r="F75" s="22"/>
      <c r="G75" s="22"/>
      <c r="H75" s="70"/>
      <c r="I75" s="22"/>
      <c r="J75" s="22"/>
      <c r="K75" s="22"/>
      <c r="L75" s="70"/>
      <c r="M75" s="22"/>
      <c r="N75" s="23"/>
      <c r="O75" s="70"/>
      <c r="P75" s="22"/>
      <c r="Q75" s="22"/>
      <c r="R75" s="22"/>
      <c r="S75" s="70"/>
      <c r="T75" s="66"/>
      <c r="U75" s="66"/>
      <c r="V75" s="66"/>
    </row>
    <row r="76" spans="1:22">
      <c r="A76" s="69"/>
      <c r="B76" s="69"/>
      <c r="D76" s="22">
        <v>6</v>
      </c>
      <c r="E76" s="67" t="s">
        <v>94</v>
      </c>
      <c r="F76" s="67"/>
      <c r="G76" s="22"/>
      <c r="H76" s="70"/>
      <c r="I76" s="66"/>
      <c r="J76" s="22"/>
      <c r="K76" s="22"/>
      <c r="L76" s="70"/>
      <c r="M76" s="22"/>
      <c r="N76" s="23"/>
      <c r="O76" s="70"/>
      <c r="P76" s="66"/>
      <c r="Q76" s="22"/>
      <c r="R76" s="22"/>
      <c r="S76" s="70"/>
      <c r="T76" s="66"/>
      <c r="U76" s="66"/>
      <c r="V76" s="75"/>
    </row>
    <row r="77" spans="1:22">
      <c r="A77" s="69" t="s">
        <v>351</v>
      </c>
      <c r="B77" s="69" t="s">
        <v>352</v>
      </c>
      <c r="D77" s="22">
        <v>7</v>
      </c>
      <c r="E77" s="22"/>
      <c r="F77" s="67"/>
      <c r="G77" s="22"/>
      <c r="H77" s="157">
        <v>12769320</v>
      </c>
      <c r="I77" s="66" t="s">
        <v>304</v>
      </c>
      <c r="J77" s="76">
        <v>7.8619999999999995E-2</v>
      </c>
      <c r="K77" s="66"/>
      <c r="L77" s="66">
        <f>+H77*J77</f>
        <v>1003923.9384</v>
      </c>
      <c r="M77" s="70"/>
      <c r="N77" s="72"/>
      <c r="O77" s="157">
        <v>12769320</v>
      </c>
      <c r="P77" s="66" t="s">
        <v>304</v>
      </c>
      <c r="Q77" s="76">
        <f>+J77*(1+$B$7)</f>
        <v>6.8037513687307094E-2</v>
      </c>
      <c r="R77" s="66"/>
      <c r="S77" s="66">
        <f>+O77*Q77</f>
        <v>868792.78427760419</v>
      </c>
      <c r="T77" s="66"/>
      <c r="U77" s="66">
        <f>+S77-L77</f>
        <v>-135131.15412239579</v>
      </c>
      <c r="V77" s="73">
        <f>+IF(U77=0,0,(S77-L77)/L77)</f>
        <v>-0.13460298031916698</v>
      </c>
    </row>
    <row r="78" spans="1:22">
      <c r="A78" s="69"/>
      <c r="B78" s="69"/>
      <c r="D78" s="22">
        <v>8</v>
      </c>
      <c r="E78" s="22" t="s">
        <v>43</v>
      </c>
      <c r="F78" s="22"/>
      <c r="G78" s="22"/>
      <c r="H78" s="70">
        <f>+SUM(H77)</f>
        <v>12769320</v>
      </c>
      <c r="I78" s="66" t="s">
        <v>304</v>
      </c>
      <c r="J78" s="22"/>
      <c r="K78" s="22"/>
      <c r="L78" s="129">
        <f>+SUM(L77)</f>
        <v>1003923.9384</v>
      </c>
      <c r="M78" s="22"/>
      <c r="N78" s="23"/>
      <c r="O78" s="70">
        <f>+SUM(O77)</f>
        <v>12769320</v>
      </c>
      <c r="P78" s="66" t="s">
        <v>304</v>
      </c>
      <c r="Q78" s="22"/>
      <c r="R78" s="22"/>
      <c r="S78" s="129">
        <f>+SUM(S77)</f>
        <v>868792.78427760419</v>
      </c>
      <c r="T78" s="66"/>
      <c r="U78" s="66">
        <f>+S78-L78</f>
        <v>-135131.15412239579</v>
      </c>
      <c r="V78" s="73">
        <f>+IF(U78=0,0,(S78-L78)/L78)</f>
        <v>-0.13460298031916698</v>
      </c>
    </row>
    <row r="79" spans="1:22">
      <c r="A79" s="69"/>
      <c r="B79" s="69"/>
      <c r="D79" s="22">
        <v>9</v>
      </c>
      <c r="E79" s="22"/>
      <c r="F79" s="22"/>
      <c r="G79" s="22"/>
      <c r="H79" s="22"/>
      <c r="I79" s="22"/>
      <c r="J79" s="22"/>
      <c r="K79" s="22"/>
      <c r="L79" s="70"/>
      <c r="M79" s="22"/>
      <c r="N79" s="23"/>
      <c r="O79" s="22"/>
      <c r="P79" s="22"/>
      <c r="Q79" s="22"/>
      <c r="R79" s="22"/>
      <c r="S79" s="70"/>
      <c r="T79" s="22"/>
      <c r="U79" s="22"/>
      <c r="V79" s="79"/>
    </row>
    <row r="80" spans="1:22">
      <c r="A80" s="69"/>
      <c r="B80" s="69"/>
      <c r="D80" s="22">
        <v>10</v>
      </c>
      <c r="E80" s="22"/>
      <c r="F80" s="22"/>
      <c r="G80" s="22"/>
      <c r="H80" s="22"/>
      <c r="I80" s="22"/>
      <c r="J80" s="22"/>
      <c r="K80" s="22"/>
      <c r="L80" s="70"/>
      <c r="M80" s="22"/>
      <c r="N80" s="23"/>
      <c r="O80" s="22"/>
      <c r="P80" s="22"/>
      <c r="Q80" s="22"/>
      <c r="R80" s="22"/>
      <c r="S80" s="70"/>
      <c r="T80" s="22"/>
      <c r="U80" s="22"/>
      <c r="V80" s="79"/>
    </row>
    <row r="81" spans="1:22">
      <c r="A81" s="69"/>
      <c r="B81" s="69"/>
      <c r="D81" s="22">
        <v>11</v>
      </c>
      <c r="E81" s="22"/>
      <c r="F81" s="22"/>
      <c r="G81" s="22"/>
      <c r="H81" s="22"/>
      <c r="I81" s="22"/>
      <c r="J81" s="22"/>
      <c r="K81" s="22"/>
      <c r="L81" s="22"/>
      <c r="M81" s="22"/>
      <c r="N81" s="23"/>
      <c r="O81" s="22"/>
      <c r="P81" s="22"/>
      <c r="Q81" s="22"/>
      <c r="R81" s="22"/>
      <c r="S81" s="22"/>
      <c r="T81" s="22"/>
      <c r="U81" s="22"/>
      <c r="V81" s="22"/>
    </row>
    <row r="82" spans="1:22" ht="15.75" thickBot="1">
      <c r="A82" s="69"/>
      <c r="B82" s="69"/>
      <c r="D82" s="22">
        <v>12</v>
      </c>
      <c r="E82" s="67" t="s">
        <v>316</v>
      </c>
      <c r="F82" s="67"/>
      <c r="G82" s="22"/>
      <c r="H82" s="22"/>
      <c r="I82" s="66"/>
      <c r="J82" s="66"/>
      <c r="K82" s="66"/>
      <c r="L82" s="78">
        <f>+L74+L78</f>
        <v>2111966.4383999999</v>
      </c>
      <c r="M82" s="66"/>
      <c r="N82" s="72"/>
      <c r="O82" s="66"/>
      <c r="P82" s="66"/>
      <c r="Q82" s="66"/>
      <c r="R82" s="66"/>
      <c r="S82" s="78">
        <f>+S74+S78</f>
        <v>2745078.0842776042</v>
      </c>
      <c r="T82" s="66"/>
      <c r="U82" s="66">
        <f>+S82-L82</f>
        <v>633111.64587760437</v>
      </c>
      <c r="V82" s="73">
        <f>+IF(U82=0,0,(S82-L82)/L82)</f>
        <v>0.29977353539634943</v>
      </c>
    </row>
    <row r="83" spans="1:22" ht="15.75" thickTop="1">
      <c r="A83" s="69"/>
      <c r="B83" s="69"/>
      <c r="D83" s="22">
        <v>13</v>
      </c>
      <c r="E83" s="65"/>
      <c r="F83" s="65"/>
      <c r="G83" s="22"/>
      <c r="H83" s="22"/>
      <c r="I83" s="66"/>
      <c r="J83" s="66"/>
      <c r="K83" s="66"/>
      <c r="L83" s="80"/>
      <c r="M83" s="66"/>
      <c r="N83" s="72"/>
      <c r="O83" s="66"/>
      <c r="P83" s="66"/>
      <c r="Q83" s="66"/>
      <c r="R83" s="66"/>
      <c r="S83" s="80"/>
      <c r="T83" s="66"/>
      <c r="U83" s="66"/>
      <c r="V83" s="85"/>
    </row>
    <row r="84" spans="1:22">
      <c r="A84" s="69"/>
      <c r="B84" s="69"/>
      <c r="D84" s="22">
        <v>14</v>
      </c>
      <c r="E84" s="22"/>
      <c r="F84" s="22"/>
      <c r="G84" s="22"/>
      <c r="H84" s="22"/>
      <c r="I84" s="22"/>
      <c r="J84" s="22"/>
      <c r="K84" s="22"/>
      <c r="L84" s="22"/>
      <c r="M84" s="22"/>
      <c r="N84" s="23"/>
      <c r="O84" s="22"/>
      <c r="P84" s="22"/>
      <c r="Q84" s="22"/>
      <c r="R84" s="22"/>
      <c r="S84" s="83"/>
      <c r="T84" s="66"/>
      <c r="U84" s="66"/>
      <c r="V84" s="66"/>
    </row>
    <row r="85" spans="1:22">
      <c r="A85" s="69"/>
      <c r="B85" s="69"/>
      <c r="D85" s="22">
        <v>15</v>
      </c>
      <c r="E85" s="22"/>
      <c r="F85" s="65"/>
      <c r="G85" s="22"/>
      <c r="H85" s="22"/>
      <c r="I85" s="66"/>
      <c r="J85" s="66"/>
      <c r="K85" s="66"/>
      <c r="L85" s="66"/>
      <c r="M85" s="66"/>
      <c r="N85" s="72"/>
      <c r="O85" s="66"/>
      <c r="P85" s="66"/>
      <c r="Q85" s="66"/>
      <c r="R85" s="66"/>
      <c r="S85" s="66"/>
      <c r="T85" s="66"/>
      <c r="U85" s="66"/>
      <c r="V85" s="66"/>
    </row>
    <row r="86" spans="1:22">
      <c r="A86" s="69"/>
      <c r="B86" s="69"/>
      <c r="D86" s="22">
        <v>16</v>
      </c>
      <c r="E86" s="22"/>
      <c r="F86" s="65"/>
      <c r="G86" s="22"/>
      <c r="H86" s="22"/>
      <c r="I86" s="66"/>
      <c r="J86" s="66"/>
      <c r="K86" s="66"/>
      <c r="L86" s="66"/>
      <c r="M86" s="66"/>
      <c r="N86" s="72"/>
      <c r="O86" s="66"/>
      <c r="P86" s="66"/>
      <c r="Q86" s="66"/>
      <c r="R86" s="66"/>
      <c r="S86" s="66"/>
      <c r="T86" s="66"/>
      <c r="U86" s="66"/>
      <c r="V86" s="66"/>
    </row>
    <row r="87" spans="1:22">
      <c r="A87" s="69"/>
      <c r="B87" s="69"/>
      <c r="D87" s="22">
        <v>17</v>
      </c>
      <c r="E87" s="22"/>
      <c r="F87" s="65"/>
      <c r="G87" s="22"/>
      <c r="H87" s="22"/>
      <c r="I87" s="66"/>
      <c r="J87" s="66"/>
      <c r="K87" s="66"/>
      <c r="L87" s="66"/>
      <c r="M87" s="66"/>
      <c r="N87" s="72"/>
      <c r="O87" s="66"/>
      <c r="P87" s="66"/>
      <c r="Q87" s="66"/>
      <c r="R87" s="66"/>
      <c r="S87" s="66"/>
      <c r="T87" s="66"/>
      <c r="U87" s="66"/>
      <c r="V87" s="66"/>
    </row>
    <row r="88" spans="1:22">
      <c r="A88" s="69"/>
      <c r="B88" s="69"/>
      <c r="D88" s="22">
        <v>18</v>
      </c>
      <c r="E88" s="22"/>
      <c r="F88" s="65"/>
      <c r="G88" s="22"/>
      <c r="H88" s="22"/>
      <c r="I88" s="66"/>
      <c r="J88" s="66"/>
      <c r="K88" s="66"/>
      <c r="L88" s="66"/>
      <c r="M88" s="66"/>
      <c r="N88" s="72"/>
      <c r="O88" s="66"/>
      <c r="P88" s="66"/>
      <c r="Q88" s="66"/>
      <c r="R88" s="66"/>
      <c r="S88" s="66"/>
      <c r="T88" s="66"/>
      <c r="U88" s="66"/>
      <c r="V88" s="66"/>
    </row>
    <row r="89" spans="1:22">
      <c r="A89" s="69"/>
      <c r="B89" s="69"/>
      <c r="D89" s="22">
        <v>19</v>
      </c>
      <c r="E89" s="22"/>
      <c r="F89" s="65"/>
      <c r="G89" s="22"/>
      <c r="H89" s="22"/>
      <c r="I89" s="66"/>
      <c r="J89" s="66"/>
      <c r="K89" s="66"/>
      <c r="L89" s="66"/>
      <c r="M89" s="66"/>
      <c r="N89" s="72"/>
      <c r="O89" s="66"/>
      <c r="P89" s="66"/>
      <c r="Q89" s="66"/>
      <c r="R89" s="66"/>
      <c r="S89" s="66"/>
      <c r="T89" s="66"/>
      <c r="U89" s="66"/>
      <c r="V89" s="66"/>
    </row>
    <row r="90" spans="1:22">
      <c r="A90" s="69"/>
      <c r="B90" s="69"/>
      <c r="D90" s="22">
        <v>20</v>
      </c>
      <c r="E90" s="84"/>
      <c r="F90" s="65"/>
      <c r="G90" s="22"/>
      <c r="H90" s="22"/>
      <c r="I90" s="66"/>
      <c r="J90" s="66"/>
      <c r="K90" s="66"/>
      <c r="L90" s="66"/>
      <c r="M90" s="66"/>
      <c r="N90" s="72"/>
      <c r="O90" s="66"/>
      <c r="P90" s="66"/>
      <c r="Q90" s="66"/>
      <c r="R90" s="66"/>
      <c r="S90" s="66"/>
      <c r="T90" s="66"/>
      <c r="U90" s="66"/>
      <c r="V90" s="66"/>
    </row>
    <row r="91" spans="1:22">
      <c r="A91" s="69"/>
      <c r="B91" s="69"/>
      <c r="D91" s="22">
        <v>21</v>
      </c>
      <c r="E91" s="84"/>
      <c r="F91" s="65"/>
      <c r="G91" s="22"/>
      <c r="H91" s="22"/>
      <c r="I91" s="66"/>
      <c r="J91" s="66"/>
      <c r="K91" s="66"/>
      <c r="L91" s="66"/>
      <c r="M91" s="66"/>
      <c r="N91" s="72"/>
      <c r="O91" s="66"/>
      <c r="P91" s="66"/>
      <c r="Q91" s="66"/>
      <c r="R91" s="66"/>
      <c r="S91" s="66"/>
      <c r="T91" s="66"/>
      <c r="U91" s="66"/>
      <c r="V91" s="66"/>
    </row>
    <row r="92" spans="1:22">
      <c r="A92" s="69"/>
      <c r="B92" s="69"/>
      <c r="D92" s="22">
        <v>22</v>
      </c>
      <c r="E92" s="84"/>
      <c r="F92" s="65"/>
      <c r="G92" s="22"/>
      <c r="H92" s="22"/>
      <c r="I92" s="66"/>
      <c r="J92" s="66"/>
      <c r="K92" s="66"/>
      <c r="L92" s="66"/>
      <c r="M92" s="66"/>
      <c r="N92" s="72"/>
      <c r="O92" s="66"/>
      <c r="P92" s="66"/>
      <c r="Q92" s="66"/>
      <c r="R92" s="66"/>
      <c r="S92" s="66"/>
      <c r="T92" s="66"/>
      <c r="U92" s="66"/>
      <c r="V92" s="66"/>
    </row>
    <row r="93" spans="1:22">
      <c r="A93" s="69"/>
      <c r="B93" s="69"/>
      <c r="D93" s="22">
        <v>23</v>
      </c>
      <c r="E93" s="84"/>
      <c r="F93" s="65"/>
      <c r="G93" s="22"/>
      <c r="H93" s="22"/>
      <c r="I93" s="66"/>
      <c r="J93" s="66"/>
      <c r="K93" s="66"/>
      <c r="L93" s="66"/>
      <c r="M93" s="66"/>
      <c r="N93" s="72"/>
      <c r="O93" s="66"/>
      <c r="P93" s="66"/>
      <c r="Q93" s="66"/>
      <c r="R93" s="66"/>
      <c r="S93" s="66"/>
      <c r="T93" s="66"/>
      <c r="U93" s="66"/>
      <c r="V93" s="66"/>
    </row>
    <row r="94" spans="1:22">
      <c r="A94" s="69"/>
      <c r="B94" s="69"/>
      <c r="D94" s="22">
        <v>24</v>
      </c>
      <c r="E94" s="84"/>
      <c r="F94" s="65"/>
      <c r="G94" s="22"/>
      <c r="H94" s="22"/>
      <c r="I94" s="66"/>
      <c r="J94" s="66"/>
      <c r="K94" s="66"/>
      <c r="L94" s="66"/>
      <c r="M94" s="66"/>
      <c r="N94" s="72"/>
      <c r="O94" s="66"/>
      <c r="P94" s="66"/>
      <c r="Q94" s="66"/>
      <c r="R94" s="66"/>
      <c r="S94" s="66"/>
      <c r="T94" s="66"/>
      <c r="U94" s="66"/>
      <c r="V94" s="66"/>
    </row>
    <row r="95" spans="1:22">
      <c r="A95" s="69"/>
      <c r="B95" s="69"/>
      <c r="D95" s="22">
        <v>25</v>
      </c>
      <c r="E95" s="84"/>
      <c r="F95" s="65"/>
      <c r="G95" s="22"/>
      <c r="H95" s="22"/>
      <c r="I95" s="66"/>
      <c r="J95" s="66"/>
      <c r="K95" s="66"/>
      <c r="L95" s="66"/>
      <c r="M95" s="66"/>
      <c r="N95" s="72"/>
      <c r="O95" s="66"/>
      <c r="P95" s="66"/>
      <c r="Q95" s="66"/>
      <c r="R95" s="66"/>
      <c r="S95" s="66"/>
      <c r="T95" s="66"/>
      <c r="U95" s="66"/>
      <c r="V95" s="66"/>
    </row>
    <row r="96" spans="1:22">
      <c r="A96" s="69"/>
      <c r="B96" s="69"/>
      <c r="D96" s="22">
        <v>26</v>
      </c>
      <c r="E96" s="84"/>
      <c r="F96" s="65"/>
      <c r="G96" s="22"/>
      <c r="H96" s="22"/>
      <c r="I96" s="66"/>
      <c r="J96" s="66"/>
      <c r="K96" s="66"/>
      <c r="L96" s="66"/>
      <c r="M96" s="66"/>
      <c r="N96" s="72"/>
      <c r="O96" s="66"/>
      <c r="P96" s="66"/>
      <c r="Q96" s="66"/>
      <c r="R96" s="66"/>
      <c r="S96" s="66"/>
      <c r="T96" s="66"/>
      <c r="U96" s="66"/>
      <c r="V96" s="66"/>
    </row>
    <row r="97" spans="1:22">
      <c r="A97" s="69"/>
      <c r="B97" s="69"/>
      <c r="D97" s="22">
        <v>27</v>
      </c>
      <c r="E97" s="84"/>
      <c r="F97" s="65"/>
      <c r="G97" s="22"/>
      <c r="H97" s="22"/>
      <c r="I97" s="66"/>
      <c r="J97" s="66"/>
      <c r="K97" s="66"/>
      <c r="L97" s="66"/>
      <c r="M97" s="66"/>
      <c r="N97" s="72"/>
      <c r="O97" s="66"/>
      <c r="P97" s="66"/>
      <c r="Q97" s="66"/>
      <c r="R97" s="66"/>
      <c r="S97" s="66"/>
      <c r="T97" s="66"/>
      <c r="U97" s="66"/>
      <c r="V97" s="66"/>
    </row>
    <row r="98" spans="1:22">
      <c r="A98" s="69"/>
      <c r="B98" s="69"/>
      <c r="D98" s="22">
        <v>28</v>
      </c>
      <c r="E98" s="84"/>
      <c r="F98" s="65"/>
      <c r="G98" s="22"/>
      <c r="H98" s="22"/>
      <c r="I98" s="66"/>
      <c r="J98" s="66"/>
      <c r="K98" s="66"/>
      <c r="L98" s="66"/>
      <c r="M98" s="66"/>
      <c r="N98" s="72"/>
      <c r="O98" s="66"/>
      <c r="P98" s="66"/>
      <c r="Q98" s="66"/>
      <c r="R98" s="66"/>
      <c r="S98" s="66"/>
      <c r="T98" s="66"/>
      <c r="U98" s="66"/>
      <c r="V98" s="66"/>
    </row>
    <row r="99" spans="1:22">
      <c r="A99" s="69"/>
      <c r="B99" s="69"/>
      <c r="D99" s="22">
        <v>29</v>
      </c>
      <c r="E99" s="84"/>
      <c r="F99" s="65"/>
      <c r="G99" s="22"/>
      <c r="H99" s="22"/>
      <c r="I99" s="66"/>
      <c r="J99" s="66"/>
      <c r="K99" s="66"/>
      <c r="L99" s="66"/>
      <c r="M99" s="66"/>
      <c r="N99" s="72"/>
      <c r="O99" s="66"/>
      <c r="P99" s="66"/>
      <c r="Q99" s="66"/>
      <c r="R99" s="66"/>
      <c r="S99" s="66"/>
      <c r="T99" s="66"/>
      <c r="U99" s="66"/>
      <c r="V99" s="66"/>
    </row>
    <row r="100" spans="1:22">
      <c r="A100" s="69"/>
      <c r="B100" s="69"/>
      <c r="D100" s="22">
        <v>30</v>
      </c>
      <c r="E100" s="84"/>
      <c r="F100" s="65"/>
      <c r="G100" s="22"/>
      <c r="H100" s="22"/>
      <c r="I100" s="66"/>
      <c r="J100" s="66"/>
      <c r="K100" s="66"/>
      <c r="L100" s="66"/>
      <c r="M100" s="66"/>
      <c r="N100" s="72"/>
      <c r="O100" s="66"/>
      <c r="P100" s="66"/>
      <c r="Q100" s="66"/>
      <c r="R100" s="66"/>
      <c r="S100" s="66"/>
      <c r="T100" s="66"/>
      <c r="U100" s="66"/>
      <c r="V100" s="66"/>
    </row>
    <row r="101" spans="1:22">
      <c r="A101" s="69"/>
      <c r="B101" s="69"/>
      <c r="D101" s="22">
        <v>31</v>
      </c>
      <c r="E101" s="84"/>
      <c r="F101" s="65"/>
      <c r="G101" s="22"/>
      <c r="H101" s="22"/>
      <c r="I101" s="66"/>
      <c r="J101" s="66"/>
      <c r="K101" s="66"/>
      <c r="L101" s="66"/>
      <c r="M101" s="66"/>
      <c r="N101" s="72"/>
      <c r="O101" s="66"/>
      <c r="P101" s="66"/>
      <c r="Q101" s="66"/>
      <c r="R101" s="66"/>
      <c r="S101" s="66"/>
      <c r="T101" s="66"/>
      <c r="U101" s="66"/>
      <c r="V101" s="66"/>
    </row>
    <row r="102" spans="1:22">
      <c r="A102" s="69"/>
      <c r="B102" s="69"/>
      <c r="D102" s="22">
        <v>32</v>
      </c>
      <c r="E102" s="84"/>
      <c r="F102" s="169"/>
      <c r="G102" s="22"/>
      <c r="H102" s="22"/>
      <c r="I102" s="66"/>
      <c r="J102" s="66"/>
      <c r="K102" s="66"/>
      <c r="L102" s="66"/>
      <c r="M102" s="66"/>
      <c r="N102" s="72"/>
      <c r="O102" s="66"/>
      <c r="P102" s="66"/>
      <c r="Q102" s="66"/>
      <c r="R102" s="66"/>
      <c r="S102" s="66"/>
      <c r="T102" s="66"/>
      <c r="U102" s="66"/>
      <c r="V102" s="66"/>
    </row>
    <row r="103" spans="1:22">
      <c r="A103" s="69"/>
      <c r="B103" s="69"/>
      <c r="D103" s="22">
        <v>33</v>
      </c>
      <c r="E103" s="84"/>
      <c r="F103" s="65"/>
      <c r="G103" s="22"/>
      <c r="H103" s="22"/>
      <c r="I103" s="66"/>
      <c r="J103" s="66"/>
      <c r="K103" s="66"/>
      <c r="L103" s="66"/>
      <c r="M103" s="66"/>
      <c r="N103" s="72"/>
      <c r="O103" s="66"/>
      <c r="P103" s="66"/>
      <c r="Q103" s="66"/>
      <c r="R103" s="66"/>
      <c r="S103" s="66"/>
      <c r="T103" s="66"/>
      <c r="U103" s="66"/>
      <c r="V103" s="66"/>
    </row>
    <row r="104" spans="1:22">
      <c r="A104" s="69"/>
      <c r="B104" s="69"/>
      <c r="D104" s="22">
        <v>34</v>
      </c>
      <c r="E104" s="84"/>
      <c r="F104" s="65"/>
      <c r="G104" s="22"/>
      <c r="H104" s="22"/>
      <c r="I104" s="66"/>
      <c r="J104" s="66"/>
      <c r="K104" s="66"/>
      <c r="L104" s="66"/>
      <c r="M104" s="66"/>
      <c r="N104" s="72"/>
      <c r="O104" s="66"/>
      <c r="P104" s="66"/>
      <c r="Q104" s="66"/>
      <c r="R104" s="66"/>
      <c r="S104" s="66"/>
      <c r="T104" s="66"/>
      <c r="U104" s="66"/>
      <c r="V104" s="66"/>
    </row>
    <row r="105" spans="1:22">
      <c r="A105" s="69"/>
      <c r="B105" s="69"/>
      <c r="D105" s="22">
        <v>35</v>
      </c>
      <c r="E105" s="84"/>
      <c r="F105" s="65"/>
      <c r="G105" s="22"/>
      <c r="H105" s="22"/>
      <c r="I105" s="66"/>
      <c r="J105" s="66"/>
      <c r="K105" s="66"/>
      <c r="L105" s="66"/>
      <c r="M105" s="66"/>
      <c r="N105" s="72"/>
      <c r="O105" s="66"/>
      <c r="P105" s="66"/>
      <c r="Q105" s="66"/>
      <c r="R105" s="66"/>
      <c r="S105" s="66"/>
      <c r="T105" s="66"/>
      <c r="U105" s="66"/>
      <c r="V105" s="66"/>
    </row>
    <row r="106" spans="1:22">
      <c r="A106" s="69"/>
      <c r="B106" s="69"/>
      <c r="D106" s="22">
        <v>36</v>
      </c>
      <c r="E106" s="84"/>
      <c r="F106" s="65"/>
      <c r="G106" s="22"/>
      <c r="H106" s="22"/>
      <c r="I106" s="66"/>
      <c r="J106" s="66"/>
      <c r="K106" s="66"/>
      <c r="L106" s="66"/>
      <c r="M106" s="66"/>
      <c r="N106" s="72"/>
      <c r="O106" s="66"/>
      <c r="P106" s="66"/>
      <c r="Q106" s="66"/>
      <c r="R106" s="66"/>
      <c r="S106" s="66"/>
      <c r="T106" s="66"/>
      <c r="U106" s="66"/>
      <c r="V106" s="66"/>
    </row>
    <row r="107" spans="1:22">
      <c r="A107" s="69"/>
      <c r="B107" s="69"/>
      <c r="D107" s="22">
        <v>37</v>
      </c>
      <c r="E107" s="84"/>
      <c r="F107" s="65"/>
      <c r="G107" s="22"/>
      <c r="H107" s="22"/>
      <c r="I107" s="66"/>
      <c r="J107" s="66"/>
      <c r="K107" s="66"/>
      <c r="L107" s="66"/>
      <c r="M107" s="66"/>
      <c r="N107" s="72"/>
      <c r="O107" s="66"/>
      <c r="P107" s="66"/>
      <c r="Q107" s="66"/>
      <c r="R107" s="66"/>
      <c r="S107" s="66"/>
      <c r="T107" s="66"/>
      <c r="U107" s="66"/>
      <c r="V107" s="66"/>
    </row>
    <row r="108" spans="1:22">
      <c r="A108" s="69"/>
      <c r="B108" s="69"/>
      <c r="D108" s="22">
        <v>38</v>
      </c>
      <c r="E108" s="84"/>
      <c r="F108" s="65"/>
      <c r="G108" s="22"/>
      <c r="H108" s="22"/>
      <c r="I108" s="66"/>
      <c r="J108" s="66"/>
      <c r="K108" s="66"/>
      <c r="L108" s="66"/>
      <c r="M108" s="66"/>
      <c r="N108" s="72"/>
      <c r="O108" s="66"/>
      <c r="P108" s="66"/>
      <c r="Q108" s="66"/>
      <c r="R108" s="66"/>
      <c r="S108" s="66"/>
      <c r="T108" s="66"/>
      <c r="U108" s="66"/>
      <c r="V108" s="66"/>
    </row>
    <row r="109" spans="1:22" ht="15.75" thickBot="1">
      <c r="A109" s="69"/>
      <c r="B109" s="69"/>
      <c r="D109" s="24">
        <v>39</v>
      </c>
      <c r="E109" s="24"/>
      <c r="F109" s="24"/>
      <c r="G109" s="24"/>
      <c r="H109" s="24"/>
      <c r="I109" s="24"/>
      <c r="J109" s="24"/>
      <c r="K109" s="24"/>
      <c r="L109" s="24"/>
      <c r="M109" s="24"/>
      <c r="N109" s="25"/>
      <c r="O109" s="24"/>
      <c r="P109" s="24"/>
      <c r="Q109" s="24"/>
      <c r="R109" s="24"/>
      <c r="S109" s="24"/>
      <c r="T109" s="24"/>
      <c r="U109" s="24"/>
      <c r="V109" s="24"/>
    </row>
    <row r="110" spans="1:22">
      <c r="A110" s="69"/>
      <c r="B110" s="69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3"/>
      <c r="O110" s="22"/>
      <c r="P110" s="22"/>
      <c r="Q110" s="22"/>
      <c r="R110" s="22"/>
      <c r="S110" s="22"/>
      <c r="T110" s="22"/>
      <c r="U110" s="22"/>
      <c r="V110" s="22"/>
    </row>
  </sheetData>
  <mergeCells count="2">
    <mergeCell ref="K4:O4"/>
    <mergeCell ref="K58:O58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F7BFB-C902-480C-8744-B970D7B1210A}">
  <dimension ref="A3:W380"/>
  <sheetViews>
    <sheetView workbookViewId="0">
      <selection activeCell="R45" sqref="R45"/>
    </sheetView>
  </sheetViews>
  <sheetFormatPr defaultRowHeight="15"/>
  <cols>
    <col min="1" max="1" width="31.85546875" bestFit="1" customWidth="1"/>
    <col min="2" max="2" width="39.140625" bestFit="1" customWidth="1"/>
    <col min="3" max="3" width="56.140625" bestFit="1" customWidth="1"/>
    <col min="9" max="9" width="21.85546875" bestFit="1" customWidth="1"/>
    <col min="10" max="10" width="9.85546875" customWidth="1"/>
    <col min="11" max="11" width="10.28515625" bestFit="1" customWidth="1"/>
    <col min="13" max="13" width="19" bestFit="1" customWidth="1"/>
    <col min="16" max="16" width="12" bestFit="1" customWidth="1"/>
    <col min="18" max="18" width="10" bestFit="1" customWidth="1"/>
    <col min="20" max="20" width="24" bestFit="1" customWidth="1"/>
    <col min="22" max="22" width="9.85546875" bestFit="1" customWidth="1"/>
    <col min="23" max="23" width="18.7109375" bestFit="1" customWidth="1"/>
  </cols>
  <sheetData>
    <row r="3" spans="1:23">
      <c r="E3" s="22"/>
      <c r="F3" s="22"/>
      <c r="G3" s="22"/>
      <c r="H3" s="22"/>
      <c r="I3" s="22"/>
      <c r="J3" s="22"/>
      <c r="K3" s="22"/>
      <c r="L3" s="330"/>
      <c r="M3" s="330"/>
      <c r="N3" s="330"/>
      <c r="O3" s="330"/>
      <c r="P3" s="330"/>
      <c r="Q3" s="22"/>
      <c r="R3" s="22"/>
      <c r="S3" s="22"/>
      <c r="T3" s="22"/>
      <c r="U3" s="22"/>
      <c r="V3" s="22"/>
      <c r="W3" s="22"/>
    </row>
    <row r="4" spans="1:23" ht="15.75" thickBot="1">
      <c r="E4" s="24"/>
      <c r="F4" s="24"/>
      <c r="G4" s="24"/>
      <c r="H4" s="24"/>
      <c r="I4" s="24"/>
      <c r="J4" s="24"/>
      <c r="K4" s="24"/>
      <c r="L4" s="331" t="s">
        <v>274</v>
      </c>
      <c r="M4" s="331"/>
      <c r="N4" s="331"/>
      <c r="O4" s="331"/>
      <c r="P4" s="331"/>
      <c r="Q4" s="24"/>
      <c r="R4" s="24"/>
      <c r="S4" s="24"/>
      <c r="T4" s="24"/>
      <c r="U4" s="24"/>
      <c r="V4" s="24"/>
      <c r="W4" s="26"/>
    </row>
    <row r="5" spans="1:23">
      <c r="B5" s="27" t="s">
        <v>275</v>
      </c>
      <c r="C5" s="28">
        <f>+'Scenario Operating Revenue'!D7</f>
        <v>410969208.63581157</v>
      </c>
      <c r="E5" s="22"/>
      <c r="F5" s="22"/>
      <c r="G5" s="22"/>
      <c r="H5" s="22"/>
      <c r="I5" s="22"/>
      <c r="J5" s="22"/>
      <c r="L5" s="22"/>
      <c r="M5" s="22"/>
      <c r="N5" s="22"/>
      <c r="O5" s="29"/>
      <c r="P5" s="30"/>
      <c r="Q5" s="22"/>
      <c r="R5" s="30"/>
      <c r="S5" s="30"/>
      <c r="T5" s="30"/>
      <c r="U5" s="22"/>
      <c r="V5" s="22"/>
      <c r="W5" s="31"/>
    </row>
    <row r="6" spans="1:23">
      <c r="E6" s="22"/>
      <c r="F6" s="22"/>
      <c r="G6" s="22"/>
      <c r="H6" s="22"/>
      <c r="I6" s="22"/>
      <c r="J6" s="22"/>
      <c r="L6" s="22"/>
      <c r="M6" s="22"/>
      <c r="N6" s="22"/>
      <c r="O6" s="23"/>
      <c r="P6" s="31"/>
      <c r="Q6" s="22"/>
      <c r="R6" s="22"/>
      <c r="S6" s="32"/>
      <c r="T6" s="32"/>
      <c r="U6" s="31"/>
      <c r="V6" s="22"/>
      <c r="W6" s="32"/>
    </row>
    <row r="7" spans="1:23">
      <c r="B7" s="33" t="s">
        <v>276</v>
      </c>
      <c r="C7" s="34">
        <v>-1.7842537808923132E-2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23"/>
      <c r="P7" s="31"/>
      <c r="Q7" s="32"/>
      <c r="R7" s="22"/>
      <c r="S7" s="22"/>
      <c r="T7" s="32"/>
      <c r="U7" s="31"/>
      <c r="V7" s="22"/>
      <c r="W7" s="32"/>
    </row>
    <row r="8" spans="1:23">
      <c r="B8" s="33" t="s">
        <v>277</v>
      </c>
      <c r="C8" s="35">
        <f>+(T107+T162+T361)</f>
        <v>410969208.52775723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23"/>
      <c r="P8" s="31"/>
      <c r="Q8" s="32"/>
      <c r="R8" s="22"/>
      <c r="S8" s="22"/>
      <c r="T8" s="32"/>
      <c r="U8" s="31"/>
      <c r="V8" s="22"/>
      <c r="W8" s="32"/>
    </row>
    <row r="9" spans="1:23">
      <c r="E9" s="22"/>
      <c r="F9" s="22"/>
      <c r="G9" s="32"/>
      <c r="H9" s="22"/>
      <c r="I9" s="22"/>
      <c r="J9" s="22"/>
      <c r="K9" s="22"/>
      <c r="L9" s="36"/>
      <c r="M9" s="36"/>
      <c r="N9" s="36"/>
      <c r="O9" s="23"/>
      <c r="P9" s="22"/>
      <c r="Q9" s="22"/>
      <c r="R9" s="22"/>
      <c r="S9" s="22"/>
      <c r="T9" s="22"/>
      <c r="U9" s="22"/>
      <c r="V9" s="22"/>
      <c r="W9" s="22"/>
    </row>
    <row r="10" spans="1:23" ht="15.75" thickBot="1">
      <c r="E10" s="24"/>
      <c r="F10" s="24"/>
      <c r="G10" s="26"/>
      <c r="H10" s="37"/>
      <c r="I10" s="37"/>
      <c r="J10" s="38"/>
      <c r="K10" s="38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</row>
    <row r="11" spans="1:23">
      <c r="E11" s="22"/>
      <c r="F11" s="22"/>
      <c r="G11" s="22"/>
      <c r="H11" s="22"/>
      <c r="I11" s="36"/>
      <c r="J11" s="22"/>
      <c r="K11" s="36"/>
      <c r="L11" s="39"/>
      <c r="M11" s="36"/>
      <c r="N11" s="22"/>
      <c r="O11" s="36"/>
      <c r="P11" s="22"/>
      <c r="Q11" s="39"/>
      <c r="R11" s="22"/>
      <c r="S11" s="22"/>
      <c r="T11" s="22"/>
      <c r="U11" s="22"/>
      <c r="V11" s="22"/>
      <c r="W11" s="22"/>
    </row>
    <row r="12" spans="1:23">
      <c r="E12" s="22"/>
      <c r="F12" s="22"/>
      <c r="G12" s="22"/>
      <c r="H12" s="22"/>
      <c r="I12" s="39"/>
      <c r="J12" s="22"/>
      <c r="K12" s="22"/>
      <c r="L12" s="39"/>
      <c r="M12" s="22"/>
      <c r="N12" s="22"/>
      <c r="O12" s="36"/>
      <c r="P12" s="22"/>
      <c r="Q12" s="39"/>
      <c r="R12" s="22"/>
      <c r="S12" s="22"/>
      <c r="T12" s="22"/>
      <c r="U12" s="22"/>
      <c r="V12" s="22"/>
      <c r="W12" s="22"/>
    </row>
    <row r="13" spans="1:23">
      <c r="E13" s="22"/>
      <c r="F13" s="22"/>
      <c r="G13" s="22"/>
      <c r="H13" s="22"/>
      <c r="I13" s="22"/>
      <c r="J13" s="39"/>
      <c r="K13" s="39"/>
      <c r="L13" s="42"/>
      <c r="M13" s="42" t="s">
        <v>278</v>
      </c>
      <c r="N13" s="36"/>
      <c r="O13" s="44" t="s">
        <v>353</v>
      </c>
      <c r="P13" s="39"/>
      <c r="Q13" s="22"/>
      <c r="R13" s="39"/>
      <c r="S13" s="39"/>
      <c r="T13" s="39"/>
      <c r="U13" s="39"/>
      <c r="V13" s="39"/>
      <c r="W13" s="22"/>
    </row>
    <row r="14" spans="1:23">
      <c r="E14" s="22"/>
      <c r="F14" s="22"/>
      <c r="G14" s="22"/>
      <c r="H14" s="22"/>
      <c r="I14" s="22"/>
      <c r="J14" s="39"/>
      <c r="K14" s="39"/>
      <c r="L14" s="39"/>
      <c r="M14" s="39"/>
      <c r="N14" s="39"/>
      <c r="O14" s="36"/>
      <c r="P14" s="39"/>
      <c r="Q14" s="39"/>
      <c r="R14" s="39"/>
      <c r="S14" s="39"/>
      <c r="T14" s="39"/>
      <c r="U14" s="39"/>
      <c r="V14" s="39"/>
      <c r="W14" s="39"/>
    </row>
    <row r="15" spans="1:23">
      <c r="E15" s="23" t="s">
        <v>55</v>
      </c>
      <c r="F15" s="171" t="s">
        <v>280</v>
      </c>
      <c r="G15" s="48"/>
      <c r="H15" s="49"/>
      <c r="I15" s="50"/>
      <c r="J15" s="50"/>
      <c r="K15" s="51" t="s">
        <v>281</v>
      </c>
      <c r="L15" s="50"/>
      <c r="M15" s="50"/>
      <c r="N15" s="48"/>
      <c r="O15" s="53"/>
      <c r="P15" s="50"/>
      <c r="Q15" s="51"/>
      <c r="R15" s="51" t="s">
        <v>282</v>
      </c>
      <c r="S15" s="50"/>
      <c r="T15" s="50"/>
      <c r="U15" s="48"/>
      <c r="V15" s="55" t="s">
        <v>283</v>
      </c>
      <c r="W15" s="55" t="s">
        <v>284</v>
      </c>
    </row>
    <row r="16" spans="1:23" ht="15.75" thickBot="1">
      <c r="A16" s="56" t="s">
        <v>354</v>
      </c>
      <c r="B16" s="56" t="s">
        <v>285</v>
      </c>
      <c r="C16" s="56" t="s">
        <v>286</v>
      </c>
      <c r="E16" s="25" t="s">
        <v>60</v>
      </c>
      <c r="F16" s="57" t="s">
        <v>287</v>
      </c>
      <c r="G16" s="58"/>
      <c r="H16" s="24"/>
      <c r="I16" s="25" t="s">
        <v>288</v>
      </c>
      <c r="J16" s="60"/>
      <c r="K16" s="60" t="s">
        <v>289</v>
      </c>
      <c r="L16" s="60"/>
      <c r="M16" s="60" t="s">
        <v>290</v>
      </c>
      <c r="N16" s="60"/>
      <c r="O16" s="60"/>
      <c r="P16" s="60" t="s">
        <v>288</v>
      </c>
      <c r="Q16" s="60"/>
      <c r="R16" s="60" t="s">
        <v>289</v>
      </c>
      <c r="S16" s="60"/>
      <c r="T16" s="60" t="s">
        <v>290</v>
      </c>
      <c r="U16" s="58"/>
      <c r="V16" s="62" t="s">
        <v>291</v>
      </c>
      <c r="W16" s="62" t="s">
        <v>59</v>
      </c>
    </row>
    <row r="17" spans="1:23">
      <c r="E17" s="22">
        <v>1</v>
      </c>
      <c r="F17" s="67" t="s">
        <v>65</v>
      </c>
      <c r="G17" s="67"/>
      <c r="H17" s="22"/>
      <c r="I17" s="22"/>
      <c r="J17" s="66"/>
      <c r="K17" s="66"/>
      <c r="L17" s="66"/>
      <c r="M17" s="66"/>
      <c r="N17" s="70"/>
      <c r="O17" s="72"/>
      <c r="P17" s="70"/>
      <c r="Q17" s="66"/>
      <c r="R17" s="66"/>
      <c r="S17" s="66"/>
      <c r="T17" s="66"/>
      <c r="U17" s="66"/>
      <c r="V17" s="66"/>
      <c r="W17" s="66"/>
    </row>
    <row r="18" spans="1:23">
      <c r="A18" s="69" t="s">
        <v>355</v>
      </c>
      <c r="B18" s="69" t="s">
        <v>356</v>
      </c>
      <c r="C18" s="69" t="s">
        <v>357</v>
      </c>
      <c r="E18" s="22">
        <f>+E17+1</f>
        <v>2</v>
      </c>
      <c r="F18" s="67" t="s">
        <v>358</v>
      </c>
      <c r="G18" s="67"/>
      <c r="H18" s="22"/>
      <c r="I18" s="66">
        <v>5507579.4199999999</v>
      </c>
      <c r="J18" s="66" t="s">
        <v>294</v>
      </c>
      <c r="K18" s="71">
        <v>1.08</v>
      </c>
      <c r="L18" s="66"/>
      <c r="M18" s="66">
        <f>+I18*K18</f>
        <v>5948185.7736</v>
      </c>
      <c r="N18" s="70"/>
      <c r="O18" s="72"/>
      <c r="P18" s="66">
        <v>5507579.4199999999</v>
      </c>
      <c r="Q18" s="66" t="s">
        <v>294</v>
      </c>
      <c r="R18" s="71">
        <v>1.72</v>
      </c>
      <c r="S18" s="66"/>
      <c r="T18" s="66">
        <f>+P18*R18</f>
        <v>9473036.6023999993</v>
      </c>
      <c r="U18" s="66"/>
      <c r="V18" s="66">
        <f>+T18-M18</f>
        <v>3524850.8287999993</v>
      </c>
      <c r="W18" s="73">
        <f>+IF(V18=0,0,(T18-M18)/M18)</f>
        <v>0.59259259259259245</v>
      </c>
    </row>
    <row r="19" spans="1:23">
      <c r="A19" s="69"/>
      <c r="B19" s="69" t="s">
        <v>359</v>
      </c>
      <c r="C19" s="69" t="s">
        <v>360</v>
      </c>
      <c r="E19" s="22">
        <f t="shared" ref="E19:E55" si="0">+E18+1</f>
        <v>3</v>
      </c>
      <c r="F19" s="67" t="s">
        <v>361</v>
      </c>
      <c r="G19" s="22"/>
      <c r="H19" s="22"/>
      <c r="I19" s="66">
        <v>20436.89</v>
      </c>
      <c r="J19" s="66" t="s">
        <v>294</v>
      </c>
      <c r="K19" s="71">
        <v>5.98</v>
      </c>
      <c r="L19" s="66"/>
      <c r="M19" s="66">
        <f t="shared" ref="M19:M23" si="1">+I19*K19</f>
        <v>122212.60220000001</v>
      </c>
      <c r="N19" s="22"/>
      <c r="O19" s="23"/>
      <c r="P19" s="66">
        <v>20436.89</v>
      </c>
      <c r="Q19" s="66" t="s">
        <v>294</v>
      </c>
      <c r="R19" s="71">
        <v>9.36</v>
      </c>
      <c r="S19" s="66"/>
      <c r="T19" s="66">
        <f t="shared" ref="T19:T23" si="2">+P19*R19</f>
        <v>191289.29039999997</v>
      </c>
      <c r="U19" s="66"/>
      <c r="V19" s="66">
        <f t="shared" ref="V19:V24" si="3">+T19-M19</f>
        <v>69076.68819999996</v>
      </c>
      <c r="W19" s="73">
        <f t="shared" ref="W19:W24" si="4">+IF(V19=0,0,(T19-M19)/M19)</f>
        <v>0.56521739130434745</v>
      </c>
    </row>
    <row r="20" spans="1:23">
      <c r="A20" s="69"/>
      <c r="B20" s="69" t="s">
        <v>362</v>
      </c>
      <c r="C20" s="69" t="s">
        <v>363</v>
      </c>
      <c r="E20" s="22">
        <f t="shared" si="0"/>
        <v>4</v>
      </c>
      <c r="F20" s="150" t="s">
        <v>364</v>
      </c>
      <c r="G20" s="22"/>
      <c r="H20" s="22"/>
      <c r="I20" s="66">
        <v>0</v>
      </c>
      <c r="J20" s="66" t="s">
        <v>294</v>
      </c>
      <c r="K20" s="71">
        <v>17.48</v>
      </c>
      <c r="L20" s="22"/>
      <c r="M20" s="66">
        <f t="shared" si="1"/>
        <v>0</v>
      </c>
      <c r="N20" s="22"/>
      <c r="O20" s="23"/>
      <c r="P20" s="66">
        <v>0</v>
      </c>
      <c r="Q20" s="66" t="s">
        <v>294</v>
      </c>
      <c r="R20" s="71">
        <v>25.76</v>
      </c>
      <c r="S20" s="22"/>
      <c r="T20" s="66">
        <f t="shared" si="2"/>
        <v>0</v>
      </c>
      <c r="U20" s="22"/>
      <c r="V20" s="66">
        <f t="shared" si="3"/>
        <v>0</v>
      </c>
      <c r="W20" s="73">
        <f t="shared" si="4"/>
        <v>0</v>
      </c>
    </row>
    <row r="21" spans="1:23">
      <c r="A21" s="69"/>
      <c r="B21" s="69" t="s">
        <v>365</v>
      </c>
      <c r="C21" s="69" t="s">
        <v>366</v>
      </c>
      <c r="E21" s="22">
        <f t="shared" si="0"/>
        <v>5</v>
      </c>
      <c r="F21" s="22" t="s">
        <v>367</v>
      </c>
      <c r="G21" s="22"/>
      <c r="H21" s="22"/>
      <c r="I21" s="66">
        <v>547000.02</v>
      </c>
      <c r="J21" s="66" t="s">
        <v>294</v>
      </c>
      <c r="K21" s="71">
        <v>1.08</v>
      </c>
      <c r="L21" s="22"/>
      <c r="M21" s="66">
        <f t="shared" si="1"/>
        <v>590760.02160000009</v>
      </c>
      <c r="N21" s="22"/>
      <c r="O21" s="23"/>
      <c r="P21" s="66">
        <v>547000.02</v>
      </c>
      <c r="Q21" s="66" t="s">
        <v>294</v>
      </c>
      <c r="R21" s="71">
        <v>1.72</v>
      </c>
      <c r="S21" s="22"/>
      <c r="T21" s="66">
        <f t="shared" si="2"/>
        <v>940840.0344</v>
      </c>
      <c r="U21" s="66"/>
      <c r="V21" s="66">
        <f t="shared" si="3"/>
        <v>350080.01279999991</v>
      </c>
      <c r="W21" s="73">
        <f t="shared" si="4"/>
        <v>0.59259259259259234</v>
      </c>
    </row>
    <row r="22" spans="1:23">
      <c r="A22" s="69"/>
      <c r="B22" s="69" t="s">
        <v>368</v>
      </c>
      <c r="C22" s="69" t="s">
        <v>369</v>
      </c>
      <c r="E22" s="22">
        <f t="shared" si="0"/>
        <v>6</v>
      </c>
      <c r="F22" s="22" t="s">
        <v>370</v>
      </c>
      <c r="G22" s="22"/>
      <c r="H22" s="22"/>
      <c r="I22" s="66">
        <v>14149.85</v>
      </c>
      <c r="J22" s="66" t="s">
        <v>294</v>
      </c>
      <c r="K22" s="71">
        <v>5.98</v>
      </c>
      <c r="L22" s="22"/>
      <c r="M22" s="66">
        <f t="shared" si="1"/>
        <v>84616.103000000003</v>
      </c>
      <c r="N22" s="22"/>
      <c r="O22" s="23"/>
      <c r="P22" s="66">
        <v>14149.85</v>
      </c>
      <c r="Q22" s="66" t="s">
        <v>294</v>
      </c>
      <c r="R22" s="71">
        <v>9.36</v>
      </c>
      <c r="S22" s="22"/>
      <c r="T22" s="66">
        <f t="shared" si="2"/>
        <v>132442.59599999999</v>
      </c>
      <c r="U22" s="66"/>
      <c r="V22" s="66">
        <f t="shared" si="3"/>
        <v>47826.492999999988</v>
      </c>
      <c r="W22" s="73">
        <f t="shared" si="4"/>
        <v>0.56521739130434767</v>
      </c>
    </row>
    <row r="23" spans="1:23" ht="16.5">
      <c r="A23" s="69"/>
      <c r="B23" s="69" t="s">
        <v>371</v>
      </c>
      <c r="C23" s="69" t="s">
        <v>372</v>
      </c>
      <c r="E23" s="22">
        <f t="shared" si="0"/>
        <v>7</v>
      </c>
      <c r="F23" s="150" t="s">
        <v>373</v>
      </c>
      <c r="G23" s="22"/>
      <c r="H23" s="22"/>
      <c r="I23" s="172">
        <v>753.01</v>
      </c>
      <c r="J23" s="66" t="s">
        <v>294</v>
      </c>
      <c r="K23" s="71">
        <v>17.48</v>
      </c>
      <c r="L23" s="22"/>
      <c r="M23" s="157">
        <f t="shared" si="1"/>
        <v>13162.614799999999</v>
      </c>
      <c r="N23" s="22"/>
      <c r="O23" s="23"/>
      <c r="P23" s="172">
        <v>753.01</v>
      </c>
      <c r="Q23" s="66" t="s">
        <v>294</v>
      </c>
      <c r="R23" s="71">
        <v>25.76</v>
      </c>
      <c r="S23" s="22"/>
      <c r="T23" s="66">
        <f t="shared" si="2"/>
        <v>19397.5376</v>
      </c>
      <c r="U23" s="22"/>
      <c r="V23" s="66">
        <f t="shared" si="3"/>
        <v>6234.9228000000003</v>
      </c>
      <c r="W23" s="73">
        <f t="shared" si="4"/>
        <v>0.47368421052631582</v>
      </c>
    </row>
    <row r="24" spans="1:23">
      <c r="A24" s="69"/>
      <c r="B24" s="69"/>
      <c r="C24" s="69"/>
      <c r="E24" s="22">
        <f t="shared" si="0"/>
        <v>8</v>
      </c>
      <c r="F24" s="173" t="s">
        <v>43</v>
      </c>
      <c r="G24" s="22"/>
      <c r="H24" s="22"/>
      <c r="I24" s="70">
        <f>+SUM(I18:I23)</f>
        <v>6089919.1899999995</v>
      </c>
      <c r="J24" s="66" t="s">
        <v>328</v>
      </c>
      <c r="K24" s="71"/>
      <c r="L24" s="66"/>
      <c r="M24" s="129">
        <f>+SUM(M18:M23)</f>
        <v>6758937.115199999</v>
      </c>
      <c r="N24" s="66"/>
      <c r="O24" s="72"/>
      <c r="P24" s="70">
        <f>+SUM(P18:P23)</f>
        <v>6089919.1899999995</v>
      </c>
      <c r="Q24" s="66" t="s">
        <v>328</v>
      </c>
      <c r="R24" s="71"/>
      <c r="S24" s="66"/>
      <c r="T24" s="129">
        <f>+SUM(T18:T23)</f>
        <v>10757006.060799999</v>
      </c>
      <c r="U24" s="66"/>
      <c r="V24" s="66">
        <f t="shared" si="3"/>
        <v>3998068.9456000002</v>
      </c>
      <c r="W24" s="73">
        <f t="shared" si="4"/>
        <v>0.59152332348363568</v>
      </c>
    </row>
    <row r="25" spans="1:23">
      <c r="A25" s="69"/>
      <c r="B25" s="69"/>
      <c r="C25" s="69"/>
      <c r="E25" s="22">
        <f t="shared" si="0"/>
        <v>9</v>
      </c>
      <c r="F25" s="22"/>
      <c r="G25" s="22"/>
      <c r="H25" s="22"/>
      <c r="I25" s="22"/>
      <c r="J25" s="66"/>
      <c r="K25" s="71"/>
      <c r="L25" s="66"/>
      <c r="M25" s="66"/>
      <c r="N25" s="70"/>
      <c r="O25" s="72"/>
      <c r="P25" s="70"/>
      <c r="Q25" s="66"/>
      <c r="R25" s="71"/>
      <c r="S25" s="66"/>
      <c r="T25" s="66"/>
      <c r="U25" s="66"/>
      <c r="V25" s="66"/>
      <c r="W25" s="75"/>
    </row>
    <row r="26" spans="1:23">
      <c r="A26" s="69"/>
      <c r="B26" s="69"/>
      <c r="C26" s="69"/>
      <c r="E26" s="22">
        <f t="shared" si="0"/>
        <v>10</v>
      </c>
      <c r="F26" s="67" t="s">
        <v>94</v>
      </c>
      <c r="G26" s="67"/>
      <c r="H26" s="22"/>
      <c r="I26" s="22"/>
      <c r="J26" s="66"/>
      <c r="K26" s="66"/>
      <c r="L26" s="66"/>
      <c r="M26" s="66"/>
      <c r="N26" s="66"/>
      <c r="O26" s="72"/>
      <c r="P26" s="66"/>
      <c r="Q26" s="66"/>
      <c r="R26" s="66"/>
      <c r="S26" s="66"/>
      <c r="T26" s="66"/>
      <c r="U26" s="66"/>
      <c r="V26" s="66"/>
      <c r="W26" s="66"/>
    </row>
    <row r="27" spans="1:23">
      <c r="A27" s="69" t="s">
        <v>374</v>
      </c>
      <c r="B27" s="69" t="s">
        <v>375</v>
      </c>
      <c r="C27" s="69" t="s">
        <v>376</v>
      </c>
      <c r="E27" s="22">
        <f t="shared" si="0"/>
        <v>11</v>
      </c>
      <c r="F27" s="67" t="s">
        <v>358</v>
      </c>
      <c r="G27" s="22"/>
      <c r="H27" s="22"/>
      <c r="I27" s="70">
        <v>4527141762</v>
      </c>
      <c r="J27" s="66" t="s">
        <v>304</v>
      </c>
      <c r="K27" s="76">
        <v>7.3600000000000002E-3</v>
      </c>
      <c r="L27" s="66"/>
      <c r="M27" s="66">
        <f>+I27*K27</f>
        <v>33319763.368319999</v>
      </c>
      <c r="N27" s="70"/>
      <c r="O27" s="72"/>
      <c r="P27" s="70">
        <v>4527141762</v>
      </c>
      <c r="Q27" s="66" t="s">
        <v>304</v>
      </c>
      <c r="R27" s="76">
        <f>+K27*(1+0.05)</f>
        <v>7.7280000000000005E-3</v>
      </c>
      <c r="S27" s="66"/>
      <c r="T27" s="66">
        <f>+P27*R27</f>
        <v>34985751.536736004</v>
      </c>
      <c r="U27" s="66"/>
      <c r="V27" s="66">
        <f t="shared" ref="V27:V39" si="5">+T27-M27</f>
        <v>1665988.1684160046</v>
      </c>
      <c r="W27" s="73">
        <f t="shared" ref="W27:W35" si="6">+IF(V27=0,0,(T27-M27)/M27)</f>
        <v>5.0000000000000142E-2</v>
      </c>
    </row>
    <row r="28" spans="1:23">
      <c r="A28" s="69"/>
      <c r="B28" s="69" t="s">
        <v>377</v>
      </c>
      <c r="C28" s="69" t="s">
        <v>378</v>
      </c>
      <c r="E28" s="22">
        <f t="shared" si="0"/>
        <v>12</v>
      </c>
      <c r="F28" s="67" t="s">
        <v>361</v>
      </c>
      <c r="G28" s="22"/>
      <c r="H28" s="22"/>
      <c r="I28" s="70">
        <v>73063062</v>
      </c>
      <c r="J28" s="66" t="s">
        <v>304</v>
      </c>
      <c r="K28" s="76">
        <v>7.3600000000000002E-3</v>
      </c>
      <c r="L28" s="66"/>
      <c r="M28" s="66">
        <f>+I28*K28</f>
        <v>537744.13632000005</v>
      </c>
      <c r="N28" s="70"/>
      <c r="O28" s="72"/>
      <c r="P28" s="70">
        <v>73063062</v>
      </c>
      <c r="Q28" s="66" t="s">
        <v>304</v>
      </c>
      <c r="R28" s="76">
        <f t="shared" ref="R28:R29" si="7">+K28*(1+0.05)</f>
        <v>7.7280000000000005E-3</v>
      </c>
      <c r="S28" s="66"/>
      <c r="T28" s="66">
        <f>+P28*R28</f>
        <v>564631.34313599998</v>
      </c>
      <c r="U28" s="66"/>
      <c r="V28" s="66">
        <f t="shared" si="5"/>
        <v>26887.206815999933</v>
      </c>
      <c r="W28" s="73">
        <f t="shared" si="6"/>
        <v>4.9999999999999871E-2</v>
      </c>
    </row>
    <row r="29" spans="1:23">
      <c r="A29" s="69"/>
      <c r="B29" s="69" t="s">
        <v>379</v>
      </c>
      <c r="C29" s="69" t="s">
        <v>380</v>
      </c>
      <c r="E29" s="22">
        <f t="shared" si="0"/>
        <v>13</v>
      </c>
      <c r="F29" s="150" t="s">
        <v>364</v>
      </c>
      <c r="G29" s="22"/>
      <c r="H29" s="22"/>
      <c r="I29" s="70">
        <v>0</v>
      </c>
      <c r="J29" s="66" t="s">
        <v>304</v>
      </c>
      <c r="K29" s="76">
        <v>7.3600000000000002E-3</v>
      </c>
      <c r="L29" s="22"/>
      <c r="M29" s="66">
        <f t="shared" ref="M29:M39" si="8">+I29*K29</f>
        <v>0</v>
      </c>
      <c r="N29" s="22"/>
      <c r="O29" s="23"/>
      <c r="P29" s="70">
        <v>0</v>
      </c>
      <c r="Q29" s="66" t="s">
        <v>304</v>
      </c>
      <c r="R29" s="76">
        <f t="shared" si="7"/>
        <v>7.7280000000000005E-3</v>
      </c>
      <c r="S29" s="22"/>
      <c r="T29" s="66">
        <f t="shared" ref="T29:T39" si="9">+P29*R29</f>
        <v>0</v>
      </c>
      <c r="U29" s="66"/>
      <c r="V29" s="66">
        <f t="shared" si="5"/>
        <v>0</v>
      </c>
      <c r="W29" s="73">
        <f t="shared" si="6"/>
        <v>0</v>
      </c>
    </row>
    <row r="30" spans="1:23">
      <c r="A30" s="69"/>
      <c r="B30" s="69" t="s">
        <v>381</v>
      </c>
      <c r="C30" s="69" t="s">
        <v>382</v>
      </c>
      <c r="E30" s="22">
        <f t="shared" si="0"/>
        <v>14</v>
      </c>
      <c r="F30" s="67" t="s">
        <v>383</v>
      </c>
      <c r="G30" s="22"/>
      <c r="H30" s="22"/>
      <c r="I30" s="70">
        <v>504162521</v>
      </c>
      <c r="J30" s="66" t="s">
        <v>304</v>
      </c>
      <c r="K30" s="76">
        <v>1.193E-2</v>
      </c>
      <c r="L30" s="22"/>
      <c r="M30" s="66">
        <f t="shared" si="8"/>
        <v>6014658.8755299998</v>
      </c>
      <c r="N30" s="22"/>
      <c r="O30" s="23"/>
      <c r="P30" s="70">
        <v>461128885</v>
      </c>
      <c r="Q30" s="66" t="s">
        <v>304</v>
      </c>
      <c r="R30" s="76">
        <v>1.2432E-2</v>
      </c>
      <c r="S30" s="22"/>
      <c r="T30" s="66">
        <f t="shared" si="9"/>
        <v>5732754.2983200001</v>
      </c>
      <c r="U30" s="66"/>
      <c r="V30" s="66">
        <f t="shared" si="5"/>
        <v>-281904.57720999978</v>
      </c>
      <c r="W30" s="73">
        <f t="shared" si="6"/>
        <v>-4.6869586961431606E-2</v>
      </c>
    </row>
    <row r="31" spans="1:23">
      <c r="A31" s="69"/>
      <c r="B31" s="69" t="s">
        <v>384</v>
      </c>
      <c r="C31" s="69" t="s">
        <v>385</v>
      </c>
      <c r="E31" s="22">
        <f t="shared" si="0"/>
        <v>15</v>
      </c>
      <c r="F31" s="67" t="s">
        <v>386</v>
      </c>
      <c r="G31" s="22"/>
      <c r="H31" s="22"/>
      <c r="I31" s="70">
        <v>58156925</v>
      </c>
      <c r="J31" s="66" t="s">
        <v>304</v>
      </c>
      <c r="K31" s="76">
        <v>1.193E-2</v>
      </c>
      <c r="L31" s="22"/>
      <c r="M31" s="66">
        <f t="shared" si="8"/>
        <v>693812.11525000003</v>
      </c>
      <c r="N31" s="22"/>
      <c r="O31" s="23"/>
      <c r="P31" s="70">
        <v>53192843</v>
      </c>
      <c r="Q31" s="66" t="s">
        <v>304</v>
      </c>
      <c r="R31" s="76">
        <v>1.2432E-2</v>
      </c>
      <c r="S31" s="22"/>
      <c r="T31" s="66">
        <f t="shared" si="9"/>
        <v>661293.42417600006</v>
      </c>
      <c r="U31" s="66"/>
      <c r="V31" s="66">
        <f t="shared" si="5"/>
        <v>-32518.691073999973</v>
      </c>
      <c r="W31" s="73">
        <f t="shared" si="6"/>
        <v>-4.6869592443312368E-2</v>
      </c>
    </row>
    <row r="32" spans="1:23">
      <c r="A32" s="69"/>
      <c r="B32" s="69" t="s">
        <v>387</v>
      </c>
      <c r="C32" s="69" t="s">
        <v>388</v>
      </c>
      <c r="E32" s="22">
        <f t="shared" si="0"/>
        <v>16</v>
      </c>
      <c r="F32" s="67" t="s">
        <v>389</v>
      </c>
      <c r="G32" s="22"/>
      <c r="H32" s="22"/>
      <c r="I32" s="70">
        <v>427280</v>
      </c>
      <c r="J32" s="66" t="s">
        <v>304</v>
      </c>
      <c r="K32" s="76">
        <v>1.193E-2</v>
      </c>
      <c r="L32" s="22"/>
      <c r="M32" s="66">
        <f t="shared" si="8"/>
        <v>5097.4503999999997</v>
      </c>
      <c r="N32" s="22"/>
      <c r="O32" s="23"/>
      <c r="P32" s="70">
        <v>390809</v>
      </c>
      <c r="Q32" s="66" t="s">
        <v>304</v>
      </c>
      <c r="R32" s="76">
        <v>1.2432E-2</v>
      </c>
      <c r="S32" s="22"/>
      <c r="T32" s="66">
        <f t="shared" si="9"/>
        <v>4858.5374879999999</v>
      </c>
      <c r="U32" s="22"/>
      <c r="V32" s="66">
        <f t="shared" si="5"/>
        <v>-238.91291199999978</v>
      </c>
      <c r="W32" s="73">
        <f t="shared" si="6"/>
        <v>-4.6869099893546741E-2</v>
      </c>
    </row>
    <row r="33" spans="1:23">
      <c r="A33" s="69"/>
      <c r="B33" s="69" t="s">
        <v>390</v>
      </c>
      <c r="C33" s="69" t="s">
        <v>391</v>
      </c>
      <c r="E33" s="22">
        <f t="shared" si="0"/>
        <v>17</v>
      </c>
      <c r="F33" s="67" t="s">
        <v>392</v>
      </c>
      <c r="G33" s="22"/>
      <c r="H33" s="22"/>
      <c r="I33" s="70">
        <v>1404868632</v>
      </c>
      <c r="J33" s="66" t="s">
        <v>304</v>
      </c>
      <c r="K33" s="76">
        <v>5.7099999999999998E-3</v>
      </c>
      <c r="L33" s="22"/>
      <c r="M33" s="66">
        <f t="shared" si="8"/>
        <v>8021799.8887200002</v>
      </c>
      <c r="N33" s="22"/>
      <c r="O33" s="23"/>
      <c r="P33" s="70">
        <v>773068763</v>
      </c>
      <c r="Q33" s="66" t="s">
        <v>304</v>
      </c>
      <c r="R33" s="76">
        <v>8.1720000000000004E-3</v>
      </c>
      <c r="S33" s="22"/>
      <c r="T33" s="66">
        <f t="shared" si="9"/>
        <v>6317517.9312360007</v>
      </c>
      <c r="U33" s="66"/>
      <c r="V33" s="66">
        <f t="shared" si="5"/>
        <v>-1704281.9574839994</v>
      </c>
      <c r="W33" s="73">
        <f t="shared" si="6"/>
        <v>-0.21245630421178999</v>
      </c>
    </row>
    <row r="34" spans="1:23">
      <c r="A34" s="69"/>
      <c r="B34" s="69" t="s">
        <v>393</v>
      </c>
      <c r="C34" s="69" t="s">
        <v>394</v>
      </c>
      <c r="E34" s="22">
        <f t="shared" si="0"/>
        <v>18</v>
      </c>
      <c r="F34" s="67" t="s">
        <v>395</v>
      </c>
      <c r="G34" s="65"/>
      <c r="H34" s="67"/>
      <c r="I34" s="70">
        <v>163285837</v>
      </c>
      <c r="J34" s="66" t="s">
        <v>304</v>
      </c>
      <c r="K34" s="76">
        <v>5.7099999999999998E-3</v>
      </c>
      <c r="L34" s="66"/>
      <c r="M34" s="66">
        <f t="shared" si="8"/>
        <v>932362.12926999992</v>
      </c>
      <c r="N34" s="66"/>
      <c r="O34" s="72"/>
      <c r="P34" s="70">
        <v>89852657</v>
      </c>
      <c r="Q34" s="66" t="s">
        <v>304</v>
      </c>
      <c r="R34" s="76">
        <v>8.1720000000000004E-3</v>
      </c>
      <c r="S34" s="66"/>
      <c r="T34" s="66">
        <f t="shared" si="9"/>
        <v>734275.91300400009</v>
      </c>
      <c r="U34" s="22"/>
      <c r="V34" s="66">
        <f t="shared" si="5"/>
        <v>-198086.21626599983</v>
      </c>
      <c r="W34" s="73">
        <f t="shared" si="6"/>
        <v>-0.21245630860306708</v>
      </c>
    </row>
    <row r="35" spans="1:23">
      <c r="A35" s="69"/>
      <c r="B35" s="69" t="s">
        <v>396</v>
      </c>
      <c r="C35" s="69" t="s">
        <v>397</v>
      </c>
      <c r="E35" s="22">
        <f t="shared" si="0"/>
        <v>19</v>
      </c>
      <c r="F35" s="67" t="s">
        <v>398</v>
      </c>
      <c r="G35" s="22"/>
      <c r="H35" s="22"/>
      <c r="I35" s="70">
        <v>1192067</v>
      </c>
      <c r="J35" s="66" t="s">
        <v>304</v>
      </c>
      <c r="K35" s="76">
        <v>5.7099999999999998E-3</v>
      </c>
      <c r="L35" s="22"/>
      <c r="M35" s="66">
        <f t="shared" si="8"/>
        <v>6806.7025699999995</v>
      </c>
      <c r="N35" s="22"/>
      <c r="O35" s="23"/>
      <c r="P35" s="70">
        <v>655969</v>
      </c>
      <c r="Q35" s="66" t="s">
        <v>304</v>
      </c>
      <c r="R35" s="76">
        <v>8.1720000000000004E-3</v>
      </c>
      <c r="S35" s="22"/>
      <c r="T35" s="66">
        <f t="shared" si="9"/>
        <v>5360.5786680000001</v>
      </c>
      <c r="U35" s="22"/>
      <c r="V35" s="66">
        <f t="shared" si="5"/>
        <v>-1446.1239019999994</v>
      </c>
      <c r="W35" s="73">
        <f t="shared" si="6"/>
        <v>-0.21245586789316687</v>
      </c>
    </row>
    <row r="36" spans="1:23">
      <c r="B36" s="69" t="s">
        <v>399</v>
      </c>
      <c r="C36" s="69" t="s">
        <v>400</v>
      </c>
      <c r="E36" s="22">
        <f t="shared" si="0"/>
        <v>20</v>
      </c>
      <c r="F36" s="67" t="s">
        <v>401</v>
      </c>
      <c r="G36" s="22"/>
      <c r="H36" s="22"/>
      <c r="I36" s="70">
        <v>0</v>
      </c>
      <c r="J36" s="66" t="s">
        <v>304</v>
      </c>
      <c r="K36" s="76">
        <v>0</v>
      </c>
      <c r="L36" s="22"/>
      <c r="M36" s="66">
        <f t="shared" si="8"/>
        <v>0</v>
      </c>
      <c r="N36" s="22"/>
      <c r="O36" s="23"/>
      <c r="P36" s="70">
        <v>674799755</v>
      </c>
      <c r="Q36" s="66" t="s">
        <v>304</v>
      </c>
      <c r="R36" s="76">
        <v>4.6120000000000006E-3</v>
      </c>
      <c r="S36" s="22"/>
      <c r="T36" s="66">
        <f t="shared" si="9"/>
        <v>3112176.4700600007</v>
      </c>
      <c r="U36" s="22"/>
      <c r="V36" s="66">
        <f t="shared" si="5"/>
        <v>3112176.4700600007</v>
      </c>
      <c r="W36" s="162" t="str">
        <f>+IFERROR(IF(V36=0,0,(T36-M36)/M36),"New Rate")</f>
        <v>New Rate</v>
      </c>
    </row>
    <row r="37" spans="1:23">
      <c r="B37" s="69" t="s">
        <v>402</v>
      </c>
      <c r="C37" s="69" t="s">
        <v>403</v>
      </c>
      <c r="E37" s="22">
        <f t="shared" si="0"/>
        <v>21</v>
      </c>
      <c r="F37" s="67" t="s">
        <v>404</v>
      </c>
      <c r="G37" s="22"/>
      <c r="H37" s="22"/>
      <c r="I37" s="70">
        <v>0</v>
      </c>
      <c r="J37" s="66" t="s">
        <v>304</v>
      </c>
      <c r="K37" s="76">
        <v>0</v>
      </c>
      <c r="L37" s="22"/>
      <c r="M37" s="66">
        <f t="shared" si="8"/>
        <v>0</v>
      </c>
      <c r="N37" s="22"/>
      <c r="O37" s="23"/>
      <c r="P37" s="70">
        <v>78430994</v>
      </c>
      <c r="Q37" s="66" t="s">
        <v>304</v>
      </c>
      <c r="R37" s="76">
        <v>4.6120000000000006E-3</v>
      </c>
      <c r="S37" s="22"/>
      <c r="T37" s="66">
        <f t="shared" si="9"/>
        <v>361723.74432800006</v>
      </c>
      <c r="U37" s="22"/>
      <c r="V37" s="66">
        <f t="shared" si="5"/>
        <v>361723.74432800006</v>
      </c>
      <c r="W37" s="162" t="str">
        <f t="shared" ref="W37:W38" si="10">+IFERROR(IF(V37=0,0,(T37-M37)/M37),"New Rate")</f>
        <v>New Rate</v>
      </c>
    </row>
    <row r="38" spans="1:23">
      <c r="B38" s="69" t="s">
        <v>405</v>
      </c>
      <c r="C38" s="69" t="s">
        <v>406</v>
      </c>
      <c r="E38" s="22">
        <f t="shared" si="0"/>
        <v>22</v>
      </c>
      <c r="F38" s="67" t="s">
        <v>407</v>
      </c>
      <c r="G38" s="22"/>
      <c r="H38" s="22"/>
      <c r="I38" s="70">
        <v>0</v>
      </c>
      <c r="J38" s="66" t="s">
        <v>304</v>
      </c>
      <c r="K38" s="76">
        <v>0</v>
      </c>
      <c r="L38" s="22"/>
      <c r="M38" s="66">
        <f t="shared" si="8"/>
        <v>0</v>
      </c>
      <c r="N38" s="22"/>
      <c r="O38" s="23"/>
      <c r="P38" s="70">
        <v>572587</v>
      </c>
      <c r="Q38" s="66" t="s">
        <v>304</v>
      </c>
      <c r="R38" s="76">
        <v>4.6120000000000006E-3</v>
      </c>
      <c r="S38" s="22"/>
      <c r="T38" s="66">
        <f t="shared" si="9"/>
        <v>2640.7712440000005</v>
      </c>
      <c r="U38" s="22"/>
      <c r="V38" s="66">
        <f t="shared" si="5"/>
        <v>2640.7712440000005</v>
      </c>
      <c r="W38" s="162" t="str">
        <f t="shared" si="10"/>
        <v>New Rate</v>
      </c>
    </row>
    <row r="39" spans="1:23">
      <c r="A39" s="69"/>
      <c r="B39" s="69" t="s">
        <v>408</v>
      </c>
      <c r="C39" s="69" t="s">
        <v>409</v>
      </c>
      <c r="E39" s="22">
        <f t="shared" si="0"/>
        <v>23</v>
      </c>
      <c r="F39" s="150" t="s">
        <v>312</v>
      </c>
      <c r="I39" s="70">
        <v>14948840</v>
      </c>
      <c r="J39" s="66" t="s">
        <v>304</v>
      </c>
      <c r="K39" s="76">
        <v>6.3E-2</v>
      </c>
      <c r="M39" s="66">
        <f t="shared" si="8"/>
        <v>941776.92</v>
      </c>
      <c r="P39" s="70">
        <v>14948840</v>
      </c>
      <c r="Q39" s="66" t="s">
        <v>304</v>
      </c>
      <c r="R39" s="76">
        <v>6.3E-2</v>
      </c>
      <c r="T39" s="66">
        <f t="shared" si="9"/>
        <v>941776.92</v>
      </c>
      <c r="U39" s="22"/>
      <c r="V39" s="66">
        <f t="shared" si="5"/>
        <v>0</v>
      </c>
      <c r="W39" s="73">
        <f t="shared" ref="W39" si="11">+IF(V39=0,0,(T39-M39)/M39)</f>
        <v>0</v>
      </c>
    </row>
    <row r="40" spans="1:23">
      <c r="A40" s="69"/>
      <c r="B40" s="69"/>
      <c r="C40" s="174"/>
      <c r="E40" s="22">
        <f t="shared" si="0"/>
        <v>24</v>
      </c>
      <c r="F40" s="173" t="s">
        <v>43</v>
      </c>
      <c r="G40" s="65"/>
      <c r="H40" s="22"/>
      <c r="I40" s="161">
        <f>+SUM(I27:I38)</f>
        <v>6732298086</v>
      </c>
      <c r="J40" s="66" t="s">
        <v>304</v>
      </c>
      <c r="K40" s="66"/>
      <c r="L40" s="66"/>
      <c r="M40" s="129">
        <f>+SUM(M27:M39)</f>
        <v>50473821.586379997</v>
      </c>
      <c r="N40" s="66"/>
      <c r="O40" s="72"/>
      <c r="P40" s="161">
        <f>+SUM(P27:P38)</f>
        <v>6732298086</v>
      </c>
      <c r="Q40" s="66" t="s">
        <v>304</v>
      </c>
      <c r="R40" s="66"/>
      <c r="S40" s="66"/>
      <c r="T40" s="129">
        <f>+SUM(T27:T39)</f>
        <v>53424761.468396001</v>
      </c>
      <c r="U40" s="22"/>
      <c r="V40" s="66">
        <f>+T40-M40</f>
        <v>2950939.8820160031</v>
      </c>
      <c r="W40" s="73">
        <f>+IF(V40=0,0,(T40-M40)/M40)</f>
        <v>5.8464760330576855E-2</v>
      </c>
    </row>
    <row r="41" spans="1:23">
      <c r="A41" s="69"/>
      <c r="B41" s="69"/>
      <c r="C41" s="174"/>
      <c r="E41" s="22">
        <f t="shared" si="0"/>
        <v>25</v>
      </c>
      <c r="F41" s="22"/>
      <c r="G41" s="22"/>
      <c r="H41" s="22"/>
      <c r="I41" s="22"/>
      <c r="J41" s="22"/>
      <c r="K41" s="22"/>
      <c r="L41" s="22"/>
      <c r="M41" s="70"/>
      <c r="N41" s="22"/>
      <c r="O41" s="23"/>
      <c r="P41" s="22"/>
      <c r="Q41" s="22"/>
      <c r="R41" s="22"/>
      <c r="S41" s="22"/>
      <c r="T41" s="70"/>
      <c r="U41" s="22"/>
      <c r="V41" s="22"/>
      <c r="W41" s="22"/>
    </row>
    <row r="42" spans="1:23">
      <c r="A42" s="69"/>
      <c r="B42" s="69"/>
      <c r="C42" s="174"/>
      <c r="E42" s="22">
        <f t="shared" si="0"/>
        <v>26</v>
      </c>
      <c r="F42" s="22" t="s">
        <v>99</v>
      </c>
      <c r="G42" s="65"/>
      <c r="H42" s="22"/>
      <c r="I42" s="22"/>
      <c r="J42" s="66"/>
      <c r="K42" s="66"/>
      <c r="L42" s="66"/>
      <c r="M42" s="80"/>
      <c r="N42" s="66"/>
      <c r="O42" s="72"/>
      <c r="P42" s="66"/>
      <c r="Q42" s="66"/>
      <c r="R42" s="66"/>
      <c r="S42" s="66"/>
      <c r="T42" s="80"/>
      <c r="U42" s="66"/>
      <c r="V42" s="66"/>
      <c r="W42" s="85"/>
    </row>
    <row r="43" spans="1:23">
      <c r="A43" s="69" t="s">
        <v>410</v>
      </c>
      <c r="B43" s="69" t="s">
        <v>411</v>
      </c>
      <c r="C43" s="69" t="s">
        <v>412</v>
      </c>
      <c r="E43" s="22">
        <f t="shared" si="0"/>
        <v>27</v>
      </c>
      <c r="F43" s="67" t="s">
        <v>358</v>
      </c>
      <c r="G43" s="22"/>
      <c r="H43" s="22"/>
      <c r="I43" s="66">
        <v>11944362.060000001</v>
      </c>
      <c r="J43" s="66" t="s">
        <v>413</v>
      </c>
      <c r="K43" s="71">
        <v>14.2</v>
      </c>
      <c r="L43" s="66"/>
      <c r="M43" s="66">
        <f t="shared" ref="M43:M51" si="12">+I43*K43</f>
        <v>169609941.252</v>
      </c>
      <c r="N43" s="66"/>
      <c r="O43" s="72"/>
      <c r="P43" s="66">
        <v>11944362.060000001</v>
      </c>
      <c r="Q43" s="66" t="s">
        <v>413</v>
      </c>
      <c r="R43" s="71">
        <v>19.613506094577716</v>
      </c>
      <c r="S43" s="66"/>
      <c r="T43" s="66">
        <f t="shared" ref="T43:T51" si="13">+P43*R43</f>
        <v>234270818.05965284</v>
      </c>
      <c r="U43" s="82"/>
      <c r="V43" s="66">
        <f t="shared" ref="V43:V52" si="14">+T43-M43</f>
        <v>64660876.807652831</v>
      </c>
      <c r="W43" s="73">
        <f t="shared" ref="W43:W52" si="15">+IF(V43=0,0,(T43-M43)/M43)</f>
        <v>0.38123282356181093</v>
      </c>
    </row>
    <row r="44" spans="1:23">
      <c r="A44" s="69"/>
      <c r="B44" s="69" t="s">
        <v>414</v>
      </c>
      <c r="C44" s="69" t="s">
        <v>415</v>
      </c>
      <c r="E44" s="22">
        <f t="shared" si="0"/>
        <v>28</v>
      </c>
      <c r="F44" s="67" t="s">
        <v>361</v>
      </c>
      <c r="G44" s="65"/>
      <c r="H44" s="67"/>
      <c r="I44" s="70">
        <v>186303</v>
      </c>
      <c r="J44" s="66" t="s">
        <v>413</v>
      </c>
      <c r="K44" s="71">
        <v>14.2</v>
      </c>
      <c r="L44" s="66"/>
      <c r="M44" s="66">
        <f t="shared" si="12"/>
        <v>2645502.6</v>
      </c>
      <c r="N44" s="66"/>
      <c r="O44" s="72"/>
      <c r="P44" s="70">
        <v>186303</v>
      </c>
      <c r="Q44" s="66" t="s">
        <v>413</v>
      </c>
      <c r="R44" s="71">
        <v>19.613506094577716</v>
      </c>
      <c r="S44" s="66"/>
      <c r="T44" s="66">
        <f t="shared" si="13"/>
        <v>3654055.0259381123</v>
      </c>
      <c r="U44" s="22"/>
      <c r="V44" s="66">
        <f t="shared" si="14"/>
        <v>1008552.4259381122</v>
      </c>
      <c r="W44" s="73">
        <f t="shared" si="15"/>
        <v>0.38123282356181099</v>
      </c>
    </row>
    <row r="45" spans="1:23">
      <c r="A45" s="69"/>
      <c r="B45" s="69" t="s">
        <v>416</v>
      </c>
      <c r="C45" s="69" t="s">
        <v>417</v>
      </c>
      <c r="E45" s="22">
        <f t="shared" si="0"/>
        <v>29</v>
      </c>
      <c r="F45" s="150" t="s">
        <v>364</v>
      </c>
      <c r="G45" s="22"/>
      <c r="H45" s="22"/>
      <c r="I45" s="70">
        <v>0</v>
      </c>
      <c r="J45" s="66" t="s">
        <v>413</v>
      </c>
      <c r="K45" s="71">
        <v>14.2</v>
      </c>
      <c r="L45" s="22"/>
      <c r="M45" s="66">
        <f t="shared" si="12"/>
        <v>0</v>
      </c>
      <c r="N45" s="22"/>
      <c r="O45" s="23"/>
      <c r="P45" s="70">
        <v>0</v>
      </c>
      <c r="Q45" s="66" t="s">
        <v>413</v>
      </c>
      <c r="R45" s="71">
        <v>19.613506094577716</v>
      </c>
      <c r="S45" s="22"/>
      <c r="T45" s="66">
        <f t="shared" si="13"/>
        <v>0</v>
      </c>
      <c r="U45" s="22"/>
      <c r="V45" s="66">
        <f t="shared" si="14"/>
        <v>0</v>
      </c>
      <c r="W45" s="73">
        <f t="shared" si="15"/>
        <v>0</v>
      </c>
    </row>
    <row r="46" spans="1:23">
      <c r="A46" s="69"/>
      <c r="B46" s="69" t="s">
        <v>418</v>
      </c>
      <c r="C46" s="69" t="s">
        <v>419</v>
      </c>
      <c r="E46" s="22">
        <f t="shared" si="0"/>
        <v>30</v>
      </c>
      <c r="F46" s="67" t="s">
        <v>420</v>
      </c>
      <c r="G46" s="22"/>
      <c r="H46" s="22"/>
      <c r="I46" s="70">
        <v>3559566</v>
      </c>
      <c r="J46" s="66" t="s">
        <v>413</v>
      </c>
      <c r="K46" s="71">
        <v>4.55</v>
      </c>
      <c r="L46" s="66"/>
      <c r="M46" s="66">
        <f t="shared" si="12"/>
        <v>16196025.299999999</v>
      </c>
      <c r="N46" s="66"/>
      <c r="O46" s="72"/>
      <c r="P46" s="70">
        <v>3559503</v>
      </c>
      <c r="Q46" s="66" t="s">
        <v>413</v>
      </c>
      <c r="R46" s="71">
        <v>5.0382893556621351</v>
      </c>
      <c r="S46" s="66"/>
      <c r="T46" s="66">
        <f t="shared" si="13"/>
        <v>17933806.076347437</v>
      </c>
      <c r="U46" s="22"/>
      <c r="V46" s="66">
        <f t="shared" si="14"/>
        <v>1737780.7763474379</v>
      </c>
      <c r="W46" s="73">
        <f t="shared" si="15"/>
        <v>0.10729674374782792</v>
      </c>
    </row>
    <row r="47" spans="1:23">
      <c r="A47" s="69"/>
      <c r="B47" s="69" t="s">
        <v>421</v>
      </c>
      <c r="C47" s="69" t="s">
        <v>422</v>
      </c>
      <c r="E47" s="22">
        <f t="shared" si="0"/>
        <v>31</v>
      </c>
      <c r="F47" s="67" t="s">
        <v>423</v>
      </c>
      <c r="G47" s="22"/>
      <c r="H47" s="22"/>
      <c r="I47" s="70">
        <v>434177</v>
      </c>
      <c r="J47" s="66" t="s">
        <v>413</v>
      </c>
      <c r="K47" s="71">
        <v>4.55</v>
      </c>
      <c r="L47" s="66"/>
      <c r="M47" s="66">
        <f t="shared" si="12"/>
        <v>1975505.3499999999</v>
      </c>
      <c r="N47" s="66"/>
      <c r="O47" s="72"/>
      <c r="P47" s="70">
        <v>434239</v>
      </c>
      <c r="Q47" s="66" t="s">
        <v>413</v>
      </c>
      <c r="R47" s="71">
        <v>5.0382893556621351</v>
      </c>
      <c r="S47" s="66"/>
      <c r="T47" s="66">
        <f t="shared" si="13"/>
        <v>2187821.7315133698</v>
      </c>
      <c r="U47" s="22"/>
      <c r="V47" s="66">
        <f t="shared" si="14"/>
        <v>212316.38151336997</v>
      </c>
      <c r="W47" s="73">
        <f t="shared" si="15"/>
        <v>0.10747446546442913</v>
      </c>
    </row>
    <row r="48" spans="1:23">
      <c r="A48" s="69"/>
      <c r="B48" s="69" t="s">
        <v>424</v>
      </c>
      <c r="C48" s="69" t="s">
        <v>425</v>
      </c>
      <c r="E48" s="22">
        <f t="shared" si="0"/>
        <v>32</v>
      </c>
      <c r="F48" s="67" t="s">
        <v>426</v>
      </c>
      <c r="G48" s="22"/>
      <c r="H48" s="22"/>
      <c r="I48" s="70">
        <v>4837</v>
      </c>
      <c r="J48" s="66" t="s">
        <v>413</v>
      </c>
      <c r="K48" s="71">
        <v>4.55</v>
      </c>
      <c r="L48" s="22"/>
      <c r="M48" s="66">
        <f t="shared" si="12"/>
        <v>22008.35</v>
      </c>
      <c r="N48" s="22"/>
      <c r="O48" s="23"/>
      <c r="P48" s="70">
        <v>4837</v>
      </c>
      <c r="Q48" s="66" t="s">
        <v>413</v>
      </c>
      <c r="R48" s="71">
        <v>5.0382893556621351</v>
      </c>
      <c r="S48" s="22"/>
      <c r="T48" s="66">
        <f t="shared" si="13"/>
        <v>24370.205613337748</v>
      </c>
      <c r="U48" s="22"/>
      <c r="V48" s="66">
        <f t="shared" si="14"/>
        <v>2361.8556133377497</v>
      </c>
      <c r="W48" s="73">
        <f t="shared" si="15"/>
        <v>0.10731634190376606</v>
      </c>
    </row>
    <row r="49" spans="1:23">
      <c r="A49" s="69"/>
      <c r="B49" s="69" t="s">
        <v>427</v>
      </c>
      <c r="C49" s="69" t="s">
        <v>428</v>
      </c>
      <c r="E49" s="22">
        <f t="shared" si="0"/>
        <v>33</v>
      </c>
      <c r="F49" s="67" t="s">
        <v>429</v>
      </c>
      <c r="G49" s="22"/>
      <c r="H49" s="22"/>
      <c r="I49" s="70">
        <v>3433414</v>
      </c>
      <c r="J49" s="66" t="s">
        <v>430</v>
      </c>
      <c r="K49" s="71">
        <v>9.2799999999999994</v>
      </c>
      <c r="L49" s="66"/>
      <c r="M49" s="66">
        <f t="shared" si="12"/>
        <v>31862081.919999998</v>
      </c>
      <c r="N49" s="66"/>
      <c r="O49" s="72"/>
      <c r="P49" s="70">
        <v>3433354</v>
      </c>
      <c r="Q49" s="66" t="s">
        <v>430</v>
      </c>
      <c r="R49" s="71">
        <v>14.57521673891558</v>
      </c>
      <c r="S49" s="66"/>
      <c r="T49" s="66">
        <f t="shared" si="13"/>
        <v>50041878.69142276</v>
      </c>
      <c r="U49" s="22"/>
      <c r="V49" s="66">
        <f t="shared" si="14"/>
        <v>18179796.771422762</v>
      </c>
      <c r="W49" s="73">
        <f t="shared" si="15"/>
        <v>0.57057780521276003</v>
      </c>
    </row>
    <row r="50" spans="1:23">
      <c r="A50" s="69"/>
      <c r="B50" s="69" t="s">
        <v>431</v>
      </c>
      <c r="C50" s="69" t="s">
        <v>432</v>
      </c>
      <c r="E50" s="22">
        <f t="shared" si="0"/>
        <v>34</v>
      </c>
      <c r="F50" s="67" t="s">
        <v>433</v>
      </c>
      <c r="G50" s="65"/>
      <c r="H50" s="67"/>
      <c r="I50" s="70">
        <v>420346</v>
      </c>
      <c r="J50" s="66" t="s">
        <v>430</v>
      </c>
      <c r="K50" s="71">
        <v>9.2799999999999994</v>
      </c>
      <c r="L50" s="66"/>
      <c r="M50" s="66">
        <f t="shared" si="12"/>
        <v>3900810.88</v>
      </c>
      <c r="N50" s="66"/>
      <c r="O50" s="72"/>
      <c r="P50" s="70">
        <v>420406</v>
      </c>
      <c r="Q50" s="66" t="s">
        <v>430</v>
      </c>
      <c r="R50" s="71">
        <v>14.57521673891558</v>
      </c>
      <c r="S50" s="66"/>
      <c r="T50" s="66">
        <f t="shared" si="13"/>
        <v>6127508.5683405437</v>
      </c>
      <c r="U50" s="22"/>
      <c r="V50" s="66">
        <f t="shared" si="14"/>
        <v>2226697.6883405438</v>
      </c>
      <c r="W50" s="73">
        <f t="shared" si="15"/>
        <v>0.57082943952938925</v>
      </c>
    </row>
    <row r="51" spans="1:23">
      <c r="A51" s="69"/>
      <c r="B51" s="69" t="s">
        <v>434</v>
      </c>
      <c r="C51" s="69" t="s">
        <v>435</v>
      </c>
      <c r="E51" s="22">
        <f t="shared" si="0"/>
        <v>35</v>
      </c>
      <c r="F51" s="67" t="s">
        <v>436</v>
      </c>
      <c r="G51" s="22"/>
      <c r="H51" s="22"/>
      <c r="I51" s="70">
        <v>4519</v>
      </c>
      <c r="J51" s="66" t="s">
        <v>430</v>
      </c>
      <c r="K51" s="71">
        <v>9.2799999999999994</v>
      </c>
      <c r="L51" s="22"/>
      <c r="M51" s="66">
        <f t="shared" si="12"/>
        <v>41936.32</v>
      </c>
      <c r="N51" s="22"/>
      <c r="O51" s="23"/>
      <c r="P51" s="70">
        <v>4519</v>
      </c>
      <c r="Q51" s="66" t="s">
        <v>430</v>
      </c>
      <c r="R51" s="71">
        <v>14.57521673891558</v>
      </c>
      <c r="S51" s="22"/>
      <c r="T51" s="66">
        <f t="shared" si="13"/>
        <v>65865.40444315951</v>
      </c>
      <c r="U51" s="22"/>
      <c r="V51" s="66">
        <f t="shared" si="14"/>
        <v>23929.084443159511</v>
      </c>
      <c r="W51" s="73">
        <f t="shared" si="15"/>
        <v>0.57060525203831691</v>
      </c>
    </row>
    <row r="52" spans="1:23" ht="15" customHeight="1">
      <c r="A52" s="69"/>
      <c r="B52" s="69"/>
      <c r="C52" s="69"/>
      <c r="E52" s="22">
        <f t="shared" si="0"/>
        <v>36</v>
      </c>
      <c r="F52" s="48" t="s">
        <v>298</v>
      </c>
      <c r="G52" s="65"/>
      <c r="H52" s="22"/>
      <c r="I52" s="161">
        <f>+SUM(I43:I48)</f>
        <v>16129245.060000001</v>
      </c>
      <c r="J52" s="66" t="s">
        <v>413</v>
      </c>
      <c r="K52" s="71"/>
      <c r="L52" s="66"/>
      <c r="M52" s="129">
        <f>+SUM(M43:M51)</f>
        <v>226253811.97199997</v>
      </c>
      <c r="N52" s="66"/>
      <c r="O52" s="72"/>
      <c r="P52" s="161">
        <f>+SUM(P43:P48)</f>
        <v>16129244.060000001</v>
      </c>
      <c r="Q52" s="66" t="s">
        <v>413</v>
      </c>
      <c r="R52" s="80"/>
      <c r="S52" s="66"/>
      <c r="T52" s="129">
        <f>+SUM(T43:T51)</f>
        <v>314306123.76327157</v>
      </c>
      <c r="U52" s="66"/>
      <c r="V52" s="66">
        <f t="shared" si="14"/>
        <v>88052311.791271597</v>
      </c>
      <c r="W52" s="73">
        <f t="shared" si="15"/>
        <v>0.38917493156830657</v>
      </c>
    </row>
    <row r="53" spans="1:23">
      <c r="A53" s="69"/>
      <c r="B53" s="69"/>
      <c r="C53" s="69"/>
      <c r="E53" s="22">
        <f t="shared" si="0"/>
        <v>37</v>
      </c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6"/>
      <c r="Q53" s="66"/>
      <c r="R53" s="66"/>
      <c r="S53" s="66"/>
      <c r="T53" s="66"/>
      <c r="U53" s="66"/>
      <c r="V53" s="66"/>
      <c r="W53" s="66"/>
    </row>
    <row r="54" spans="1:23">
      <c r="A54" s="69"/>
      <c r="B54" s="69"/>
      <c r="C54" s="69"/>
      <c r="E54" s="22">
        <f t="shared" si="0"/>
        <v>38</v>
      </c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6"/>
      <c r="Q54" s="66"/>
      <c r="R54" s="66"/>
      <c r="S54" s="66"/>
      <c r="T54" s="66"/>
      <c r="U54" s="66"/>
      <c r="V54" s="66"/>
      <c r="W54" s="66"/>
    </row>
    <row r="55" spans="1:23" ht="15.75" thickBot="1">
      <c r="A55" s="69"/>
      <c r="B55" s="69"/>
      <c r="C55" s="69"/>
      <c r="E55" s="24">
        <f t="shared" si="0"/>
        <v>39</v>
      </c>
      <c r="F55" s="24"/>
      <c r="G55" s="24"/>
      <c r="H55" s="24"/>
      <c r="I55" s="24"/>
      <c r="J55" s="24"/>
      <c r="K55" s="24"/>
      <c r="L55" s="24"/>
      <c r="M55" s="24"/>
      <c r="N55" s="24"/>
      <c r="O55" s="25"/>
      <c r="P55" s="24"/>
      <c r="Q55" s="24"/>
      <c r="R55" s="24"/>
      <c r="S55" s="24"/>
      <c r="T55" s="24"/>
      <c r="U55" s="24"/>
      <c r="V55" s="24"/>
      <c r="W55" s="26"/>
    </row>
    <row r="56" spans="1:23">
      <c r="A56" s="69"/>
      <c r="B56" s="69"/>
      <c r="C56" s="69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3"/>
      <c r="P56" s="22"/>
      <c r="Q56" s="22"/>
      <c r="R56" s="22"/>
      <c r="S56" s="22"/>
      <c r="T56" s="22"/>
      <c r="U56" s="22"/>
      <c r="V56" s="22"/>
      <c r="W56" s="22"/>
    </row>
    <row r="57" spans="1:23">
      <c r="A57" s="69"/>
      <c r="B57" s="69"/>
      <c r="C57" s="69"/>
      <c r="E57" s="22"/>
      <c r="F57" s="22"/>
      <c r="G57" s="22"/>
      <c r="H57" s="22"/>
      <c r="I57" s="22"/>
      <c r="J57" s="22"/>
      <c r="K57" s="22"/>
      <c r="L57" s="330"/>
      <c r="M57" s="330"/>
      <c r="N57" s="330"/>
      <c r="O57" s="330"/>
      <c r="P57" s="330"/>
      <c r="Q57" s="22"/>
      <c r="R57" s="22"/>
      <c r="S57" s="22"/>
      <c r="T57" s="22"/>
      <c r="U57" s="22"/>
      <c r="V57" s="22"/>
      <c r="W57" s="22"/>
    </row>
    <row r="58" spans="1:23" ht="15.75" thickBot="1">
      <c r="A58" s="69"/>
      <c r="B58" s="69"/>
      <c r="C58" s="69"/>
      <c r="E58" s="24"/>
      <c r="F58" s="24"/>
      <c r="G58" s="24"/>
      <c r="H58" s="24"/>
      <c r="I58" s="24"/>
      <c r="J58" s="24"/>
      <c r="K58" s="24"/>
      <c r="L58" s="331" t="s">
        <v>274</v>
      </c>
      <c r="M58" s="331"/>
      <c r="N58" s="331"/>
      <c r="O58" s="331"/>
      <c r="P58" s="331"/>
      <c r="Q58" s="24"/>
      <c r="R58" s="24"/>
      <c r="S58" s="24"/>
      <c r="T58" s="24"/>
      <c r="U58" s="24"/>
      <c r="V58" s="24"/>
      <c r="W58" s="26"/>
    </row>
    <row r="59" spans="1:23">
      <c r="A59" s="69"/>
      <c r="B59" s="69"/>
      <c r="C59" s="69"/>
      <c r="E59" s="22"/>
      <c r="F59" s="22"/>
      <c r="G59" s="22"/>
      <c r="H59" s="22"/>
      <c r="I59" s="22"/>
      <c r="J59" s="22"/>
      <c r="L59" s="22"/>
      <c r="M59" s="22"/>
      <c r="N59" s="22"/>
      <c r="O59" s="29"/>
      <c r="P59" s="30"/>
      <c r="Q59" s="22"/>
      <c r="R59" s="30"/>
      <c r="S59" s="30"/>
      <c r="T59" s="30"/>
      <c r="U59" s="22"/>
      <c r="V59" s="22"/>
      <c r="W59" s="31"/>
    </row>
    <row r="60" spans="1:23">
      <c r="A60" s="69"/>
      <c r="B60" s="69"/>
      <c r="C60" s="69"/>
      <c r="E60" s="22"/>
      <c r="F60" s="22"/>
      <c r="G60" s="22"/>
      <c r="H60" s="22"/>
      <c r="I60" s="22"/>
      <c r="J60" s="22"/>
      <c r="L60" s="22"/>
      <c r="M60" s="22"/>
      <c r="N60" s="22"/>
      <c r="O60" s="23"/>
      <c r="P60" s="31"/>
      <c r="Q60" s="22"/>
      <c r="R60" s="22"/>
      <c r="S60" s="32"/>
      <c r="T60" s="32"/>
      <c r="U60" s="31"/>
      <c r="V60" s="22"/>
      <c r="W60" s="32"/>
    </row>
    <row r="61" spans="1:23">
      <c r="A61" s="69"/>
      <c r="B61" s="69"/>
      <c r="C61" s="69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3"/>
      <c r="P61" s="31"/>
      <c r="Q61" s="32"/>
      <c r="R61" s="22"/>
      <c r="S61" s="22"/>
      <c r="T61" s="32"/>
      <c r="U61" s="31"/>
      <c r="V61" s="22"/>
      <c r="W61" s="32"/>
    </row>
    <row r="62" spans="1:23">
      <c r="A62" s="69"/>
      <c r="B62" s="69"/>
      <c r="C62" s="69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3"/>
      <c r="P62" s="31"/>
      <c r="Q62" s="32"/>
      <c r="R62" s="22"/>
      <c r="S62" s="22"/>
      <c r="T62" s="32"/>
      <c r="U62" s="31"/>
      <c r="V62" s="22"/>
      <c r="W62" s="32"/>
    </row>
    <row r="63" spans="1:23">
      <c r="A63" s="69"/>
      <c r="B63" s="69"/>
      <c r="C63" s="69"/>
      <c r="E63" s="22"/>
      <c r="F63" s="22"/>
      <c r="G63" s="32"/>
      <c r="H63" s="22"/>
      <c r="I63" s="22"/>
      <c r="J63" s="22"/>
      <c r="K63" s="22"/>
      <c r="L63" s="36"/>
      <c r="M63" s="36"/>
      <c r="N63" s="36"/>
      <c r="O63" s="23"/>
      <c r="P63" s="22"/>
      <c r="Q63" s="22"/>
      <c r="R63" s="22"/>
      <c r="S63" s="22"/>
      <c r="T63" s="22"/>
      <c r="U63" s="22"/>
      <c r="V63" s="22"/>
      <c r="W63" s="22"/>
    </row>
    <row r="64" spans="1:23" ht="15.75" thickBot="1">
      <c r="A64" s="69"/>
      <c r="B64" s="69"/>
      <c r="C64" s="69"/>
      <c r="E64" s="24"/>
      <c r="F64" s="24"/>
      <c r="G64" s="26"/>
      <c r="H64" s="37"/>
      <c r="I64" s="37"/>
      <c r="J64" s="38"/>
      <c r="K64" s="38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</row>
    <row r="65" spans="1:23">
      <c r="A65" s="69"/>
      <c r="B65" s="69"/>
      <c r="C65" s="69"/>
      <c r="E65" s="22"/>
      <c r="F65" s="22"/>
      <c r="G65" s="22"/>
      <c r="H65" s="22"/>
      <c r="I65" s="36"/>
      <c r="J65" s="22"/>
      <c r="K65" s="36"/>
      <c r="L65" s="39"/>
      <c r="M65" s="36"/>
      <c r="N65" s="22"/>
      <c r="O65" s="36"/>
      <c r="P65" s="22"/>
      <c r="Q65" s="39"/>
      <c r="R65" s="22"/>
      <c r="S65" s="22"/>
      <c r="T65" s="22"/>
      <c r="U65" s="22"/>
      <c r="V65" s="22"/>
      <c r="W65" s="22"/>
    </row>
    <row r="66" spans="1:23">
      <c r="A66" s="69"/>
      <c r="B66" s="69"/>
      <c r="C66" s="69"/>
      <c r="E66" s="22"/>
      <c r="F66" s="22"/>
      <c r="G66" s="22"/>
      <c r="H66" s="22"/>
      <c r="I66" s="39"/>
      <c r="J66" s="22"/>
      <c r="K66" s="22"/>
      <c r="L66" s="39"/>
      <c r="M66" s="22"/>
      <c r="N66" s="22"/>
      <c r="O66" s="36"/>
      <c r="P66" s="22"/>
      <c r="Q66" s="39"/>
      <c r="R66" s="22"/>
      <c r="S66" s="22"/>
      <c r="T66" s="22"/>
      <c r="U66" s="22"/>
      <c r="V66" s="22"/>
      <c r="W66" s="22"/>
    </row>
    <row r="67" spans="1:23">
      <c r="A67" s="69"/>
      <c r="B67" s="69"/>
      <c r="C67" s="69"/>
      <c r="E67" s="22"/>
      <c r="F67" s="22"/>
      <c r="G67" s="22"/>
      <c r="H67" s="22"/>
      <c r="I67" s="22"/>
      <c r="J67" s="39"/>
      <c r="K67" s="39"/>
      <c r="L67" s="42"/>
      <c r="M67" s="42" t="s">
        <v>278</v>
      </c>
      <c r="N67" s="36"/>
      <c r="O67" s="44" t="s">
        <v>353</v>
      </c>
      <c r="P67" s="39"/>
      <c r="Q67" s="22"/>
      <c r="R67" s="39"/>
      <c r="S67" s="39"/>
      <c r="T67" s="39"/>
      <c r="U67" s="39"/>
      <c r="V67" s="39"/>
      <c r="W67" s="22"/>
    </row>
    <row r="68" spans="1:23">
      <c r="A68" s="69"/>
      <c r="B68" s="69"/>
      <c r="C68" s="69"/>
      <c r="E68" s="22"/>
      <c r="F68" s="22"/>
      <c r="G68" s="22"/>
      <c r="H68" s="22"/>
      <c r="I68" s="22"/>
      <c r="J68" s="39"/>
      <c r="K68" s="39"/>
      <c r="L68" s="39"/>
      <c r="M68" s="39"/>
      <c r="N68" s="39"/>
      <c r="O68" s="36"/>
      <c r="P68" s="39"/>
      <c r="Q68" s="39"/>
      <c r="R68" s="39"/>
      <c r="S68" s="39"/>
      <c r="T68" s="39"/>
      <c r="U68" s="39"/>
      <c r="V68" s="39"/>
      <c r="W68" s="39"/>
    </row>
    <row r="69" spans="1:23">
      <c r="A69" s="69"/>
      <c r="B69" s="69"/>
      <c r="C69" s="69"/>
      <c r="E69" s="23" t="s">
        <v>55</v>
      </c>
      <c r="F69" s="171" t="s">
        <v>280</v>
      </c>
      <c r="G69" s="48"/>
      <c r="H69" s="49"/>
      <c r="I69" s="50"/>
      <c r="J69" s="50"/>
      <c r="K69" s="51" t="s">
        <v>281</v>
      </c>
      <c r="L69" s="50"/>
      <c r="M69" s="50"/>
      <c r="N69" s="48"/>
      <c r="O69" s="53"/>
      <c r="P69" s="50"/>
      <c r="Q69" s="51"/>
      <c r="R69" s="51" t="s">
        <v>282</v>
      </c>
      <c r="S69" s="50"/>
      <c r="T69" s="50"/>
      <c r="U69" s="48"/>
      <c r="V69" s="55" t="s">
        <v>283</v>
      </c>
      <c r="W69" s="55" t="s">
        <v>284</v>
      </c>
    </row>
    <row r="70" spans="1:23" ht="15.75" thickBot="1">
      <c r="A70" s="56" t="s">
        <v>354</v>
      </c>
      <c r="B70" s="56" t="s">
        <v>285</v>
      </c>
      <c r="C70" s="56" t="s">
        <v>286</v>
      </c>
      <c r="E70" s="25" t="s">
        <v>60</v>
      </c>
      <c r="F70" s="57" t="s">
        <v>287</v>
      </c>
      <c r="G70" s="58"/>
      <c r="H70" s="24"/>
      <c r="I70" s="25" t="s">
        <v>288</v>
      </c>
      <c r="J70" s="60"/>
      <c r="K70" s="60" t="s">
        <v>289</v>
      </c>
      <c r="L70" s="60"/>
      <c r="M70" s="60" t="s">
        <v>290</v>
      </c>
      <c r="N70" s="58"/>
      <c r="O70" s="60"/>
      <c r="P70" s="60" t="s">
        <v>288</v>
      </c>
      <c r="Q70" s="60"/>
      <c r="R70" s="60" t="s">
        <v>289</v>
      </c>
      <c r="S70" s="60"/>
      <c r="T70" s="60" t="s">
        <v>290</v>
      </c>
      <c r="U70" s="58"/>
      <c r="V70" s="62" t="s">
        <v>291</v>
      </c>
      <c r="W70" s="62" t="s">
        <v>59</v>
      </c>
    </row>
    <row r="71" spans="1:23">
      <c r="A71" s="69"/>
      <c r="B71" s="69"/>
      <c r="C71" s="69"/>
      <c r="E71" s="22">
        <v>1</v>
      </c>
      <c r="F71" s="332" t="s">
        <v>437</v>
      </c>
      <c r="G71" s="332"/>
      <c r="H71" s="332"/>
      <c r="I71" s="22"/>
      <c r="J71" s="65"/>
      <c r="K71" s="65"/>
      <c r="L71" s="65"/>
      <c r="M71" s="65"/>
      <c r="N71" s="67"/>
      <c r="O71" s="53"/>
      <c r="P71" s="67"/>
      <c r="Q71" s="65"/>
      <c r="R71" s="65"/>
      <c r="S71" s="65"/>
      <c r="T71" s="65"/>
      <c r="U71" s="65"/>
      <c r="V71" s="65"/>
      <c r="W71" s="65"/>
    </row>
    <row r="72" spans="1:23">
      <c r="A72" s="69"/>
      <c r="B72" s="69"/>
      <c r="C72" s="69"/>
      <c r="E72" s="22">
        <v>2</v>
      </c>
      <c r="F72" s="22"/>
      <c r="G72" s="22"/>
      <c r="H72" s="22"/>
      <c r="I72" s="22"/>
      <c r="J72" s="22"/>
      <c r="K72" s="22"/>
      <c r="L72" s="22"/>
      <c r="M72" s="22"/>
      <c r="N72" s="22"/>
      <c r="O72" s="23"/>
      <c r="P72" s="22"/>
      <c r="Q72" s="22"/>
      <c r="R72" s="22"/>
      <c r="S72" s="22"/>
      <c r="T72" s="22"/>
      <c r="U72" s="22"/>
      <c r="V72" s="22"/>
      <c r="W72" s="22"/>
    </row>
    <row r="73" spans="1:23">
      <c r="A73" s="69"/>
      <c r="B73" s="69"/>
      <c r="C73" s="69"/>
      <c r="E73" s="22">
        <v>3</v>
      </c>
      <c r="F73" s="67" t="s">
        <v>105</v>
      </c>
      <c r="G73" s="22"/>
      <c r="H73" s="22"/>
      <c r="I73" s="22"/>
      <c r="J73" s="22"/>
      <c r="K73" s="22"/>
      <c r="L73" s="22"/>
      <c r="M73" s="70"/>
      <c r="N73" s="22"/>
      <c r="O73" s="23"/>
      <c r="P73" s="22"/>
      <c r="Q73" s="22"/>
      <c r="R73" s="22"/>
      <c r="S73" s="22"/>
      <c r="T73" s="70"/>
      <c r="U73" s="22"/>
      <c r="V73" s="22"/>
      <c r="W73" s="22"/>
    </row>
    <row r="74" spans="1:23">
      <c r="A74" s="69"/>
      <c r="B74" s="69" t="s">
        <v>438</v>
      </c>
      <c r="C74" s="69" t="s">
        <v>439</v>
      </c>
      <c r="E74" s="22">
        <v>4</v>
      </c>
      <c r="F74" s="67" t="s">
        <v>440</v>
      </c>
      <c r="G74" s="65"/>
      <c r="H74" s="22"/>
      <c r="I74" s="70">
        <v>128245</v>
      </c>
      <c r="J74" s="66" t="s">
        <v>413</v>
      </c>
      <c r="K74" s="71">
        <v>-0.49</v>
      </c>
      <c r="L74" s="66"/>
      <c r="M74" s="66">
        <f>+I74*K74</f>
        <v>-62840.049999999996</v>
      </c>
      <c r="N74" s="66"/>
      <c r="O74" s="72"/>
      <c r="P74" s="70">
        <v>128245</v>
      </c>
      <c r="Q74" s="66" t="s">
        <v>413</v>
      </c>
      <c r="R74" s="71">
        <v>-0.54</v>
      </c>
      <c r="S74" s="66"/>
      <c r="T74" s="66">
        <f>+P74*R74</f>
        <v>-69252.3</v>
      </c>
      <c r="U74" s="22"/>
      <c r="V74" s="66">
        <f>+T74-M74</f>
        <v>-6412.2500000000073</v>
      </c>
      <c r="W74" s="73">
        <f>+IF(V74=0,0,(T74-M74)/M74)</f>
        <v>0.10204081632653074</v>
      </c>
    </row>
    <row r="75" spans="1:23">
      <c r="A75" s="69"/>
      <c r="B75" s="69" t="s">
        <v>441</v>
      </c>
      <c r="C75" s="69" t="s">
        <v>442</v>
      </c>
      <c r="E75" s="22">
        <v>5</v>
      </c>
      <c r="F75" s="150" t="s">
        <v>364</v>
      </c>
      <c r="G75" s="22"/>
      <c r="H75" s="22"/>
      <c r="I75" s="70">
        <v>0</v>
      </c>
      <c r="J75" s="66" t="s">
        <v>413</v>
      </c>
      <c r="K75" s="71">
        <v>-2.06</v>
      </c>
      <c r="L75" s="22"/>
      <c r="M75" s="66">
        <f>+I75*K75</f>
        <v>0</v>
      </c>
      <c r="N75" s="22"/>
      <c r="O75" s="23"/>
      <c r="P75" s="70">
        <v>0</v>
      </c>
      <c r="Q75" s="66" t="s">
        <v>413</v>
      </c>
      <c r="R75" s="71">
        <v>-3.09</v>
      </c>
      <c r="S75" s="22"/>
      <c r="T75" s="66">
        <f>+P75*R75</f>
        <v>0</v>
      </c>
      <c r="U75" s="22"/>
      <c r="V75" s="66">
        <f>+T75-M75</f>
        <v>0</v>
      </c>
      <c r="W75" s="73">
        <f>+IF(V75=0,0,(T75-M75)/M75)</f>
        <v>0</v>
      </c>
    </row>
    <row r="76" spans="1:23">
      <c r="A76" s="69"/>
      <c r="B76" s="69" t="s">
        <v>443</v>
      </c>
      <c r="C76" s="69" t="s">
        <v>444</v>
      </c>
      <c r="E76" s="22">
        <v>6</v>
      </c>
      <c r="F76" s="67" t="s">
        <v>445</v>
      </c>
      <c r="G76" s="22"/>
      <c r="H76" s="22"/>
      <c r="I76" s="70">
        <v>68661</v>
      </c>
      <c r="J76" s="66" t="s">
        <v>413</v>
      </c>
      <c r="K76" s="71">
        <v>-0.49</v>
      </c>
      <c r="L76" s="22"/>
      <c r="M76" s="66">
        <f>+I76*K76</f>
        <v>-33643.89</v>
      </c>
      <c r="N76" s="66"/>
      <c r="O76" s="72"/>
      <c r="P76" s="70">
        <v>68661</v>
      </c>
      <c r="Q76" s="66" t="s">
        <v>413</v>
      </c>
      <c r="R76" s="71">
        <v>-0.54</v>
      </c>
      <c r="S76" s="22"/>
      <c r="T76" s="66">
        <f>+P76*R76</f>
        <v>-37076.94</v>
      </c>
      <c r="U76" s="66"/>
      <c r="V76" s="66">
        <f>+T76-M76</f>
        <v>-3433.0500000000029</v>
      </c>
      <c r="W76" s="73">
        <f>+IF(V76=0,0,(T76-M76)/M76)</f>
        <v>0.1020408163265307</v>
      </c>
    </row>
    <row r="77" spans="1:23">
      <c r="A77" s="69"/>
      <c r="B77" s="69" t="s">
        <v>446</v>
      </c>
      <c r="C77" s="69" t="s">
        <v>447</v>
      </c>
      <c r="E77" s="22">
        <v>7</v>
      </c>
      <c r="F77" s="150" t="s">
        <v>448</v>
      </c>
      <c r="G77" s="22"/>
      <c r="H77" s="22"/>
      <c r="I77" s="70">
        <v>2562</v>
      </c>
      <c r="J77" s="66" t="s">
        <v>413</v>
      </c>
      <c r="K77" s="71">
        <v>-2.06</v>
      </c>
      <c r="L77" s="22"/>
      <c r="M77" s="66">
        <f>+I77*K77</f>
        <v>-5277.72</v>
      </c>
      <c r="N77" s="22"/>
      <c r="O77" s="23"/>
      <c r="P77" s="70">
        <v>2562</v>
      </c>
      <c r="Q77" s="66" t="s">
        <v>413</v>
      </c>
      <c r="R77" s="71">
        <v>-3.09</v>
      </c>
      <c r="S77" s="22"/>
      <c r="T77" s="66">
        <f>+P77*R77</f>
        <v>-7916.58</v>
      </c>
      <c r="U77" s="22"/>
      <c r="V77" s="66">
        <f>+T77-M77</f>
        <v>-2638.8599999999997</v>
      </c>
      <c r="W77" s="73">
        <f>+IF(V77=0,0,(T77-M77)/M77)</f>
        <v>0.49999999999999989</v>
      </c>
    </row>
    <row r="78" spans="1:23">
      <c r="A78" s="69"/>
      <c r="B78" s="69"/>
      <c r="C78" s="69"/>
      <c r="E78" s="22">
        <v>8</v>
      </c>
      <c r="F78" s="48" t="s">
        <v>298</v>
      </c>
      <c r="G78" s="65"/>
      <c r="H78" s="22"/>
      <c r="I78" s="161">
        <f>+SUM(I74:I77)</f>
        <v>199468</v>
      </c>
      <c r="J78" s="66" t="s">
        <v>413</v>
      </c>
      <c r="K78" s="71"/>
      <c r="L78" s="66"/>
      <c r="M78" s="129">
        <f>+SUM(M74:M77)</f>
        <v>-101761.66</v>
      </c>
      <c r="N78" s="66"/>
      <c r="O78" s="72"/>
      <c r="P78" s="161">
        <f>+SUM(P74:P77)</f>
        <v>199468</v>
      </c>
      <c r="Q78" s="66" t="s">
        <v>413</v>
      </c>
      <c r="R78" s="71"/>
      <c r="S78" s="66"/>
      <c r="T78" s="129">
        <f>+SUM(T74:T77)</f>
        <v>-114245.82</v>
      </c>
      <c r="U78" s="66"/>
      <c r="V78" s="66">
        <f>+T78-M78</f>
        <v>-12484.160000000003</v>
      </c>
      <c r="W78" s="73">
        <f>+IF(V78=0,0,(T78-M78)/M78)</f>
        <v>0.12268038866504342</v>
      </c>
    </row>
    <row r="79" spans="1:23">
      <c r="A79" s="69"/>
      <c r="B79" s="69"/>
      <c r="C79" s="69"/>
      <c r="E79" s="22">
        <v>9</v>
      </c>
      <c r="F79" s="22"/>
      <c r="G79" s="22"/>
      <c r="H79" s="22"/>
      <c r="I79" s="41"/>
      <c r="J79" s="22"/>
      <c r="K79" s="22"/>
      <c r="L79" s="22"/>
      <c r="M79" s="74"/>
      <c r="N79" s="22"/>
      <c r="O79" s="23"/>
      <c r="P79" s="41"/>
      <c r="Q79" s="22"/>
      <c r="R79" s="22"/>
      <c r="S79" s="22"/>
      <c r="T79" s="70"/>
      <c r="U79" s="22"/>
      <c r="V79" s="22"/>
      <c r="W79" s="22"/>
    </row>
    <row r="80" spans="1:23">
      <c r="A80" s="69"/>
      <c r="B80" s="69"/>
      <c r="C80" s="69"/>
      <c r="E80" s="22">
        <v>10</v>
      </c>
    </row>
    <row r="81" spans="1:23">
      <c r="A81" s="69"/>
      <c r="B81" s="69"/>
      <c r="C81" s="69"/>
      <c r="E81" s="22">
        <v>11</v>
      </c>
      <c r="F81" s="67" t="s">
        <v>344</v>
      </c>
      <c r="G81" s="67"/>
      <c r="H81" s="22"/>
      <c r="I81" s="41"/>
      <c r="J81" s="66"/>
      <c r="K81" s="66"/>
      <c r="L81" s="66"/>
      <c r="M81" s="71"/>
      <c r="N81" s="66"/>
      <c r="O81" s="72"/>
      <c r="P81" s="41"/>
      <c r="Q81" s="66"/>
      <c r="R81" s="66"/>
      <c r="S81" s="66"/>
      <c r="T81" s="66"/>
      <c r="U81" s="66"/>
      <c r="V81" s="66"/>
      <c r="W81" s="75"/>
    </row>
    <row r="82" spans="1:23">
      <c r="A82" s="69"/>
      <c r="B82" s="69" t="s">
        <v>449</v>
      </c>
      <c r="C82" s="69" t="s">
        <v>450</v>
      </c>
      <c r="E82" s="22">
        <v>12</v>
      </c>
      <c r="F82" s="67" t="s">
        <v>451</v>
      </c>
      <c r="G82" s="65"/>
      <c r="H82" s="22"/>
      <c r="I82" s="70">
        <v>631383</v>
      </c>
      <c r="J82" s="66" t="s">
        <v>413</v>
      </c>
      <c r="K82" s="71">
        <v>0.68</v>
      </c>
      <c r="L82" s="66"/>
      <c r="M82" s="66">
        <f t="shared" ref="M82:M87" si="16">+I82*K82</f>
        <v>429340.44</v>
      </c>
      <c r="N82" s="66"/>
      <c r="O82" s="72"/>
      <c r="P82" s="70">
        <v>631383</v>
      </c>
      <c r="Q82" s="66" t="s">
        <v>413</v>
      </c>
      <c r="R82" s="71">
        <v>1.02</v>
      </c>
      <c r="S82" s="66"/>
      <c r="T82" s="66">
        <f t="shared" ref="T82:T87" si="17">+P82*R82</f>
        <v>644010.66</v>
      </c>
      <c r="U82" s="66"/>
      <c r="V82" s="66">
        <f t="shared" ref="V82:V88" si="18">+T82-M82</f>
        <v>214670.22000000003</v>
      </c>
      <c r="W82" s="73">
        <f t="shared" ref="W82:W88" si="19">+IF(V82=0,0,(T82-M82)/M82)</f>
        <v>0.50000000000000011</v>
      </c>
    </row>
    <row r="83" spans="1:23">
      <c r="A83" s="69"/>
      <c r="B83" s="69" t="s">
        <v>452</v>
      </c>
      <c r="C83" s="69" t="s">
        <v>453</v>
      </c>
      <c r="E83" s="22">
        <v>13</v>
      </c>
      <c r="F83" s="67" t="s">
        <v>440</v>
      </c>
      <c r="G83" s="22"/>
      <c r="H83" s="22"/>
      <c r="I83" s="70">
        <v>23944</v>
      </c>
      <c r="J83" s="66" t="s">
        <v>413</v>
      </c>
      <c r="K83" s="71">
        <v>0.68</v>
      </c>
      <c r="L83" s="22"/>
      <c r="M83" s="66">
        <f t="shared" si="16"/>
        <v>16281.920000000002</v>
      </c>
      <c r="N83" s="22"/>
      <c r="O83" s="23"/>
      <c r="P83" s="70">
        <v>23944</v>
      </c>
      <c r="Q83" s="66" t="s">
        <v>413</v>
      </c>
      <c r="R83" s="71">
        <v>1.02</v>
      </c>
      <c r="S83" s="22"/>
      <c r="T83" s="66">
        <f t="shared" si="17"/>
        <v>24422.880000000001</v>
      </c>
      <c r="U83" s="22"/>
      <c r="V83" s="66">
        <f t="shared" si="18"/>
        <v>8140.9599999999991</v>
      </c>
      <c r="W83" s="73">
        <f t="shared" si="19"/>
        <v>0.49999999999999989</v>
      </c>
    </row>
    <row r="84" spans="1:23">
      <c r="A84" s="69"/>
      <c r="B84" s="69" t="s">
        <v>454</v>
      </c>
      <c r="C84" s="69" t="s">
        <v>455</v>
      </c>
      <c r="E84" s="22">
        <v>14</v>
      </c>
      <c r="F84" s="150" t="s">
        <v>364</v>
      </c>
      <c r="G84" s="22"/>
      <c r="H84" s="22"/>
      <c r="I84" s="70">
        <v>0</v>
      </c>
      <c r="J84" s="66" t="s">
        <v>413</v>
      </c>
      <c r="K84" s="71">
        <v>0.68</v>
      </c>
      <c r="L84" s="22"/>
      <c r="M84" s="66">
        <f t="shared" si="16"/>
        <v>0</v>
      </c>
      <c r="N84" s="22"/>
      <c r="O84" s="23"/>
      <c r="P84" s="70">
        <v>0</v>
      </c>
      <c r="Q84" s="66" t="s">
        <v>413</v>
      </c>
      <c r="R84" s="71">
        <v>1.02</v>
      </c>
      <c r="S84" s="22"/>
      <c r="T84" s="66">
        <f t="shared" si="17"/>
        <v>0</v>
      </c>
      <c r="U84" s="22"/>
      <c r="V84" s="66">
        <f t="shared" si="18"/>
        <v>0</v>
      </c>
      <c r="W84" s="73">
        <f t="shared" si="19"/>
        <v>0</v>
      </c>
    </row>
    <row r="85" spans="1:23">
      <c r="A85" s="69"/>
      <c r="B85" s="69" t="s">
        <v>456</v>
      </c>
      <c r="C85" s="69" t="s">
        <v>457</v>
      </c>
      <c r="E85" s="22">
        <v>15</v>
      </c>
      <c r="F85" s="67" t="s">
        <v>458</v>
      </c>
      <c r="G85" s="65"/>
      <c r="H85" s="22"/>
      <c r="I85" s="70">
        <v>713288</v>
      </c>
      <c r="J85" s="66" t="s">
        <v>413</v>
      </c>
      <c r="K85" s="71">
        <v>0.68</v>
      </c>
      <c r="L85" s="66"/>
      <c r="M85" s="66">
        <f t="shared" si="16"/>
        <v>485035.84</v>
      </c>
      <c r="N85" s="66"/>
      <c r="O85" s="72"/>
      <c r="P85" s="70">
        <v>713288</v>
      </c>
      <c r="Q85" s="66" t="s">
        <v>413</v>
      </c>
      <c r="R85" s="71">
        <v>1.02</v>
      </c>
      <c r="S85" s="66"/>
      <c r="T85" s="66">
        <f t="shared" si="17"/>
        <v>727553.76</v>
      </c>
      <c r="U85" s="22"/>
      <c r="V85" s="66">
        <f t="shared" si="18"/>
        <v>242517.91999999998</v>
      </c>
      <c r="W85" s="73">
        <f t="shared" si="19"/>
        <v>0.49999999999999994</v>
      </c>
    </row>
    <row r="86" spans="1:23">
      <c r="A86" s="69"/>
      <c r="B86" s="69" t="s">
        <v>459</v>
      </c>
      <c r="C86" s="69" t="s">
        <v>460</v>
      </c>
      <c r="E86" s="22">
        <v>16</v>
      </c>
      <c r="F86" s="67" t="s">
        <v>445</v>
      </c>
      <c r="G86" s="22"/>
      <c r="H86" s="22"/>
      <c r="I86" s="70">
        <v>46225</v>
      </c>
      <c r="J86" s="66" t="s">
        <v>413</v>
      </c>
      <c r="K86" s="71">
        <v>0.68</v>
      </c>
      <c r="L86" s="22"/>
      <c r="M86" s="66">
        <f t="shared" si="16"/>
        <v>31433.000000000004</v>
      </c>
      <c r="N86" s="22"/>
      <c r="O86" s="23"/>
      <c r="P86" s="70">
        <v>46225</v>
      </c>
      <c r="Q86" s="66" t="s">
        <v>413</v>
      </c>
      <c r="R86" s="71">
        <v>1.02</v>
      </c>
      <c r="S86" s="22"/>
      <c r="T86" s="66">
        <f t="shared" si="17"/>
        <v>47149.5</v>
      </c>
      <c r="U86" s="22"/>
      <c r="V86" s="66">
        <f t="shared" si="18"/>
        <v>15716.499999999996</v>
      </c>
      <c r="W86" s="73">
        <f t="shared" si="19"/>
        <v>0.49999999999999983</v>
      </c>
    </row>
    <row r="87" spans="1:23">
      <c r="A87" s="69"/>
      <c r="B87" s="69" t="s">
        <v>461</v>
      </c>
      <c r="C87" s="69" t="s">
        <v>462</v>
      </c>
      <c r="E87" s="22">
        <v>17</v>
      </c>
      <c r="F87" s="150" t="s">
        <v>448</v>
      </c>
      <c r="G87" s="22"/>
      <c r="H87" s="22"/>
      <c r="I87" s="70">
        <v>0</v>
      </c>
      <c r="J87" s="66" t="s">
        <v>413</v>
      </c>
      <c r="K87" s="71">
        <v>0.68</v>
      </c>
      <c r="L87" s="22"/>
      <c r="M87" s="66">
        <f t="shared" si="16"/>
        <v>0</v>
      </c>
      <c r="N87" s="22"/>
      <c r="O87" s="23"/>
      <c r="P87" s="70">
        <v>0</v>
      </c>
      <c r="Q87" s="66" t="s">
        <v>413</v>
      </c>
      <c r="R87" s="71">
        <v>1.02</v>
      </c>
      <c r="S87" s="22"/>
      <c r="T87" s="66">
        <f t="shared" si="17"/>
        <v>0</v>
      </c>
      <c r="U87" s="22"/>
      <c r="V87" s="66">
        <f t="shared" si="18"/>
        <v>0</v>
      </c>
      <c r="W87" s="73">
        <f t="shared" si="19"/>
        <v>0</v>
      </c>
    </row>
    <row r="88" spans="1:23">
      <c r="A88" s="69"/>
      <c r="B88" s="69"/>
      <c r="C88" s="69"/>
      <c r="E88" s="22">
        <v>18</v>
      </c>
      <c r="F88" s="48" t="s">
        <v>298</v>
      </c>
      <c r="G88" s="65"/>
      <c r="H88" s="22"/>
      <c r="I88" s="161">
        <f>+SUM(I82:I87)</f>
        <v>1414840</v>
      </c>
      <c r="J88" s="66" t="s">
        <v>413</v>
      </c>
      <c r="K88" s="71"/>
      <c r="L88" s="66"/>
      <c r="M88" s="129">
        <f>+SUM(M82:M87)</f>
        <v>962091.2</v>
      </c>
      <c r="N88" s="66"/>
      <c r="O88" s="72"/>
      <c r="P88" s="161">
        <f>+SUM(P82:P87)</f>
        <v>1414840</v>
      </c>
      <c r="Q88" s="66" t="s">
        <v>413</v>
      </c>
      <c r="R88" s="71"/>
      <c r="S88" s="66"/>
      <c r="T88" s="129">
        <f>+SUM(T82:T87)</f>
        <v>1443136.8</v>
      </c>
      <c r="U88" s="66"/>
      <c r="V88" s="66">
        <f t="shared" si="18"/>
        <v>481045.60000000009</v>
      </c>
      <c r="W88" s="73">
        <f t="shared" si="19"/>
        <v>0.50000000000000011</v>
      </c>
    </row>
    <row r="89" spans="1:23">
      <c r="A89" s="69"/>
      <c r="B89" s="69"/>
      <c r="C89" s="69"/>
      <c r="E89" s="22">
        <v>19</v>
      </c>
    </row>
    <row r="90" spans="1:23">
      <c r="A90" s="69"/>
      <c r="E90" s="22">
        <v>20</v>
      </c>
    </row>
    <row r="91" spans="1:23">
      <c r="A91" s="69"/>
      <c r="E91" s="22">
        <v>21</v>
      </c>
      <c r="F91" s="67" t="s">
        <v>112</v>
      </c>
      <c r="G91" s="67"/>
      <c r="H91" s="22"/>
      <c r="I91" s="22"/>
      <c r="J91" s="66"/>
      <c r="K91" s="66"/>
      <c r="L91" s="66"/>
      <c r="M91" s="66"/>
      <c r="N91" s="70"/>
      <c r="O91" s="72"/>
      <c r="P91" s="22"/>
      <c r="Q91" s="66"/>
      <c r="R91" s="66"/>
      <c r="S91" s="66"/>
      <c r="T91" s="66"/>
      <c r="U91" s="22"/>
      <c r="V91" s="22"/>
      <c r="W91" s="22"/>
    </row>
    <row r="92" spans="1:23">
      <c r="A92" s="69"/>
      <c r="B92" s="69"/>
      <c r="C92" s="69" t="s">
        <v>463</v>
      </c>
      <c r="E92" s="22">
        <v>22</v>
      </c>
      <c r="F92" s="67" t="s">
        <v>440</v>
      </c>
      <c r="G92" s="67"/>
      <c r="H92" s="22"/>
      <c r="I92" s="70">
        <f>+M28+M44+M74+M83</f>
        <v>3136688.6063200003</v>
      </c>
      <c r="J92" s="66" t="s">
        <v>464</v>
      </c>
      <c r="K92" s="168">
        <v>-0.01</v>
      </c>
      <c r="L92" s="66"/>
      <c r="M92" s="66">
        <f>+I92*K92</f>
        <v>-31366.886063200003</v>
      </c>
      <c r="N92" s="70"/>
      <c r="O92" s="72"/>
      <c r="P92" s="70">
        <f>+T28+T44+T74+T83</f>
        <v>4173856.9490741119</v>
      </c>
      <c r="Q92" s="66" t="s">
        <v>464</v>
      </c>
      <c r="R92" s="168">
        <f>+K92</f>
        <v>-0.01</v>
      </c>
      <c r="S92" s="66"/>
      <c r="T92" s="66">
        <f>+P92*R92</f>
        <v>-41738.569490741116</v>
      </c>
      <c r="U92" s="22"/>
      <c r="V92" s="66">
        <f>+T92-M92</f>
        <v>-10371.683427541113</v>
      </c>
      <c r="W92" s="73">
        <f>+IF(V92=0,0,(T92-M92)/M92)</f>
        <v>0.33065709508567676</v>
      </c>
    </row>
    <row r="93" spans="1:23">
      <c r="A93" s="69"/>
      <c r="B93" s="69"/>
      <c r="C93" s="69" t="s">
        <v>465</v>
      </c>
      <c r="E93" s="22">
        <v>23</v>
      </c>
      <c r="F93" s="150" t="s">
        <v>364</v>
      </c>
      <c r="G93" s="22"/>
      <c r="H93" s="22"/>
      <c r="I93" s="70">
        <f>+M29+M45+M75+M84</f>
        <v>0</v>
      </c>
      <c r="J93" s="66" t="s">
        <v>464</v>
      </c>
      <c r="K93" s="168">
        <v>-0.02</v>
      </c>
      <c r="L93" s="22"/>
      <c r="M93" s="66">
        <f>+I93*K93</f>
        <v>0</v>
      </c>
      <c r="N93" s="22"/>
      <c r="O93" s="23"/>
      <c r="P93" s="70">
        <f>+T29+T45+T75+T84</f>
        <v>0</v>
      </c>
      <c r="Q93" s="66" t="s">
        <v>464</v>
      </c>
      <c r="R93" s="168">
        <f>+K93</f>
        <v>-0.02</v>
      </c>
      <c r="S93" s="22"/>
      <c r="T93" s="66">
        <f>+P93*R93</f>
        <v>0</v>
      </c>
      <c r="U93" s="22"/>
      <c r="V93" s="66">
        <f>+T93-M93</f>
        <v>0</v>
      </c>
      <c r="W93" s="73">
        <f>+IF(V93=0,0,(T93-M93)/M93)</f>
        <v>0</v>
      </c>
    </row>
    <row r="94" spans="1:23">
      <c r="A94" s="69"/>
      <c r="B94" s="69"/>
      <c r="C94" s="69" t="s">
        <v>466</v>
      </c>
      <c r="E94" s="22">
        <v>24</v>
      </c>
      <c r="F94" s="67" t="s">
        <v>445</v>
      </c>
      <c r="G94" s="22"/>
      <c r="H94" s="22"/>
      <c r="I94" s="70">
        <f>+M31+M34+M47+M50+M76+M86</f>
        <v>7500279.58452</v>
      </c>
      <c r="J94" s="66" t="s">
        <v>464</v>
      </c>
      <c r="K94" s="168">
        <v>-0.01</v>
      </c>
      <c r="L94" s="22"/>
      <c r="M94" s="66">
        <f>+I94*K94</f>
        <v>-75002.795845200002</v>
      </c>
      <c r="N94" s="66"/>
      <c r="O94" s="72"/>
      <c r="P94" s="70">
        <f>+T31+T34+T37+T47+T50+T76+T86</f>
        <v>10082695.941361913</v>
      </c>
      <c r="Q94" s="66" t="s">
        <v>464</v>
      </c>
      <c r="R94" s="168">
        <f>+K94</f>
        <v>-0.01</v>
      </c>
      <c r="S94" s="22"/>
      <c r="T94" s="66">
        <f>+P94*R94</f>
        <v>-100826.95941361913</v>
      </c>
      <c r="U94" s="66"/>
      <c r="V94" s="66">
        <f>+T94-M94</f>
        <v>-25824.163568419128</v>
      </c>
      <c r="W94" s="73">
        <f>+IF(V94=0,0,(T94-M94)/M94)</f>
        <v>0.34430934577049921</v>
      </c>
    </row>
    <row r="95" spans="1:23">
      <c r="A95" s="69"/>
      <c r="B95" s="69"/>
      <c r="C95" s="69" t="s">
        <v>467</v>
      </c>
      <c r="E95" s="22">
        <v>25</v>
      </c>
      <c r="F95" s="150" t="s">
        <v>448</v>
      </c>
      <c r="G95" s="22"/>
      <c r="H95" s="22"/>
      <c r="I95" s="70">
        <f>+M32+M35+M48+M51+M77+M87</f>
        <v>70571.102970000007</v>
      </c>
      <c r="J95" s="66" t="s">
        <v>464</v>
      </c>
      <c r="K95" s="168">
        <v>-0.02</v>
      </c>
      <c r="L95" s="22"/>
      <c r="M95" s="66">
        <f>+I95*K95</f>
        <v>-1411.4220594000001</v>
      </c>
      <c r="N95" s="22"/>
      <c r="O95" s="23"/>
      <c r="P95" s="70">
        <f>+T32+T35+T38+T48+T51+T77+T87</f>
        <v>95178.917456497249</v>
      </c>
      <c r="Q95" s="66" t="s">
        <v>464</v>
      </c>
      <c r="R95" s="168">
        <f>+K95</f>
        <v>-0.02</v>
      </c>
      <c r="S95" s="22"/>
      <c r="T95" s="66">
        <f>+P95*R95</f>
        <v>-1903.5783491299451</v>
      </c>
      <c r="U95" s="22"/>
      <c r="V95" s="66">
        <f>+T95-M95</f>
        <v>-492.156289729945</v>
      </c>
      <c r="W95" s="73">
        <f>+IF(V95=0,0,(T95-M95)/M95)</f>
        <v>0.34869533634691963</v>
      </c>
    </row>
    <row r="96" spans="1:23">
      <c r="A96" s="69"/>
      <c r="B96" s="69"/>
      <c r="C96" s="69"/>
      <c r="E96" s="22">
        <v>26</v>
      </c>
      <c r="F96" s="48" t="s">
        <v>298</v>
      </c>
      <c r="G96" s="22"/>
      <c r="H96" s="22"/>
      <c r="I96" s="161">
        <f>+SUM(I92:I95)</f>
        <v>10707539.293810001</v>
      </c>
      <c r="J96" s="66" t="s">
        <v>464</v>
      </c>
      <c r="K96" s="22"/>
      <c r="L96" s="66"/>
      <c r="M96" s="129">
        <f>+SUM(M92:M95)</f>
        <v>-107781.10396780001</v>
      </c>
      <c r="N96" s="66"/>
      <c r="O96" s="72"/>
      <c r="P96" s="161">
        <f>+SUM(P92:P95)</f>
        <v>14351731.807892522</v>
      </c>
      <c r="Q96" s="66" t="s">
        <v>464</v>
      </c>
      <c r="R96" s="175"/>
      <c r="S96" s="66"/>
      <c r="T96" s="129">
        <f>+SUM(T92:T95)</f>
        <v>-144469.10725349019</v>
      </c>
      <c r="U96" s="22"/>
      <c r="V96" s="66">
        <f>+T96-M96</f>
        <v>-36688.003285690182</v>
      </c>
      <c r="W96" s="73">
        <f>+IF(V96=0,0,(T96-M96)/M96)</f>
        <v>0.34039364911915221</v>
      </c>
    </row>
    <row r="97" spans="1:23">
      <c r="A97" s="69"/>
      <c r="B97" s="69"/>
      <c r="C97" s="69"/>
      <c r="E97" s="22">
        <v>27</v>
      </c>
      <c r="F97" s="48"/>
      <c r="G97" s="65"/>
      <c r="H97" s="22"/>
      <c r="I97" s="66"/>
      <c r="J97" s="66"/>
      <c r="K97" s="71"/>
      <c r="L97" s="66"/>
      <c r="M97" s="66"/>
      <c r="N97" s="66"/>
      <c r="O97" s="72"/>
      <c r="P97" s="66"/>
      <c r="Q97" s="66"/>
      <c r="R97" s="71"/>
      <c r="S97" s="66"/>
      <c r="T97" s="66"/>
      <c r="U97" s="66"/>
      <c r="V97" s="66"/>
      <c r="W97" s="75"/>
    </row>
    <row r="98" spans="1:23">
      <c r="A98" s="69"/>
      <c r="B98" s="69"/>
      <c r="C98" s="69"/>
      <c r="E98" s="22">
        <v>28</v>
      </c>
      <c r="F98" s="67"/>
      <c r="G98" s="67"/>
      <c r="H98" s="22"/>
      <c r="I98" s="22"/>
      <c r="J98" s="66"/>
      <c r="K98" s="66"/>
      <c r="L98" s="66"/>
      <c r="M98" s="66"/>
      <c r="N98" s="70"/>
      <c r="O98" s="72"/>
      <c r="P98" s="70"/>
      <c r="Q98" s="66"/>
      <c r="R98" s="66"/>
      <c r="S98" s="66"/>
      <c r="T98" s="66"/>
      <c r="U98" s="22"/>
      <c r="V98" s="22"/>
      <c r="W98" s="22"/>
    </row>
    <row r="99" spans="1:23">
      <c r="A99" s="69"/>
      <c r="B99" s="69"/>
      <c r="C99" s="69"/>
      <c r="E99" s="22">
        <v>29</v>
      </c>
      <c r="F99" s="22" t="s">
        <v>315</v>
      </c>
      <c r="G99" s="22"/>
      <c r="H99" s="22"/>
      <c r="I99" s="41">
        <v>1084.1242732558139</v>
      </c>
      <c r="J99" s="22" t="s">
        <v>294</v>
      </c>
      <c r="K99" s="71">
        <v>0.67</v>
      </c>
      <c r="L99" s="22"/>
      <c r="M99" s="41">
        <f>+K99*I99</f>
        <v>726.36326308139542</v>
      </c>
      <c r="N99" s="22"/>
      <c r="O99" s="23"/>
      <c r="P99" s="41">
        <f>+I99</f>
        <v>1084.1242732558139</v>
      </c>
      <c r="Q99" s="22" t="s">
        <v>294</v>
      </c>
      <c r="R99" s="71">
        <v>0.67</v>
      </c>
      <c r="S99" s="22"/>
      <c r="T99" s="41">
        <f>+R99*P99</f>
        <v>726.36326308139542</v>
      </c>
      <c r="V99" s="66">
        <f t="shared" ref="V99:V100" si="20">+T99-M99</f>
        <v>0</v>
      </c>
      <c r="W99" s="73">
        <f t="shared" ref="W99:W100" si="21">+IF(V99=0,0,(T99-M99)/M99)</f>
        <v>0</v>
      </c>
    </row>
    <row r="100" spans="1:23">
      <c r="A100" s="69"/>
      <c r="B100" s="69"/>
      <c r="C100" s="69"/>
      <c r="E100" s="22">
        <v>30</v>
      </c>
      <c r="F100" s="65" t="s">
        <v>43</v>
      </c>
      <c r="G100" s="65"/>
      <c r="H100" s="22"/>
      <c r="I100" s="161">
        <f>+I99</f>
        <v>1084.1242732558139</v>
      </c>
      <c r="J100" s="163" t="s">
        <v>299</v>
      </c>
      <c r="K100" s="76"/>
      <c r="L100" s="66"/>
      <c r="M100" s="129">
        <f>+M99</f>
        <v>726.36326308139542</v>
      </c>
      <c r="N100" s="66"/>
      <c r="O100" s="72"/>
      <c r="P100" s="161"/>
      <c r="Q100" s="66" t="s">
        <v>299</v>
      </c>
      <c r="R100" s="66"/>
      <c r="S100" s="66"/>
      <c r="T100" s="129">
        <f>+T99</f>
        <v>726.36326308139542</v>
      </c>
      <c r="V100" s="66">
        <f t="shared" si="20"/>
        <v>0</v>
      </c>
      <c r="W100" s="73">
        <f t="shared" si="21"/>
        <v>0</v>
      </c>
    </row>
    <row r="101" spans="1:23">
      <c r="A101" s="69"/>
      <c r="E101" s="22">
        <v>31</v>
      </c>
    </row>
    <row r="102" spans="1:23">
      <c r="A102" s="69"/>
      <c r="E102" s="22">
        <v>32</v>
      </c>
      <c r="P102" s="22"/>
      <c r="Q102" s="71"/>
    </row>
    <row r="103" spans="1:23">
      <c r="A103" s="69"/>
      <c r="E103" s="22">
        <v>33</v>
      </c>
      <c r="F103" s="22" t="s">
        <v>468</v>
      </c>
      <c r="G103" s="22"/>
      <c r="H103" s="22"/>
      <c r="J103" s="22"/>
      <c r="K103" s="71"/>
      <c r="L103" s="22"/>
      <c r="M103" s="41">
        <v>-89106.433333333349</v>
      </c>
      <c r="N103" s="22"/>
      <c r="P103" s="163"/>
      <c r="Q103" s="76"/>
      <c r="R103" s="71"/>
      <c r="S103" s="22"/>
      <c r="T103" s="41">
        <f>+M103</f>
        <v>-89106.433333333349</v>
      </c>
      <c r="V103" s="66">
        <f t="shared" ref="V103:V104" si="22">+T103-M103</f>
        <v>0</v>
      </c>
      <c r="W103" s="73">
        <f t="shared" ref="W103:W104" si="23">+IF(V103=0,0,(T103-M103)/M103)</f>
        <v>0</v>
      </c>
    </row>
    <row r="104" spans="1:23">
      <c r="A104" s="69"/>
      <c r="E104" s="22">
        <v>34</v>
      </c>
      <c r="F104" s="65" t="s">
        <v>43</v>
      </c>
      <c r="G104" s="65"/>
      <c r="H104" s="22"/>
      <c r="J104" s="163"/>
      <c r="K104" s="76"/>
      <c r="L104" s="66"/>
      <c r="M104" s="129">
        <f>+M103</f>
        <v>-89106.433333333349</v>
      </c>
      <c r="N104" s="66"/>
      <c r="R104" s="66"/>
      <c r="S104" s="66"/>
      <c r="T104" s="129">
        <f>+T103</f>
        <v>-89106.433333333349</v>
      </c>
      <c r="V104" s="66">
        <f t="shared" si="22"/>
        <v>0</v>
      </c>
      <c r="W104" s="73">
        <f t="shared" si="23"/>
        <v>0</v>
      </c>
    </row>
    <row r="105" spans="1:23">
      <c r="A105" s="69"/>
      <c r="B105" s="69"/>
      <c r="C105" s="69"/>
      <c r="E105" s="22">
        <v>35</v>
      </c>
    </row>
    <row r="106" spans="1:23">
      <c r="A106" s="69"/>
      <c r="B106" s="69"/>
      <c r="C106" s="69"/>
      <c r="E106" s="22">
        <v>36</v>
      </c>
    </row>
    <row r="107" spans="1:23" ht="15.75" thickBot="1">
      <c r="A107" s="69"/>
      <c r="B107" s="69"/>
      <c r="C107" s="69"/>
      <c r="E107" s="22">
        <v>37</v>
      </c>
      <c r="F107" s="67" t="s">
        <v>316</v>
      </c>
      <c r="G107" s="67"/>
      <c r="H107" s="22"/>
      <c r="I107" s="22"/>
      <c r="J107" s="66"/>
      <c r="K107" s="66"/>
      <c r="L107" s="66"/>
      <c r="M107" s="78">
        <f>+M24+M40+M52+M78+M88+M96+M100+M104</f>
        <v>284150739.0395419</v>
      </c>
      <c r="N107" s="66"/>
      <c r="O107" s="72"/>
      <c r="P107" s="66"/>
      <c r="Q107" s="66"/>
      <c r="R107" s="66"/>
      <c r="S107" s="66"/>
      <c r="T107" s="78">
        <f>+T24+T40+T52+T78+T88+T96+T100+T104</f>
        <v>379583933.09514385</v>
      </c>
      <c r="U107" s="22"/>
      <c r="V107" s="66">
        <f>+T107-M107</f>
        <v>95433194.055601954</v>
      </c>
      <c r="W107" s="73">
        <f>+IF(V107=0,0,(T107-M107)/M107)</f>
        <v>0.33585411172315005</v>
      </c>
    </row>
    <row r="108" spans="1:23" ht="15.75" thickTop="1">
      <c r="A108" s="69"/>
      <c r="B108" s="69"/>
      <c r="C108" s="69"/>
      <c r="E108" s="22">
        <v>38</v>
      </c>
      <c r="F108" s="22"/>
      <c r="G108" s="22"/>
      <c r="H108" s="22"/>
      <c r="I108" s="22"/>
      <c r="J108" s="22"/>
      <c r="K108" s="22"/>
      <c r="L108" s="22"/>
      <c r="M108" s="22"/>
      <c r="N108" s="22"/>
      <c r="O108" s="23"/>
      <c r="P108" s="22"/>
      <c r="Q108" s="22"/>
      <c r="R108" s="22"/>
      <c r="S108" s="22"/>
      <c r="T108" s="22"/>
      <c r="U108" s="22"/>
      <c r="V108" s="22"/>
      <c r="W108" s="22"/>
    </row>
    <row r="109" spans="1:23" ht="15.75" thickBot="1">
      <c r="A109" s="69"/>
      <c r="B109" s="69"/>
      <c r="C109" s="69"/>
      <c r="E109" s="24">
        <v>39</v>
      </c>
      <c r="F109" s="24"/>
      <c r="G109" s="24"/>
      <c r="H109" s="24"/>
      <c r="I109" s="24"/>
      <c r="J109" s="24"/>
      <c r="K109" s="24"/>
      <c r="L109" s="24"/>
      <c r="M109" s="24"/>
      <c r="N109" s="24"/>
      <c r="O109" s="25"/>
      <c r="P109" s="24"/>
      <c r="Q109" s="24"/>
      <c r="R109" s="24"/>
      <c r="S109" s="24"/>
      <c r="T109" s="24"/>
      <c r="U109" s="24"/>
      <c r="V109" s="24"/>
      <c r="W109" s="26"/>
    </row>
    <row r="110" spans="1:23">
      <c r="A110" s="69"/>
      <c r="B110" s="69"/>
      <c r="C110" s="69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3"/>
      <c r="P110" s="22"/>
      <c r="Q110" s="22"/>
      <c r="R110" s="22"/>
      <c r="S110" s="22"/>
      <c r="T110" s="22"/>
      <c r="U110" s="22"/>
      <c r="V110" s="22"/>
      <c r="W110" s="22"/>
    </row>
    <row r="111" spans="1:23">
      <c r="A111" s="69"/>
      <c r="B111" s="69"/>
      <c r="C111" s="69"/>
      <c r="E111" s="22"/>
      <c r="F111" s="22"/>
      <c r="G111" s="22"/>
      <c r="H111" s="22"/>
      <c r="I111" s="22"/>
      <c r="J111" s="22"/>
      <c r="K111" s="22"/>
      <c r="L111" s="330"/>
      <c r="M111" s="330"/>
      <c r="N111" s="330"/>
      <c r="O111" s="330"/>
      <c r="P111" s="330"/>
      <c r="Q111" s="22"/>
      <c r="R111" s="22"/>
      <c r="S111" s="22"/>
      <c r="T111" s="22"/>
      <c r="U111" s="22"/>
      <c r="V111" s="22"/>
      <c r="W111" s="22"/>
    </row>
    <row r="112" spans="1:23" ht="15.75" thickBot="1">
      <c r="A112" s="69"/>
      <c r="B112" s="69"/>
      <c r="C112" s="69"/>
      <c r="E112" s="24"/>
      <c r="F112" s="24"/>
      <c r="G112" s="24"/>
      <c r="H112" s="24"/>
      <c r="I112" s="24"/>
      <c r="J112" s="24"/>
      <c r="K112" s="24"/>
      <c r="L112" s="331" t="s">
        <v>274</v>
      </c>
      <c r="M112" s="331"/>
      <c r="N112" s="331"/>
      <c r="O112" s="331"/>
      <c r="P112" s="331"/>
      <c r="Q112" s="24"/>
      <c r="R112" s="24"/>
      <c r="S112" s="24"/>
      <c r="T112" s="24"/>
      <c r="U112" s="24"/>
      <c r="V112" s="24"/>
      <c r="W112" s="26"/>
    </row>
    <row r="113" spans="1:23">
      <c r="A113" s="69"/>
      <c r="B113" s="69"/>
      <c r="C113" s="69"/>
      <c r="E113" s="22"/>
      <c r="F113" s="22"/>
      <c r="G113" s="22"/>
      <c r="H113" s="22"/>
      <c r="I113" s="22"/>
      <c r="J113" s="22"/>
      <c r="L113" s="22"/>
      <c r="M113" s="22"/>
      <c r="N113" s="22"/>
      <c r="O113" s="29"/>
      <c r="P113" s="30"/>
      <c r="Q113" s="22"/>
      <c r="R113" s="30"/>
      <c r="S113" s="30"/>
      <c r="T113" s="30"/>
      <c r="U113" s="22"/>
      <c r="V113" s="22"/>
      <c r="W113" s="31"/>
    </row>
    <row r="114" spans="1:23">
      <c r="A114" s="69"/>
      <c r="B114" s="69"/>
      <c r="C114" s="69"/>
      <c r="E114" s="22"/>
      <c r="F114" s="22"/>
      <c r="G114" s="22"/>
      <c r="H114" s="22"/>
      <c r="I114" s="22"/>
      <c r="J114" s="22"/>
      <c r="L114" s="22"/>
      <c r="M114" s="22"/>
      <c r="N114" s="22"/>
      <c r="O114" s="23"/>
      <c r="P114" s="31"/>
      <c r="Q114" s="22"/>
      <c r="R114" s="22"/>
      <c r="S114" s="32"/>
      <c r="T114" s="32"/>
      <c r="U114" s="31"/>
      <c r="V114" s="22"/>
      <c r="W114" s="32"/>
    </row>
    <row r="115" spans="1:23">
      <c r="A115" s="69"/>
      <c r="B115" s="69"/>
      <c r="C115" s="69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3"/>
      <c r="P115" s="31"/>
      <c r="Q115" s="32"/>
      <c r="R115" s="22"/>
      <c r="S115" s="22"/>
      <c r="T115" s="32"/>
      <c r="U115" s="31"/>
      <c r="V115" s="22"/>
      <c r="W115" s="32"/>
    </row>
    <row r="116" spans="1:23">
      <c r="A116" s="69"/>
      <c r="B116" s="69"/>
      <c r="C116" s="69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3"/>
      <c r="P116" s="31"/>
      <c r="Q116" s="32"/>
      <c r="R116" s="22"/>
      <c r="S116" s="22"/>
      <c r="T116" s="32"/>
      <c r="U116" s="31"/>
      <c r="V116" s="22"/>
      <c r="W116" s="32"/>
    </row>
    <row r="117" spans="1:23">
      <c r="A117" s="69"/>
      <c r="B117" s="69"/>
      <c r="C117" s="69"/>
      <c r="E117" s="22"/>
      <c r="F117" s="22"/>
      <c r="G117" s="32"/>
      <c r="H117" s="22"/>
      <c r="I117" s="22"/>
      <c r="J117" s="22"/>
      <c r="K117" s="22"/>
      <c r="L117" s="36"/>
      <c r="M117" s="36"/>
      <c r="N117" s="36"/>
      <c r="O117" s="23"/>
      <c r="P117" s="22"/>
      <c r="Q117" s="22"/>
      <c r="R117" s="22"/>
      <c r="S117" s="22"/>
      <c r="T117" s="22"/>
      <c r="U117" s="22"/>
      <c r="V117" s="22"/>
      <c r="W117" s="22"/>
    </row>
    <row r="118" spans="1:23" ht="15.75" thickBot="1">
      <c r="A118" s="69"/>
      <c r="B118" s="69"/>
      <c r="C118" s="69"/>
      <c r="E118" s="24"/>
      <c r="F118" s="24"/>
      <c r="G118" s="26"/>
      <c r="H118" s="37"/>
      <c r="I118" s="37"/>
      <c r="J118" s="38"/>
      <c r="K118" s="38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</row>
    <row r="119" spans="1:23">
      <c r="A119" s="69"/>
      <c r="B119" s="69"/>
      <c r="C119" s="69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3"/>
      <c r="P119" s="22"/>
      <c r="Q119" s="22"/>
      <c r="R119" s="22"/>
      <c r="S119" s="22"/>
      <c r="T119" s="22"/>
      <c r="U119" s="22"/>
      <c r="V119" s="22"/>
      <c r="W119" s="22"/>
    </row>
    <row r="120" spans="1:23">
      <c r="A120" s="69"/>
      <c r="B120" s="69"/>
      <c r="C120" s="69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3"/>
      <c r="P120" s="22"/>
      <c r="Q120" s="22"/>
      <c r="R120" s="22"/>
      <c r="S120" s="22"/>
      <c r="T120" s="22"/>
      <c r="U120" s="22"/>
      <c r="V120" s="22"/>
      <c r="W120" s="22"/>
    </row>
    <row r="121" spans="1:23">
      <c r="A121" s="69"/>
      <c r="B121" s="69"/>
      <c r="C121" s="69"/>
      <c r="E121" s="22"/>
      <c r="F121" s="22"/>
      <c r="G121" s="22"/>
      <c r="H121" s="22"/>
      <c r="I121" s="22"/>
      <c r="J121" s="39"/>
      <c r="K121" s="39"/>
      <c r="L121" s="42"/>
      <c r="M121" s="42" t="s">
        <v>278</v>
      </c>
      <c r="N121" s="36"/>
      <c r="O121" s="44" t="s">
        <v>469</v>
      </c>
      <c r="P121" s="39"/>
      <c r="Q121" s="22"/>
      <c r="R121" s="39"/>
      <c r="S121" s="39"/>
      <c r="T121" s="39"/>
      <c r="U121" s="39"/>
      <c r="V121" s="39"/>
      <c r="W121" s="22"/>
    </row>
    <row r="122" spans="1:23">
      <c r="A122" s="69"/>
      <c r="B122" s="69"/>
      <c r="C122" s="69"/>
      <c r="E122" s="22"/>
      <c r="F122" s="22"/>
      <c r="G122" s="22"/>
      <c r="H122" s="22"/>
      <c r="I122" s="22"/>
      <c r="J122" s="39"/>
      <c r="K122" s="39"/>
      <c r="L122" s="39"/>
      <c r="M122" s="39"/>
      <c r="N122" s="39"/>
      <c r="O122" s="36"/>
      <c r="P122" s="39"/>
      <c r="Q122" s="39"/>
      <c r="R122" s="39"/>
      <c r="S122" s="39"/>
      <c r="T122" s="39"/>
      <c r="U122" s="39"/>
      <c r="V122" s="39"/>
      <c r="W122" s="39"/>
    </row>
    <row r="123" spans="1:23">
      <c r="A123" s="69"/>
      <c r="B123" s="69"/>
      <c r="C123" s="69"/>
      <c r="E123" s="23" t="s">
        <v>55</v>
      </c>
      <c r="F123" s="171" t="s">
        <v>280</v>
      </c>
      <c r="G123" s="48"/>
      <c r="H123" s="49"/>
      <c r="I123" s="50"/>
      <c r="J123" s="50"/>
      <c r="K123" s="51" t="s">
        <v>281</v>
      </c>
      <c r="L123" s="50"/>
      <c r="M123" s="50"/>
      <c r="N123" s="48"/>
      <c r="O123" s="53"/>
      <c r="P123" s="50"/>
      <c r="Q123" s="51"/>
      <c r="R123" s="51" t="s">
        <v>282</v>
      </c>
      <c r="S123" s="50"/>
      <c r="T123" s="50"/>
      <c r="U123" s="48"/>
      <c r="V123" s="55" t="s">
        <v>283</v>
      </c>
      <c r="W123" s="55" t="s">
        <v>284</v>
      </c>
    </row>
    <row r="124" spans="1:23" ht="15.75" thickBot="1">
      <c r="A124" s="56" t="s">
        <v>354</v>
      </c>
      <c r="B124" s="56" t="s">
        <v>285</v>
      </c>
      <c r="C124" s="56" t="s">
        <v>286</v>
      </c>
      <c r="E124" s="25" t="s">
        <v>60</v>
      </c>
      <c r="F124" s="57" t="s">
        <v>287</v>
      </c>
      <c r="G124" s="58"/>
      <c r="H124" s="24"/>
      <c r="I124" s="25" t="s">
        <v>288</v>
      </c>
      <c r="J124" s="60"/>
      <c r="K124" s="60" t="s">
        <v>289</v>
      </c>
      <c r="L124" s="60"/>
      <c r="M124" s="60" t="s">
        <v>290</v>
      </c>
      <c r="N124" s="60"/>
      <c r="O124" s="60"/>
      <c r="P124" s="60" t="s">
        <v>288</v>
      </c>
      <c r="Q124" s="60"/>
      <c r="R124" s="60" t="s">
        <v>289</v>
      </c>
      <c r="S124" s="60"/>
      <c r="T124" s="60" t="s">
        <v>290</v>
      </c>
      <c r="U124" s="58"/>
      <c r="V124" s="62" t="s">
        <v>291</v>
      </c>
      <c r="W124" s="62" t="s">
        <v>59</v>
      </c>
    </row>
    <row r="125" spans="1:23">
      <c r="A125" s="69"/>
      <c r="B125" s="69"/>
      <c r="C125" s="69"/>
      <c r="E125" s="22">
        <v>1</v>
      </c>
      <c r="F125" s="67" t="s">
        <v>65</v>
      </c>
      <c r="G125" s="67"/>
      <c r="H125" s="22"/>
      <c r="I125" s="22"/>
      <c r="J125" s="66"/>
      <c r="K125" s="66"/>
      <c r="L125" s="66"/>
      <c r="M125" s="66"/>
      <c r="N125" s="70"/>
      <c r="O125" s="72"/>
      <c r="P125" s="70"/>
      <c r="Q125" s="66"/>
      <c r="R125" s="66"/>
      <c r="S125" s="66"/>
      <c r="T125" s="66"/>
      <c r="U125" s="66"/>
      <c r="V125" s="66"/>
      <c r="W125" s="66"/>
    </row>
    <row r="126" spans="1:23">
      <c r="A126" s="69"/>
      <c r="B126" s="69" t="s">
        <v>470</v>
      </c>
      <c r="C126" s="69" t="s">
        <v>471</v>
      </c>
      <c r="E126" s="22">
        <v>2</v>
      </c>
      <c r="F126" s="150" t="s">
        <v>472</v>
      </c>
      <c r="G126" s="22"/>
      <c r="H126" s="22"/>
      <c r="I126" s="70">
        <v>609685.46</v>
      </c>
      <c r="J126" s="66" t="s">
        <v>294</v>
      </c>
      <c r="K126" s="71">
        <v>1.08</v>
      </c>
      <c r="L126" s="22"/>
      <c r="M126" s="66">
        <f>+I126*K126</f>
        <v>658460.29680000001</v>
      </c>
      <c r="N126" s="22"/>
      <c r="O126" s="153"/>
      <c r="P126" s="70">
        <v>609685.46</v>
      </c>
      <c r="Q126" s="66" t="s">
        <v>294</v>
      </c>
      <c r="R126" s="71">
        <v>1.72</v>
      </c>
      <c r="S126" s="22"/>
      <c r="T126" s="66">
        <f>+P126*R126</f>
        <v>1048658.9911999998</v>
      </c>
      <c r="U126" s="176"/>
      <c r="V126" s="66">
        <f t="shared" ref="V126:V129" si="24">+T126-M126</f>
        <v>390198.6943999998</v>
      </c>
      <c r="W126" s="73">
        <f t="shared" ref="W126:W129" si="25">+IF(V126=0,0,(T126-M126)/M126)</f>
        <v>0.59259259259259234</v>
      </c>
    </row>
    <row r="127" spans="1:23">
      <c r="A127" s="69"/>
      <c r="B127" s="69" t="s">
        <v>473</v>
      </c>
      <c r="C127" s="69" t="s">
        <v>474</v>
      </c>
      <c r="E127" s="22">
        <v>3</v>
      </c>
      <c r="F127" s="150" t="s">
        <v>475</v>
      </c>
      <c r="G127" s="22"/>
      <c r="H127" s="22"/>
      <c r="I127" s="70">
        <v>7206.29</v>
      </c>
      <c r="J127" s="66" t="s">
        <v>294</v>
      </c>
      <c r="K127" s="71">
        <v>5.98</v>
      </c>
      <c r="L127" s="22"/>
      <c r="M127" s="66">
        <f t="shared" ref="M127:M128" si="26">+I127*K127</f>
        <v>43093.614200000004</v>
      </c>
      <c r="N127" s="22"/>
      <c r="O127" s="23"/>
      <c r="P127" s="70">
        <v>7206.29</v>
      </c>
      <c r="Q127" s="66" t="s">
        <v>294</v>
      </c>
      <c r="R127" s="71">
        <v>9.36</v>
      </c>
      <c r="S127" s="22"/>
      <c r="T127" s="66">
        <f t="shared" ref="T127:T128" si="27">+P127*R127</f>
        <v>67450.874400000001</v>
      </c>
      <c r="U127" s="176"/>
      <c r="V127" s="66">
        <f t="shared" si="24"/>
        <v>24357.260199999997</v>
      </c>
      <c r="W127" s="73">
        <f t="shared" si="25"/>
        <v>0.56521739130434767</v>
      </c>
    </row>
    <row r="128" spans="1:23">
      <c r="A128" s="69"/>
      <c r="B128" s="69" t="s">
        <v>476</v>
      </c>
      <c r="C128" s="69" t="s">
        <v>477</v>
      </c>
      <c r="E128" s="22">
        <v>4</v>
      </c>
      <c r="F128" s="150" t="s">
        <v>478</v>
      </c>
      <c r="G128" s="22"/>
      <c r="H128" s="22"/>
      <c r="I128" s="70">
        <v>0</v>
      </c>
      <c r="J128" s="66" t="s">
        <v>294</v>
      </c>
      <c r="K128" s="71">
        <v>17.48</v>
      </c>
      <c r="L128" s="22"/>
      <c r="M128" s="66">
        <f t="shared" si="26"/>
        <v>0</v>
      </c>
      <c r="N128" s="22"/>
      <c r="O128" s="23"/>
      <c r="P128" s="70">
        <v>0</v>
      </c>
      <c r="Q128" s="66" t="s">
        <v>294</v>
      </c>
      <c r="R128" s="71">
        <v>25.76</v>
      </c>
      <c r="S128" s="22"/>
      <c r="T128" s="66">
        <f t="shared" si="27"/>
        <v>0</v>
      </c>
      <c r="U128" s="176"/>
      <c r="V128" s="66">
        <f t="shared" si="24"/>
        <v>0</v>
      </c>
      <c r="W128" s="73">
        <f t="shared" si="25"/>
        <v>0</v>
      </c>
    </row>
    <row r="129" spans="1:23">
      <c r="A129" s="69"/>
      <c r="B129" s="69"/>
      <c r="C129" s="69"/>
      <c r="E129" s="22">
        <v>5</v>
      </c>
      <c r="F129" s="22" t="s">
        <v>43</v>
      </c>
      <c r="G129" s="22"/>
      <c r="H129" s="22"/>
      <c r="I129" s="177">
        <f>+SUM(I126:I128)</f>
        <v>616891.75</v>
      </c>
      <c r="J129" s="66" t="s">
        <v>328</v>
      </c>
      <c r="K129" s="71"/>
      <c r="L129" s="22"/>
      <c r="M129" s="129">
        <f>+SUM(M126:M128)</f>
        <v>701553.91099999996</v>
      </c>
      <c r="N129" s="22"/>
      <c r="O129" s="23"/>
      <c r="P129" s="177">
        <f>+SUM(P126:P128)</f>
        <v>616891.75</v>
      </c>
      <c r="Q129" s="66" t="s">
        <v>328</v>
      </c>
      <c r="R129" s="71"/>
      <c r="S129" s="22"/>
      <c r="T129" s="129">
        <f>+SUM(T126:T128)</f>
        <v>1116109.8655999999</v>
      </c>
      <c r="U129" s="178"/>
      <c r="V129" s="66">
        <f t="shared" si="24"/>
        <v>414555.95459999994</v>
      </c>
      <c r="W129" s="73">
        <f t="shared" si="25"/>
        <v>0.59091104489616331</v>
      </c>
    </row>
    <row r="130" spans="1:23">
      <c r="A130" s="69"/>
      <c r="B130" s="69"/>
      <c r="C130" s="69"/>
      <c r="E130" s="22">
        <v>6</v>
      </c>
      <c r="F130" s="22"/>
      <c r="G130" s="22"/>
      <c r="H130" s="22"/>
      <c r="I130" s="22"/>
      <c r="J130" s="22"/>
      <c r="K130" s="22"/>
      <c r="L130" s="22"/>
      <c r="M130" s="74"/>
      <c r="N130" s="22"/>
      <c r="O130" s="22"/>
      <c r="P130" s="22"/>
      <c r="Q130" s="22"/>
      <c r="R130" s="22"/>
      <c r="S130" s="22"/>
      <c r="T130" s="22"/>
      <c r="U130" s="22"/>
      <c r="V130" s="22"/>
      <c r="W130" s="22"/>
    </row>
    <row r="131" spans="1:23">
      <c r="A131" s="69"/>
      <c r="B131" s="69"/>
      <c r="C131" s="69"/>
      <c r="E131" s="22">
        <v>7</v>
      </c>
      <c r="F131" s="67" t="s">
        <v>94</v>
      </c>
      <c r="G131" s="22"/>
      <c r="H131" s="22"/>
      <c r="I131" s="22"/>
      <c r="J131" s="22"/>
      <c r="K131" s="22"/>
      <c r="L131" s="22"/>
      <c r="M131" s="74"/>
      <c r="N131" s="22"/>
      <c r="O131" s="22"/>
      <c r="P131" s="22"/>
      <c r="Q131" s="22"/>
      <c r="R131" s="22"/>
      <c r="S131" s="22"/>
      <c r="T131" s="22"/>
      <c r="U131" s="22"/>
      <c r="V131" s="22"/>
      <c r="W131" s="22"/>
    </row>
    <row r="132" spans="1:23">
      <c r="A132" s="69"/>
      <c r="B132" s="69" t="s">
        <v>479</v>
      </c>
      <c r="C132" s="69" t="s">
        <v>480</v>
      </c>
      <c r="E132" s="22">
        <v>8</v>
      </c>
      <c r="F132" s="150" t="s">
        <v>472</v>
      </c>
      <c r="G132" s="22"/>
      <c r="H132" s="22"/>
      <c r="I132" s="70">
        <v>353684044</v>
      </c>
      <c r="J132" s="66" t="s">
        <v>304</v>
      </c>
      <c r="K132" s="76">
        <v>7.1150000000000005E-2</v>
      </c>
      <c r="L132" s="66"/>
      <c r="M132" s="66">
        <f>+I132*K132</f>
        <v>25164619.730600003</v>
      </c>
      <c r="N132" s="66"/>
      <c r="O132" s="72"/>
      <c r="P132" s="70">
        <v>353684044</v>
      </c>
      <c r="Q132" s="66" t="s">
        <v>304</v>
      </c>
      <c r="R132" s="76">
        <f>+((R27*18000)+(R43*70))/18000</f>
        <v>8.4002745923357783E-2</v>
      </c>
      <c r="S132" s="66"/>
      <c r="T132" s="66">
        <f>+P132*R132</f>
        <v>29710430.885277696</v>
      </c>
      <c r="U132" s="66"/>
      <c r="V132" s="66">
        <f t="shared" ref="V132:V135" si="28">+T132-M132</f>
        <v>4545811.1546776928</v>
      </c>
      <c r="W132" s="73">
        <f t="shared" ref="W132:W135" si="29">+IF(V132=0,0,(T132-M132)/M132)</f>
        <v>0.18064295043370029</v>
      </c>
    </row>
    <row r="133" spans="1:23">
      <c r="A133" s="69"/>
      <c r="B133" s="69" t="s">
        <v>481</v>
      </c>
      <c r="C133" s="69" t="s">
        <v>482</v>
      </c>
      <c r="E133" s="22">
        <v>9</v>
      </c>
      <c r="F133" s="150" t="s">
        <v>475</v>
      </c>
      <c r="G133" s="22"/>
      <c r="H133" s="22"/>
      <c r="I133" s="70">
        <v>6254543</v>
      </c>
      <c r="J133" s="66" t="s">
        <v>304</v>
      </c>
      <c r="K133" s="76">
        <v>7.1150000000000005E-2</v>
      </c>
      <c r="L133" s="66"/>
      <c r="M133" s="66">
        <f t="shared" ref="M133:M134" si="30">+I133*K133</f>
        <v>445010.73445000005</v>
      </c>
      <c r="N133" s="66"/>
      <c r="O133" s="72"/>
      <c r="P133" s="70">
        <v>6254543</v>
      </c>
      <c r="Q133" s="66" t="s">
        <v>304</v>
      </c>
      <c r="R133" s="76">
        <f t="shared" ref="R133:R134" si="31">+((R28*18000)+(R44*70))/18000</f>
        <v>8.4002745923357783E-2</v>
      </c>
      <c r="S133" s="66"/>
      <c r="T133" s="66">
        <f t="shared" ref="T133:T134" si="32">+P133*R133</f>
        <v>525398.78649571596</v>
      </c>
      <c r="U133" s="66"/>
      <c r="V133" s="66">
        <f t="shared" si="28"/>
        <v>80388.052045715915</v>
      </c>
      <c r="W133" s="73">
        <f t="shared" si="29"/>
        <v>0.18064295043370027</v>
      </c>
    </row>
    <row r="134" spans="1:23">
      <c r="A134" s="69"/>
      <c r="B134" s="69" t="s">
        <v>483</v>
      </c>
      <c r="C134" s="69" t="s">
        <v>484</v>
      </c>
      <c r="E134" s="22">
        <v>10</v>
      </c>
      <c r="F134" s="150" t="s">
        <v>478</v>
      </c>
      <c r="G134" s="22"/>
      <c r="H134" s="22"/>
      <c r="I134" s="70">
        <v>0</v>
      </c>
      <c r="J134" s="66" t="s">
        <v>304</v>
      </c>
      <c r="K134" s="76">
        <v>7.1150000000000005E-2</v>
      </c>
      <c r="L134" s="66"/>
      <c r="M134" s="66">
        <f t="shared" si="30"/>
        <v>0</v>
      </c>
      <c r="N134" s="66"/>
      <c r="O134" s="72"/>
      <c r="P134" s="70">
        <v>0</v>
      </c>
      <c r="Q134" s="66" t="s">
        <v>304</v>
      </c>
      <c r="R134" s="76">
        <f t="shared" si="31"/>
        <v>8.4002745923357783E-2</v>
      </c>
      <c r="S134" s="66"/>
      <c r="T134" s="66">
        <f t="shared" si="32"/>
        <v>0</v>
      </c>
      <c r="U134" s="66"/>
      <c r="V134" s="66">
        <f t="shared" si="28"/>
        <v>0</v>
      </c>
      <c r="W134" s="73">
        <f t="shared" si="29"/>
        <v>0</v>
      </c>
    </row>
    <row r="135" spans="1:23">
      <c r="A135" s="69"/>
      <c r="B135" s="69"/>
      <c r="C135" s="69"/>
      <c r="E135" s="22">
        <v>11</v>
      </c>
      <c r="F135" s="22" t="s">
        <v>43</v>
      </c>
      <c r="G135" s="22"/>
      <c r="H135" s="22"/>
      <c r="I135" s="177">
        <f>+SUM(I132:I134)</f>
        <v>359938587</v>
      </c>
      <c r="J135" s="66" t="s">
        <v>304</v>
      </c>
      <c r="K135" s="71"/>
      <c r="L135" s="22"/>
      <c r="M135" s="129">
        <f>+SUM(M132:M134)</f>
        <v>25609630.465050004</v>
      </c>
      <c r="N135" s="22"/>
      <c r="O135" s="23"/>
      <c r="P135" s="177">
        <f>+SUM(P132:P134)</f>
        <v>359938587</v>
      </c>
      <c r="Q135" s="66" t="s">
        <v>304</v>
      </c>
      <c r="R135" s="71"/>
      <c r="S135" s="22"/>
      <c r="T135" s="129">
        <f>+SUM(T132:T134)</f>
        <v>30235829.671773411</v>
      </c>
      <c r="U135" s="66"/>
      <c r="V135" s="66">
        <f t="shared" si="28"/>
        <v>4626199.2067234069</v>
      </c>
      <c r="W135" s="73">
        <f t="shared" si="29"/>
        <v>0.18064295043370021</v>
      </c>
    </row>
    <row r="136" spans="1:23">
      <c r="A136" s="69"/>
      <c r="B136" s="69"/>
      <c r="C136" s="69"/>
      <c r="E136" s="22">
        <v>12</v>
      </c>
      <c r="F136" s="22"/>
      <c r="G136" s="22"/>
      <c r="H136" s="22"/>
      <c r="I136" s="179"/>
      <c r="J136" s="22"/>
      <c r="K136" s="22"/>
      <c r="L136" s="22"/>
      <c r="M136" s="74"/>
      <c r="N136" s="22"/>
      <c r="O136" s="23"/>
      <c r="P136" s="179"/>
      <c r="Q136" s="22"/>
      <c r="R136" s="22"/>
      <c r="S136" s="22"/>
      <c r="T136" s="22"/>
      <c r="U136" s="22"/>
      <c r="V136" s="22"/>
      <c r="W136" s="22"/>
    </row>
    <row r="137" spans="1:23">
      <c r="A137" s="69"/>
      <c r="B137" s="69"/>
      <c r="C137" s="69"/>
      <c r="E137" s="22">
        <v>13</v>
      </c>
      <c r="F137" s="22" t="s">
        <v>99</v>
      </c>
      <c r="G137" s="22"/>
      <c r="H137" s="22"/>
      <c r="I137" s="66"/>
      <c r="J137" s="66"/>
      <c r="K137" s="71"/>
      <c r="L137" s="22"/>
      <c r="M137" s="71"/>
      <c r="N137" s="22"/>
      <c r="O137" s="23"/>
      <c r="P137" s="66"/>
      <c r="Q137" s="66"/>
      <c r="R137" s="71"/>
      <c r="S137" s="22"/>
      <c r="T137" s="66"/>
      <c r="U137" s="22"/>
      <c r="V137" s="22"/>
      <c r="W137" s="75"/>
    </row>
    <row r="138" spans="1:23">
      <c r="A138" s="69"/>
      <c r="B138" s="69" t="s">
        <v>485</v>
      </c>
      <c r="C138" s="69" t="s">
        <v>486</v>
      </c>
      <c r="E138" s="22">
        <v>14</v>
      </c>
      <c r="F138" s="150" t="s">
        <v>472</v>
      </c>
      <c r="G138" s="22"/>
      <c r="H138" s="22"/>
      <c r="I138" s="70">
        <v>1992622</v>
      </c>
      <c r="J138" s="66" t="s">
        <v>413</v>
      </c>
      <c r="K138" s="71">
        <v>0</v>
      </c>
      <c r="L138" s="66"/>
      <c r="M138" s="66">
        <f>+I138*K138</f>
        <v>0</v>
      </c>
      <c r="N138" s="66"/>
      <c r="O138" s="72"/>
      <c r="P138" s="70">
        <v>1992622</v>
      </c>
      <c r="Q138" s="66" t="s">
        <v>413</v>
      </c>
      <c r="R138" s="71">
        <f>+K138*(1+$C$7)</f>
        <v>0</v>
      </c>
      <c r="S138" s="66"/>
      <c r="T138" s="66">
        <f>+P138*R138</f>
        <v>0</v>
      </c>
      <c r="U138" s="66"/>
      <c r="V138" s="66">
        <f t="shared" ref="V138:V141" si="33">+T138-M138</f>
        <v>0</v>
      </c>
      <c r="W138" s="73">
        <f t="shared" ref="W138:W141" si="34">+IF(V138=0,0,(T138-M138)/M138)</f>
        <v>0</v>
      </c>
    </row>
    <row r="139" spans="1:23">
      <c r="A139" s="69"/>
      <c r="B139" s="69" t="s">
        <v>487</v>
      </c>
      <c r="C139" s="69" t="s">
        <v>488</v>
      </c>
      <c r="E139" s="22">
        <v>15</v>
      </c>
      <c r="F139" s="150" t="s">
        <v>475</v>
      </c>
      <c r="G139" s="22"/>
      <c r="H139" s="22"/>
      <c r="I139" s="70">
        <v>53831</v>
      </c>
      <c r="J139" s="66" t="s">
        <v>413</v>
      </c>
      <c r="K139" s="71">
        <v>0</v>
      </c>
      <c r="L139" s="66"/>
      <c r="M139" s="66">
        <f t="shared" ref="M139:M140" si="35">+I139*K139</f>
        <v>0</v>
      </c>
      <c r="N139" s="66"/>
      <c r="O139" s="72"/>
      <c r="P139" s="70">
        <v>53831</v>
      </c>
      <c r="Q139" s="66" t="s">
        <v>413</v>
      </c>
      <c r="R139" s="71">
        <f t="shared" ref="R139:R140" si="36">+K139*(1+$C$7)</f>
        <v>0</v>
      </c>
      <c r="S139" s="66"/>
      <c r="T139" s="66">
        <f t="shared" ref="T139:T140" si="37">+P139*R139</f>
        <v>0</v>
      </c>
      <c r="U139" s="66"/>
      <c r="V139" s="66">
        <f t="shared" si="33"/>
        <v>0</v>
      </c>
      <c r="W139" s="73">
        <f t="shared" si="34"/>
        <v>0</v>
      </c>
    </row>
    <row r="140" spans="1:23">
      <c r="A140" s="69"/>
      <c r="B140" s="69" t="s">
        <v>489</v>
      </c>
      <c r="C140" s="69" t="s">
        <v>490</v>
      </c>
      <c r="E140" s="22">
        <v>16</v>
      </c>
      <c r="F140" s="150" t="s">
        <v>478</v>
      </c>
      <c r="G140" s="22"/>
      <c r="H140" s="22"/>
      <c r="I140" s="70">
        <v>0</v>
      </c>
      <c r="J140" s="66" t="s">
        <v>413</v>
      </c>
      <c r="K140" s="71">
        <v>0</v>
      </c>
      <c r="L140" s="66"/>
      <c r="M140" s="157">
        <f t="shared" si="35"/>
        <v>0</v>
      </c>
      <c r="N140" s="66"/>
      <c r="O140" s="72"/>
      <c r="P140" s="70">
        <v>0</v>
      </c>
      <c r="Q140" s="66" t="s">
        <v>413</v>
      </c>
      <c r="R140" s="71">
        <f t="shared" si="36"/>
        <v>0</v>
      </c>
      <c r="S140" s="66"/>
      <c r="T140" s="157">
        <f t="shared" si="37"/>
        <v>0</v>
      </c>
      <c r="U140" s="66"/>
      <c r="V140" s="66">
        <f t="shared" si="33"/>
        <v>0</v>
      </c>
      <c r="W140" s="73">
        <f t="shared" si="34"/>
        <v>0</v>
      </c>
    </row>
    <row r="141" spans="1:23">
      <c r="A141" s="69"/>
      <c r="B141" s="69"/>
      <c r="C141" s="69"/>
      <c r="E141" s="22">
        <v>17</v>
      </c>
      <c r="F141" s="67" t="s">
        <v>43</v>
      </c>
      <c r="G141" s="22"/>
      <c r="H141" s="22"/>
      <c r="I141" s="177">
        <f>+SUM(I138:I140)</f>
        <v>2046453</v>
      </c>
      <c r="J141" s="66" t="s">
        <v>413</v>
      </c>
      <c r="K141" s="71"/>
      <c r="L141" s="22"/>
      <c r="M141" s="157">
        <f>+SUM(M138:M140)</f>
        <v>0</v>
      </c>
      <c r="N141" s="22"/>
      <c r="O141" s="23"/>
      <c r="P141" s="177">
        <f>+SUM(P138:P140)</f>
        <v>2046453</v>
      </c>
      <c r="Q141" s="66"/>
      <c r="R141" s="71"/>
      <c r="S141" s="22"/>
      <c r="T141" s="157">
        <f>+SUM(T138:T140)</f>
        <v>0</v>
      </c>
      <c r="U141" s="22"/>
      <c r="V141" s="66">
        <f t="shared" si="33"/>
        <v>0</v>
      </c>
      <c r="W141" s="73">
        <f t="shared" si="34"/>
        <v>0</v>
      </c>
    </row>
    <row r="142" spans="1:23">
      <c r="A142" s="69"/>
      <c r="B142" s="69"/>
      <c r="C142" s="69"/>
      <c r="E142" s="22">
        <v>18</v>
      </c>
      <c r="F142" s="22"/>
      <c r="G142" s="22"/>
      <c r="H142" s="22"/>
      <c r="I142" s="80"/>
      <c r="J142" s="66"/>
      <c r="K142" s="71"/>
      <c r="L142" s="66"/>
      <c r="M142" s="71"/>
      <c r="N142" s="66"/>
      <c r="O142" s="72"/>
      <c r="P142" s="80"/>
      <c r="Q142" s="66"/>
      <c r="R142" s="71"/>
      <c r="S142" s="66"/>
      <c r="T142" s="66"/>
      <c r="U142" s="22"/>
      <c r="V142" s="22"/>
      <c r="W142" s="75"/>
    </row>
    <row r="143" spans="1:23">
      <c r="A143" s="69"/>
      <c r="B143" s="69"/>
      <c r="C143" s="69"/>
      <c r="E143" s="22">
        <v>19</v>
      </c>
      <c r="F143" s="67" t="s">
        <v>491</v>
      </c>
      <c r="G143" s="22"/>
      <c r="H143" s="22"/>
      <c r="I143" s="66"/>
      <c r="J143" s="66"/>
      <c r="K143" s="71"/>
      <c r="L143" s="22"/>
      <c r="M143" s="71"/>
      <c r="N143" s="22"/>
      <c r="O143" s="23"/>
      <c r="P143" s="66"/>
      <c r="Q143" s="66"/>
      <c r="R143" s="71"/>
      <c r="S143" s="22"/>
      <c r="T143" s="66"/>
      <c r="U143" s="22"/>
      <c r="V143" s="22"/>
      <c r="W143" s="75"/>
    </row>
    <row r="144" spans="1:23">
      <c r="A144" s="69"/>
      <c r="B144" s="69" t="s">
        <v>492</v>
      </c>
      <c r="C144" s="69" t="s">
        <v>493</v>
      </c>
      <c r="E144" s="22">
        <v>20</v>
      </c>
      <c r="F144" s="150" t="s">
        <v>475</v>
      </c>
      <c r="G144" s="65"/>
      <c r="H144" s="22"/>
      <c r="I144" s="70">
        <v>2471303</v>
      </c>
      <c r="J144" s="66" t="s">
        <v>304</v>
      </c>
      <c r="K144" s="76">
        <v>-1.23E-3</v>
      </c>
      <c r="L144" s="66"/>
      <c r="M144" s="66">
        <f>+I144*K144</f>
        <v>-3039.7026900000001</v>
      </c>
      <c r="N144" s="66"/>
      <c r="O144" s="72"/>
      <c r="P144" s="70">
        <v>2471303</v>
      </c>
      <c r="Q144" s="66" t="s">
        <v>304</v>
      </c>
      <c r="R144" s="76">
        <v>-1.3824130183384699E-3</v>
      </c>
      <c r="S144" s="66"/>
      <c r="T144" s="66">
        <f>+P144*R144</f>
        <v>-3416.3614394589158</v>
      </c>
      <c r="U144" s="66"/>
      <c r="V144" s="66">
        <f t="shared" ref="V144:V146" si="38">+T144-M144</f>
        <v>-376.65874945891574</v>
      </c>
      <c r="W144" s="73">
        <f t="shared" ref="W144:W146" si="39">+IF(V144=0,0,(T144-M144)/M144)</f>
        <v>0.12391302303940643</v>
      </c>
    </row>
    <row r="145" spans="1:23" ht="16.5">
      <c r="A145" s="69"/>
      <c r="B145" s="69" t="s">
        <v>494</v>
      </c>
      <c r="C145" s="69" t="s">
        <v>495</v>
      </c>
      <c r="E145" s="22">
        <v>21</v>
      </c>
      <c r="F145" s="150" t="s">
        <v>478</v>
      </c>
      <c r="G145" s="65"/>
      <c r="H145" s="22"/>
      <c r="I145" s="70">
        <v>0</v>
      </c>
      <c r="J145" s="66" t="s">
        <v>304</v>
      </c>
      <c r="K145" s="76">
        <v>-5.28E-3</v>
      </c>
      <c r="L145" s="66"/>
      <c r="M145" s="172">
        <f>+I145*K145</f>
        <v>0</v>
      </c>
      <c r="N145" s="66"/>
      <c r="O145" s="72"/>
      <c r="P145" s="70">
        <v>0</v>
      </c>
      <c r="Q145" s="66" t="s">
        <v>304</v>
      </c>
      <c r="R145" s="76">
        <v>-7.9145209896204303E-3</v>
      </c>
      <c r="S145" s="66"/>
      <c r="T145" s="172">
        <f>+P145*R145</f>
        <v>0</v>
      </c>
      <c r="U145" s="66"/>
      <c r="V145" s="66">
        <f t="shared" si="38"/>
        <v>0</v>
      </c>
      <c r="W145" s="73">
        <f t="shared" si="39"/>
        <v>0</v>
      </c>
    </row>
    <row r="146" spans="1:23">
      <c r="A146" s="69"/>
      <c r="B146" s="69"/>
      <c r="C146" s="69"/>
      <c r="E146" s="22">
        <v>22</v>
      </c>
      <c r="F146" s="31" t="s">
        <v>43</v>
      </c>
      <c r="G146" s="22"/>
      <c r="H146" s="22"/>
      <c r="I146" s="161">
        <f>+SUM(I144:I145)</f>
        <v>2471303</v>
      </c>
      <c r="J146" s="66" t="s">
        <v>304</v>
      </c>
      <c r="K146" s="71"/>
      <c r="L146" s="22"/>
      <c r="M146" s="157">
        <f>+SUM(M144:M145)</f>
        <v>-3039.7026900000001</v>
      </c>
      <c r="N146" s="22"/>
      <c r="O146" s="23"/>
      <c r="P146" s="161">
        <f>+SUM(P144:P145)</f>
        <v>2471303</v>
      </c>
      <c r="Q146" s="66" t="s">
        <v>304</v>
      </c>
      <c r="R146" s="71"/>
      <c r="S146" s="22"/>
      <c r="T146" s="157">
        <f>+SUM(T144:T145)</f>
        <v>-3416.3614394589158</v>
      </c>
      <c r="U146" s="66"/>
      <c r="V146" s="66">
        <f t="shared" si="38"/>
        <v>-376.65874945891574</v>
      </c>
      <c r="W146" s="73">
        <f t="shared" si="39"/>
        <v>0.12391302303940643</v>
      </c>
    </row>
    <row r="147" spans="1:23">
      <c r="A147" s="69"/>
      <c r="B147" s="69"/>
      <c r="C147" s="69"/>
      <c r="E147" s="22">
        <v>23</v>
      </c>
    </row>
    <row r="148" spans="1:23">
      <c r="A148" s="69"/>
      <c r="B148" s="69"/>
      <c r="C148" s="69"/>
      <c r="E148" s="22">
        <v>24</v>
      </c>
    </row>
    <row r="149" spans="1:23">
      <c r="A149" s="69"/>
      <c r="B149" s="69"/>
      <c r="C149" s="69"/>
      <c r="E149" s="22">
        <v>25</v>
      </c>
      <c r="F149" s="22" t="s">
        <v>496</v>
      </c>
      <c r="G149" s="22"/>
      <c r="H149" s="22"/>
      <c r="I149" s="22"/>
      <c r="J149" s="22"/>
      <c r="K149" s="22"/>
      <c r="L149" s="22"/>
      <c r="M149" s="74"/>
      <c r="N149" s="22"/>
      <c r="O149" s="22"/>
      <c r="P149" s="22"/>
      <c r="Q149" s="22"/>
      <c r="R149" s="22"/>
      <c r="S149" s="22"/>
      <c r="T149" s="22"/>
      <c r="U149" s="22"/>
      <c r="V149" s="22"/>
      <c r="W149" s="75"/>
    </row>
    <row r="150" spans="1:23">
      <c r="A150" s="69"/>
      <c r="B150" s="69" t="s">
        <v>497</v>
      </c>
      <c r="C150" s="69" t="s">
        <v>498</v>
      </c>
      <c r="E150" s="22">
        <v>26</v>
      </c>
      <c r="F150" s="150" t="s">
        <v>472</v>
      </c>
      <c r="G150" s="173"/>
      <c r="H150" s="22"/>
      <c r="I150" s="70">
        <v>16331549</v>
      </c>
      <c r="J150" s="66" t="s">
        <v>304</v>
      </c>
      <c r="K150" s="76">
        <v>1.7099999999999999E-3</v>
      </c>
      <c r="L150" s="180"/>
      <c r="M150" s="66">
        <f>+I150*K150</f>
        <v>27926.948789999999</v>
      </c>
      <c r="N150" s="66"/>
      <c r="O150" s="72"/>
      <c r="P150" s="70">
        <v>16331549</v>
      </c>
      <c r="Q150" s="66" t="s">
        <v>304</v>
      </c>
      <c r="R150" s="76">
        <v>2.5699999999999998E-3</v>
      </c>
      <c r="S150" s="66"/>
      <c r="T150" s="66">
        <f>+P150*R150</f>
        <v>41972.080929999996</v>
      </c>
      <c r="U150" s="66"/>
      <c r="V150" s="66">
        <f t="shared" ref="V150:V153" si="40">+T150-M150</f>
        <v>14045.132139999998</v>
      </c>
      <c r="W150" s="73">
        <f t="shared" ref="W150:W153" si="41">+IF(V150=0,0,(T150-M150)/M150)</f>
        <v>0.50292397660818711</v>
      </c>
    </row>
    <row r="151" spans="1:23">
      <c r="A151" s="69"/>
      <c r="B151" s="69" t="s">
        <v>499</v>
      </c>
      <c r="C151" s="69" t="s">
        <v>500</v>
      </c>
      <c r="E151" s="22">
        <v>27</v>
      </c>
      <c r="F151" s="150" t="s">
        <v>475</v>
      </c>
      <c r="G151" s="173"/>
      <c r="H151" s="22"/>
      <c r="I151" s="70">
        <v>0</v>
      </c>
      <c r="J151" s="66" t="s">
        <v>304</v>
      </c>
      <c r="K151" s="76">
        <v>1.7099999999999999E-3</v>
      </c>
      <c r="L151" s="180"/>
      <c r="M151" s="66">
        <f>+I151*K151</f>
        <v>0</v>
      </c>
      <c r="N151" s="22"/>
      <c r="O151" s="23"/>
      <c r="P151" s="70">
        <v>0</v>
      </c>
      <c r="Q151" s="66" t="s">
        <v>304</v>
      </c>
      <c r="R151" s="76">
        <v>2.5699999999999998E-3</v>
      </c>
      <c r="S151" s="22"/>
      <c r="T151" s="66">
        <f t="shared" ref="T151:T152" si="42">+P151*R151</f>
        <v>0</v>
      </c>
      <c r="U151" s="22"/>
      <c r="V151" s="66">
        <f t="shared" si="40"/>
        <v>0</v>
      </c>
      <c r="W151" s="73">
        <f t="shared" si="41"/>
        <v>0</v>
      </c>
    </row>
    <row r="152" spans="1:23" ht="16.5">
      <c r="A152" s="69"/>
      <c r="B152" s="69" t="s">
        <v>501</v>
      </c>
      <c r="C152" s="69" t="s">
        <v>502</v>
      </c>
      <c r="E152" s="22">
        <v>28</v>
      </c>
      <c r="F152" s="150" t="s">
        <v>478</v>
      </c>
      <c r="G152" s="173"/>
      <c r="H152" s="22"/>
      <c r="I152" s="70">
        <v>0</v>
      </c>
      <c r="J152" s="66" t="s">
        <v>304</v>
      </c>
      <c r="K152" s="76">
        <v>1.7099999999999999E-3</v>
      </c>
      <c r="L152" s="180"/>
      <c r="M152" s="172">
        <f>+I152*K152</f>
        <v>0</v>
      </c>
      <c r="N152" s="22"/>
      <c r="O152" s="23"/>
      <c r="P152" s="70">
        <v>0</v>
      </c>
      <c r="Q152" s="66" t="s">
        <v>304</v>
      </c>
      <c r="R152" s="76">
        <v>2.5699999999999998E-3</v>
      </c>
      <c r="S152" s="22"/>
      <c r="T152" s="172">
        <f t="shared" si="42"/>
        <v>0</v>
      </c>
      <c r="U152" s="22"/>
      <c r="V152" s="66">
        <f t="shared" si="40"/>
        <v>0</v>
      </c>
      <c r="W152" s="73">
        <f t="shared" si="41"/>
        <v>0</v>
      </c>
    </row>
    <row r="153" spans="1:23">
      <c r="A153" s="69"/>
      <c r="B153" s="69"/>
      <c r="C153" s="69"/>
      <c r="E153" s="22">
        <v>29</v>
      </c>
      <c r="F153" s="67" t="s">
        <v>43</v>
      </c>
      <c r="G153" s="22"/>
      <c r="H153" s="22"/>
      <c r="I153" s="177">
        <f>+SUM(I150:I152)</f>
        <v>16331549</v>
      </c>
      <c r="J153" s="66" t="s">
        <v>304</v>
      </c>
      <c r="K153" s="71"/>
      <c r="L153" s="22"/>
      <c r="M153" s="157">
        <f>+SUM(M150:M152)</f>
        <v>27926.948789999999</v>
      </c>
      <c r="N153" s="22"/>
      <c r="O153" s="23"/>
      <c r="P153" s="177">
        <f>+SUM(P150:P152)</f>
        <v>16331549</v>
      </c>
      <c r="Q153" s="66" t="s">
        <v>304</v>
      </c>
      <c r="R153" s="71"/>
      <c r="S153" s="22"/>
      <c r="T153" s="157">
        <f>+SUM(T150:T152)</f>
        <v>41972.080929999996</v>
      </c>
      <c r="U153" s="22"/>
      <c r="V153" s="66">
        <f t="shared" si="40"/>
        <v>14045.132139999998</v>
      </c>
      <c r="W153" s="73">
        <f t="shared" si="41"/>
        <v>0.50292397660818711</v>
      </c>
    </row>
    <row r="154" spans="1:23">
      <c r="A154" s="69"/>
      <c r="B154" s="69"/>
      <c r="C154" s="69"/>
      <c r="E154" s="22">
        <v>30</v>
      </c>
    </row>
    <row r="155" spans="1:23">
      <c r="A155" s="69"/>
      <c r="E155" s="22">
        <v>31</v>
      </c>
    </row>
    <row r="156" spans="1:23">
      <c r="A156" s="69"/>
      <c r="E156" s="22">
        <v>32</v>
      </c>
      <c r="F156" s="67" t="s">
        <v>503</v>
      </c>
      <c r="G156" s="22"/>
      <c r="H156" s="22"/>
      <c r="I156" s="70"/>
      <c r="J156" s="66"/>
      <c r="K156" s="71"/>
      <c r="L156" s="22"/>
      <c r="M156" s="71"/>
      <c r="N156" s="22"/>
      <c r="O156" s="23"/>
      <c r="P156" s="70"/>
      <c r="Q156" s="66"/>
      <c r="R156" s="71"/>
      <c r="S156" s="22"/>
      <c r="T156" s="66"/>
      <c r="U156" s="66"/>
      <c r="V156" s="66"/>
      <c r="W156" s="22"/>
    </row>
    <row r="157" spans="1:23">
      <c r="A157" s="69"/>
      <c r="B157" s="69"/>
      <c r="C157" s="69" t="s">
        <v>504</v>
      </c>
      <c r="E157" s="22">
        <v>33</v>
      </c>
      <c r="F157" s="150" t="s">
        <v>475</v>
      </c>
      <c r="G157" s="22"/>
      <c r="H157" s="22"/>
      <c r="I157" s="70">
        <f>+M133+M139+M144+M151</f>
        <v>441971.03176000004</v>
      </c>
      <c r="J157" s="66" t="s">
        <v>464</v>
      </c>
      <c r="K157" s="168">
        <v>-0.01</v>
      </c>
      <c r="L157" s="66"/>
      <c r="M157" s="66">
        <f>+I157*K157</f>
        <v>-4419.710317600001</v>
      </c>
      <c r="N157" s="70"/>
      <c r="O157" s="72"/>
      <c r="P157" s="70">
        <f>+T133+T139+T144+T151</f>
        <v>521982.42505625705</v>
      </c>
      <c r="Q157" s="66" t="s">
        <v>464</v>
      </c>
      <c r="R157" s="168">
        <f>+K157</f>
        <v>-0.01</v>
      </c>
      <c r="S157" s="66"/>
      <c r="T157" s="66">
        <f>+P157*R157</f>
        <v>-5219.8242505625703</v>
      </c>
      <c r="U157" s="22"/>
      <c r="V157" s="66">
        <f t="shared" ref="V157:V159" si="43">+T157-M157</f>
        <v>-800.11393296256938</v>
      </c>
      <c r="W157" s="73">
        <f t="shared" ref="W157:W159" si="44">+IF(V157=0,0,(T157-M157)/M157)</f>
        <v>0.18103311653172977</v>
      </c>
    </row>
    <row r="158" spans="1:23" ht="16.5">
      <c r="A158" s="69"/>
      <c r="B158" s="69"/>
      <c r="C158" s="69" t="s">
        <v>505</v>
      </c>
      <c r="E158" s="22">
        <v>34</v>
      </c>
      <c r="F158" s="150" t="s">
        <v>478</v>
      </c>
      <c r="G158" s="22"/>
      <c r="H158" s="22"/>
      <c r="I158" s="70">
        <f>+M134+M140+M145+M152</f>
        <v>0</v>
      </c>
      <c r="J158" s="66"/>
      <c r="K158" s="168">
        <v>-0.02</v>
      </c>
      <c r="L158" s="66"/>
      <c r="M158" s="172">
        <f>+I158*K158</f>
        <v>0</v>
      </c>
      <c r="N158" s="70"/>
      <c r="O158" s="72"/>
      <c r="P158" s="70">
        <f>+T134+T140+T145+T152</f>
        <v>0</v>
      </c>
      <c r="Q158" s="66"/>
      <c r="R158" s="168">
        <f>+K158</f>
        <v>-0.02</v>
      </c>
      <c r="S158" s="66"/>
      <c r="T158" s="172">
        <f>+P158*R158</f>
        <v>0</v>
      </c>
      <c r="U158" s="22"/>
      <c r="V158" s="66">
        <f t="shared" si="43"/>
        <v>0</v>
      </c>
      <c r="W158" s="73">
        <f t="shared" si="44"/>
        <v>0</v>
      </c>
    </row>
    <row r="159" spans="1:23">
      <c r="A159" s="69"/>
      <c r="B159" s="69"/>
      <c r="C159" s="69"/>
      <c r="E159" s="22">
        <v>35</v>
      </c>
      <c r="F159" s="31" t="s">
        <v>43</v>
      </c>
      <c r="G159" s="22"/>
      <c r="H159" s="22"/>
      <c r="I159" s="161">
        <f>+SUM(I157:I158)</f>
        <v>441971.03176000004</v>
      </c>
      <c r="J159" s="66" t="s">
        <v>464</v>
      </c>
      <c r="K159" s="168"/>
      <c r="L159" s="22"/>
      <c r="M159" s="157">
        <f>+SUM(M157:M158)</f>
        <v>-4419.710317600001</v>
      </c>
      <c r="N159" s="22"/>
      <c r="O159" s="23"/>
      <c r="P159" s="161">
        <f>+SUM(P157:P158)</f>
        <v>521982.42505625705</v>
      </c>
      <c r="Q159" s="66" t="s">
        <v>464</v>
      </c>
      <c r="R159" s="168"/>
      <c r="S159" s="22"/>
      <c r="T159" s="157">
        <f>+SUM(T157:T158)</f>
        <v>-5219.8242505625703</v>
      </c>
      <c r="U159" s="22"/>
      <c r="V159" s="66">
        <f t="shared" si="43"/>
        <v>-800.11393296256938</v>
      </c>
      <c r="W159" s="73">
        <f t="shared" si="44"/>
        <v>0.18103311653172977</v>
      </c>
    </row>
    <row r="160" spans="1:23">
      <c r="A160" s="69"/>
      <c r="B160" s="69"/>
      <c r="C160" s="69"/>
      <c r="E160" s="22">
        <v>36</v>
      </c>
      <c r="T160" s="181"/>
    </row>
    <row r="161" spans="1:23">
      <c r="A161" s="69"/>
      <c r="B161" s="69"/>
      <c r="C161" s="69"/>
      <c r="E161" s="22">
        <v>37</v>
      </c>
    </row>
    <row r="162" spans="1:23" ht="15.75" thickBot="1">
      <c r="A162" s="69"/>
      <c r="E162" s="22">
        <v>38</v>
      </c>
      <c r="F162" s="67" t="s">
        <v>316</v>
      </c>
      <c r="G162" s="22"/>
      <c r="H162" s="22"/>
      <c r="I162" s="41"/>
      <c r="J162" s="22"/>
      <c r="K162" s="22"/>
      <c r="L162" s="22"/>
      <c r="M162" s="78">
        <f>+M129+M135+M141+M146+M153+M159</f>
        <v>26331651.9118324</v>
      </c>
      <c r="N162" s="82"/>
      <c r="O162" s="182"/>
      <c r="P162" s="81"/>
      <c r="Q162" s="81"/>
      <c r="R162" s="183"/>
      <c r="S162" s="81"/>
      <c r="T162" s="78">
        <f>+T129+T135+T141+T146+T153+T159</f>
        <v>31385275.432613388</v>
      </c>
      <c r="U162" s="22"/>
      <c r="V162" s="66">
        <f t="shared" ref="V162" si="45">+T162-M162</f>
        <v>5053623.520780988</v>
      </c>
      <c r="W162" s="73">
        <f t="shared" ref="W162" si="46">+IF(V162=0,0,(T162-M162)/M162)</f>
        <v>0.19192200845212032</v>
      </c>
    </row>
    <row r="163" spans="1:23" ht="16.5" thickTop="1" thickBot="1">
      <c r="A163" s="69"/>
      <c r="E163" s="24">
        <v>39</v>
      </c>
      <c r="F163" s="184"/>
      <c r="G163" s="24"/>
      <c r="H163" s="24"/>
      <c r="I163" s="24"/>
      <c r="J163" s="24"/>
      <c r="K163" s="24"/>
      <c r="L163" s="24"/>
      <c r="M163" s="24"/>
      <c r="N163" s="24"/>
      <c r="O163" s="25"/>
      <c r="P163" s="24"/>
      <c r="Q163" s="24"/>
      <c r="R163" s="24"/>
      <c r="S163" s="24"/>
      <c r="T163" s="24"/>
      <c r="U163" s="24"/>
      <c r="V163" s="24"/>
      <c r="W163" s="24"/>
    </row>
    <row r="164" spans="1:23"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3"/>
      <c r="P164" s="22"/>
      <c r="Q164" s="22"/>
      <c r="R164" s="22"/>
      <c r="S164" s="22"/>
      <c r="T164" s="22"/>
      <c r="U164" s="22"/>
      <c r="V164" s="22"/>
      <c r="W164" s="22"/>
    </row>
    <row r="165" spans="1:23">
      <c r="E165" s="22"/>
      <c r="F165" s="22"/>
      <c r="G165" s="22"/>
      <c r="H165" s="22"/>
      <c r="I165" s="22"/>
      <c r="J165" s="22"/>
      <c r="K165" s="22"/>
      <c r="L165" s="330"/>
      <c r="M165" s="330"/>
      <c r="N165" s="330"/>
      <c r="O165" s="330"/>
      <c r="P165" s="330"/>
      <c r="Q165" s="22"/>
      <c r="R165" s="22"/>
      <c r="S165" s="22"/>
      <c r="T165" s="22"/>
      <c r="U165" s="22"/>
      <c r="V165" s="22"/>
      <c r="W165" s="22"/>
    </row>
    <row r="166" spans="1:23" ht="15.75" thickBot="1">
      <c r="E166" s="24"/>
      <c r="F166" s="24"/>
      <c r="G166" s="24"/>
      <c r="H166" s="24"/>
      <c r="I166" s="24"/>
      <c r="J166" s="24"/>
      <c r="K166" s="24"/>
      <c r="L166" s="331" t="s">
        <v>274</v>
      </c>
      <c r="M166" s="331"/>
      <c r="N166" s="331"/>
      <c r="O166" s="331"/>
      <c r="P166" s="331"/>
      <c r="Q166" s="24"/>
      <c r="R166" s="24"/>
      <c r="S166" s="24"/>
      <c r="T166" s="24"/>
      <c r="U166" s="24"/>
      <c r="V166" s="24"/>
      <c r="W166" s="26"/>
    </row>
    <row r="167" spans="1:23">
      <c r="E167" s="22"/>
      <c r="F167" s="22"/>
      <c r="G167" s="22"/>
      <c r="H167" s="22"/>
      <c r="I167" s="22"/>
      <c r="J167" s="22"/>
      <c r="L167" s="22"/>
      <c r="M167" s="22"/>
      <c r="N167" s="22"/>
      <c r="O167" s="29"/>
      <c r="P167" s="30"/>
      <c r="Q167" s="22"/>
      <c r="R167" s="30"/>
      <c r="S167" s="30"/>
      <c r="T167" s="30"/>
      <c r="U167" s="22"/>
      <c r="V167" s="22"/>
      <c r="W167" s="31"/>
    </row>
    <row r="168" spans="1:23">
      <c r="E168" s="22"/>
      <c r="F168" s="22"/>
      <c r="G168" s="22"/>
      <c r="H168" s="22"/>
      <c r="I168" s="22"/>
      <c r="J168" s="22"/>
      <c r="L168" s="22"/>
      <c r="M168" s="22"/>
      <c r="N168" s="22"/>
      <c r="O168" s="23"/>
      <c r="P168" s="31"/>
      <c r="Q168" s="22"/>
      <c r="R168" s="22"/>
      <c r="S168" s="32"/>
      <c r="T168" s="32"/>
      <c r="U168" s="31"/>
      <c r="V168" s="22"/>
      <c r="W168" s="32"/>
    </row>
    <row r="169" spans="1:23"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3"/>
      <c r="P169" s="31"/>
      <c r="Q169" s="32"/>
      <c r="R169" s="22"/>
      <c r="S169" s="22"/>
      <c r="T169" s="32"/>
      <c r="U169" s="31"/>
      <c r="V169" s="22"/>
      <c r="W169" s="32"/>
    </row>
    <row r="170" spans="1:23"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3"/>
      <c r="P170" s="31"/>
      <c r="Q170" s="32"/>
      <c r="R170" s="22"/>
      <c r="S170" s="22"/>
      <c r="T170" s="32"/>
      <c r="U170" s="31"/>
      <c r="V170" s="22"/>
      <c r="W170" s="32"/>
    </row>
    <row r="171" spans="1:23">
      <c r="E171" s="22"/>
      <c r="F171" s="22"/>
      <c r="G171" s="32"/>
      <c r="H171" s="22"/>
      <c r="I171" s="22"/>
      <c r="J171" s="22"/>
      <c r="K171" s="22"/>
      <c r="L171" s="36"/>
      <c r="M171" s="36"/>
      <c r="N171" s="36"/>
      <c r="O171" s="23"/>
      <c r="P171" s="22"/>
      <c r="Q171" s="22"/>
      <c r="R171" s="22"/>
      <c r="S171" s="22"/>
      <c r="T171" s="22"/>
      <c r="U171" s="22"/>
      <c r="V171" s="22"/>
      <c r="W171" s="22"/>
    </row>
    <row r="172" spans="1:23" ht="15.75" thickBot="1">
      <c r="E172" s="24"/>
      <c r="F172" s="24"/>
      <c r="G172" s="26"/>
      <c r="H172" s="37"/>
      <c r="I172" s="37"/>
      <c r="J172" s="38"/>
      <c r="K172" s="38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</row>
    <row r="173" spans="1:23">
      <c r="E173" s="22"/>
      <c r="F173" s="22"/>
      <c r="G173" s="22"/>
      <c r="H173" s="22"/>
      <c r="I173" s="36"/>
      <c r="J173" s="22"/>
      <c r="K173" s="36"/>
      <c r="L173" s="39"/>
      <c r="M173" s="36"/>
      <c r="N173" s="22"/>
      <c r="O173" s="36"/>
      <c r="P173" s="22"/>
      <c r="Q173" s="39"/>
      <c r="R173" s="22"/>
      <c r="S173" s="22"/>
      <c r="T173" s="22"/>
      <c r="U173" s="22"/>
      <c r="V173" s="22"/>
      <c r="W173" s="22"/>
    </row>
    <row r="174" spans="1:23">
      <c r="E174" s="22"/>
      <c r="F174" s="22"/>
      <c r="G174" s="22"/>
      <c r="H174" s="22"/>
      <c r="I174" s="39"/>
      <c r="J174" s="22"/>
      <c r="K174" s="22"/>
      <c r="L174" s="39"/>
      <c r="M174" s="22"/>
      <c r="N174" s="22"/>
      <c r="O174" s="36"/>
      <c r="P174" s="22"/>
      <c r="Q174" s="39"/>
      <c r="R174" s="22"/>
      <c r="S174" s="22"/>
      <c r="T174" s="22"/>
      <c r="U174" s="22"/>
      <c r="V174" s="22"/>
      <c r="W174" s="22"/>
    </row>
    <row r="175" spans="1:23">
      <c r="E175" s="22"/>
      <c r="F175" s="22"/>
      <c r="G175" s="22"/>
      <c r="H175" s="22"/>
      <c r="I175" s="22"/>
      <c r="J175" s="39"/>
      <c r="K175" s="39"/>
      <c r="L175" s="42"/>
      <c r="M175" s="42" t="s">
        <v>278</v>
      </c>
      <c r="N175" s="36"/>
      <c r="O175" s="44" t="s">
        <v>114</v>
      </c>
      <c r="P175" s="39"/>
      <c r="Q175" s="22"/>
      <c r="R175" s="39"/>
      <c r="S175" s="39"/>
      <c r="T175" s="39"/>
      <c r="U175" s="39"/>
      <c r="V175" s="39"/>
      <c r="W175" s="22"/>
    </row>
    <row r="176" spans="1:23">
      <c r="E176" s="22"/>
      <c r="F176" s="22"/>
      <c r="G176" s="22"/>
      <c r="H176" s="22"/>
      <c r="I176" s="22"/>
      <c r="J176" s="39"/>
      <c r="K176" s="39"/>
      <c r="L176" s="39"/>
      <c r="M176" s="39"/>
      <c r="N176" s="39"/>
      <c r="O176" s="36"/>
      <c r="P176" s="39"/>
      <c r="Q176" s="39"/>
      <c r="R176" s="39"/>
      <c r="S176" s="39"/>
      <c r="T176" s="39"/>
      <c r="U176" s="39"/>
      <c r="V176" s="39"/>
      <c r="W176" s="39"/>
    </row>
    <row r="177" spans="1:23">
      <c r="E177" s="23" t="s">
        <v>55</v>
      </c>
      <c r="F177" s="171" t="s">
        <v>280</v>
      </c>
      <c r="G177" s="48"/>
      <c r="H177" s="49"/>
      <c r="I177" s="50"/>
      <c r="J177" s="50"/>
      <c r="K177" s="51" t="s">
        <v>281</v>
      </c>
      <c r="L177" s="50"/>
      <c r="M177" s="50"/>
      <c r="N177" s="48"/>
      <c r="O177" s="53"/>
      <c r="P177" s="50"/>
      <c r="Q177" s="51"/>
      <c r="R177" s="51" t="s">
        <v>282</v>
      </c>
      <c r="S177" s="50"/>
      <c r="T177" s="50"/>
      <c r="U177" s="48"/>
      <c r="V177" s="55" t="s">
        <v>283</v>
      </c>
      <c r="W177" s="55" t="s">
        <v>284</v>
      </c>
    </row>
    <row r="178" spans="1:23" ht="15.75" thickBot="1">
      <c r="A178" s="56" t="s">
        <v>354</v>
      </c>
      <c r="B178" s="56" t="s">
        <v>285</v>
      </c>
      <c r="C178" s="56" t="s">
        <v>286</v>
      </c>
      <c r="E178" s="25" t="s">
        <v>60</v>
      </c>
      <c r="F178" s="57" t="s">
        <v>287</v>
      </c>
      <c r="G178" s="58"/>
      <c r="H178" s="24"/>
      <c r="I178" s="25" t="s">
        <v>288</v>
      </c>
      <c r="J178" s="60"/>
      <c r="K178" s="60" t="s">
        <v>289</v>
      </c>
      <c r="L178" s="60"/>
      <c r="M178" s="60" t="s">
        <v>290</v>
      </c>
      <c r="N178" s="60"/>
      <c r="O178" s="60"/>
      <c r="P178" s="60" t="s">
        <v>288</v>
      </c>
      <c r="Q178" s="60"/>
      <c r="R178" s="60" t="s">
        <v>289</v>
      </c>
      <c r="S178" s="60"/>
      <c r="T178" s="60" t="s">
        <v>290</v>
      </c>
      <c r="U178" s="58"/>
      <c r="V178" s="62" t="s">
        <v>291</v>
      </c>
      <c r="W178" s="62" t="s">
        <v>59</v>
      </c>
    </row>
    <row r="179" spans="1:23">
      <c r="E179" s="22">
        <v>1</v>
      </c>
      <c r="F179" s="84"/>
      <c r="G179" s="67"/>
      <c r="H179" s="22"/>
      <c r="I179" s="22"/>
      <c r="J179" s="65"/>
      <c r="K179" s="65"/>
      <c r="L179" s="65"/>
      <c r="M179" s="65"/>
      <c r="N179" s="67"/>
      <c r="O179" s="53"/>
      <c r="P179" s="67"/>
      <c r="Q179" s="65"/>
      <c r="R179" s="65"/>
      <c r="S179" s="65"/>
      <c r="T179" s="65"/>
      <c r="U179" s="65"/>
      <c r="V179" s="65"/>
      <c r="W179" s="65"/>
    </row>
    <row r="180" spans="1:23">
      <c r="E180" s="22">
        <f>+E179+1</f>
        <v>2</v>
      </c>
      <c r="F180" s="67" t="s">
        <v>65</v>
      </c>
      <c r="G180" s="22"/>
      <c r="H180" s="22"/>
      <c r="I180" s="22"/>
      <c r="J180" s="22"/>
      <c r="K180" s="22"/>
      <c r="L180" s="22"/>
      <c r="M180" s="22"/>
      <c r="N180" s="22"/>
      <c r="O180" s="23"/>
      <c r="P180" s="22"/>
      <c r="Q180" s="22"/>
      <c r="R180" s="22"/>
      <c r="S180" s="22"/>
      <c r="T180" s="22"/>
      <c r="U180" s="22"/>
      <c r="V180" s="22"/>
      <c r="W180" s="22"/>
    </row>
    <row r="181" spans="1:23">
      <c r="B181" t="s">
        <v>506</v>
      </c>
      <c r="C181" t="s">
        <v>507</v>
      </c>
      <c r="E181" s="22">
        <f t="shared" ref="E181:E217" si="47">+E180+1</f>
        <v>3</v>
      </c>
      <c r="F181" s="150" t="s">
        <v>85</v>
      </c>
      <c r="G181" s="22"/>
      <c r="H181" s="22"/>
      <c r="I181" s="22">
        <v>0</v>
      </c>
      <c r="J181" s="66" t="s">
        <v>294</v>
      </c>
      <c r="K181" s="74">
        <v>1.91</v>
      </c>
      <c r="L181" s="22"/>
      <c r="M181" s="70">
        <f>+I181*K181</f>
        <v>0</v>
      </c>
      <c r="N181" s="22"/>
      <c r="O181" s="23"/>
      <c r="P181" s="22">
        <v>0</v>
      </c>
      <c r="Q181" s="66" t="s">
        <v>294</v>
      </c>
      <c r="R181" s="71">
        <v>1.72</v>
      </c>
      <c r="S181" s="22"/>
      <c r="T181" s="70">
        <f>+P181*R181</f>
        <v>0</v>
      </c>
      <c r="U181" s="22"/>
      <c r="V181" s="66">
        <f t="shared" ref="V181:V187" si="48">+T181-M181</f>
        <v>0</v>
      </c>
      <c r="W181" s="73">
        <f t="shared" ref="W181:W187" si="49">+IF(V181=0,0,(T181-M181)/M181)</f>
        <v>0</v>
      </c>
    </row>
    <row r="182" spans="1:23">
      <c r="B182" t="s">
        <v>508</v>
      </c>
      <c r="C182" t="s">
        <v>509</v>
      </c>
      <c r="E182" s="22">
        <f t="shared" si="47"/>
        <v>4</v>
      </c>
      <c r="F182" s="150" t="s">
        <v>86</v>
      </c>
      <c r="G182" s="22"/>
      <c r="H182" s="22"/>
      <c r="I182" s="22">
        <v>0</v>
      </c>
      <c r="J182" s="66" t="s">
        <v>294</v>
      </c>
      <c r="K182" s="74">
        <v>6.8</v>
      </c>
      <c r="L182" s="22"/>
      <c r="M182" s="70">
        <f t="shared" ref="M182:M186" si="50">+I182*K182</f>
        <v>0</v>
      </c>
      <c r="N182" s="22"/>
      <c r="O182" s="23"/>
      <c r="P182" s="22">
        <v>0</v>
      </c>
      <c r="Q182" s="66" t="s">
        <v>294</v>
      </c>
      <c r="R182" s="71">
        <v>9.36</v>
      </c>
      <c r="S182" s="22"/>
      <c r="T182" s="70">
        <f t="shared" ref="T182:T186" si="51">+P182*R182</f>
        <v>0</v>
      </c>
      <c r="U182" s="22"/>
      <c r="V182" s="66">
        <f t="shared" si="48"/>
        <v>0</v>
      </c>
      <c r="W182" s="73">
        <f t="shared" si="49"/>
        <v>0</v>
      </c>
    </row>
    <row r="183" spans="1:23">
      <c r="B183" t="s">
        <v>510</v>
      </c>
      <c r="C183" t="s">
        <v>511</v>
      </c>
      <c r="E183" s="22">
        <f t="shared" si="47"/>
        <v>5</v>
      </c>
      <c r="F183" s="150" t="s">
        <v>87</v>
      </c>
      <c r="G183" s="22"/>
      <c r="H183" s="22"/>
      <c r="I183" s="22">
        <v>0</v>
      </c>
      <c r="J183" s="66" t="s">
        <v>294</v>
      </c>
      <c r="K183" s="74">
        <v>18.309999999999999</v>
      </c>
      <c r="L183" s="22"/>
      <c r="M183" s="70">
        <f t="shared" si="50"/>
        <v>0</v>
      </c>
      <c r="N183" s="22"/>
      <c r="O183" s="23"/>
      <c r="P183" s="22">
        <v>0</v>
      </c>
      <c r="Q183" s="66" t="s">
        <v>294</v>
      </c>
      <c r="R183" s="71">
        <v>25.76</v>
      </c>
      <c r="S183" s="22"/>
      <c r="T183" s="70">
        <f t="shared" si="51"/>
        <v>0</v>
      </c>
      <c r="U183" s="22"/>
      <c r="V183" s="66">
        <f t="shared" si="48"/>
        <v>0</v>
      </c>
      <c r="W183" s="73">
        <f t="shared" si="49"/>
        <v>0</v>
      </c>
    </row>
    <row r="184" spans="1:23">
      <c r="B184" t="s">
        <v>512</v>
      </c>
      <c r="C184" t="s">
        <v>513</v>
      </c>
      <c r="E184" s="22">
        <f t="shared" si="47"/>
        <v>6</v>
      </c>
      <c r="F184" s="22" t="s">
        <v>514</v>
      </c>
      <c r="G184" s="22"/>
      <c r="H184" s="22"/>
      <c r="I184" s="22">
        <v>0</v>
      </c>
      <c r="J184" s="66" t="s">
        <v>294</v>
      </c>
      <c r="K184" s="74">
        <v>1.91</v>
      </c>
      <c r="L184" s="22"/>
      <c r="M184" s="70">
        <f t="shared" si="50"/>
        <v>0</v>
      </c>
      <c r="N184" s="22"/>
      <c r="O184" s="23"/>
      <c r="P184" s="22">
        <v>0</v>
      </c>
      <c r="Q184" s="66" t="s">
        <v>294</v>
      </c>
      <c r="R184" s="71">
        <v>1.72</v>
      </c>
      <c r="S184" s="22"/>
      <c r="T184" s="70">
        <f t="shared" si="51"/>
        <v>0</v>
      </c>
      <c r="U184" s="22"/>
      <c r="V184" s="66">
        <f t="shared" si="48"/>
        <v>0</v>
      </c>
      <c r="W184" s="73">
        <f t="shared" si="49"/>
        <v>0</v>
      </c>
    </row>
    <row r="185" spans="1:23">
      <c r="B185" t="s">
        <v>515</v>
      </c>
      <c r="C185" t="s">
        <v>516</v>
      </c>
      <c r="E185" s="22">
        <f t="shared" si="47"/>
        <v>7</v>
      </c>
      <c r="F185" s="22" t="s">
        <v>517</v>
      </c>
      <c r="G185" s="67"/>
      <c r="H185" s="22"/>
      <c r="I185" s="22">
        <v>0</v>
      </c>
      <c r="J185" s="66" t="s">
        <v>294</v>
      </c>
      <c r="K185" s="74">
        <v>6.8</v>
      </c>
      <c r="L185" s="66"/>
      <c r="M185" s="70">
        <f t="shared" si="50"/>
        <v>0</v>
      </c>
      <c r="N185" s="70"/>
      <c r="O185" s="72"/>
      <c r="P185" s="22">
        <v>0</v>
      </c>
      <c r="Q185" s="66" t="s">
        <v>294</v>
      </c>
      <c r="R185" s="71">
        <v>9.36</v>
      </c>
      <c r="S185" s="66"/>
      <c r="T185" s="70">
        <f t="shared" si="51"/>
        <v>0</v>
      </c>
      <c r="U185" s="22"/>
      <c r="V185" s="66">
        <f t="shared" si="48"/>
        <v>0</v>
      </c>
      <c r="W185" s="73">
        <f t="shared" si="49"/>
        <v>0</v>
      </c>
    </row>
    <row r="186" spans="1:23">
      <c r="B186" t="s">
        <v>518</v>
      </c>
      <c r="C186" t="s">
        <v>519</v>
      </c>
      <c r="E186" s="22">
        <f t="shared" si="47"/>
        <v>8</v>
      </c>
      <c r="F186" s="22" t="s">
        <v>520</v>
      </c>
      <c r="G186" s="22"/>
      <c r="H186" s="22"/>
      <c r="I186" s="185">
        <v>0</v>
      </c>
      <c r="J186" s="66" t="s">
        <v>294</v>
      </c>
      <c r="K186" s="74">
        <v>18.309999999999999</v>
      </c>
      <c r="L186" s="22"/>
      <c r="M186" s="70">
        <f t="shared" si="50"/>
        <v>0</v>
      </c>
      <c r="N186" s="22"/>
      <c r="O186" s="23"/>
      <c r="P186" s="185">
        <v>0</v>
      </c>
      <c r="Q186" s="66" t="s">
        <v>294</v>
      </c>
      <c r="R186" s="71">
        <v>25.76</v>
      </c>
      <c r="S186" s="22"/>
      <c r="T186" s="70">
        <f t="shared" si="51"/>
        <v>0</v>
      </c>
      <c r="U186" s="22"/>
      <c r="V186" s="66">
        <f t="shared" si="48"/>
        <v>0</v>
      </c>
      <c r="W186" s="73">
        <f t="shared" si="49"/>
        <v>0</v>
      </c>
    </row>
    <row r="187" spans="1:23">
      <c r="E187" s="22">
        <f t="shared" si="47"/>
        <v>9</v>
      </c>
      <c r="F187" s="67" t="s">
        <v>521</v>
      </c>
      <c r="G187" s="67"/>
      <c r="H187" s="22"/>
      <c r="I187" s="22">
        <f>+SUM(I181:I186)</f>
        <v>0</v>
      </c>
      <c r="J187" s="66" t="s">
        <v>328</v>
      </c>
      <c r="K187" s="74"/>
      <c r="L187" s="66"/>
      <c r="M187" s="129">
        <f>+SUM(M181:M186)</f>
        <v>0</v>
      </c>
      <c r="N187" s="66"/>
      <c r="O187" s="72"/>
      <c r="P187" s="22">
        <f>+SUM(P181:P186)</f>
        <v>0</v>
      </c>
      <c r="Q187" s="66" t="s">
        <v>328</v>
      </c>
      <c r="R187" s="74"/>
      <c r="S187" s="66"/>
      <c r="T187" s="129">
        <f>+SUM(T181:T186)</f>
        <v>0</v>
      </c>
      <c r="U187" s="22"/>
      <c r="V187" s="66">
        <f t="shared" si="48"/>
        <v>0</v>
      </c>
      <c r="W187" s="73">
        <f t="shared" si="49"/>
        <v>0</v>
      </c>
    </row>
    <row r="188" spans="1:23">
      <c r="E188" s="22">
        <f t="shared" si="47"/>
        <v>10</v>
      </c>
      <c r="F188" s="22"/>
      <c r="G188" s="22"/>
      <c r="H188" s="22"/>
      <c r="I188" s="22"/>
      <c r="J188" s="22"/>
      <c r="K188" s="22"/>
      <c r="L188" s="22"/>
      <c r="M188" s="70"/>
      <c r="N188" s="22"/>
      <c r="O188" s="23"/>
      <c r="P188" s="22"/>
      <c r="Q188" s="22"/>
      <c r="R188" s="22"/>
      <c r="S188" s="22"/>
      <c r="T188" s="70"/>
      <c r="U188" s="22"/>
      <c r="V188" s="22"/>
      <c r="W188" s="22"/>
    </row>
    <row r="189" spans="1:23">
      <c r="E189" s="22">
        <f t="shared" si="47"/>
        <v>11</v>
      </c>
      <c r="F189" s="67" t="s">
        <v>522</v>
      </c>
      <c r="G189" s="22"/>
      <c r="H189" s="22"/>
      <c r="I189" s="22"/>
      <c r="J189" s="22"/>
      <c r="K189" s="22"/>
      <c r="L189" s="22"/>
      <c r="M189" s="70"/>
      <c r="N189" s="22"/>
      <c r="O189" s="23"/>
      <c r="P189" s="22"/>
      <c r="Q189" s="22"/>
      <c r="R189" s="22"/>
      <c r="S189" s="22"/>
      <c r="T189" s="70"/>
      <c r="U189" s="22"/>
      <c r="V189" s="22"/>
      <c r="W189" s="22"/>
    </row>
    <row r="190" spans="1:23">
      <c r="B190" t="s">
        <v>523</v>
      </c>
      <c r="C190" t="s">
        <v>524</v>
      </c>
      <c r="E190" s="22">
        <f t="shared" si="47"/>
        <v>12</v>
      </c>
      <c r="F190" s="150" t="s">
        <v>85</v>
      </c>
      <c r="G190" s="22"/>
      <c r="H190" s="22"/>
      <c r="I190" s="22">
        <v>0</v>
      </c>
      <c r="J190" s="66" t="s">
        <v>304</v>
      </c>
      <c r="K190" s="77">
        <v>7.3600000000000002E-3</v>
      </c>
      <c r="L190" s="22"/>
      <c r="M190" s="70">
        <f>+I190*K190</f>
        <v>0</v>
      </c>
      <c r="N190" s="22"/>
      <c r="O190" s="23"/>
      <c r="P190" s="22">
        <v>0</v>
      </c>
      <c r="Q190" s="66" t="s">
        <v>304</v>
      </c>
      <c r="R190" s="76">
        <f>+K190*(1+0.05)</f>
        <v>7.7280000000000005E-3</v>
      </c>
      <c r="S190" s="22"/>
      <c r="T190" s="70">
        <f>+P190*R190</f>
        <v>0</v>
      </c>
      <c r="U190" s="22"/>
      <c r="V190" s="66">
        <f t="shared" ref="V190:V201" si="52">+T190-M190</f>
        <v>0</v>
      </c>
      <c r="W190" s="73">
        <f t="shared" ref="W190:W201" si="53">+IF(V190=0,0,(T190-M190)/M190)</f>
        <v>0</v>
      </c>
    </row>
    <row r="191" spans="1:23">
      <c r="B191" t="s">
        <v>525</v>
      </c>
      <c r="C191" t="s">
        <v>526</v>
      </c>
      <c r="E191" s="22">
        <f t="shared" si="47"/>
        <v>13</v>
      </c>
      <c r="F191" s="150" t="s">
        <v>86</v>
      </c>
      <c r="G191" s="22"/>
      <c r="H191" s="22"/>
      <c r="I191" s="22">
        <v>0</v>
      </c>
      <c r="J191" s="66" t="s">
        <v>304</v>
      </c>
      <c r="K191" s="77">
        <v>7.3600000000000002E-3</v>
      </c>
      <c r="L191" s="22"/>
      <c r="M191" s="70">
        <f t="shared" ref="M191:M201" si="54">+I191*K191</f>
        <v>0</v>
      </c>
      <c r="N191" s="22"/>
      <c r="O191" s="23"/>
      <c r="P191" s="22">
        <v>0</v>
      </c>
      <c r="Q191" s="66" t="s">
        <v>304</v>
      </c>
      <c r="R191" s="76">
        <f t="shared" ref="R191:R192" si="55">+K191*(1+0.05)</f>
        <v>7.7280000000000005E-3</v>
      </c>
      <c r="S191" s="22"/>
      <c r="T191" s="70">
        <f t="shared" ref="T191:T201" si="56">+P191*R191</f>
        <v>0</v>
      </c>
      <c r="U191" s="22"/>
      <c r="V191" s="66">
        <f t="shared" si="52"/>
        <v>0</v>
      </c>
      <c r="W191" s="73">
        <f t="shared" si="53"/>
        <v>0</v>
      </c>
    </row>
    <row r="192" spans="1:23">
      <c r="B192" t="s">
        <v>527</v>
      </c>
      <c r="C192" t="s">
        <v>528</v>
      </c>
      <c r="E192" s="22">
        <f t="shared" si="47"/>
        <v>14</v>
      </c>
      <c r="F192" s="150" t="s">
        <v>87</v>
      </c>
      <c r="G192" s="22"/>
      <c r="H192" s="22"/>
      <c r="I192" s="22">
        <v>0</v>
      </c>
      <c r="J192" s="66" t="s">
        <v>304</v>
      </c>
      <c r="K192" s="77">
        <v>7.3600000000000002E-3</v>
      </c>
      <c r="L192" s="22"/>
      <c r="M192" s="70">
        <f t="shared" si="54"/>
        <v>0</v>
      </c>
      <c r="N192" s="22"/>
      <c r="O192" s="23"/>
      <c r="P192" s="22">
        <v>0</v>
      </c>
      <c r="Q192" s="66" t="s">
        <v>304</v>
      </c>
      <c r="R192" s="76">
        <f t="shared" si="55"/>
        <v>7.7280000000000005E-3</v>
      </c>
      <c r="S192" s="22"/>
      <c r="T192" s="70">
        <f t="shared" si="56"/>
        <v>0</v>
      </c>
      <c r="U192" s="22"/>
      <c r="V192" s="66">
        <f t="shared" si="52"/>
        <v>0</v>
      </c>
      <c r="W192" s="73">
        <f t="shared" si="53"/>
        <v>0</v>
      </c>
    </row>
    <row r="193" spans="2:23">
      <c r="B193" t="s">
        <v>529</v>
      </c>
      <c r="C193" t="s">
        <v>530</v>
      </c>
      <c r="E193" s="22">
        <f t="shared" si="47"/>
        <v>15</v>
      </c>
      <c r="F193" s="22" t="s">
        <v>531</v>
      </c>
      <c r="G193" s="22"/>
      <c r="H193" s="22"/>
      <c r="I193" s="22">
        <v>0</v>
      </c>
      <c r="J193" s="66" t="s">
        <v>304</v>
      </c>
      <c r="K193" s="77">
        <v>1.193E-2</v>
      </c>
      <c r="L193" s="22"/>
      <c r="M193" s="70">
        <f t="shared" si="54"/>
        <v>0</v>
      </c>
      <c r="N193" s="22"/>
      <c r="O193" s="23"/>
      <c r="P193" s="22">
        <v>0</v>
      </c>
      <c r="Q193" s="66" t="s">
        <v>304</v>
      </c>
      <c r="R193" s="77">
        <v>1.2432E-2</v>
      </c>
      <c r="S193" s="22"/>
      <c r="T193" s="70">
        <f t="shared" si="56"/>
        <v>0</v>
      </c>
      <c r="U193" s="22"/>
      <c r="V193" s="66">
        <f t="shared" si="52"/>
        <v>0</v>
      </c>
      <c r="W193" s="73">
        <f t="shared" si="53"/>
        <v>0</v>
      </c>
    </row>
    <row r="194" spans="2:23">
      <c r="B194" t="s">
        <v>532</v>
      </c>
      <c r="C194" t="s">
        <v>533</v>
      </c>
      <c r="E194" s="22">
        <f t="shared" si="47"/>
        <v>16</v>
      </c>
      <c r="F194" s="22" t="s">
        <v>534</v>
      </c>
      <c r="G194" s="22"/>
      <c r="H194" s="22"/>
      <c r="I194" s="22">
        <v>0</v>
      </c>
      <c r="J194" s="66" t="s">
        <v>304</v>
      </c>
      <c r="K194" s="77">
        <v>1.193E-2</v>
      </c>
      <c r="L194" s="22"/>
      <c r="M194" s="70">
        <f t="shared" si="54"/>
        <v>0</v>
      </c>
      <c r="N194" s="22"/>
      <c r="O194" s="23"/>
      <c r="P194" s="22">
        <v>0</v>
      </c>
      <c r="Q194" s="66" t="s">
        <v>304</v>
      </c>
      <c r="R194" s="77">
        <v>1.2432E-2</v>
      </c>
      <c r="S194" s="66"/>
      <c r="T194" s="70">
        <f t="shared" si="56"/>
        <v>0</v>
      </c>
      <c r="U194" s="22"/>
      <c r="V194" s="66">
        <f t="shared" si="52"/>
        <v>0</v>
      </c>
      <c r="W194" s="73">
        <f t="shared" si="53"/>
        <v>0</v>
      </c>
    </row>
    <row r="195" spans="2:23">
      <c r="B195" t="s">
        <v>535</v>
      </c>
      <c r="C195" t="s">
        <v>536</v>
      </c>
      <c r="E195" s="22">
        <f t="shared" si="47"/>
        <v>17</v>
      </c>
      <c r="F195" s="22" t="s">
        <v>537</v>
      </c>
      <c r="G195" s="65"/>
      <c r="H195" s="22"/>
      <c r="I195" s="22">
        <v>0</v>
      </c>
      <c r="J195" s="66" t="s">
        <v>304</v>
      </c>
      <c r="K195" s="77">
        <v>1.193E-2</v>
      </c>
      <c r="L195" s="66"/>
      <c r="M195" s="70">
        <f t="shared" si="54"/>
        <v>0</v>
      </c>
      <c r="N195" s="66"/>
      <c r="O195" s="72"/>
      <c r="P195" s="22">
        <v>0</v>
      </c>
      <c r="Q195" s="66" t="s">
        <v>304</v>
      </c>
      <c r="R195" s="77">
        <v>1.2432E-2</v>
      </c>
      <c r="S195" s="22"/>
      <c r="T195" s="70">
        <f t="shared" si="56"/>
        <v>0</v>
      </c>
      <c r="U195" s="22"/>
      <c r="V195" s="66">
        <f t="shared" si="52"/>
        <v>0</v>
      </c>
      <c r="W195" s="73">
        <f t="shared" si="53"/>
        <v>0</v>
      </c>
    </row>
    <row r="196" spans="2:23">
      <c r="B196" t="s">
        <v>538</v>
      </c>
      <c r="C196" t="s">
        <v>539</v>
      </c>
      <c r="E196" s="22">
        <f t="shared" si="47"/>
        <v>18</v>
      </c>
      <c r="F196" s="22" t="s">
        <v>540</v>
      </c>
      <c r="G196" s="22"/>
      <c r="H196" s="22"/>
      <c r="I196" s="22">
        <v>0</v>
      </c>
      <c r="J196" s="66" t="s">
        <v>304</v>
      </c>
      <c r="K196" s="77">
        <v>5.7099999999999998E-3</v>
      </c>
      <c r="L196" s="22"/>
      <c r="M196" s="70">
        <f t="shared" si="54"/>
        <v>0</v>
      </c>
      <c r="N196" s="22"/>
      <c r="O196" s="23"/>
      <c r="P196" s="22">
        <v>0</v>
      </c>
      <c r="Q196" s="66" t="s">
        <v>304</v>
      </c>
      <c r="R196" s="77">
        <v>8.1720000000000004E-3</v>
      </c>
      <c r="S196" s="22"/>
      <c r="T196" s="70">
        <f t="shared" si="56"/>
        <v>0</v>
      </c>
      <c r="U196" s="22"/>
      <c r="V196" s="66">
        <f t="shared" si="52"/>
        <v>0</v>
      </c>
      <c r="W196" s="73">
        <f t="shared" si="53"/>
        <v>0</v>
      </c>
    </row>
    <row r="197" spans="2:23">
      <c r="B197" t="s">
        <v>541</v>
      </c>
      <c r="C197" t="s">
        <v>542</v>
      </c>
      <c r="E197" s="22">
        <f t="shared" si="47"/>
        <v>19</v>
      </c>
      <c r="F197" s="22" t="s">
        <v>543</v>
      </c>
      <c r="G197" s="65"/>
      <c r="H197" s="22"/>
      <c r="I197" s="22">
        <v>0</v>
      </c>
      <c r="J197" s="66" t="s">
        <v>304</v>
      </c>
      <c r="K197" s="77">
        <v>5.7099999999999998E-3</v>
      </c>
      <c r="L197" s="66"/>
      <c r="M197" s="70">
        <f t="shared" si="54"/>
        <v>0</v>
      </c>
      <c r="N197" s="66"/>
      <c r="O197" s="72"/>
      <c r="P197" s="22">
        <v>0</v>
      </c>
      <c r="Q197" s="66" t="s">
        <v>304</v>
      </c>
      <c r="R197" s="77">
        <v>8.1720000000000004E-3</v>
      </c>
      <c r="S197" s="22"/>
      <c r="T197" s="70">
        <f t="shared" si="56"/>
        <v>0</v>
      </c>
      <c r="U197" s="22"/>
      <c r="V197" s="66">
        <f t="shared" si="52"/>
        <v>0</v>
      </c>
      <c r="W197" s="73">
        <f t="shared" si="53"/>
        <v>0</v>
      </c>
    </row>
    <row r="198" spans="2:23">
      <c r="B198" t="s">
        <v>544</v>
      </c>
      <c r="C198" t="s">
        <v>545</v>
      </c>
      <c r="E198" s="22">
        <f t="shared" si="47"/>
        <v>20</v>
      </c>
      <c r="F198" s="22" t="s">
        <v>546</v>
      </c>
      <c r="G198" s="22"/>
      <c r="H198" s="22"/>
      <c r="I198" s="22">
        <v>0</v>
      </c>
      <c r="J198" s="66" t="s">
        <v>304</v>
      </c>
      <c r="K198" s="77">
        <v>5.7099999999999998E-3</v>
      </c>
      <c r="L198" s="22"/>
      <c r="M198" s="70">
        <f t="shared" si="54"/>
        <v>0</v>
      </c>
      <c r="N198" s="22"/>
      <c r="O198" s="23"/>
      <c r="P198" s="22">
        <v>0</v>
      </c>
      <c r="Q198" s="66" t="s">
        <v>304</v>
      </c>
      <c r="R198" s="77">
        <v>8.1720000000000004E-3</v>
      </c>
      <c r="S198" s="22"/>
      <c r="T198" s="70">
        <f t="shared" si="56"/>
        <v>0</v>
      </c>
      <c r="U198" s="22"/>
      <c r="V198" s="66">
        <f t="shared" si="52"/>
        <v>0</v>
      </c>
      <c r="W198" s="73">
        <f t="shared" si="53"/>
        <v>0</v>
      </c>
    </row>
    <row r="199" spans="2:23">
      <c r="B199" t="s">
        <v>547</v>
      </c>
      <c r="C199" t="s">
        <v>548</v>
      </c>
      <c r="E199" s="22">
        <f t="shared" si="47"/>
        <v>21</v>
      </c>
      <c r="F199" s="22" t="s">
        <v>549</v>
      </c>
      <c r="I199" s="22">
        <v>0</v>
      </c>
      <c r="J199" s="66" t="s">
        <v>304</v>
      </c>
      <c r="K199" s="77">
        <v>0</v>
      </c>
      <c r="M199" s="70">
        <f t="shared" si="54"/>
        <v>0</v>
      </c>
      <c r="P199" s="22">
        <v>0</v>
      </c>
      <c r="Q199" s="66" t="s">
        <v>304</v>
      </c>
      <c r="R199" s="77">
        <v>4.6120000000000006E-3</v>
      </c>
      <c r="T199" s="70">
        <f t="shared" si="56"/>
        <v>0</v>
      </c>
      <c r="V199" s="66">
        <f t="shared" si="52"/>
        <v>0</v>
      </c>
      <c r="W199" s="73">
        <f t="shared" si="53"/>
        <v>0</v>
      </c>
    </row>
    <row r="200" spans="2:23">
      <c r="B200" t="s">
        <v>550</v>
      </c>
      <c r="C200" t="s">
        <v>551</v>
      </c>
      <c r="E200" s="22">
        <f t="shared" si="47"/>
        <v>22</v>
      </c>
      <c r="F200" s="22" t="s">
        <v>552</v>
      </c>
      <c r="I200" s="22">
        <v>0</v>
      </c>
      <c r="J200" s="66" t="s">
        <v>304</v>
      </c>
      <c r="K200" s="77">
        <v>0</v>
      </c>
      <c r="M200" s="70">
        <f t="shared" si="54"/>
        <v>0</v>
      </c>
      <c r="P200" s="22">
        <v>0</v>
      </c>
      <c r="Q200" s="66" t="s">
        <v>304</v>
      </c>
      <c r="R200" s="77">
        <v>4.6120000000000006E-3</v>
      </c>
      <c r="T200" s="70">
        <f t="shared" si="56"/>
        <v>0</v>
      </c>
      <c r="V200" s="66">
        <f t="shared" si="52"/>
        <v>0</v>
      </c>
      <c r="W200" s="73">
        <f t="shared" si="53"/>
        <v>0</v>
      </c>
    </row>
    <row r="201" spans="2:23">
      <c r="B201" t="s">
        <v>553</v>
      </c>
      <c r="C201" t="s">
        <v>554</v>
      </c>
      <c r="E201" s="22">
        <f t="shared" si="47"/>
        <v>23</v>
      </c>
      <c r="F201" s="22" t="s">
        <v>555</v>
      </c>
      <c r="I201" s="185">
        <v>0</v>
      </c>
      <c r="J201" s="66" t="s">
        <v>304</v>
      </c>
      <c r="K201" s="77">
        <v>0</v>
      </c>
      <c r="M201" s="70">
        <f t="shared" si="54"/>
        <v>0</v>
      </c>
      <c r="P201" s="185">
        <v>0</v>
      </c>
      <c r="Q201" s="66" t="s">
        <v>304</v>
      </c>
      <c r="R201" s="77">
        <v>4.6120000000000006E-3</v>
      </c>
      <c r="T201" s="70">
        <f t="shared" si="56"/>
        <v>0</v>
      </c>
      <c r="V201" s="66">
        <f t="shared" si="52"/>
        <v>0</v>
      </c>
      <c r="W201" s="73">
        <f t="shared" si="53"/>
        <v>0</v>
      </c>
    </row>
    <row r="202" spans="2:23">
      <c r="E202" s="22">
        <f t="shared" si="47"/>
        <v>24</v>
      </c>
      <c r="F202" s="22" t="s">
        <v>43</v>
      </c>
      <c r="G202" s="22"/>
      <c r="H202" s="22"/>
      <c r="I202" s="22">
        <f>+SUM(I190:I201)</f>
        <v>0</v>
      </c>
      <c r="J202" s="66"/>
      <c r="K202" s="74"/>
      <c r="L202" s="22"/>
      <c r="M202" s="129">
        <f>+SUM(M190:M201)</f>
        <v>0</v>
      </c>
      <c r="N202" s="22"/>
      <c r="O202" s="23"/>
      <c r="P202" s="22">
        <f>+SUM(P190:P201)</f>
        <v>0</v>
      </c>
      <c r="Q202" s="66"/>
      <c r="R202" s="74"/>
      <c r="S202" s="22"/>
      <c r="T202" s="129">
        <f>+SUM(T190:T201)</f>
        <v>0</v>
      </c>
      <c r="U202" s="22"/>
      <c r="V202" s="66">
        <f>+T202-M202</f>
        <v>0</v>
      </c>
      <c r="W202" s="73">
        <f>+IF(V202=0,0,(T202-M202)/M202)</f>
        <v>0</v>
      </c>
    </row>
    <row r="203" spans="2:23">
      <c r="E203" s="22">
        <f t="shared" si="47"/>
        <v>25</v>
      </c>
      <c r="F203" s="22"/>
      <c r="G203" s="22"/>
      <c r="H203" s="22"/>
      <c r="I203" s="70"/>
      <c r="J203" s="66"/>
      <c r="K203" s="74"/>
      <c r="L203" s="22"/>
      <c r="M203" s="70"/>
      <c r="N203" s="22"/>
      <c r="O203" s="23"/>
      <c r="P203" s="70"/>
      <c r="Q203" s="66"/>
      <c r="R203" s="74"/>
      <c r="S203" s="22"/>
      <c r="T203" s="70"/>
      <c r="U203" s="22"/>
      <c r="V203" s="22"/>
      <c r="W203" s="75"/>
    </row>
    <row r="204" spans="2:23">
      <c r="E204" s="22">
        <f t="shared" si="47"/>
        <v>26</v>
      </c>
      <c r="F204" s="67" t="s">
        <v>556</v>
      </c>
      <c r="G204" s="22"/>
      <c r="H204" s="22"/>
      <c r="I204" s="22"/>
      <c r="J204" s="22"/>
      <c r="K204" s="74"/>
      <c r="L204" s="22"/>
      <c r="M204" s="70"/>
      <c r="N204" s="22"/>
      <c r="O204" s="23"/>
      <c r="P204" s="22"/>
      <c r="Q204" s="22"/>
      <c r="R204" s="74"/>
      <c r="S204" s="22"/>
      <c r="T204" s="70"/>
      <c r="U204" s="22"/>
      <c r="V204" s="22"/>
      <c r="W204" s="22"/>
    </row>
    <row r="205" spans="2:23">
      <c r="B205" t="s">
        <v>557</v>
      </c>
      <c r="C205" t="s">
        <v>558</v>
      </c>
      <c r="E205" s="22">
        <f t="shared" si="47"/>
        <v>27</v>
      </c>
      <c r="F205" s="67" t="s">
        <v>559</v>
      </c>
      <c r="G205" s="22"/>
      <c r="H205" s="22"/>
      <c r="I205" s="22">
        <v>0</v>
      </c>
      <c r="J205" s="66" t="s">
        <v>304</v>
      </c>
      <c r="K205" s="77">
        <v>8.5699999999999995E-3</v>
      </c>
      <c r="L205" s="22"/>
      <c r="M205" s="70">
        <f>+I205*K205</f>
        <v>0</v>
      </c>
      <c r="N205" s="22"/>
      <c r="O205" s="23"/>
      <c r="P205" s="22">
        <v>0</v>
      </c>
      <c r="Q205" s="66" t="s">
        <v>304</v>
      </c>
      <c r="R205" s="76">
        <f>+K205*(1+0.05)</f>
        <v>8.9984999999999996E-3</v>
      </c>
      <c r="S205" s="22"/>
      <c r="T205" s="70">
        <f>+P205*R205</f>
        <v>0</v>
      </c>
      <c r="U205" s="22"/>
      <c r="V205" s="66">
        <f t="shared" ref="V205:V216" si="57">+T205-M205</f>
        <v>0</v>
      </c>
      <c r="W205" s="73">
        <f t="shared" ref="W205:W216" si="58">+IF(V205=0,0,(T205-M205)/M205)</f>
        <v>0</v>
      </c>
    </row>
    <row r="206" spans="2:23">
      <c r="B206" t="s">
        <v>560</v>
      </c>
      <c r="C206" t="s">
        <v>561</v>
      </c>
      <c r="E206" s="22">
        <f t="shared" si="47"/>
        <v>28</v>
      </c>
      <c r="F206" s="67" t="s">
        <v>562</v>
      </c>
      <c r="G206" s="22"/>
      <c r="H206" s="22"/>
      <c r="I206" s="22">
        <v>0</v>
      </c>
      <c r="J206" s="66" t="s">
        <v>304</v>
      </c>
      <c r="K206" s="77">
        <v>8.5699999999999995E-3</v>
      </c>
      <c r="L206" s="22"/>
      <c r="M206" s="70">
        <f t="shared" ref="M206:M216" si="59">+I206*K206</f>
        <v>0</v>
      </c>
      <c r="N206" s="22"/>
      <c r="O206" s="23"/>
      <c r="P206" s="22">
        <v>0</v>
      </c>
      <c r="Q206" s="66" t="s">
        <v>304</v>
      </c>
      <c r="R206" s="76">
        <f>+R205</f>
        <v>8.9984999999999996E-3</v>
      </c>
      <c r="S206" s="22"/>
      <c r="T206" s="70">
        <f t="shared" ref="T206:T216" si="60">+P206*R206</f>
        <v>0</v>
      </c>
      <c r="U206" s="22"/>
      <c r="V206" s="66">
        <f t="shared" si="57"/>
        <v>0</v>
      </c>
      <c r="W206" s="73">
        <f t="shared" si="58"/>
        <v>0</v>
      </c>
    </row>
    <row r="207" spans="2:23">
      <c r="B207" t="s">
        <v>563</v>
      </c>
      <c r="C207" t="s">
        <v>564</v>
      </c>
      <c r="E207" s="22">
        <f t="shared" si="47"/>
        <v>29</v>
      </c>
      <c r="F207" s="67" t="s">
        <v>565</v>
      </c>
      <c r="G207" s="22"/>
      <c r="H207" s="22"/>
      <c r="I207" s="22">
        <v>0</v>
      </c>
      <c r="J207" s="66" t="s">
        <v>304</v>
      </c>
      <c r="K207" s="77">
        <v>8.5699999999999995E-3</v>
      </c>
      <c r="L207" s="22"/>
      <c r="M207" s="70">
        <f t="shared" si="59"/>
        <v>0</v>
      </c>
      <c r="N207" s="22"/>
      <c r="O207" s="23"/>
      <c r="P207" s="22">
        <v>0</v>
      </c>
      <c r="Q207" s="66" t="s">
        <v>304</v>
      </c>
      <c r="R207" s="76">
        <f t="shared" ref="R207:R216" si="61">+R206</f>
        <v>8.9984999999999996E-3</v>
      </c>
      <c r="S207" s="22"/>
      <c r="T207" s="70">
        <f t="shared" si="60"/>
        <v>0</v>
      </c>
      <c r="U207" s="22"/>
      <c r="V207" s="66">
        <f t="shared" si="57"/>
        <v>0</v>
      </c>
      <c r="W207" s="73">
        <f t="shared" si="58"/>
        <v>0</v>
      </c>
    </row>
    <row r="208" spans="2:23">
      <c r="B208" t="s">
        <v>566</v>
      </c>
      <c r="C208" t="s">
        <v>567</v>
      </c>
      <c r="E208" s="22">
        <f t="shared" si="47"/>
        <v>30</v>
      </c>
      <c r="F208" s="22" t="s">
        <v>568</v>
      </c>
      <c r="G208" s="22"/>
      <c r="H208" s="22"/>
      <c r="I208" s="22">
        <v>0</v>
      </c>
      <c r="J208" s="66" t="s">
        <v>304</v>
      </c>
      <c r="K208" s="77">
        <v>8.5699999999999995E-3</v>
      </c>
      <c r="L208" s="22"/>
      <c r="M208" s="70">
        <f t="shared" si="59"/>
        <v>0</v>
      </c>
      <c r="N208" s="22"/>
      <c r="O208" s="23"/>
      <c r="P208" s="22">
        <v>0</v>
      </c>
      <c r="Q208" s="66" t="s">
        <v>304</v>
      </c>
      <c r="R208" s="76">
        <f t="shared" si="61"/>
        <v>8.9984999999999996E-3</v>
      </c>
      <c r="S208" s="22"/>
      <c r="T208" s="70">
        <f t="shared" si="60"/>
        <v>0</v>
      </c>
      <c r="U208" s="66"/>
      <c r="V208" s="66">
        <f t="shared" si="57"/>
        <v>0</v>
      </c>
      <c r="W208" s="73">
        <f t="shared" si="58"/>
        <v>0</v>
      </c>
    </row>
    <row r="209" spans="1:23">
      <c r="B209" t="s">
        <v>569</v>
      </c>
      <c r="C209" t="s">
        <v>570</v>
      </c>
      <c r="E209" s="22">
        <f t="shared" si="47"/>
        <v>31</v>
      </c>
      <c r="F209" s="22" t="s">
        <v>534</v>
      </c>
      <c r="G209" s="22"/>
      <c r="H209" s="22"/>
      <c r="I209" s="22">
        <v>0</v>
      </c>
      <c r="J209" s="66" t="s">
        <v>304</v>
      </c>
      <c r="K209" s="77">
        <v>8.5699999999999995E-3</v>
      </c>
      <c r="L209" s="22"/>
      <c r="M209" s="70">
        <f t="shared" si="59"/>
        <v>0</v>
      </c>
      <c r="N209" s="22"/>
      <c r="O209" s="23"/>
      <c r="P209" s="22">
        <v>0</v>
      </c>
      <c r="Q209" s="66" t="s">
        <v>304</v>
      </c>
      <c r="R209" s="76">
        <f t="shared" si="61"/>
        <v>8.9984999999999996E-3</v>
      </c>
      <c r="S209" s="22"/>
      <c r="T209" s="70">
        <f t="shared" si="60"/>
        <v>0</v>
      </c>
      <c r="U209" s="66"/>
      <c r="V209" s="66">
        <f t="shared" si="57"/>
        <v>0</v>
      </c>
      <c r="W209" s="73">
        <f t="shared" si="58"/>
        <v>0</v>
      </c>
    </row>
    <row r="210" spans="1:23">
      <c r="B210" t="s">
        <v>571</v>
      </c>
      <c r="C210" t="s">
        <v>572</v>
      </c>
      <c r="E210" s="22">
        <f t="shared" si="47"/>
        <v>32</v>
      </c>
      <c r="F210" s="22" t="s">
        <v>537</v>
      </c>
      <c r="G210" s="65"/>
      <c r="H210" s="22"/>
      <c r="I210" s="22">
        <v>0</v>
      </c>
      <c r="J210" s="66" t="s">
        <v>304</v>
      </c>
      <c r="K210" s="77">
        <v>8.5699999999999995E-3</v>
      </c>
      <c r="L210" s="66"/>
      <c r="M210" s="70">
        <f t="shared" si="59"/>
        <v>0</v>
      </c>
      <c r="N210" s="66"/>
      <c r="O210" s="72"/>
      <c r="P210" s="22">
        <v>0</v>
      </c>
      <c r="Q210" s="66" t="s">
        <v>304</v>
      </c>
      <c r="R210" s="76">
        <f t="shared" si="61"/>
        <v>8.9984999999999996E-3</v>
      </c>
      <c r="S210" s="22"/>
      <c r="T210" s="70">
        <f t="shared" si="60"/>
        <v>0</v>
      </c>
      <c r="U210" s="22"/>
      <c r="V210" s="66">
        <f t="shared" si="57"/>
        <v>0</v>
      </c>
      <c r="W210" s="73">
        <f t="shared" si="58"/>
        <v>0</v>
      </c>
    </row>
    <row r="211" spans="1:23">
      <c r="B211" t="s">
        <v>573</v>
      </c>
      <c r="C211" t="s">
        <v>574</v>
      </c>
      <c r="E211" s="22">
        <f t="shared" si="47"/>
        <v>33</v>
      </c>
      <c r="F211" s="22" t="s">
        <v>575</v>
      </c>
      <c r="G211" s="22"/>
      <c r="H211" s="22"/>
      <c r="I211" s="22">
        <v>0</v>
      </c>
      <c r="J211" s="66" t="s">
        <v>304</v>
      </c>
      <c r="K211" s="77">
        <v>8.5699999999999995E-3</v>
      </c>
      <c r="L211" s="22"/>
      <c r="M211" s="70">
        <f t="shared" si="59"/>
        <v>0</v>
      </c>
      <c r="N211" s="22"/>
      <c r="O211" s="23"/>
      <c r="P211" s="22">
        <v>0</v>
      </c>
      <c r="Q211" s="66" t="s">
        <v>304</v>
      </c>
      <c r="R211" s="76">
        <f t="shared" si="61"/>
        <v>8.9984999999999996E-3</v>
      </c>
      <c r="S211" s="22"/>
      <c r="T211" s="70">
        <f t="shared" si="60"/>
        <v>0</v>
      </c>
      <c r="U211" s="22"/>
      <c r="V211" s="66">
        <f t="shared" si="57"/>
        <v>0</v>
      </c>
      <c r="W211" s="73">
        <f t="shared" si="58"/>
        <v>0</v>
      </c>
    </row>
    <row r="212" spans="1:23">
      <c r="B212" t="s">
        <v>576</v>
      </c>
      <c r="C212" t="s">
        <v>577</v>
      </c>
      <c r="E212" s="22">
        <f t="shared" si="47"/>
        <v>34</v>
      </c>
      <c r="F212" s="22" t="s">
        <v>543</v>
      </c>
      <c r="G212" s="22"/>
      <c r="H212" s="22"/>
      <c r="I212" s="22">
        <v>0</v>
      </c>
      <c r="J212" s="66" t="s">
        <v>304</v>
      </c>
      <c r="K212" s="77">
        <v>8.5699999999999995E-3</v>
      </c>
      <c r="L212" s="22"/>
      <c r="M212" s="70">
        <f t="shared" si="59"/>
        <v>0</v>
      </c>
      <c r="N212" s="22"/>
      <c r="O212" s="23"/>
      <c r="P212" s="22">
        <v>0</v>
      </c>
      <c r="Q212" s="66" t="s">
        <v>304</v>
      </c>
      <c r="R212" s="76">
        <f t="shared" si="61"/>
        <v>8.9984999999999996E-3</v>
      </c>
      <c r="S212" s="22"/>
      <c r="T212" s="70">
        <f t="shared" si="60"/>
        <v>0</v>
      </c>
      <c r="U212" s="22"/>
      <c r="V212" s="66">
        <f t="shared" si="57"/>
        <v>0</v>
      </c>
      <c r="W212" s="73">
        <f t="shared" si="58"/>
        <v>0</v>
      </c>
    </row>
    <row r="213" spans="1:23">
      <c r="B213" t="s">
        <v>578</v>
      </c>
      <c r="C213" t="s">
        <v>579</v>
      </c>
      <c r="E213" s="22">
        <f t="shared" si="47"/>
        <v>35</v>
      </c>
      <c r="F213" s="22" t="s">
        <v>546</v>
      </c>
      <c r="G213" s="22"/>
      <c r="H213" s="22"/>
      <c r="I213" s="22">
        <v>0</v>
      </c>
      <c r="J213" s="66" t="s">
        <v>304</v>
      </c>
      <c r="K213" s="77">
        <v>8.5699999999999995E-3</v>
      </c>
      <c r="L213" s="22"/>
      <c r="M213" s="70">
        <f t="shared" si="59"/>
        <v>0</v>
      </c>
      <c r="N213" s="22"/>
      <c r="O213" s="23"/>
      <c r="P213" s="22">
        <v>0</v>
      </c>
      <c r="Q213" s="66" t="s">
        <v>304</v>
      </c>
      <c r="R213" s="76">
        <f t="shared" si="61"/>
        <v>8.9984999999999996E-3</v>
      </c>
      <c r="S213" s="22"/>
      <c r="T213" s="70">
        <f t="shared" si="60"/>
        <v>0</v>
      </c>
      <c r="U213" s="66"/>
      <c r="V213" s="66">
        <f t="shared" si="57"/>
        <v>0</v>
      </c>
      <c r="W213" s="73">
        <f t="shared" si="58"/>
        <v>0</v>
      </c>
    </row>
    <row r="214" spans="1:23">
      <c r="B214" t="s">
        <v>576</v>
      </c>
      <c r="C214" t="s">
        <v>580</v>
      </c>
      <c r="E214" s="22">
        <f t="shared" si="47"/>
        <v>36</v>
      </c>
      <c r="F214" s="22" t="s">
        <v>581</v>
      </c>
      <c r="G214" s="22"/>
      <c r="H214" s="22"/>
      <c r="I214" s="22">
        <v>0</v>
      </c>
      <c r="J214" s="66" t="s">
        <v>304</v>
      </c>
      <c r="K214" s="77">
        <v>0</v>
      </c>
      <c r="L214" s="22"/>
      <c r="M214" s="70">
        <f t="shared" si="59"/>
        <v>0</v>
      </c>
      <c r="N214" s="22"/>
      <c r="O214" s="23"/>
      <c r="P214" s="22">
        <v>0</v>
      </c>
      <c r="Q214" s="66" t="s">
        <v>304</v>
      </c>
      <c r="R214" s="76">
        <f t="shared" si="61"/>
        <v>8.9984999999999996E-3</v>
      </c>
      <c r="S214" s="22"/>
      <c r="T214" s="70">
        <f t="shared" si="60"/>
        <v>0</v>
      </c>
      <c r="U214" s="22"/>
      <c r="V214" s="66">
        <f t="shared" si="57"/>
        <v>0</v>
      </c>
      <c r="W214" s="73">
        <f t="shared" si="58"/>
        <v>0</v>
      </c>
    </row>
    <row r="215" spans="1:23">
      <c r="B215" t="s">
        <v>578</v>
      </c>
      <c r="C215" t="s">
        <v>582</v>
      </c>
      <c r="E215" s="22">
        <f t="shared" si="47"/>
        <v>37</v>
      </c>
      <c r="F215" s="22" t="s">
        <v>552</v>
      </c>
      <c r="G215" s="22"/>
      <c r="H215" s="22"/>
      <c r="I215" s="22">
        <v>0</v>
      </c>
      <c r="J215" s="66" t="s">
        <v>304</v>
      </c>
      <c r="K215" s="77">
        <v>0</v>
      </c>
      <c r="L215" s="22"/>
      <c r="M215" s="70">
        <f t="shared" si="59"/>
        <v>0</v>
      </c>
      <c r="N215" s="22"/>
      <c r="O215" s="23"/>
      <c r="P215" s="22">
        <v>0</v>
      </c>
      <c r="Q215" s="66" t="s">
        <v>304</v>
      </c>
      <c r="R215" s="76">
        <f t="shared" si="61"/>
        <v>8.9984999999999996E-3</v>
      </c>
      <c r="S215" s="22"/>
      <c r="T215" s="70">
        <f t="shared" si="60"/>
        <v>0</v>
      </c>
      <c r="U215" s="22"/>
      <c r="V215" s="66">
        <f t="shared" si="57"/>
        <v>0</v>
      </c>
      <c r="W215" s="73">
        <f t="shared" si="58"/>
        <v>0</v>
      </c>
    </row>
    <row r="216" spans="1:23">
      <c r="B216" t="s">
        <v>583</v>
      </c>
      <c r="C216" t="s">
        <v>584</v>
      </c>
      <c r="E216" s="22">
        <f t="shared" si="47"/>
        <v>38</v>
      </c>
      <c r="F216" s="22" t="s">
        <v>555</v>
      </c>
      <c r="G216" s="22"/>
      <c r="H216" s="22"/>
      <c r="I216" s="185">
        <v>0</v>
      </c>
      <c r="J216" s="66" t="s">
        <v>304</v>
      </c>
      <c r="K216" s="77">
        <v>0</v>
      </c>
      <c r="L216" s="22"/>
      <c r="M216" s="70">
        <f t="shared" si="59"/>
        <v>0</v>
      </c>
      <c r="N216" s="22"/>
      <c r="O216" s="23"/>
      <c r="P216" s="185">
        <v>0</v>
      </c>
      <c r="Q216" s="66" t="s">
        <v>304</v>
      </c>
      <c r="R216" s="76">
        <f t="shared" si="61"/>
        <v>8.9984999999999996E-3</v>
      </c>
      <c r="S216" s="22"/>
      <c r="T216" s="157">
        <f t="shared" si="60"/>
        <v>0</v>
      </c>
      <c r="U216" s="66"/>
      <c r="V216" s="66">
        <f t="shared" si="57"/>
        <v>0</v>
      </c>
      <c r="W216" s="73">
        <f t="shared" si="58"/>
        <v>0</v>
      </c>
    </row>
    <row r="217" spans="1:23" ht="15.75" thickBot="1">
      <c r="A217" s="69"/>
      <c r="E217" s="24">
        <f t="shared" si="47"/>
        <v>39</v>
      </c>
      <c r="F217" s="184" t="s">
        <v>521</v>
      </c>
      <c r="G217" s="24"/>
      <c r="H217" s="24"/>
      <c r="I217" s="24">
        <f>+SUM(I205:I216)</f>
        <v>0</v>
      </c>
      <c r="J217" s="24" t="s">
        <v>304</v>
      </c>
      <c r="K217" s="24"/>
      <c r="L217" s="24"/>
      <c r="M217" s="99">
        <f>+SUM(M205:M216)</f>
        <v>0</v>
      </c>
      <c r="N217" s="24"/>
      <c r="O217" s="25"/>
      <c r="P217" s="24">
        <f>+SUM(P205:P216)</f>
        <v>0</v>
      </c>
      <c r="Q217" s="24" t="s">
        <v>304</v>
      </c>
      <c r="R217" s="24"/>
      <c r="S217" s="24"/>
      <c r="T217" s="99">
        <f>+SUM(T205:T216)</f>
        <v>0</v>
      </c>
      <c r="U217" s="24"/>
      <c r="V217" s="114">
        <f>+T217-M217</f>
        <v>0</v>
      </c>
      <c r="W217" s="186">
        <f>+IF(V217=0,0,(T217-M217)/M217)</f>
        <v>0</v>
      </c>
    </row>
    <row r="218" spans="1:23"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3"/>
      <c r="P218" s="22"/>
      <c r="Q218" s="22"/>
      <c r="R218" s="22"/>
      <c r="S218" s="22"/>
      <c r="T218" s="22"/>
      <c r="U218" s="22"/>
      <c r="V218" s="22"/>
      <c r="W218" s="22"/>
    </row>
    <row r="219" spans="1:23">
      <c r="E219" s="22"/>
      <c r="F219" s="22"/>
      <c r="G219" s="22"/>
      <c r="H219" s="22"/>
      <c r="I219" s="22"/>
      <c r="J219" s="22"/>
      <c r="K219" s="22"/>
      <c r="L219" s="330"/>
      <c r="M219" s="330"/>
      <c r="N219" s="330"/>
      <c r="O219" s="330"/>
      <c r="P219" s="330"/>
      <c r="Q219" s="22"/>
      <c r="R219" s="22"/>
      <c r="S219" s="22"/>
      <c r="T219" s="22"/>
      <c r="U219" s="22"/>
      <c r="V219" s="22"/>
      <c r="W219" s="22"/>
    </row>
    <row r="220" spans="1:23" ht="15.75" thickBot="1">
      <c r="E220" s="24"/>
      <c r="F220" s="24"/>
      <c r="G220" s="24"/>
      <c r="H220" s="24"/>
      <c r="I220" s="24"/>
      <c r="J220" s="24"/>
      <c r="K220" s="24"/>
      <c r="L220" s="331" t="s">
        <v>274</v>
      </c>
      <c r="M220" s="331"/>
      <c r="N220" s="331"/>
      <c r="O220" s="331"/>
      <c r="P220" s="331"/>
      <c r="Q220" s="24"/>
      <c r="R220" s="24"/>
      <c r="S220" s="24"/>
      <c r="T220" s="24"/>
      <c r="U220" s="24"/>
      <c r="V220" s="24"/>
      <c r="W220" s="26"/>
    </row>
    <row r="221" spans="1:23">
      <c r="E221" s="22"/>
      <c r="F221" s="22"/>
      <c r="G221" s="22"/>
      <c r="H221" s="22"/>
      <c r="I221" s="22"/>
      <c r="J221" s="22"/>
      <c r="L221" s="22"/>
      <c r="M221" s="22"/>
      <c r="N221" s="22"/>
      <c r="O221" s="29"/>
      <c r="P221" s="30"/>
      <c r="Q221" s="22"/>
      <c r="R221" s="30"/>
      <c r="S221" s="30"/>
      <c r="T221" s="30"/>
      <c r="U221" s="22"/>
      <c r="V221" s="22"/>
      <c r="W221" s="31"/>
    </row>
    <row r="222" spans="1:23">
      <c r="E222" s="22"/>
      <c r="F222" s="22"/>
      <c r="G222" s="22"/>
      <c r="H222" s="22"/>
      <c r="I222" s="22"/>
      <c r="J222" s="22"/>
      <c r="L222" s="22"/>
      <c r="M222" s="22"/>
      <c r="N222" s="22"/>
      <c r="O222" s="23"/>
      <c r="P222" s="31"/>
      <c r="Q222" s="22"/>
      <c r="R222" s="22"/>
      <c r="S222" s="32"/>
      <c r="T222" s="32"/>
      <c r="U222" s="31"/>
      <c r="V222" s="22"/>
      <c r="W222" s="32"/>
    </row>
    <row r="223" spans="1:23"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3"/>
      <c r="P223" s="31"/>
      <c r="Q223" s="32"/>
      <c r="R223" s="22"/>
      <c r="S223" s="22"/>
      <c r="T223" s="32"/>
      <c r="U223" s="31"/>
      <c r="V223" s="22"/>
      <c r="W223" s="32"/>
    </row>
    <row r="224" spans="1:23"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3"/>
      <c r="P224" s="31"/>
      <c r="Q224" s="32"/>
      <c r="R224" s="22"/>
      <c r="S224" s="22"/>
      <c r="T224" s="32"/>
      <c r="U224" s="31"/>
      <c r="V224" s="22"/>
      <c r="W224" s="32"/>
    </row>
    <row r="225" spans="1:23">
      <c r="E225" s="22"/>
      <c r="F225" s="22"/>
      <c r="G225" s="32"/>
      <c r="H225" s="22"/>
      <c r="I225" s="22"/>
      <c r="J225" s="22"/>
      <c r="K225" s="22"/>
      <c r="L225" s="36"/>
      <c r="M225" s="36"/>
      <c r="N225" s="36"/>
      <c r="O225" s="23"/>
      <c r="P225" s="22"/>
      <c r="Q225" s="22"/>
      <c r="R225" s="22"/>
      <c r="S225" s="22"/>
      <c r="T225" s="22"/>
      <c r="U225" s="22"/>
      <c r="V225" s="22"/>
      <c r="W225" s="22"/>
    </row>
    <row r="226" spans="1:23" ht="15.75" thickBot="1">
      <c r="E226" s="24"/>
      <c r="F226" s="24"/>
      <c r="G226" s="26"/>
      <c r="H226" s="37"/>
      <c r="I226" s="37"/>
      <c r="J226" s="38"/>
      <c r="K226" s="38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</row>
    <row r="227" spans="1:23">
      <c r="E227" s="22"/>
      <c r="F227" s="22"/>
      <c r="G227" s="22"/>
      <c r="H227" s="22"/>
      <c r="I227" s="36"/>
      <c r="J227" s="22"/>
      <c r="K227" s="36"/>
      <c r="L227" s="39"/>
      <c r="M227" s="36"/>
      <c r="N227" s="22"/>
      <c r="O227" s="36"/>
      <c r="P227" s="22"/>
      <c r="Q227" s="39"/>
      <c r="R227" s="22"/>
      <c r="S227" s="22"/>
      <c r="T227" s="22"/>
      <c r="U227" s="22"/>
      <c r="V227" s="22"/>
      <c r="W227" s="22"/>
    </row>
    <row r="228" spans="1:23">
      <c r="E228" s="22"/>
      <c r="F228" s="22"/>
      <c r="G228" s="22"/>
      <c r="H228" s="22"/>
      <c r="I228" s="39"/>
      <c r="J228" s="22"/>
      <c r="K228" s="22"/>
      <c r="L228" s="39"/>
      <c r="M228" s="22"/>
      <c r="N228" s="22"/>
      <c r="O228" s="36"/>
      <c r="P228" s="22"/>
      <c r="Q228" s="39"/>
      <c r="R228" s="22"/>
      <c r="S228" s="22"/>
      <c r="T228" s="22"/>
      <c r="U228" s="22"/>
      <c r="V228" s="22"/>
      <c r="W228" s="22"/>
    </row>
    <row r="229" spans="1:23">
      <c r="E229" s="22"/>
      <c r="F229" s="22"/>
      <c r="G229" s="22"/>
      <c r="H229" s="22"/>
      <c r="I229" s="22"/>
      <c r="J229" s="39"/>
      <c r="K229" s="39"/>
      <c r="L229" s="42"/>
      <c r="M229" s="42" t="s">
        <v>278</v>
      </c>
      <c r="N229" s="36"/>
      <c r="O229" s="44" t="s">
        <v>114</v>
      </c>
      <c r="P229" s="39"/>
      <c r="Q229" s="22"/>
      <c r="R229" s="39"/>
      <c r="S229" s="39"/>
      <c r="T229" s="39"/>
      <c r="U229" s="39"/>
      <c r="V229" s="39"/>
      <c r="W229" s="22"/>
    </row>
    <row r="230" spans="1:23">
      <c r="E230" s="22"/>
      <c r="F230" s="22"/>
      <c r="G230" s="22"/>
      <c r="H230" s="22"/>
      <c r="I230" s="22"/>
      <c r="J230" s="39"/>
      <c r="K230" s="39"/>
      <c r="L230" s="39"/>
      <c r="M230" s="39"/>
      <c r="N230" s="39"/>
      <c r="O230" s="36"/>
      <c r="P230" s="39"/>
      <c r="Q230" s="39"/>
      <c r="R230" s="39"/>
      <c r="S230" s="39"/>
      <c r="T230" s="39"/>
      <c r="U230" s="39"/>
      <c r="V230" s="39"/>
      <c r="W230" s="39"/>
    </row>
    <row r="231" spans="1:23">
      <c r="E231" s="23" t="s">
        <v>55</v>
      </c>
      <c r="F231" s="171" t="s">
        <v>280</v>
      </c>
      <c r="G231" s="48"/>
      <c r="H231" s="49"/>
      <c r="I231" s="50"/>
      <c r="J231" s="50"/>
      <c r="K231" s="51" t="s">
        <v>281</v>
      </c>
      <c r="L231" s="50"/>
      <c r="M231" s="50"/>
      <c r="N231" s="48"/>
      <c r="O231" s="53"/>
      <c r="P231" s="50"/>
      <c r="Q231" s="51"/>
      <c r="R231" s="51" t="s">
        <v>282</v>
      </c>
      <c r="S231" s="50"/>
      <c r="T231" s="50"/>
      <c r="U231" s="48"/>
      <c r="V231" s="55" t="s">
        <v>283</v>
      </c>
      <c r="W231" s="55" t="s">
        <v>284</v>
      </c>
    </row>
    <row r="232" spans="1:23" ht="15.75" thickBot="1">
      <c r="A232" s="56" t="s">
        <v>354</v>
      </c>
      <c r="B232" s="56" t="s">
        <v>285</v>
      </c>
      <c r="C232" s="56" t="s">
        <v>286</v>
      </c>
      <c r="E232" s="25" t="s">
        <v>60</v>
      </c>
      <c r="F232" s="57" t="s">
        <v>287</v>
      </c>
      <c r="G232" s="58"/>
      <c r="H232" s="24"/>
      <c r="I232" s="25" t="s">
        <v>288</v>
      </c>
      <c r="J232" s="60"/>
      <c r="K232" s="60" t="s">
        <v>289</v>
      </c>
      <c r="L232" s="60"/>
      <c r="M232" s="60" t="s">
        <v>290</v>
      </c>
      <c r="N232" s="60"/>
      <c r="O232" s="60"/>
      <c r="P232" s="60" t="s">
        <v>288</v>
      </c>
      <c r="Q232" s="60"/>
      <c r="R232" s="60" t="s">
        <v>289</v>
      </c>
      <c r="S232" s="60"/>
      <c r="T232" s="60" t="s">
        <v>290</v>
      </c>
      <c r="U232" s="58"/>
      <c r="V232" s="62" t="s">
        <v>291</v>
      </c>
      <c r="W232" s="62" t="s">
        <v>59</v>
      </c>
    </row>
    <row r="233" spans="1:23">
      <c r="E233" s="22">
        <v>1</v>
      </c>
      <c r="F233" s="332" t="s">
        <v>585</v>
      </c>
      <c r="G233" s="332"/>
      <c r="H233" s="332"/>
      <c r="I233" s="22"/>
      <c r="J233" s="65"/>
      <c r="K233" s="65"/>
      <c r="L233" s="65"/>
      <c r="M233" s="65"/>
      <c r="N233" s="67"/>
      <c r="O233" s="53"/>
      <c r="P233" s="67"/>
      <c r="Q233" s="65"/>
      <c r="R233" s="65"/>
      <c r="S233" s="65"/>
      <c r="T233" s="65"/>
      <c r="U233" s="65"/>
      <c r="V233" s="65"/>
      <c r="W233" s="65"/>
    </row>
    <row r="234" spans="1:23">
      <c r="E234" s="22">
        <v>2</v>
      </c>
      <c r="F234" s="22"/>
      <c r="G234" s="22"/>
      <c r="H234" s="22"/>
      <c r="I234" s="22"/>
      <c r="J234" s="22"/>
      <c r="K234" s="22"/>
      <c r="L234" s="22"/>
      <c r="M234" s="22"/>
      <c r="N234" s="22"/>
      <c r="O234" s="23"/>
      <c r="P234" s="22"/>
      <c r="Q234" s="22"/>
      <c r="R234" s="22"/>
      <c r="S234" s="22"/>
      <c r="T234" s="22"/>
      <c r="U234" s="22"/>
      <c r="V234" s="22"/>
      <c r="W234" s="22"/>
    </row>
    <row r="235" spans="1:23">
      <c r="E235" s="22">
        <v>3</v>
      </c>
      <c r="F235" s="67" t="s">
        <v>586</v>
      </c>
      <c r="G235" s="22"/>
      <c r="H235" s="22"/>
      <c r="I235" s="22"/>
      <c r="J235" s="22"/>
      <c r="K235" s="22"/>
      <c r="L235" s="22"/>
      <c r="M235" s="22"/>
      <c r="N235" s="22"/>
      <c r="O235" s="23"/>
      <c r="P235" s="22"/>
      <c r="Q235" s="22"/>
      <c r="R235" s="22"/>
      <c r="S235" s="22"/>
      <c r="T235" s="22"/>
      <c r="U235" s="22"/>
      <c r="V235" s="22"/>
      <c r="W235" s="22"/>
    </row>
    <row r="236" spans="1:23">
      <c r="B236" t="s">
        <v>587</v>
      </c>
      <c r="C236" t="s">
        <v>588</v>
      </c>
      <c r="E236" s="22">
        <v>4</v>
      </c>
      <c r="F236" s="150" t="s">
        <v>85</v>
      </c>
      <c r="G236" s="22"/>
      <c r="H236" s="22"/>
      <c r="I236" s="22">
        <v>0</v>
      </c>
      <c r="J236" s="66" t="s">
        <v>413</v>
      </c>
      <c r="K236" s="74">
        <v>14.2</v>
      </c>
      <c r="L236" s="163"/>
      <c r="M236" s="66">
        <f>+I236*K236</f>
        <v>0</v>
      </c>
      <c r="N236" s="22"/>
      <c r="O236" s="23"/>
      <c r="P236" s="22">
        <v>0</v>
      </c>
      <c r="Q236" s="66" t="s">
        <v>413</v>
      </c>
      <c r="R236" s="71">
        <v>19.613506094577716</v>
      </c>
      <c r="S236" s="22"/>
      <c r="T236" s="66">
        <f>+P236*R236</f>
        <v>0</v>
      </c>
      <c r="U236" s="22"/>
      <c r="V236" s="66">
        <f t="shared" ref="V236:V244" si="62">+T236-M236</f>
        <v>0</v>
      </c>
      <c r="W236" s="73">
        <f t="shared" ref="W236:W244" si="63">+IF(V236=0,0,(T236-M236)/M236)</f>
        <v>0</v>
      </c>
    </row>
    <row r="237" spans="1:23">
      <c r="B237" t="s">
        <v>589</v>
      </c>
      <c r="C237" t="s">
        <v>590</v>
      </c>
      <c r="E237" s="22">
        <v>5</v>
      </c>
      <c r="F237" s="150" t="s">
        <v>86</v>
      </c>
      <c r="G237" s="22"/>
      <c r="H237" s="22"/>
      <c r="I237" s="22">
        <v>0</v>
      </c>
      <c r="J237" s="66" t="s">
        <v>413</v>
      </c>
      <c r="K237" s="74">
        <v>14.2</v>
      </c>
      <c r="L237" s="163"/>
      <c r="M237" s="66">
        <f t="shared" ref="M237:M244" si="64">+I237*K237</f>
        <v>0</v>
      </c>
      <c r="N237" s="22"/>
      <c r="O237" s="23"/>
      <c r="P237" s="22">
        <v>0</v>
      </c>
      <c r="Q237" s="66" t="s">
        <v>413</v>
      </c>
      <c r="R237" s="71">
        <v>19.613506094577716</v>
      </c>
      <c r="S237" s="22"/>
      <c r="T237" s="66">
        <f t="shared" ref="T237:T244" si="65">+P237*R237</f>
        <v>0</v>
      </c>
      <c r="U237" s="22"/>
      <c r="V237" s="66">
        <f t="shared" si="62"/>
        <v>0</v>
      </c>
      <c r="W237" s="73">
        <f t="shared" si="63"/>
        <v>0</v>
      </c>
    </row>
    <row r="238" spans="1:23">
      <c r="B238" t="s">
        <v>591</v>
      </c>
      <c r="C238" t="s">
        <v>592</v>
      </c>
      <c r="E238" s="22">
        <v>6</v>
      </c>
      <c r="F238" s="150" t="s">
        <v>87</v>
      </c>
      <c r="G238" s="22"/>
      <c r="H238" s="22"/>
      <c r="I238" s="22">
        <v>0</v>
      </c>
      <c r="J238" s="66" t="s">
        <v>413</v>
      </c>
      <c r="K238" s="74">
        <v>14.2</v>
      </c>
      <c r="L238" s="163"/>
      <c r="M238" s="66">
        <f t="shared" si="64"/>
        <v>0</v>
      </c>
      <c r="N238" s="22"/>
      <c r="O238" s="23"/>
      <c r="P238" s="22">
        <v>0</v>
      </c>
      <c r="Q238" s="66" t="s">
        <v>413</v>
      </c>
      <c r="R238" s="71">
        <v>19.613506094577716</v>
      </c>
      <c r="S238" s="22"/>
      <c r="T238" s="66">
        <f t="shared" si="65"/>
        <v>0</v>
      </c>
      <c r="U238" s="22"/>
      <c r="V238" s="66">
        <f t="shared" si="62"/>
        <v>0</v>
      </c>
      <c r="W238" s="73">
        <f t="shared" si="63"/>
        <v>0</v>
      </c>
    </row>
    <row r="239" spans="1:23">
      <c r="B239" t="s">
        <v>593</v>
      </c>
      <c r="C239" t="s">
        <v>594</v>
      </c>
      <c r="E239" s="22">
        <v>7</v>
      </c>
      <c r="F239" s="22" t="s">
        <v>595</v>
      </c>
      <c r="G239" s="65"/>
      <c r="H239" s="22"/>
      <c r="I239" s="22">
        <v>0</v>
      </c>
      <c r="J239" s="66" t="s">
        <v>413</v>
      </c>
      <c r="K239" s="74">
        <v>4.55</v>
      </c>
      <c r="L239" s="163"/>
      <c r="M239" s="66">
        <f t="shared" si="64"/>
        <v>0</v>
      </c>
      <c r="N239" s="66"/>
      <c r="O239" s="72"/>
      <c r="P239" s="22">
        <v>0</v>
      </c>
      <c r="Q239" s="66" t="s">
        <v>413</v>
      </c>
      <c r="R239" s="71">
        <v>5.0382893556621351</v>
      </c>
      <c r="S239" s="66"/>
      <c r="T239" s="66">
        <f t="shared" si="65"/>
        <v>0</v>
      </c>
      <c r="U239" s="22"/>
      <c r="V239" s="66">
        <f t="shared" si="62"/>
        <v>0</v>
      </c>
      <c r="W239" s="73">
        <f t="shared" si="63"/>
        <v>0</v>
      </c>
    </row>
    <row r="240" spans="1:23">
      <c r="B240" t="s">
        <v>596</v>
      </c>
      <c r="C240" t="s">
        <v>597</v>
      </c>
      <c r="E240" s="22">
        <v>8</v>
      </c>
      <c r="F240" s="22" t="s">
        <v>598</v>
      </c>
      <c r="G240" s="22"/>
      <c r="H240" s="22"/>
      <c r="I240" s="22">
        <v>0</v>
      </c>
      <c r="J240" s="66" t="s">
        <v>413</v>
      </c>
      <c r="K240" s="74">
        <v>4.55</v>
      </c>
      <c r="L240" s="163"/>
      <c r="M240" s="66">
        <f t="shared" si="64"/>
        <v>0</v>
      </c>
      <c r="N240" s="66"/>
      <c r="O240" s="72"/>
      <c r="P240" s="22">
        <v>0</v>
      </c>
      <c r="Q240" s="66" t="s">
        <v>413</v>
      </c>
      <c r="R240" s="71">
        <v>5.0382893556621351</v>
      </c>
      <c r="S240" s="22"/>
      <c r="T240" s="66">
        <f t="shared" si="65"/>
        <v>0</v>
      </c>
      <c r="U240" s="66"/>
      <c r="V240" s="66">
        <f t="shared" si="62"/>
        <v>0</v>
      </c>
      <c r="W240" s="73">
        <f t="shared" si="63"/>
        <v>0</v>
      </c>
    </row>
    <row r="241" spans="2:23">
      <c r="B241" t="s">
        <v>599</v>
      </c>
      <c r="C241" t="s">
        <v>600</v>
      </c>
      <c r="E241" s="22">
        <v>9</v>
      </c>
      <c r="F241" s="22" t="s">
        <v>601</v>
      </c>
      <c r="G241" s="22"/>
      <c r="H241" s="22"/>
      <c r="I241" s="22">
        <v>0</v>
      </c>
      <c r="J241" s="66" t="s">
        <v>413</v>
      </c>
      <c r="K241" s="74">
        <v>4.55</v>
      </c>
      <c r="L241" s="163"/>
      <c r="M241" s="66">
        <f t="shared" si="64"/>
        <v>0</v>
      </c>
      <c r="N241" s="66"/>
      <c r="O241" s="72"/>
      <c r="P241" s="22">
        <v>0</v>
      </c>
      <c r="Q241" s="66" t="s">
        <v>413</v>
      </c>
      <c r="R241" s="71">
        <v>5.0382893556621351</v>
      </c>
      <c r="S241" s="22"/>
      <c r="T241" s="66">
        <f t="shared" si="65"/>
        <v>0</v>
      </c>
      <c r="U241" s="66"/>
      <c r="V241" s="66">
        <f t="shared" si="62"/>
        <v>0</v>
      </c>
      <c r="W241" s="73">
        <f t="shared" si="63"/>
        <v>0</v>
      </c>
    </row>
    <row r="242" spans="2:23">
      <c r="B242" t="s">
        <v>602</v>
      </c>
      <c r="C242" t="s">
        <v>603</v>
      </c>
      <c r="E242" s="22">
        <v>10</v>
      </c>
      <c r="F242" s="22" t="s">
        <v>604</v>
      </c>
      <c r="G242" s="22"/>
      <c r="H242" s="22"/>
      <c r="I242" s="22">
        <v>0</v>
      </c>
      <c r="J242" s="66" t="s">
        <v>430</v>
      </c>
      <c r="K242" s="74">
        <v>9.2799999999999994</v>
      </c>
      <c r="L242" s="163"/>
      <c r="M242" s="66">
        <f t="shared" si="64"/>
        <v>0</v>
      </c>
      <c r="N242" s="22"/>
      <c r="O242" s="23"/>
      <c r="P242" s="22">
        <v>0</v>
      </c>
      <c r="Q242" s="66" t="s">
        <v>430</v>
      </c>
      <c r="R242" s="71">
        <v>14.57521673891558</v>
      </c>
      <c r="S242" s="22"/>
      <c r="T242" s="66">
        <f t="shared" si="65"/>
        <v>0</v>
      </c>
      <c r="U242" s="66"/>
      <c r="V242" s="66">
        <f t="shared" si="62"/>
        <v>0</v>
      </c>
      <c r="W242" s="73">
        <f t="shared" si="63"/>
        <v>0</v>
      </c>
    </row>
    <row r="243" spans="2:23">
      <c r="B243" t="s">
        <v>605</v>
      </c>
      <c r="C243" t="s">
        <v>606</v>
      </c>
      <c r="E243" s="22">
        <v>11</v>
      </c>
      <c r="F243" s="22" t="s">
        <v>607</v>
      </c>
      <c r="G243" s="22"/>
      <c r="H243" s="22"/>
      <c r="I243" s="22">
        <v>0</v>
      </c>
      <c r="J243" s="66" t="s">
        <v>430</v>
      </c>
      <c r="K243" s="74">
        <v>9.2799999999999994</v>
      </c>
      <c r="L243" s="163"/>
      <c r="M243" s="66">
        <f t="shared" si="64"/>
        <v>0</v>
      </c>
      <c r="N243" s="22"/>
      <c r="O243" s="23"/>
      <c r="P243" s="22">
        <v>0</v>
      </c>
      <c r="Q243" s="66" t="s">
        <v>430</v>
      </c>
      <c r="R243" s="71">
        <v>14.57521673891558</v>
      </c>
      <c r="S243" s="22"/>
      <c r="T243" s="66">
        <f t="shared" si="65"/>
        <v>0</v>
      </c>
      <c r="U243" s="22"/>
      <c r="V243" s="66">
        <f t="shared" si="62"/>
        <v>0</v>
      </c>
      <c r="W243" s="73">
        <f t="shared" si="63"/>
        <v>0</v>
      </c>
    </row>
    <row r="244" spans="2:23">
      <c r="B244" t="s">
        <v>608</v>
      </c>
      <c r="C244" t="s">
        <v>609</v>
      </c>
      <c r="E244" s="22">
        <v>12</v>
      </c>
      <c r="F244" s="22" t="s">
        <v>610</v>
      </c>
      <c r="G244" s="22"/>
      <c r="H244" s="22"/>
      <c r="I244" s="22">
        <v>0</v>
      </c>
      <c r="J244" s="66" t="s">
        <v>430</v>
      </c>
      <c r="K244" s="74">
        <v>9.2799999999999994</v>
      </c>
      <c r="L244" s="163"/>
      <c r="M244" s="66">
        <f t="shared" si="64"/>
        <v>0</v>
      </c>
      <c r="N244" s="22"/>
      <c r="O244" s="23"/>
      <c r="P244" s="22">
        <v>0</v>
      </c>
      <c r="Q244" s="66" t="s">
        <v>430</v>
      </c>
      <c r="R244" s="71">
        <v>14.57521673891558</v>
      </c>
      <c r="S244" s="22"/>
      <c r="T244" s="66">
        <f t="shared" si="65"/>
        <v>0</v>
      </c>
      <c r="U244" s="22"/>
      <c r="V244" s="66">
        <f t="shared" si="62"/>
        <v>0</v>
      </c>
      <c r="W244" s="73">
        <f t="shared" si="63"/>
        <v>0</v>
      </c>
    </row>
    <row r="245" spans="2:23">
      <c r="E245" s="22">
        <v>13</v>
      </c>
      <c r="F245" s="173" t="s">
        <v>611</v>
      </c>
      <c r="G245" s="22"/>
      <c r="H245" s="22"/>
      <c r="I245" s="22"/>
      <c r="J245" s="22"/>
      <c r="K245" s="22"/>
      <c r="L245" s="22"/>
      <c r="M245" s="70"/>
      <c r="N245" s="22"/>
      <c r="O245" s="23"/>
      <c r="P245" s="22"/>
      <c r="Q245" s="22"/>
      <c r="R245" s="22"/>
      <c r="S245" s="22"/>
      <c r="T245" s="70"/>
      <c r="U245" s="22"/>
      <c r="V245" s="22"/>
      <c r="W245" s="22"/>
    </row>
    <row r="246" spans="2:23">
      <c r="B246" t="s">
        <v>612</v>
      </c>
      <c r="C246" t="s">
        <v>613</v>
      </c>
      <c r="E246" s="22">
        <v>14</v>
      </c>
      <c r="F246" s="150" t="s">
        <v>614</v>
      </c>
      <c r="G246" s="22"/>
      <c r="H246" s="22"/>
      <c r="I246" s="22">
        <v>0</v>
      </c>
      <c r="J246" s="22" t="s">
        <v>413</v>
      </c>
      <c r="K246" s="74">
        <v>1.75</v>
      </c>
      <c r="L246" s="22"/>
      <c r="M246" s="66">
        <f>+I246*K246</f>
        <v>0</v>
      </c>
      <c r="N246" s="22"/>
      <c r="O246" s="23"/>
      <c r="P246" s="22">
        <v>0</v>
      </c>
      <c r="Q246" s="22" t="s">
        <v>413</v>
      </c>
      <c r="R246" s="71">
        <v>2.4652152300996026</v>
      </c>
      <c r="S246" s="22"/>
      <c r="T246" s="66">
        <f>+P246*R246</f>
        <v>0</v>
      </c>
      <c r="U246" s="22"/>
      <c r="V246" s="66">
        <f t="shared" ref="V246:V264" si="66">+T246-M246</f>
        <v>0</v>
      </c>
      <c r="W246" s="73">
        <f t="shared" ref="W246:W264" si="67">+IF(V246=0,0,(T246-M246)/M246)</f>
        <v>0</v>
      </c>
    </row>
    <row r="247" spans="2:23">
      <c r="B247" t="s">
        <v>615</v>
      </c>
      <c r="C247" t="s">
        <v>616</v>
      </c>
      <c r="E247" s="22">
        <v>15</v>
      </c>
      <c r="F247" s="150" t="s">
        <v>617</v>
      </c>
      <c r="G247" s="22"/>
      <c r="H247" s="22"/>
      <c r="I247" s="22">
        <v>0</v>
      </c>
      <c r="J247" s="22" t="s">
        <v>413</v>
      </c>
      <c r="K247" s="74">
        <v>1.75</v>
      </c>
      <c r="L247" s="22"/>
      <c r="M247" s="66">
        <f t="shared" ref="M247:M263" si="68">+I247*K247</f>
        <v>0</v>
      </c>
      <c r="N247" s="22"/>
      <c r="O247" s="23"/>
      <c r="P247" s="22">
        <v>0</v>
      </c>
      <c r="Q247" s="22" t="s">
        <v>413</v>
      </c>
      <c r="R247" s="71">
        <v>2.4652152300996026</v>
      </c>
      <c r="S247" s="22"/>
      <c r="T247" s="66">
        <f t="shared" ref="T247:T263" si="69">+P247*R247</f>
        <v>0</v>
      </c>
      <c r="U247" s="22"/>
      <c r="V247" s="66">
        <f t="shared" si="66"/>
        <v>0</v>
      </c>
      <c r="W247" s="73">
        <f t="shared" si="67"/>
        <v>0</v>
      </c>
    </row>
    <row r="248" spans="2:23">
      <c r="B248" t="s">
        <v>618</v>
      </c>
      <c r="C248" t="s">
        <v>619</v>
      </c>
      <c r="E248" s="22">
        <v>16</v>
      </c>
      <c r="F248" s="150" t="s">
        <v>620</v>
      </c>
      <c r="G248" s="22"/>
      <c r="H248" s="22"/>
      <c r="I248" s="22">
        <v>0</v>
      </c>
      <c r="J248" s="22" t="s">
        <v>413</v>
      </c>
      <c r="K248" s="74">
        <v>1.75</v>
      </c>
      <c r="L248" s="22"/>
      <c r="M248" s="66">
        <f t="shared" si="68"/>
        <v>0</v>
      </c>
      <c r="N248" s="22"/>
      <c r="O248" s="23"/>
      <c r="P248" s="22">
        <v>0</v>
      </c>
      <c r="Q248" s="22" t="s">
        <v>413</v>
      </c>
      <c r="R248" s="71">
        <v>2.4652152300996026</v>
      </c>
      <c r="S248" s="22"/>
      <c r="T248" s="66">
        <f t="shared" si="69"/>
        <v>0</v>
      </c>
      <c r="U248" s="22"/>
      <c r="V248" s="66">
        <f t="shared" si="66"/>
        <v>0</v>
      </c>
      <c r="W248" s="73">
        <f t="shared" si="67"/>
        <v>0</v>
      </c>
    </row>
    <row r="249" spans="2:23">
      <c r="B249" t="s">
        <v>621</v>
      </c>
      <c r="C249" t="s">
        <v>622</v>
      </c>
      <c r="E249" s="22">
        <v>17</v>
      </c>
      <c r="F249" s="150" t="s">
        <v>623</v>
      </c>
      <c r="G249" s="65"/>
      <c r="H249" s="22"/>
      <c r="I249" s="22">
        <v>0</v>
      </c>
      <c r="J249" s="22" t="s">
        <v>624</v>
      </c>
      <c r="K249" s="74">
        <v>1.7</v>
      </c>
      <c r="L249" s="22" t="s">
        <v>625</v>
      </c>
      <c r="M249" s="66">
        <f t="shared" si="68"/>
        <v>0</v>
      </c>
      <c r="N249" s="22"/>
      <c r="O249" s="23"/>
      <c r="P249" s="22">
        <v>0</v>
      </c>
      <c r="Q249" s="22" t="s">
        <v>624</v>
      </c>
      <c r="R249" s="71">
        <v>2.3571779092585845</v>
      </c>
      <c r="S249" s="22" t="s">
        <v>625</v>
      </c>
      <c r="T249" s="66">
        <f t="shared" si="69"/>
        <v>0</v>
      </c>
      <c r="U249" s="22"/>
      <c r="V249" s="66">
        <f t="shared" si="66"/>
        <v>0</v>
      </c>
      <c r="W249" s="73">
        <f t="shared" si="67"/>
        <v>0</v>
      </c>
    </row>
    <row r="250" spans="2:23">
      <c r="B250" t="s">
        <v>626</v>
      </c>
      <c r="C250" t="s">
        <v>627</v>
      </c>
      <c r="E250" s="22">
        <v>18</v>
      </c>
      <c r="F250" s="150" t="s">
        <v>628</v>
      </c>
      <c r="G250" s="65"/>
      <c r="H250" s="22"/>
      <c r="I250" s="22">
        <v>0</v>
      </c>
      <c r="J250" s="22" t="s">
        <v>624</v>
      </c>
      <c r="K250" s="74">
        <v>1.7</v>
      </c>
      <c r="L250" s="22" t="s">
        <v>625</v>
      </c>
      <c r="M250" s="66">
        <f t="shared" si="68"/>
        <v>0</v>
      </c>
      <c r="N250" s="22"/>
      <c r="O250" s="23"/>
      <c r="P250" s="22">
        <v>0</v>
      </c>
      <c r="Q250" s="22" t="s">
        <v>624</v>
      </c>
      <c r="R250" s="71">
        <v>2.3571779092585845</v>
      </c>
      <c r="S250" s="22" t="s">
        <v>625</v>
      </c>
      <c r="T250" s="66">
        <f t="shared" si="69"/>
        <v>0</v>
      </c>
      <c r="U250" s="22"/>
      <c r="V250" s="66">
        <f t="shared" si="66"/>
        <v>0</v>
      </c>
      <c r="W250" s="73">
        <f t="shared" si="67"/>
        <v>0</v>
      </c>
    </row>
    <row r="251" spans="2:23">
      <c r="B251" t="s">
        <v>629</v>
      </c>
      <c r="C251" t="s">
        <v>630</v>
      </c>
      <c r="E251" s="22">
        <v>19</v>
      </c>
      <c r="F251" s="150" t="s">
        <v>631</v>
      </c>
      <c r="G251" s="22"/>
      <c r="H251" s="22"/>
      <c r="I251" s="22">
        <v>0</v>
      </c>
      <c r="J251" s="22" t="s">
        <v>624</v>
      </c>
      <c r="K251" s="74">
        <v>1.7</v>
      </c>
      <c r="L251" s="22" t="s">
        <v>625</v>
      </c>
      <c r="M251" s="66">
        <f t="shared" si="68"/>
        <v>0</v>
      </c>
      <c r="N251" s="22"/>
      <c r="O251" s="23"/>
      <c r="P251" s="22">
        <v>0</v>
      </c>
      <c r="Q251" s="22" t="s">
        <v>624</v>
      </c>
      <c r="R251" s="71">
        <v>2.3571779092585845</v>
      </c>
      <c r="S251" s="22" t="s">
        <v>625</v>
      </c>
      <c r="T251" s="66">
        <f t="shared" si="69"/>
        <v>0</v>
      </c>
      <c r="U251" s="22"/>
      <c r="V251" s="66">
        <f t="shared" si="66"/>
        <v>0</v>
      </c>
      <c r="W251" s="73">
        <f t="shared" si="67"/>
        <v>0</v>
      </c>
    </row>
    <row r="252" spans="2:23">
      <c r="B252" t="s">
        <v>632</v>
      </c>
      <c r="C252" t="s">
        <v>633</v>
      </c>
      <c r="E252" s="22">
        <v>20</v>
      </c>
      <c r="F252" s="150" t="s">
        <v>634</v>
      </c>
      <c r="G252" s="22"/>
      <c r="H252" s="22"/>
      <c r="I252" s="22">
        <v>0</v>
      </c>
      <c r="J252" s="22" t="s">
        <v>624</v>
      </c>
      <c r="K252" s="74">
        <v>0.68</v>
      </c>
      <c r="L252" s="22" t="s">
        <v>635</v>
      </c>
      <c r="M252" s="66">
        <f t="shared" si="68"/>
        <v>0</v>
      </c>
      <c r="N252" s="22"/>
      <c r="O252" s="23"/>
      <c r="P252" s="22">
        <v>0</v>
      </c>
      <c r="Q252" s="22" t="s">
        <v>624</v>
      </c>
      <c r="R252" s="71">
        <v>0.93304958908152302</v>
      </c>
      <c r="S252" s="22" t="s">
        <v>635</v>
      </c>
      <c r="T252" s="66">
        <f t="shared" si="69"/>
        <v>0</v>
      </c>
      <c r="U252" s="22"/>
      <c r="V252" s="66">
        <f t="shared" si="66"/>
        <v>0</v>
      </c>
      <c r="W252" s="73">
        <f t="shared" si="67"/>
        <v>0</v>
      </c>
    </row>
    <row r="253" spans="2:23">
      <c r="B253" t="s">
        <v>636</v>
      </c>
      <c r="C253" t="s">
        <v>637</v>
      </c>
      <c r="E253" s="22">
        <v>21</v>
      </c>
      <c r="F253" s="150" t="s">
        <v>638</v>
      </c>
      <c r="G253" s="22"/>
      <c r="H253" s="22"/>
      <c r="I253" s="22">
        <v>0</v>
      </c>
      <c r="J253" s="22" t="s">
        <v>624</v>
      </c>
      <c r="K253" s="74">
        <v>0.68</v>
      </c>
      <c r="L253" s="22" t="s">
        <v>635</v>
      </c>
      <c r="M253" s="66">
        <f t="shared" si="68"/>
        <v>0</v>
      </c>
      <c r="N253" s="22"/>
      <c r="O253" s="23"/>
      <c r="P253" s="22">
        <v>0</v>
      </c>
      <c r="Q253" s="22" t="s">
        <v>624</v>
      </c>
      <c r="R253" s="71">
        <v>0.93304958908152302</v>
      </c>
      <c r="S253" s="22" t="s">
        <v>635</v>
      </c>
      <c r="T253" s="66">
        <f t="shared" si="69"/>
        <v>0</v>
      </c>
      <c r="U253" s="22"/>
      <c r="V253" s="66">
        <f t="shared" si="66"/>
        <v>0</v>
      </c>
      <c r="W253" s="73">
        <f t="shared" si="67"/>
        <v>0</v>
      </c>
    </row>
    <row r="254" spans="2:23">
      <c r="B254" t="s">
        <v>639</v>
      </c>
      <c r="C254" t="s">
        <v>640</v>
      </c>
      <c r="E254" s="22">
        <v>22</v>
      </c>
      <c r="F254" s="150" t="s">
        <v>641</v>
      </c>
      <c r="G254" s="65"/>
      <c r="H254" s="22"/>
      <c r="I254" s="22">
        <v>0</v>
      </c>
      <c r="J254" s="22" t="s">
        <v>624</v>
      </c>
      <c r="K254" s="74">
        <v>0.68</v>
      </c>
      <c r="L254" s="22" t="s">
        <v>635</v>
      </c>
      <c r="M254" s="66">
        <f t="shared" si="68"/>
        <v>0</v>
      </c>
      <c r="N254" s="22"/>
      <c r="O254" s="23"/>
      <c r="P254" s="22">
        <v>0</v>
      </c>
      <c r="Q254" s="22" t="s">
        <v>624</v>
      </c>
      <c r="R254" s="71">
        <v>0.93304958908152302</v>
      </c>
      <c r="S254" s="22" t="s">
        <v>635</v>
      </c>
      <c r="T254" s="66">
        <f t="shared" si="69"/>
        <v>0</v>
      </c>
      <c r="U254" s="22"/>
      <c r="V254" s="66">
        <f t="shared" si="66"/>
        <v>0</v>
      </c>
      <c r="W254" s="73">
        <f t="shared" si="67"/>
        <v>0</v>
      </c>
    </row>
    <row r="255" spans="2:23">
      <c r="B255" t="s">
        <v>642</v>
      </c>
      <c r="C255" t="s">
        <v>643</v>
      </c>
      <c r="E255" s="22">
        <v>23</v>
      </c>
      <c r="F255" s="150" t="s">
        <v>644</v>
      </c>
      <c r="G255" s="22"/>
      <c r="H255" s="22"/>
      <c r="I255" s="22">
        <v>0</v>
      </c>
      <c r="J255" s="66" t="s">
        <v>413</v>
      </c>
      <c r="K255" s="74">
        <v>1.75</v>
      </c>
      <c r="L255" s="163"/>
      <c r="M255" s="66">
        <f t="shared" si="68"/>
        <v>0</v>
      </c>
      <c r="N255" s="22"/>
      <c r="O255" s="23"/>
      <c r="P255" s="22">
        <v>0</v>
      </c>
      <c r="Q255" s="66" t="s">
        <v>413</v>
      </c>
      <c r="R255" s="71">
        <v>2.4652152300996026</v>
      </c>
      <c r="S255" s="163"/>
      <c r="T255" s="66">
        <f t="shared" si="69"/>
        <v>0</v>
      </c>
      <c r="U255" s="22"/>
      <c r="V255" s="66">
        <f t="shared" si="66"/>
        <v>0</v>
      </c>
      <c r="W255" s="73">
        <f t="shared" si="67"/>
        <v>0</v>
      </c>
    </row>
    <row r="256" spans="2:23">
      <c r="B256" t="s">
        <v>645</v>
      </c>
      <c r="C256" t="s">
        <v>646</v>
      </c>
      <c r="E256" s="22">
        <v>24</v>
      </c>
      <c r="F256" s="150" t="s">
        <v>647</v>
      </c>
      <c r="G256" s="22"/>
      <c r="H256" s="22"/>
      <c r="I256" s="22">
        <v>0</v>
      </c>
      <c r="J256" s="66" t="s">
        <v>413</v>
      </c>
      <c r="K256" s="74">
        <v>1.75</v>
      </c>
      <c r="L256" s="163"/>
      <c r="M256" s="66">
        <f t="shared" si="68"/>
        <v>0</v>
      </c>
      <c r="N256" s="22"/>
      <c r="O256" s="23"/>
      <c r="P256" s="22">
        <v>0</v>
      </c>
      <c r="Q256" s="66" t="s">
        <v>413</v>
      </c>
      <c r="R256" s="71">
        <v>2.4652152300996026</v>
      </c>
      <c r="S256" s="163"/>
      <c r="T256" s="66">
        <f t="shared" si="69"/>
        <v>0</v>
      </c>
      <c r="U256" s="66"/>
      <c r="V256" s="66">
        <f t="shared" si="66"/>
        <v>0</v>
      </c>
      <c r="W256" s="73">
        <f t="shared" si="67"/>
        <v>0</v>
      </c>
    </row>
    <row r="257" spans="2:23">
      <c r="B257" t="s">
        <v>648</v>
      </c>
      <c r="C257" t="s">
        <v>649</v>
      </c>
      <c r="E257" s="22">
        <v>25</v>
      </c>
      <c r="F257" s="150" t="s">
        <v>650</v>
      </c>
      <c r="G257" s="22"/>
      <c r="H257" s="22"/>
      <c r="I257" s="22">
        <v>0</v>
      </c>
      <c r="J257" s="66" t="s">
        <v>413</v>
      </c>
      <c r="K257" s="74">
        <v>1.75</v>
      </c>
      <c r="L257" s="163"/>
      <c r="M257" s="66">
        <f t="shared" si="68"/>
        <v>0</v>
      </c>
      <c r="N257" s="22"/>
      <c r="O257" s="23"/>
      <c r="P257" s="22">
        <v>0</v>
      </c>
      <c r="Q257" s="66" t="s">
        <v>413</v>
      </c>
      <c r="R257" s="71">
        <v>2.4652152300996026</v>
      </c>
      <c r="S257" s="163"/>
      <c r="T257" s="66">
        <f t="shared" si="69"/>
        <v>0</v>
      </c>
      <c r="U257" s="66"/>
      <c r="V257" s="66">
        <f t="shared" si="66"/>
        <v>0</v>
      </c>
      <c r="W257" s="73">
        <f t="shared" si="67"/>
        <v>0</v>
      </c>
    </row>
    <row r="258" spans="2:23">
      <c r="B258" t="s">
        <v>651</v>
      </c>
      <c r="C258" t="s">
        <v>652</v>
      </c>
      <c r="E258" s="22">
        <v>26</v>
      </c>
      <c r="F258" s="150" t="s">
        <v>653</v>
      </c>
      <c r="G258" s="65"/>
      <c r="H258" s="22"/>
      <c r="I258" s="22">
        <v>0</v>
      </c>
      <c r="J258" s="66" t="s">
        <v>624</v>
      </c>
      <c r="K258" s="74">
        <v>1.7</v>
      </c>
      <c r="L258" s="163" t="s">
        <v>654</v>
      </c>
      <c r="M258" s="66">
        <f t="shared" si="68"/>
        <v>0</v>
      </c>
      <c r="N258" s="66"/>
      <c r="O258" s="72"/>
      <c r="P258" s="22">
        <v>0</v>
      </c>
      <c r="Q258" s="66" t="s">
        <v>624</v>
      </c>
      <c r="R258" s="71">
        <v>2.3571779092585845</v>
      </c>
      <c r="S258" s="163" t="s">
        <v>625</v>
      </c>
      <c r="T258" s="66">
        <f t="shared" si="69"/>
        <v>0</v>
      </c>
      <c r="U258" s="66"/>
      <c r="V258" s="66">
        <f t="shared" si="66"/>
        <v>0</v>
      </c>
      <c r="W258" s="73">
        <f t="shared" si="67"/>
        <v>0</v>
      </c>
    </row>
    <row r="259" spans="2:23">
      <c r="B259" t="s">
        <v>655</v>
      </c>
      <c r="C259" t="s">
        <v>656</v>
      </c>
      <c r="E259" s="22">
        <v>27</v>
      </c>
      <c r="F259" s="150" t="s">
        <v>657</v>
      </c>
      <c r="G259" s="65"/>
      <c r="H259" s="22"/>
      <c r="I259" s="22">
        <v>0</v>
      </c>
      <c r="J259" s="66" t="s">
        <v>624</v>
      </c>
      <c r="K259" s="74">
        <v>1.7</v>
      </c>
      <c r="L259" s="163" t="s">
        <v>654</v>
      </c>
      <c r="M259" s="66">
        <f t="shared" si="68"/>
        <v>0</v>
      </c>
      <c r="N259" s="66"/>
      <c r="O259" s="72"/>
      <c r="P259" s="22">
        <v>0</v>
      </c>
      <c r="Q259" s="66" t="s">
        <v>624</v>
      </c>
      <c r="R259" s="71">
        <v>2.3571779092585845</v>
      </c>
      <c r="S259" s="163" t="s">
        <v>625</v>
      </c>
      <c r="T259" s="66">
        <f t="shared" si="69"/>
        <v>0</v>
      </c>
      <c r="U259" s="66"/>
      <c r="V259" s="66">
        <f t="shared" si="66"/>
        <v>0</v>
      </c>
      <c r="W259" s="73">
        <f t="shared" si="67"/>
        <v>0</v>
      </c>
    </row>
    <row r="260" spans="2:23">
      <c r="B260" t="s">
        <v>658</v>
      </c>
      <c r="C260" t="s">
        <v>659</v>
      </c>
      <c r="E260" s="22">
        <v>28</v>
      </c>
      <c r="F260" s="150" t="s">
        <v>660</v>
      </c>
      <c r="G260" s="22"/>
      <c r="H260" s="22"/>
      <c r="I260" s="22">
        <v>0</v>
      </c>
      <c r="J260" s="66" t="s">
        <v>624</v>
      </c>
      <c r="K260" s="74">
        <v>1.7</v>
      </c>
      <c r="L260" s="163" t="s">
        <v>654</v>
      </c>
      <c r="M260" s="66">
        <f t="shared" si="68"/>
        <v>0</v>
      </c>
      <c r="N260" s="22"/>
      <c r="O260" s="23"/>
      <c r="P260" s="22">
        <v>0</v>
      </c>
      <c r="Q260" s="66" t="s">
        <v>624</v>
      </c>
      <c r="R260" s="71">
        <v>2.3571779092585845</v>
      </c>
      <c r="S260" s="163" t="s">
        <v>625</v>
      </c>
      <c r="T260" s="66">
        <f t="shared" si="69"/>
        <v>0</v>
      </c>
      <c r="U260" s="22"/>
      <c r="V260" s="66">
        <f t="shared" si="66"/>
        <v>0</v>
      </c>
      <c r="W260" s="73">
        <f t="shared" si="67"/>
        <v>0</v>
      </c>
    </row>
    <row r="261" spans="2:23">
      <c r="B261" t="s">
        <v>661</v>
      </c>
      <c r="C261" t="s">
        <v>662</v>
      </c>
      <c r="E261" s="22">
        <v>29</v>
      </c>
      <c r="F261" s="150" t="s">
        <v>663</v>
      </c>
      <c r="G261" s="22"/>
      <c r="H261" s="22"/>
      <c r="I261" s="22">
        <v>0</v>
      </c>
      <c r="J261" s="66" t="s">
        <v>624</v>
      </c>
      <c r="K261" s="74">
        <v>0.68</v>
      </c>
      <c r="L261" s="163" t="s">
        <v>664</v>
      </c>
      <c r="M261" s="66">
        <f t="shared" si="68"/>
        <v>0</v>
      </c>
      <c r="N261" s="22"/>
      <c r="O261" s="23"/>
      <c r="P261" s="22">
        <v>0</v>
      </c>
      <c r="Q261" s="66" t="s">
        <v>624</v>
      </c>
      <c r="R261" s="71">
        <v>0.93304958908152302</v>
      </c>
      <c r="S261" s="163" t="s">
        <v>635</v>
      </c>
      <c r="T261" s="66">
        <f t="shared" si="69"/>
        <v>0</v>
      </c>
      <c r="U261" s="22"/>
      <c r="V261" s="66">
        <f t="shared" si="66"/>
        <v>0</v>
      </c>
      <c r="W261" s="73">
        <f t="shared" si="67"/>
        <v>0</v>
      </c>
    </row>
    <row r="262" spans="2:23">
      <c r="B262" t="s">
        <v>665</v>
      </c>
      <c r="C262" t="s">
        <v>666</v>
      </c>
      <c r="E262" s="22">
        <v>30</v>
      </c>
      <c r="F262" s="150" t="s">
        <v>667</v>
      </c>
      <c r="G262" s="22"/>
      <c r="H262" s="22"/>
      <c r="I262" s="22">
        <v>0</v>
      </c>
      <c r="J262" s="66" t="s">
        <v>624</v>
      </c>
      <c r="K262" s="74">
        <v>0.68</v>
      </c>
      <c r="L262" s="163" t="s">
        <v>664</v>
      </c>
      <c r="M262" s="66">
        <f t="shared" si="68"/>
        <v>0</v>
      </c>
      <c r="N262" s="22"/>
      <c r="O262" s="23"/>
      <c r="P262" s="22">
        <v>0</v>
      </c>
      <c r="Q262" s="66" t="s">
        <v>624</v>
      </c>
      <c r="R262" s="71">
        <v>0.93304958908152302</v>
      </c>
      <c r="S262" s="163" t="s">
        <v>635</v>
      </c>
      <c r="T262" s="66">
        <f t="shared" si="69"/>
        <v>0</v>
      </c>
      <c r="U262" s="22"/>
      <c r="V262" s="66">
        <f t="shared" si="66"/>
        <v>0</v>
      </c>
      <c r="W262" s="73">
        <f t="shared" si="67"/>
        <v>0</v>
      </c>
    </row>
    <row r="263" spans="2:23">
      <c r="B263" t="s">
        <v>668</v>
      </c>
      <c r="C263" t="s">
        <v>669</v>
      </c>
      <c r="E263" s="22">
        <v>31</v>
      </c>
      <c r="F263" s="150" t="s">
        <v>670</v>
      </c>
      <c r="G263" s="65"/>
      <c r="H263" s="22"/>
      <c r="I263" s="185">
        <v>0</v>
      </c>
      <c r="J263" s="66" t="s">
        <v>624</v>
      </c>
      <c r="K263" s="74">
        <v>0.68</v>
      </c>
      <c r="L263" s="163" t="s">
        <v>664</v>
      </c>
      <c r="M263" s="66">
        <f t="shared" si="68"/>
        <v>0</v>
      </c>
      <c r="N263" s="66"/>
      <c r="O263" s="72"/>
      <c r="P263" s="185">
        <v>0</v>
      </c>
      <c r="Q263" s="66" t="s">
        <v>624</v>
      </c>
      <c r="R263" s="71">
        <v>0.93304958908152302</v>
      </c>
      <c r="S263" s="163" t="s">
        <v>635</v>
      </c>
      <c r="T263" s="66">
        <f t="shared" si="69"/>
        <v>0</v>
      </c>
      <c r="U263" s="22"/>
      <c r="V263" s="66">
        <f t="shared" si="66"/>
        <v>0</v>
      </c>
      <c r="W263" s="73">
        <f t="shared" si="67"/>
        <v>0</v>
      </c>
    </row>
    <row r="264" spans="2:23">
      <c r="E264" s="22">
        <v>32</v>
      </c>
      <c r="F264" s="67" t="s">
        <v>521</v>
      </c>
      <c r="G264" s="65"/>
      <c r="H264" s="22"/>
      <c r="I264" s="22">
        <f>+SUM(I236:I241,I246:I248,I255:I257)</f>
        <v>0</v>
      </c>
      <c r="J264" s="66" t="s">
        <v>413</v>
      </c>
      <c r="K264" s="71"/>
      <c r="L264" s="66"/>
      <c r="M264" s="129">
        <f>+SUM(M236:M244,M246:M263)</f>
        <v>0</v>
      </c>
      <c r="N264" s="66"/>
      <c r="O264" s="72"/>
      <c r="P264" s="22">
        <f>+SUM(P236:P241,P246:P248,P255:P257)</f>
        <v>0</v>
      </c>
      <c r="Q264" s="66" t="s">
        <v>413</v>
      </c>
      <c r="R264" s="71"/>
      <c r="S264" s="66"/>
      <c r="T264" s="129">
        <f>+SUM(T236:T244,T246:T263)</f>
        <v>0</v>
      </c>
      <c r="U264" s="22"/>
      <c r="V264" s="66">
        <f t="shared" si="66"/>
        <v>0</v>
      </c>
      <c r="W264" s="73">
        <f t="shared" si="67"/>
        <v>0</v>
      </c>
    </row>
    <row r="265" spans="2:23">
      <c r="E265" s="22">
        <v>33</v>
      </c>
      <c r="F265" s="22"/>
      <c r="G265" s="22"/>
      <c r="H265" s="22"/>
      <c r="I265" s="22"/>
      <c r="J265" s="22"/>
      <c r="K265" s="22"/>
      <c r="L265" s="22"/>
      <c r="M265" s="70"/>
      <c r="N265" s="22"/>
      <c r="O265" s="23"/>
      <c r="P265" s="22"/>
      <c r="Q265" s="22"/>
      <c r="R265" s="22"/>
      <c r="S265" s="22"/>
      <c r="T265" s="70"/>
      <c r="U265" s="22"/>
      <c r="V265" s="22"/>
      <c r="W265" s="22"/>
    </row>
    <row r="266" spans="2:23">
      <c r="E266" s="22">
        <v>34</v>
      </c>
      <c r="F266" s="22"/>
      <c r="G266" s="22"/>
      <c r="H266" s="22"/>
      <c r="I266" s="22"/>
      <c r="J266" s="22"/>
      <c r="K266" s="22"/>
      <c r="L266" s="22"/>
      <c r="M266" s="70"/>
      <c r="N266" s="22"/>
      <c r="O266" s="23"/>
      <c r="P266" s="22"/>
      <c r="Q266" s="22"/>
      <c r="R266" s="22"/>
      <c r="S266" s="22"/>
      <c r="T266" s="70"/>
      <c r="U266" s="22"/>
      <c r="V266" s="22"/>
      <c r="W266" s="22"/>
    </row>
    <row r="267" spans="2:23">
      <c r="E267" s="22">
        <v>35</v>
      </c>
      <c r="F267" s="333" t="s">
        <v>671</v>
      </c>
      <c r="G267" s="333"/>
      <c r="H267" s="333"/>
      <c r="I267" s="333"/>
      <c r="J267" s="333"/>
      <c r="K267" s="333"/>
      <c r="L267" s="333"/>
      <c r="M267" s="333"/>
      <c r="N267" s="333"/>
      <c r="O267" s="333"/>
      <c r="P267" s="22"/>
      <c r="Q267" s="22"/>
      <c r="R267" s="22"/>
      <c r="S267" s="22"/>
      <c r="T267" s="22"/>
      <c r="U267" s="22"/>
      <c r="V267" s="22"/>
      <c r="W267" s="22"/>
    </row>
    <row r="268" spans="2:23">
      <c r="E268" s="22">
        <v>36</v>
      </c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22"/>
      <c r="Q268" s="22"/>
      <c r="R268" s="22"/>
      <c r="S268" s="22"/>
      <c r="T268" s="22"/>
      <c r="U268" s="22"/>
      <c r="V268" s="22"/>
      <c r="W268" s="22"/>
    </row>
    <row r="269" spans="2:23">
      <c r="E269" s="22">
        <v>37</v>
      </c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22"/>
      <c r="Q269" s="22"/>
      <c r="R269" s="22"/>
      <c r="S269" s="22"/>
      <c r="T269" s="22"/>
      <c r="U269" s="22"/>
      <c r="V269" s="22"/>
      <c r="W269" s="22"/>
    </row>
    <row r="270" spans="2:23">
      <c r="E270" s="22">
        <v>38</v>
      </c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22"/>
      <c r="Q270" s="22"/>
      <c r="R270" s="22"/>
      <c r="S270" s="22"/>
      <c r="T270" s="22"/>
      <c r="U270" s="22"/>
      <c r="V270" s="22"/>
      <c r="W270" s="22"/>
    </row>
    <row r="271" spans="2:23" ht="15.75" thickBot="1">
      <c r="E271" s="24">
        <v>39</v>
      </c>
      <c r="F271" s="24"/>
      <c r="G271" s="24"/>
      <c r="H271" s="24"/>
      <c r="I271" s="24"/>
      <c r="J271" s="24"/>
      <c r="K271" s="24"/>
      <c r="L271" s="24"/>
      <c r="M271" s="24"/>
      <c r="N271" s="24"/>
      <c r="O271" s="25"/>
      <c r="P271" s="24"/>
      <c r="Q271" s="24"/>
      <c r="R271" s="24"/>
      <c r="S271" s="24"/>
      <c r="T271" s="24"/>
      <c r="U271" s="24"/>
      <c r="V271" s="24"/>
      <c r="W271" s="26"/>
    </row>
    <row r="272" spans="2:23"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3"/>
      <c r="P272" s="22"/>
      <c r="Q272" s="22"/>
      <c r="R272" s="22"/>
      <c r="S272" s="22"/>
      <c r="T272" s="22"/>
      <c r="U272" s="22"/>
      <c r="V272" s="22"/>
      <c r="W272" s="22"/>
    </row>
    <row r="273" spans="1:23">
      <c r="E273" s="22"/>
      <c r="F273" s="22"/>
      <c r="G273" s="22"/>
      <c r="H273" s="22"/>
      <c r="I273" s="22"/>
      <c r="J273" s="22"/>
      <c r="K273" s="22"/>
      <c r="L273" s="330"/>
      <c r="M273" s="330"/>
      <c r="N273" s="330"/>
      <c r="O273" s="330"/>
      <c r="P273" s="330"/>
      <c r="Q273" s="22"/>
      <c r="R273" s="22"/>
      <c r="S273" s="22"/>
      <c r="T273" s="22"/>
      <c r="U273" s="22"/>
      <c r="V273" s="22"/>
      <c r="W273" s="22"/>
    </row>
    <row r="274" spans="1:23" ht="15.75" thickBot="1">
      <c r="E274" s="24"/>
      <c r="F274" s="24"/>
      <c r="G274" s="24"/>
      <c r="H274" s="24"/>
      <c r="I274" s="24"/>
      <c r="J274" s="24"/>
      <c r="K274" s="24"/>
      <c r="L274" s="331" t="s">
        <v>274</v>
      </c>
      <c r="M274" s="331"/>
      <c r="N274" s="331"/>
      <c r="O274" s="331"/>
      <c r="P274" s="331"/>
      <c r="Q274" s="24"/>
      <c r="R274" s="24"/>
      <c r="S274" s="24"/>
      <c r="T274" s="24"/>
      <c r="U274" s="24"/>
      <c r="V274" s="24"/>
      <c r="W274" s="26"/>
    </row>
    <row r="275" spans="1:23">
      <c r="E275" s="22"/>
      <c r="F275" s="22"/>
      <c r="G275" s="22"/>
      <c r="H275" s="22"/>
      <c r="I275" s="22"/>
      <c r="J275" s="22"/>
      <c r="L275" s="22"/>
      <c r="M275" s="22"/>
      <c r="N275" s="22"/>
      <c r="O275" s="29"/>
      <c r="P275" s="30"/>
      <c r="Q275" s="22"/>
      <c r="R275" s="30"/>
      <c r="S275" s="30"/>
      <c r="T275" s="30"/>
      <c r="U275" s="22"/>
      <c r="V275" s="22"/>
      <c r="W275" s="31"/>
    </row>
    <row r="276" spans="1:23">
      <c r="E276" s="22"/>
      <c r="F276" s="22"/>
      <c r="G276" s="22"/>
      <c r="H276" s="22"/>
      <c r="I276" s="22"/>
      <c r="J276" s="22"/>
      <c r="L276" s="22"/>
      <c r="M276" s="22"/>
      <c r="N276" s="22"/>
      <c r="O276" s="23"/>
      <c r="P276" s="31"/>
      <c r="Q276" s="22"/>
      <c r="R276" s="22"/>
      <c r="S276" s="32"/>
      <c r="T276" s="32"/>
      <c r="U276" s="31"/>
      <c r="V276" s="22"/>
      <c r="W276" s="32"/>
    </row>
    <row r="277" spans="1:23"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3"/>
      <c r="P277" s="31"/>
      <c r="Q277" s="32"/>
      <c r="R277" s="22"/>
      <c r="S277" s="22"/>
      <c r="T277" s="32"/>
      <c r="U277" s="31"/>
      <c r="V277" s="22"/>
      <c r="W277" s="32"/>
    </row>
    <row r="278" spans="1:23"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3"/>
      <c r="P278" s="31"/>
      <c r="Q278" s="32"/>
      <c r="R278" s="22"/>
      <c r="S278" s="22"/>
      <c r="T278" s="32"/>
      <c r="U278" s="31"/>
      <c r="V278" s="22"/>
      <c r="W278" s="32"/>
    </row>
    <row r="279" spans="1:23">
      <c r="E279" s="22"/>
      <c r="F279" s="22"/>
      <c r="G279" s="32"/>
      <c r="H279" s="22"/>
      <c r="I279" s="22"/>
      <c r="J279" s="22"/>
      <c r="K279" s="22"/>
      <c r="L279" s="36"/>
      <c r="M279" s="36"/>
      <c r="N279" s="36"/>
      <c r="O279" s="23"/>
      <c r="P279" s="22"/>
      <c r="Q279" s="22"/>
      <c r="R279" s="22"/>
      <c r="S279" s="22"/>
      <c r="T279" s="22"/>
      <c r="U279" s="22"/>
      <c r="V279" s="22"/>
      <c r="W279" s="22"/>
    </row>
    <row r="280" spans="1:23" ht="15.75" thickBot="1">
      <c r="E280" s="24"/>
      <c r="F280" s="24"/>
      <c r="G280" s="26"/>
      <c r="H280" s="37"/>
      <c r="I280" s="37"/>
      <c r="J280" s="38"/>
      <c r="K280" s="38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</row>
    <row r="281" spans="1:23">
      <c r="E281" s="22"/>
      <c r="F281" s="22"/>
      <c r="G281" s="22"/>
      <c r="H281" s="22"/>
      <c r="I281" s="36"/>
      <c r="J281" s="22"/>
      <c r="K281" s="36"/>
      <c r="L281" s="39"/>
      <c r="M281" s="36"/>
      <c r="N281" s="22"/>
      <c r="O281" s="36"/>
      <c r="P281" s="22"/>
      <c r="Q281" s="39"/>
      <c r="R281" s="22"/>
      <c r="S281" s="22"/>
      <c r="T281" s="22"/>
      <c r="U281" s="22"/>
      <c r="V281" s="22"/>
      <c r="W281" s="22"/>
    </row>
    <row r="282" spans="1:23">
      <c r="E282" s="22"/>
      <c r="F282" s="22"/>
      <c r="G282" s="22"/>
      <c r="H282" s="22"/>
      <c r="I282" s="39"/>
      <c r="J282" s="22"/>
      <c r="K282" s="22"/>
      <c r="L282" s="39"/>
      <c r="M282" s="22"/>
      <c r="N282" s="22"/>
      <c r="O282" s="36"/>
      <c r="P282" s="22"/>
      <c r="Q282" s="39"/>
      <c r="R282" s="22"/>
      <c r="S282" s="22"/>
      <c r="T282" s="22"/>
      <c r="U282" s="22"/>
      <c r="V282" s="22"/>
      <c r="W282" s="22"/>
    </row>
    <row r="283" spans="1:23">
      <c r="E283" s="22"/>
      <c r="F283" s="22"/>
      <c r="G283" s="22"/>
      <c r="H283" s="22"/>
      <c r="I283" s="22"/>
      <c r="J283" s="39"/>
      <c r="K283" s="39"/>
      <c r="L283" s="42"/>
      <c r="M283" s="42" t="s">
        <v>278</v>
      </c>
      <c r="N283" s="36"/>
      <c r="O283" s="44" t="s">
        <v>114</v>
      </c>
      <c r="P283" s="39"/>
      <c r="Q283" s="22"/>
      <c r="R283" s="39"/>
      <c r="S283" s="39"/>
      <c r="T283" s="39"/>
      <c r="U283" s="39"/>
      <c r="V283" s="39"/>
      <c r="W283" s="22"/>
    </row>
    <row r="284" spans="1:23">
      <c r="E284" s="22"/>
      <c r="F284" s="22"/>
      <c r="G284" s="22"/>
      <c r="H284" s="22"/>
      <c r="I284" s="22"/>
      <c r="J284" s="39"/>
      <c r="K284" s="39"/>
      <c r="L284" s="39"/>
      <c r="M284" s="39"/>
      <c r="N284" s="39"/>
      <c r="O284" s="36"/>
      <c r="P284" s="39"/>
      <c r="Q284" s="39"/>
      <c r="R284" s="39"/>
      <c r="S284" s="39"/>
      <c r="T284" s="39"/>
      <c r="U284" s="39"/>
      <c r="V284" s="39"/>
      <c r="W284" s="39"/>
    </row>
    <row r="285" spans="1:23">
      <c r="E285" s="23" t="s">
        <v>55</v>
      </c>
      <c r="F285" s="171" t="s">
        <v>280</v>
      </c>
      <c r="G285" s="48"/>
      <c r="H285" s="49"/>
      <c r="I285" s="50"/>
      <c r="J285" s="50"/>
      <c r="K285" s="51" t="s">
        <v>281</v>
      </c>
      <c r="L285" s="50"/>
      <c r="M285" s="50"/>
      <c r="N285" s="48"/>
      <c r="O285" s="53"/>
      <c r="P285" s="50"/>
      <c r="Q285" s="51"/>
      <c r="R285" s="51" t="s">
        <v>282</v>
      </c>
      <c r="S285" s="50"/>
      <c r="T285" s="50"/>
      <c r="U285" s="48"/>
      <c r="V285" s="55" t="s">
        <v>283</v>
      </c>
      <c r="W285" s="55" t="s">
        <v>284</v>
      </c>
    </row>
    <row r="286" spans="1:23" ht="15.75" thickBot="1">
      <c r="A286" s="56" t="s">
        <v>354</v>
      </c>
      <c r="B286" s="56" t="s">
        <v>285</v>
      </c>
      <c r="C286" s="56" t="s">
        <v>286</v>
      </c>
      <c r="E286" s="25" t="s">
        <v>60</v>
      </c>
      <c r="F286" s="57" t="s">
        <v>287</v>
      </c>
      <c r="G286" s="58"/>
      <c r="H286" s="24"/>
      <c r="I286" s="25" t="s">
        <v>288</v>
      </c>
      <c r="J286" s="60"/>
      <c r="K286" s="60" t="s">
        <v>289</v>
      </c>
      <c r="L286" s="60"/>
      <c r="M286" s="60" t="s">
        <v>290</v>
      </c>
      <c r="N286" s="60"/>
      <c r="O286" s="60"/>
      <c r="P286" s="60" t="s">
        <v>288</v>
      </c>
      <c r="Q286" s="60"/>
      <c r="R286" s="60" t="s">
        <v>289</v>
      </c>
      <c r="S286" s="60"/>
      <c r="T286" s="60" t="s">
        <v>290</v>
      </c>
      <c r="U286" s="58"/>
      <c r="V286" s="62" t="s">
        <v>291</v>
      </c>
      <c r="W286" s="62" t="s">
        <v>59</v>
      </c>
    </row>
    <row r="287" spans="1:23">
      <c r="E287" s="22">
        <v>1</v>
      </c>
      <c r="F287" s="332" t="s">
        <v>585</v>
      </c>
      <c r="G287" s="332"/>
      <c r="H287" s="332"/>
      <c r="I287" s="22"/>
      <c r="J287" s="65"/>
      <c r="K287" s="65"/>
      <c r="L287" s="65"/>
      <c r="M287" s="65"/>
      <c r="N287" s="67"/>
      <c r="O287" s="53"/>
      <c r="P287" s="67"/>
      <c r="Q287" s="65"/>
      <c r="R287" s="65"/>
      <c r="S287" s="65"/>
      <c r="T287" s="65"/>
      <c r="U287" s="65"/>
      <c r="V287" s="65"/>
      <c r="W287" s="65"/>
    </row>
    <row r="288" spans="1:23">
      <c r="E288" s="22">
        <v>2</v>
      </c>
      <c r="F288" s="22"/>
      <c r="G288" s="22"/>
      <c r="H288" s="22"/>
      <c r="I288" s="22"/>
      <c r="J288" s="22"/>
      <c r="K288" s="22"/>
      <c r="L288" s="22"/>
      <c r="M288" s="22"/>
      <c r="N288" s="22"/>
      <c r="O288" s="23"/>
      <c r="P288" s="22"/>
      <c r="Q288" s="22"/>
      <c r="R288" s="22"/>
      <c r="S288" s="22"/>
      <c r="T288" s="22"/>
      <c r="U288" s="22"/>
      <c r="V288" s="22"/>
      <c r="W288" s="22"/>
    </row>
    <row r="289" spans="2:23">
      <c r="E289" s="22">
        <v>3</v>
      </c>
      <c r="F289" s="67" t="s">
        <v>672</v>
      </c>
      <c r="G289" s="22"/>
      <c r="H289" s="22"/>
      <c r="I289" s="22"/>
      <c r="J289" s="22"/>
      <c r="K289" s="22"/>
      <c r="L289" s="22"/>
      <c r="M289" s="70"/>
      <c r="N289" s="22"/>
      <c r="O289" s="23"/>
      <c r="P289" s="22"/>
      <c r="Q289" s="22"/>
      <c r="R289" s="22"/>
      <c r="S289" s="22"/>
      <c r="T289" s="70"/>
      <c r="U289" s="22"/>
      <c r="V289" s="22"/>
      <c r="W289" s="22"/>
    </row>
    <row r="290" spans="2:23">
      <c r="B290" t="s">
        <v>673</v>
      </c>
      <c r="C290" t="s">
        <v>674</v>
      </c>
      <c r="E290" s="22">
        <v>4</v>
      </c>
      <c r="F290" s="150" t="s">
        <v>85</v>
      </c>
      <c r="G290" s="22"/>
      <c r="H290" s="22"/>
      <c r="I290" s="22">
        <v>0</v>
      </c>
      <c r="J290" s="22" t="s">
        <v>675</v>
      </c>
      <c r="K290" s="77">
        <v>2.0300000000000001E-3</v>
      </c>
      <c r="L290" s="22"/>
      <c r="M290" s="70">
        <f>+I290*K290</f>
        <v>0</v>
      </c>
      <c r="N290" s="22"/>
      <c r="O290" s="23"/>
      <c r="P290" s="22">
        <v>0</v>
      </c>
      <c r="Q290" s="22" t="s">
        <v>675</v>
      </c>
      <c r="R290" s="76">
        <v>2.0300000000000001E-3</v>
      </c>
      <c r="S290" s="22"/>
      <c r="T290" s="70">
        <f>+P290*R290</f>
        <v>0</v>
      </c>
      <c r="U290" s="22"/>
      <c r="V290" s="66">
        <f t="shared" ref="V290:V296" si="70">+T290-M290</f>
        <v>0</v>
      </c>
      <c r="W290" s="73">
        <f t="shared" ref="W290:W296" si="71">+IF(V290=0,0,(T290-M290)/M290)</f>
        <v>0</v>
      </c>
    </row>
    <row r="291" spans="2:23">
      <c r="B291" t="s">
        <v>676</v>
      </c>
      <c r="C291" t="s">
        <v>677</v>
      </c>
      <c r="E291" s="22">
        <v>5</v>
      </c>
      <c r="F291" s="150" t="s">
        <v>86</v>
      </c>
      <c r="G291" s="22"/>
      <c r="H291" s="22"/>
      <c r="I291" s="22">
        <v>0</v>
      </c>
      <c r="J291" s="22" t="s">
        <v>675</v>
      </c>
      <c r="K291" s="77">
        <v>2.0300000000000001E-3</v>
      </c>
      <c r="L291" s="22"/>
      <c r="M291" s="70">
        <f t="shared" ref="M291:M295" si="72">+I291*K291</f>
        <v>0</v>
      </c>
      <c r="N291" s="22"/>
      <c r="O291" s="23"/>
      <c r="P291" s="22">
        <v>0</v>
      </c>
      <c r="Q291" s="22" t="s">
        <v>675</v>
      </c>
      <c r="R291" s="76">
        <v>2.0300000000000001E-3</v>
      </c>
      <c r="S291" s="22"/>
      <c r="T291" s="70">
        <f t="shared" ref="T291:T295" si="73">+P291*R291</f>
        <v>0</v>
      </c>
      <c r="U291" s="22"/>
      <c r="V291" s="66">
        <f t="shared" si="70"/>
        <v>0</v>
      </c>
      <c r="W291" s="73">
        <f t="shared" si="71"/>
        <v>0</v>
      </c>
    </row>
    <row r="292" spans="2:23">
      <c r="B292" t="s">
        <v>678</v>
      </c>
      <c r="C292" t="s">
        <v>679</v>
      </c>
      <c r="E292" s="22">
        <v>6</v>
      </c>
      <c r="F292" s="150" t="s">
        <v>87</v>
      </c>
      <c r="G292" s="22"/>
      <c r="H292" s="22"/>
      <c r="I292" s="22">
        <v>0</v>
      </c>
      <c r="J292" s="22" t="s">
        <v>675</v>
      </c>
      <c r="K292" s="77">
        <v>2.0300000000000001E-3</v>
      </c>
      <c r="L292" s="22"/>
      <c r="M292" s="70">
        <f t="shared" si="72"/>
        <v>0</v>
      </c>
      <c r="N292" s="22"/>
      <c r="O292" s="23"/>
      <c r="P292" s="22">
        <v>0</v>
      </c>
      <c r="Q292" s="22" t="s">
        <v>675</v>
      </c>
      <c r="R292" s="76">
        <v>2.0300000000000001E-3</v>
      </c>
      <c r="S292" s="22"/>
      <c r="T292" s="70">
        <f t="shared" si="73"/>
        <v>0</v>
      </c>
      <c r="U292" s="22"/>
      <c r="V292" s="66">
        <f t="shared" si="70"/>
        <v>0</v>
      </c>
      <c r="W292" s="73">
        <f t="shared" si="71"/>
        <v>0</v>
      </c>
    </row>
    <row r="293" spans="2:23">
      <c r="B293" t="s">
        <v>680</v>
      </c>
      <c r="C293" t="s">
        <v>681</v>
      </c>
      <c r="E293" s="22">
        <v>7</v>
      </c>
      <c r="F293" s="22" t="s">
        <v>514</v>
      </c>
      <c r="G293" s="22"/>
      <c r="H293" s="22"/>
      <c r="I293" s="22">
        <v>0</v>
      </c>
      <c r="J293" s="22" t="s">
        <v>675</v>
      </c>
      <c r="K293" s="77">
        <v>2.0300000000000001E-3</v>
      </c>
      <c r="L293" s="22"/>
      <c r="M293" s="70">
        <f t="shared" si="72"/>
        <v>0</v>
      </c>
      <c r="N293" s="22"/>
      <c r="O293" s="23"/>
      <c r="P293" s="22">
        <v>0</v>
      </c>
      <c r="Q293" s="22" t="s">
        <v>675</v>
      </c>
      <c r="R293" s="76">
        <v>2.0300000000000001E-3</v>
      </c>
      <c r="S293" s="22"/>
      <c r="T293" s="70">
        <f t="shared" si="73"/>
        <v>0</v>
      </c>
      <c r="U293" s="22"/>
      <c r="V293" s="66">
        <f t="shared" si="70"/>
        <v>0</v>
      </c>
      <c r="W293" s="73">
        <f t="shared" si="71"/>
        <v>0</v>
      </c>
    </row>
    <row r="294" spans="2:23">
      <c r="B294" t="s">
        <v>682</v>
      </c>
      <c r="C294" t="s">
        <v>683</v>
      </c>
      <c r="E294" s="22">
        <v>8</v>
      </c>
      <c r="F294" s="22" t="s">
        <v>517</v>
      </c>
      <c r="G294" s="22"/>
      <c r="H294" s="22"/>
      <c r="I294" s="22">
        <v>0</v>
      </c>
      <c r="J294" s="22" t="s">
        <v>675</v>
      </c>
      <c r="K294" s="77">
        <v>2.0300000000000001E-3</v>
      </c>
      <c r="L294" s="22"/>
      <c r="M294" s="70">
        <f t="shared" si="72"/>
        <v>0</v>
      </c>
      <c r="N294" s="22"/>
      <c r="O294" s="23"/>
      <c r="P294" s="22">
        <v>0</v>
      </c>
      <c r="Q294" s="22" t="s">
        <v>675</v>
      </c>
      <c r="R294" s="76">
        <v>2.0300000000000001E-3</v>
      </c>
      <c r="S294" s="22"/>
      <c r="T294" s="70">
        <f t="shared" si="73"/>
        <v>0</v>
      </c>
      <c r="U294" s="22"/>
      <c r="V294" s="66">
        <f t="shared" si="70"/>
        <v>0</v>
      </c>
      <c r="W294" s="73">
        <f t="shared" si="71"/>
        <v>0</v>
      </c>
    </row>
    <row r="295" spans="2:23">
      <c r="B295" t="s">
        <v>684</v>
      </c>
      <c r="C295" t="s">
        <v>685</v>
      </c>
      <c r="E295" s="22">
        <v>9</v>
      </c>
      <c r="F295" s="22" t="s">
        <v>520</v>
      </c>
      <c r="G295" s="22"/>
      <c r="H295" s="22"/>
      <c r="I295" s="185">
        <v>0</v>
      </c>
      <c r="J295" s="22" t="s">
        <v>675</v>
      </c>
      <c r="K295" s="77">
        <v>2.0300000000000001E-3</v>
      </c>
      <c r="L295" s="22"/>
      <c r="M295" s="70">
        <f t="shared" si="72"/>
        <v>0</v>
      </c>
      <c r="N295" s="22"/>
      <c r="O295" s="23"/>
      <c r="P295" s="185">
        <v>0</v>
      </c>
      <c r="Q295" s="22" t="s">
        <v>675</v>
      </c>
      <c r="R295" s="76">
        <v>2.0300000000000001E-3</v>
      </c>
      <c r="S295" s="22"/>
      <c r="T295" s="70">
        <f t="shared" si="73"/>
        <v>0</v>
      </c>
      <c r="U295" s="22"/>
      <c r="V295" s="66">
        <f t="shared" si="70"/>
        <v>0</v>
      </c>
      <c r="W295" s="73">
        <f t="shared" si="71"/>
        <v>0</v>
      </c>
    </row>
    <row r="296" spans="2:23">
      <c r="E296" s="22">
        <v>10</v>
      </c>
      <c r="F296" s="22"/>
      <c r="G296" s="22"/>
      <c r="H296" s="22"/>
      <c r="I296" s="22">
        <f>+SUM(I290:I295)</f>
        <v>0</v>
      </c>
      <c r="J296" s="22"/>
      <c r="K296" s="22"/>
      <c r="L296" s="22"/>
      <c r="M296" s="187">
        <f>+SUM(M290:M295)</f>
        <v>0</v>
      </c>
      <c r="N296" s="22"/>
      <c r="O296" s="23"/>
      <c r="P296" s="22">
        <f>+SUM(P290:P295)</f>
        <v>0</v>
      </c>
      <c r="Q296" s="22" t="s">
        <v>675</v>
      </c>
      <c r="R296" s="22"/>
      <c r="S296" s="22"/>
      <c r="T296" s="187">
        <f>+SUM(T290:T295)</f>
        <v>0</v>
      </c>
      <c r="U296" s="22"/>
      <c r="V296" s="66">
        <f t="shared" si="70"/>
        <v>0</v>
      </c>
      <c r="W296" s="73">
        <f t="shared" si="71"/>
        <v>0</v>
      </c>
    </row>
    <row r="297" spans="2:23">
      <c r="E297" s="22">
        <v>11</v>
      </c>
      <c r="F297" s="67" t="s">
        <v>686</v>
      </c>
      <c r="G297" s="22"/>
      <c r="H297" s="22"/>
      <c r="I297" s="22"/>
      <c r="J297" s="22"/>
      <c r="K297" s="22"/>
      <c r="L297" s="22"/>
      <c r="M297" s="70"/>
      <c r="N297" s="22"/>
      <c r="O297" s="23"/>
      <c r="P297" s="22"/>
      <c r="Q297" s="22"/>
      <c r="R297" s="22"/>
      <c r="S297" s="22"/>
      <c r="T297" s="70"/>
      <c r="U297" s="22"/>
      <c r="V297" s="22"/>
      <c r="W297" s="22"/>
    </row>
    <row r="298" spans="2:23">
      <c r="B298" t="s">
        <v>687</v>
      </c>
      <c r="C298" t="s">
        <v>688</v>
      </c>
      <c r="E298" s="22">
        <v>12</v>
      </c>
      <c r="F298" s="150" t="s">
        <v>85</v>
      </c>
      <c r="G298" s="22"/>
      <c r="H298" s="22"/>
      <c r="I298" s="22">
        <v>0</v>
      </c>
      <c r="J298" s="22" t="s">
        <v>675</v>
      </c>
      <c r="K298" s="77">
        <v>-1.0200000000000001E-3</v>
      </c>
      <c r="L298" s="22"/>
      <c r="M298" s="70">
        <f>+I298*K298</f>
        <v>0</v>
      </c>
      <c r="N298" s="22"/>
      <c r="O298" s="23"/>
      <c r="P298" s="22">
        <v>0</v>
      </c>
      <c r="Q298" s="22" t="s">
        <v>675</v>
      </c>
      <c r="R298" s="76">
        <v>-1.0200000000000001E-3</v>
      </c>
      <c r="S298" s="22"/>
      <c r="T298" s="70">
        <f>+P298*R298</f>
        <v>0</v>
      </c>
      <c r="U298" s="22"/>
      <c r="V298" s="66">
        <f t="shared" ref="V298:V304" si="74">+T298-M298</f>
        <v>0</v>
      </c>
      <c r="W298" s="73">
        <f t="shared" ref="W298:W304" si="75">+IF(V298=0,0,(T298-M298)/M298)</f>
        <v>0</v>
      </c>
    </row>
    <row r="299" spans="2:23">
      <c r="B299" t="s">
        <v>689</v>
      </c>
      <c r="C299" t="s">
        <v>690</v>
      </c>
      <c r="E299" s="22">
        <v>13</v>
      </c>
      <c r="F299" s="150" t="s">
        <v>86</v>
      </c>
      <c r="G299" s="22"/>
      <c r="H299" s="22"/>
      <c r="I299" s="22">
        <v>0</v>
      </c>
      <c r="J299" s="22" t="s">
        <v>675</v>
      </c>
      <c r="K299" s="77">
        <v>-1.0200000000000001E-3</v>
      </c>
      <c r="L299" s="22"/>
      <c r="M299" s="70">
        <f t="shared" ref="M299:M303" si="76">+I299*K299</f>
        <v>0</v>
      </c>
      <c r="N299" s="22"/>
      <c r="O299" s="23"/>
      <c r="P299" s="22">
        <v>0</v>
      </c>
      <c r="Q299" s="22" t="s">
        <v>675</v>
      </c>
      <c r="R299" s="76">
        <v>-1.0200000000000001E-3</v>
      </c>
      <c r="S299" s="22"/>
      <c r="T299" s="70">
        <f t="shared" ref="T299:T303" si="77">+P299*R299</f>
        <v>0</v>
      </c>
      <c r="U299" s="22"/>
      <c r="V299" s="66">
        <f t="shared" si="74"/>
        <v>0</v>
      </c>
      <c r="W299" s="73">
        <f t="shared" si="75"/>
        <v>0</v>
      </c>
    </row>
    <row r="300" spans="2:23">
      <c r="B300" t="s">
        <v>691</v>
      </c>
      <c r="C300" t="s">
        <v>692</v>
      </c>
      <c r="E300" s="22">
        <v>14</v>
      </c>
      <c r="F300" s="150" t="s">
        <v>87</v>
      </c>
      <c r="G300" s="67"/>
      <c r="H300" s="22"/>
      <c r="I300" s="22">
        <v>0</v>
      </c>
      <c r="J300" s="22" t="s">
        <v>675</v>
      </c>
      <c r="K300" s="77">
        <v>-1.0200000000000001E-3</v>
      </c>
      <c r="L300" s="22"/>
      <c r="M300" s="70">
        <f t="shared" si="76"/>
        <v>0</v>
      </c>
      <c r="N300" s="22"/>
      <c r="O300" s="23"/>
      <c r="P300" s="22">
        <v>0</v>
      </c>
      <c r="Q300" s="22" t="s">
        <v>675</v>
      </c>
      <c r="R300" s="76">
        <v>-1.0200000000000001E-3</v>
      </c>
      <c r="S300" s="22"/>
      <c r="T300" s="70">
        <f t="shared" si="77"/>
        <v>0</v>
      </c>
      <c r="U300" s="22"/>
      <c r="V300" s="66">
        <f t="shared" si="74"/>
        <v>0</v>
      </c>
      <c r="W300" s="73">
        <f t="shared" si="75"/>
        <v>0</v>
      </c>
    </row>
    <row r="301" spans="2:23">
      <c r="B301" t="s">
        <v>693</v>
      </c>
      <c r="C301" t="s">
        <v>694</v>
      </c>
      <c r="E301" s="22">
        <v>15</v>
      </c>
      <c r="F301" s="22" t="s">
        <v>514</v>
      </c>
      <c r="G301" s="22"/>
      <c r="H301" s="22"/>
      <c r="I301" s="22">
        <v>0</v>
      </c>
      <c r="J301" s="22" t="s">
        <v>675</v>
      </c>
      <c r="K301" s="77">
        <v>-1.0200000000000001E-3</v>
      </c>
      <c r="L301" s="22"/>
      <c r="M301" s="70">
        <f t="shared" si="76"/>
        <v>0</v>
      </c>
      <c r="N301" s="22"/>
      <c r="O301" s="23"/>
      <c r="P301" s="22">
        <v>0</v>
      </c>
      <c r="Q301" s="22" t="s">
        <v>675</v>
      </c>
      <c r="R301" s="76">
        <v>-1.0200000000000001E-3</v>
      </c>
      <c r="S301" s="22"/>
      <c r="T301" s="70">
        <f t="shared" si="77"/>
        <v>0</v>
      </c>
      <c r="U301" s="22"/>
      <c r="V301" s="66">
        <f t="shared" si="74"/>
        <v>0</v>
      </c>
      <c r="W301" s="73">
        <f t="shared" si="75"/>
        <v>0</v>
      </c>
    </row>
    <row r="302" spans="2:23">
      <c r="B302" t="s">
        <v>695</v>
      </c>
      <c r="C302" t="s">
        <v>696</v>
      </c>
      <c r="E302" s="22">
        <v>16</v>
      </c>
      <c r="F302" s="22" t="s">
        <v>517</v>
      </c>
      <c r="G302" s="22"/>
      <c r="H302" s="22"/>
      <c r="I302" s="22">
        <v>0</v>
      </c>
      <c r="J302" s="22" t="s">
        <v>675</v>
      </c>
      <c r="K302" s="77">
        <v>-1.0200000000000001E-3</v>
      </c>
      <c r="L302" s="22"/>
      <c r="M302" s="70">
        <f t="shared" si="76"/>
        <v>0</v>
      </c>
      <c r="N302" s="22"/>
      <c r="O302" s="23"/>
      <c r="P302" s="22">
        <v>0</v>
      </c>
      <c r="Q302" s="22" t="s">
        <v>675</v>
      </c>
      <c r="R302" s="76">
        <v>-1.0200000000000001E-3</v>
      </c>
      <c r="S302" s="22"/>
      <c r="T302" s="70">
        <f t="shared" si="77"/>
        <v>0</v>
      </c>
      <c r="U302" s="22"/>
      <c r="V302" s="66">
        <f t="shared" si="74"/>
        <v>0</v>
      </c>
      <c r="W302" s="73">
        <f t="shared" si="75"/>
        <v>0</v>
      </c>
    </row>
    <row r="303" spans="2:23">
      <c r="B303" t="s">
        <v>697</v>
      </c>
      <c r="C303" t="s">
        <v>698</v>
      </c>
      <c r="E303" s="22">
        <v>17</v>
      </c>
      <c r="F303" s="22" t="s">
        <v>520</v>
      </c>
      <c r="G303" s="22"/>
      <c r="H303" s="22"/>
      <c r="I303" s="185">
        <v>0</v>
      </c>
      <c r="J303" s="22" t="s">
        <v>675</v>
      </c>
      <c r="K303" s="77">
        <v>-1.0200000000000001E-3</v>
      </c>
      <c r="L303" s="22"/>
      <c r="M303" s="70">
        <f t="shared" si="76"/>
        <v>0</v>
      </c>
      <c r="N303" s="22"/>
      <c r="O303" s="23"/>
      <c r="P303" s="185">
        <v>0</v>
      </c>
      <c r="Q303" s="22" t="s">
        <v>675</v>
      </c>
      <c r="R303" s="76">
        <v>-1.0200000000000001E-3</v>
      </c>
      <c r="S303" s="22"/>
      <c r="T303" s="70">
        <f t="shared" si="77"/>
        <v>0</v>
      </c>
      <c r="U303" s="22"/>
      <c r="V303" s="66">
        <f t="shared" si="74"/>
        <v>0</v>
      </c>
      <c r="W303" s="73">
        <f t="shared" si="75"/>
        <v>0</v>
      </c>
    </row>
    <row r="304" spans="2:23">
      <c r="E304" s="22">
        <v>18</v>
      </c>
      <c r="F304" s="67" t="s">
        <v>521</v>
      </c>
      <c r="G304" s="67"/>
      <c r="H304" s="22"/>
      <c r="I304" s="22">
        <f>+SUM(I298:I303)</f>
        <v>0</v>
      </c>
      <c r="J304" s="22" t="s">
        <v>675</v>
      </c>
      <c r="K304" s="22"/>
      <c r="L304" s="22"/>
      <c r="M304" s="129">
        <f>+SUM(M298:M303)</f>
        <v>0</v>
      </c>
      <c r="N304" s="22"/>
      <c r="O304" s="23"/>
      <c r="P304" s="22">
        <f>+SUM(P298:P303)</f>
        <v>0</v>
      </c>
      <c r="Q304" s="22" t="s">
        <v>675</v>
      </c>
      <c r="R304" s="83"/>
      <c r="S304" s="22"/>
      <c r="T304" s="129">
        <f>+SUM(T298:T303)</f>
        <v>0</v>
      </c>
      <c r="U304" s="22"/>
      <c r="V304" s="66">
        <f t="shared" si="74"/>
        <v>0</v>
      </c>
      <c r="W304" s="73">
        <f t="shared" si="75"/>
        <v>0</v>
      </c>
    </row>
    <row r="305" spans="2:23">
      <c r="E305" s="22">
        <v>19</v>
      </c>
      <c r="F305" s="22"/>
      <c r="G305" s="22"/>
      <c r="H305" s="22"/>
      <c r="I305" s="22"/>
      <c r="J305" s="22"/>
      <c r="K305" s="22"/>
      <c r="L305" s="22"/>
      <c r="M305" s="70"/>
      <c r="N305" s="22"/>
      <c r="O305" s="23"/>
      <c r="P305" s="22"/>
      <c r="Q305" s="22"/>
      <c r="R305" s="22"/>
      <c r="S305" s="22"/>
      <c r="T305" s="70"/>
      <c r="U305" s="22"/>
      <c r="V305" s="22"/>
      <c r="W305" s="22"/>
    </row>
    <row r="306" spans="2:23">
      <c r="E306" s="22">
        <v>20</v>
      </c>
      <c r="F306" s="22" t="s">
        <v>699</v>
      </c>
      <c r="G306" s="22"/>
      <c r="H306" s="22"/>
      <c r="I306" s="22"/>
      <c r="J306" s="22"/>
      <c r="K306" s="22"/>
      <c r="L306" s="22"/>
      <c r="M306" s="70"/>
      <c r="N306" s="22"/>
      <c r="O306" s="23"/>
      <c r="P306" s="22"/>
      <c r="Q306" s="22"/>
      <c r="R306" s="22"/>
      <c r="S306" s="22"/>
      <c r="T306" s="70"/>
      <c r="U306" s="22"/>
      <c r="V306" s="22"/>
      <c r="W306" s="22"/>
    </row>
    <row r="307" spans="2:23">
      <c r="B307" t="s">
        <v>700</v>
      </c>
      <c r="C307" t="s">
        <v>701</v>
      </c>
      <c r="E307" s="22">
        <v>21</v>
      </c>
      <c r="F307" s="150" t="s">
        <v>86</v>
      </c>
      <c r="G307" s="22"/>
      <c r="H307" s="22"/>
      <c r="I307" s="22">
        <v>0</v>
      </c>
      <c r="J307" s="66" t="s">
        <v>413</v>
      </c>
      <c r="K307" s="74">
        <v>-0.49</v>
      </c>
      <c r="L307" s="22"/>
      <c r="M307" s="66">
        <f>+I307*K307</f>
        <v>0</v>
      </c>
      <c r="N307" s="22"/>
      <c r="O307" s="23"/>
      <c r="P307" s="22">
        <v>0</v>
      </c>
      <c r="Q307" s="66" t="s">
        <v>413</v>
      </c>
      <c r="R307" s="71">
        <v>-0.54</v>
      </c>
      <c r="S307" s="22"/>
      <c r="T307" s="66">
        <f>+P307*R307</f>
        <v>0</v>
      </c>
      <c r="U307" s="22"/>
      <c r="V307" s="66">
        <f t="shared" ref="V307:V310" si="78">+T307-M307</f>
        <v>0</v>
      </c>
      <c r="W307" s="73">
        <f t="shared" ref="W307:W310" si="79">+IF(V307=0,0,(T307-M307)/M307)</f>
        <v>0</v>
      </c>
    </row>
    <row r="308" spans="2:23">
      <c r="B308" t="s">
        <v>702</v>
      </c>
      <c r="C308" t="s">
        <v>703</v>
      </c>
      <c r="E308" s="22">
        <v>22</v>
      </c>
      <c r="F308" s="150" t="s">
        <v>87</v>
      </c>
      <c r="G308" s="22"/>
      <c r="H308" s="22"/>
      <c r="I308" s="22">
        <v>0</v>
      </c>
      <c r="J308" s="66" t="s">
        <v>413</v>
      </c>
      <c r="K308" s="74">
        <v>-2.06</v>
      </c>
      <c r="L308" s="22"/>
      <c r="M308" s="66">
        <f t="shared" ref="M308:M310" si="80">+I308*K308</f>
        <v>0</v>
      </c>
      <c r="N308" s="22"/>
      <c r="O308" s="23"/>
      <c r="P308" s="22">
        <v>0</v>
      </c>
      <c r="Q308" s="66" t="s">
        <v>413</v>
      </c>
      <c r="R308" s="71">
        <v>-3.09</v>
      </c>
      <c r="S308" s="22"/>
      <c r="T308" s="66">
        <f t="shared" ref="T308:T310" si="81">+P308*R308</f>
        <v>0</v>
      </c>
      <c r="U308" s="22"/>
      <c r="V308" s="66">
        <f t="shared" si="78"/>
        <v>0</v>
      </c>
      <c r="W308" s="73">
        <f t="shared" si="79"/>
        <v>0</v>
      </c>
    </row>
    <row r="309" spans="2:23">
      <c r="B309" t="s">
        <v>704</v>
      </c>
      <c r="C309" t="s">
        <v>705</v>
      </c>
      <c r="E309" s="22">
        <v>23</v>
      </c>
      <c r="F309" s="22" t="s">
        <v>517</v>
      </c>
      <c r="G309" s="22"/>
      <c r="H309" s="22"/>
      <c r="I309" s="22">
        <v>0</v>
      </c>
      <c r="J309" s="66" t="s">
        <v>413</v>
      </c>
      <c r="K309" s="74">
        <v>-0.49</v>
      </c>
      <c r="L309" s="22"/>
      <c r="M309" s="66">
        <f t="shared" si="80"/>
        <v>0</v>
      </c>
      <c r="N309" s="22"/>
      <c r="O309" s="23"/>
      <c r="P309" s="22">
        <v>0</v>
      </c>
      <c r="Q309" s="66" t="s">
        <v>413</v>
      </c>
      <c r="R309" s="71">
        <v>-0.54</v>
      </c>
      <c r="S309" s="22"/>
      <c r="T309" s="66">
        <f t="shared" si="81"/>
        <v>0</v>
      </c>
      <c r="U309" s="22"/>
      <c r="V309" s="66">
        <f t="shared" si="78"/>
        <v>0</v>
      </c>
      <c r="W309" s="73">
        <f t="shared" si="79"/>
        <v>0</v>
      </c>
    </row>
    <row r="310" spans="2:23">
      <c r="B310" t="s">
        <v>706</v>
      </c>
      <c r="C310" t="s">
        <v>707</v>
      </c>
      <c r="E310" s="22">
        <v>24</v>
      </c>
      <c r="F310" s="22" t="s">
        <v>520</v>
      </c>
      <c r="G310" s="22"/>
      <c r="H310" s="22"/>
      <c r="I310" s="22">
        <v>0</v>
      </c>
      <c r="J310" s="66" t="s">
        <v>413</v>
      </c>
      <c r="K310" s="74">
        <v>-2.06</v>
      </c>
      <c r="L310" s="22"/>
      <c r="M310" s="66">
        <f t="shared" si="80"/>
        <v>0</v>
      </c>
      <c r="N310" s="22"/>
      <c r="O310" s="23"/>
      <c r="P310" s="22">
        <v>0</v>
      </c>
      <c r="Q310" s="66" t="s">
        <v>413</v>
      </c>
      <c r="R310" s="71">
        <v>-3.09</v>
      </c>
      <c r="S310" s="22"/>
      <c r="T310" s="66">
        <f t="shared" si="81"/>
        <v>0</v>
      </c>
      <c r="U310" s="22"/>
      <c r="V310" s="66">
        <f t="shared" si="78"/>
        <v>0</v>
      </c>
      <c r="W310" s="73">
        <f t="shared" si="79"/>
        <v>0</v>
      </c>
    </row>
    <row r="311" spans="2:23">
      <c r="E311" s="22">
        <v>25</v>
      </c>
      <c r="F311" s="22"/>
      <c r="G311" s="22"/>
      <c r="H311" s="22"/>
      <c r="I311" s="22"/>
      <c r="J311" s="22"/>
      <c r="K311" s="22"/>
      <c r="L311" s="22"/>
      <c r="M311" s="22"/>
      <c r="N311" s="22"/>
      <c r="O311" s="23"/>
      <c r="P311" s="22"/>
      <c r="Q311" s="22"/>
      <c r="R311" s="22"/>
      <c r="S311" s="22"/>
      <c r="T311" s="22"/>
      <c r="U311" s="22"/>
      <c r="V311" s="22"/>
      <c r="W311" s="22"/>
    </row>
    <row r="312" spans="2:23">
      <c r="E312" s="22">
        <v>26</v>
      </c>
      <c r="F312" s="22" t="s">
        <v>708</v>
      </c>
      <c r="G312" s="22"/>
      <c r="H312" s="22"/>
      <c r="I312" s="22"/>
      <c r="J312" s="22"/>
      <c r="K312" s="22"/>
      <c r="L312" s="22"/>
      <c r="M312" s="70"/>
      <c r="N312" s="22"/>
      <c r="O312" s="23"/>
      <c r="P312" s="22"/>
      <c r="Q312" s="22"/>
      <c r="R312" s="22"/>
      <c r="S312" s="22"/>
      <c r="T312" s="70"/>
      <c r="U312" s="22"/>
      <c r="V312" s="22"/>
      <c r="W312" s="22"/>
    </row>
    <row r="313" spans="2:23">
      <c r="B313" t="s">
        <v>709</v>
      </c>
      <c r="C313" t="s">
        <v>710</v>
      </c>
      <c r="E313" s="22">
        <v>27</v>
      </c>
      <c r="F313" s="22" t="s">
        <v>711</v>
      </c>
      <c r="G313" s="22"/>
      <c r="H313" s="22"/>
      <c r="I313" s="22">
        <v>0</v>
      </c>
      <c r="J313" s="22" t="s">
        <v>413</v>
      </c>
      <c r="K313" s="74">
        <v>-1.3</v>
      </c>
      <c r="L313" s="22"/>
      <c r="M313" s="66">
        <f>+I313*K313</f>
        <v>0</v>
      </c>
      <c r="N313" s="22"/>
      <c r="O313" s="23"/>
      <c r="P313" s="22">
        <v>0</v>
      </c>
      <c r="Q313" s="66" t="s">
        <v>413</v>
      </c>
      <c r="R313" s="71">
        <v>-2.06</v>
      </c>
      <c r="S313" s="22"/>
      <c r="T313" s="66">
        <f>+P313*R313</f>
        <v>0</v>
      </c>
      <c r="U313" s="22"/>
      <c r="V313" s="66">
        <f t="shared" ref="V313:V317" si="82">+T313-M313</f>
        <v>0</v>
      </c>
      <c r="W313" s="73">
        <f t="shared" ref="W313:W317" si="83">+IF(V313=0,0,(T313-M313)/M313)</f>
        <v>0</v>
      </c>
    </row>
    <row r="314" spans="2:23">
      <c r="B314" t="s">
        <v>712</v>
      </c>
      <c r="C314" t="s">
        <v>713</v>
      </c>
      <c r="E314" s="22">
        <v>28</v>
      </c>
      <c r="F314" s="22" t="s">
        <v>714</v>
      </c>
      <c r="G314" s="22"/>
      <c r="H314" s="22"/>
      <c r="I314" s="22">
        <v>0</v>
      </c>
      <c r="J314" s="22" t="s">
        <v>413</v>
      </c>
      <c r="K314" s="74">
        <v>-1.71</v>
      </c>
      <c r="L314" s="22"/>
      <c r="M314" s="66">
        <f t="shared" ref="M314:M316" si="84">+I314*K314</f>
        <v>0</v>
      </c>
      <c r="N314" s="22"/>
      <c r="O314" s="23"/>
      <c r="P314" s="22">
        <v>0</v>
      </c>
      <c r="Q314" s="66" t="s">
        <v>413</v>
      </c>
      <c r="R314" s="71">
        <v>-2.5099999999999998</v>
      </c>
      <c r="S314" s="22"/>
      <c r="T314" s="66">
        <f t="shared" ref="T314:T316" si="85">+P314*R314</f>
        <v>0</v>
      </c>
      <c r="U314" s="22"/>
      <c r="V314" s="66">
        <f t="shared" si="82"/>
        <v>0</v>
      </c>
      <c r="W314" s="73">
        <f t="shared" si="83"/>
        <v>0</v>
      </c>
    </row>
    <row r="315" spans="2:23">
      <c r="B315" t="s">
        <v>715</v>
      </c>
      <c r="C315" t="s">
        <v>716</v>
      </c>
      <c r="E315" s="22">
        <v>29</v>
      </c>
      <c r="F315" s="22" t="s">
        <v>517</v>
      </c>
      <c r="G315" s="22"/>
      <c r="H315" s="22"/>
      <c r="I315" s="22">
        <v>0</v>
      </c>
      <c r="J315" s="66" t="s">
        <v>413</v>
      </c>
      <c r="K315" s="74">
        <v>-1.3</v>
      </c>
      <c r="L315" s="22"/>
      <c r="M315" s="66">
        <f t="shared" si="84"/>
        <v>0</v>
      </c>
      <c r="N315" s="22"/>
      <c r="O315" s="23"/>
      <c r="P315" s="22">
        <v>0</v>
      </c>
      <c r="Q315" s="66" t="s">
        <v>413</v>
      </c>
      <c r="R315" s="71">
        <v>-2.06</v>
      </c>
      <c r="S315" s="22"/>
      <c r="T315" s="66">
        <f t="shared" si="85"/>
        <v>0</v>
      </c>
      <c r="U315" s="22"/>
      <c r="V315" s="66">
        <f t="shared" si="82"/>
        <v>0</v>
      </c>
      <c r="W315" s="73">
        <f t="shared" si="83"/>
        <v>0</v>
      </c>
    </row>
    <row r="316" spans="2:23">
      <c r="B316" t="s">
        <v>717</v>
      </c>
      <c r="C316" t="s">
        <v>718</v>
      </c>
      <c r="E316" s="22">
        <v>30</v>
      </c>
      <c r="F316" s="22" t="s">
        <v>520</v>
      </c>
      <c r="G316" s="22"/>
      <c r="H316" s="22"/>
      <c r="I316" s="22">
        <v>0</v>
      </c>
      <c r="J316" s="66" t="s">
        <v>413</v>
      </c>
      <c r="K316" s="74">
        <v>-1.71</v>
      </c>
      <c r="L316" s="22"/>
      <c r="M316" s="66">
        <f t="shared" si="84"/>
        <v>0</v>
      </c>
      <c r="N316" s="22"/>
      <c r="O316" s="23"/>
      <c r="P316" s="22">
        <v>0</v>
      </c>
      <c r="Q316" s="66" t="s">
        <v>413</v>
      </c>
      <c r="R316" s="71">
        <v>-2.5099999999999998</v>
      </c>
      <c r="S316" s="22"/>
      <c r="T316" s="66">
        <f t="shared" si="85"/>
        <v>0</v>
      </c>
      <c r="U316" s="22"/>
      <c r="V316" s="66">
        <f t="shared" si="82"/>
        <v>0</v>
      </c>
      <c r="W316" s="73">
        <f t="shared" si="83"/>
        <v>0</v>
      </c>
    </row>
    <row r="317" spans="2:23">
      <c r="E317" s="22">
        <v>31</v>
      </c>
      <c r="F317" s="67" t="s">
        <v>521</v>
      </c>
      <c r="G317" s="65"/>
      <c r="H317" s="22"/>
      <c r="I317" s="188">
        <f>+SUM(I307:I310,I313:I316)</f>
        <v>0</v>
      </c>
      <c r="J317" s="66" t="s">
        <v>413</v>
      </c>
      <c r="K317" s="66"/>
      <c r="L317" s="66"/>
      <c r="M317" s="129">
        <f>+SUM(M307:M310,M313:M316)</f>
        <v>0</v>
      </c>
      <c r="N317" s="66"/>
      <c r="O317" s="72"/>
      <c r="P317" s="188">
        <f>+SUM(P307:P310,P313:P316)</f>
        <v>0</v>
      </c>
      <c r="Q317" s="66" t="s">
        <v>413</v>
      </c>
      <c r="R317" s="66"/>
      <c r="S317" s="66"/>
      <c r="T317" s="129">
        <f>+SUM(T307:T310,T313:T316)</f>
        <v>0</v>
      </c>
      <c r="U317" s="22"/>
      <c r="V317" s="66">
        <f t="shared" si="82"/>
        <v>0</v>
      </c>
      <c r="W317" s="73">
        <f t="shared" si="83"/>
        <v>0</v>
      </c>
    </row>
    <row r="318" spans="2:23">
      <c r="E318" s="22">
        <v>32</v>
      </c>
      <c r="F318" s="22"/>
      <c r="G318" s="22"/>
      <c r="H318" s="22"/>
      <c r="I318" s="41"/>
      <c r="J318" s="22"/>
      <c r="K318" s="22"/>
      <c r="L318" s="22"/>
      <c r="M318" s="41"/>
      <c r="N318" s="22"/>
      <c r="O318" s="23"/>
      <c r="P318" s="41"/>
      <c r="Q318" s="22"/>
      <c r="R318" s="22"/>
      <c r="S318" s="22"/>
      <c r="T318" s="41"/>
      <c r="U318" s="22"/>
      <c r="V318" s="22"/>
      <c r="W318" s="75"/>
    </row>
    <row r="319" spans="2:23">
      <c r="E319" s="22">
        <v>33</v>
      </c>
      <c r="F319" s="22"/>
      <c r="G319" s="22"/>
      <c r="H319" s="22"/>
      <c r="I319" s="41"/>
      <c r="J319" s="22"/>
      <c r="K319" s="22"/>
      <c r="L319" s="22"/>
      <c r="M319" s="41"/>
      <c r="N319" s="22"/>
      <c r="O319" s="23"/>
      <c r="P319" s="41"/>
      <c r="Q319" s="22"/>
      <c r="R319" s="22"/>
      <c r="S319" s="22"/>
      <c r="T319" s="41"/>
      <c r="U319" s="22"/>
      <c r="V319" s="22"/>
      <c r="W319" s="75"/>
    </row>
    <row r="320" spans="2:23">
      <c r="E320" s="22">
        <v>34</v>
      </c>
      <c r="F320" s="22"/>
      <c r="G320" s="22"/>
      <c r="H320" s="22"/>
      <c r="I320" s="41"/>
      <c r="J320" s="22"/>
      <c r="K320" s="22"/>
      <c r="L320" s="22"/>
      <c r="M320" s="41"/>
      <c r="N320" s="22"/>
      <c r="O320" s="23"/>
      <c r="P320" s="41"/>
      <c r="Q320" s="22"/>
      <c r="R320" s="22"/>
      <c r="S320" s="22"/>
      <c r="T320" s="41"/>
      <c r="U320" s="22"/>
      <c r="V320" s="22"/>
      <c r="W320" s="75"/>
    </row>
    <row r="321" spans="5:23">
      <c r="E321" s="22">
        <v>35</v>
      </c>
      <c r="F321" s="22"/>
      <c r="G321" s="22"/>
      <c r="H321" s="22"/>
      <c r="I321" s="41"/>
      <c r="J321" s="22"/>
      <c r="K321" s="22"/>
      <c r="L321" s="22"/>
      <c r="M321" s="41"/>
      <c r="N321" s="22"/>
      <c r="O321" s="23"/>
      <c r="P321" s="41"/>
      <c r="Q321" s="22"/>
      <c r="R321" s="22"/>
      <c r="S321" s="22"/>
      <c r="T321" s="41"/>
      <c r="U321" s="22"/>
      <c r="V321" s="22"/>
      <c r="W321" s="75"/>
    </row>
    <row r="322" spans="5:23">
      <c r="E322" s="22">
        <v>36</v>
      </c>
      <c r="F322" s="22"/>
      <c r="G322" s="22"/>
      <c r="H322" s="22"/>
      <c r="I322" s="41"/>
      <c r="J322" s="22"/>
      <c r="K322" s="22"/>
      <c r="L322" s="22"/>
      <c r="M322" s="41"/>
      <c r="N322" s="22"/>
      <c r="O322" s="23"/>
      <c r="P322" s="41"/>
      <c r="Q322" s="22"/>
      <c r="R322" s="22"/>
      <c r="S322" s="22"/>
      <c r="T322" s="41"/>
      <c r="U322" s="22"/>
      <c r="V322" s="22"/>
      <c r="W322" s="75"/>
    </row>
    <row r="323" spans="5:23">
      <c r="E323" s="22">
        <v>37</v>
      </c>
      <c r="F323" s="22"/>
      <c r="G323" s="22"/>
      <c r="H323" s="22"/>
      <c r="I323" s="41"/>
      <c r="J323" s="22"/>
      <c r="K323" s="22"/>
      <c r="L323" s="22"/>
      <c r="M323" s="41"/>
      <c r="N323" s="22"/>
      <c r="O323" s="23"/>
      <c r="P323" s="41"/>
      <c r="Q323" s="22"/>
      <c r="R323" s="22"/>
      <c r="S323" s="22"/>
      <c r="T323" s="41"/>
      <c r="U323" s="22"/>
      <c r="V323" s="22"/>
      <c r="W323" s="75"/>
    </row>
    <row r="324" spans="5:23">
      <c r="E324" s="22">
        <v>38</v>
      </c>
      <c r="F324" s="22"/>
      <c r="G324" s="22"/>
      <c r="H324" s="22"/>
      <c r="I324" s="41"/>
      <c r="J324" s="22"/>
      <c r="K324" s="22"/>
      <c r="L324" s="22"/>
      <c r="M324" s="41"/>
      <c r="N324" s="22"/>
      <c r="O324" s="23"/>
      <c r="P324" s="41"/>
      <c r="Q324" s="22"/>
      <c r="R324" s="22"/>
      <c r="S324" s="22"/>
      <c r="T324" s="41"/>
      <c r="U324" s="22"/>
      <c r="V324" s="22"/>
      <c r="W324" s="75"/>
    </row>
    <row r="325" spans="5:23" ht="15.75" thickBot="1">
      <c r="E325" s="24">
        <v>39</v>
      </c>
      <c r="F325" s="24"/>
      <c r="G325" s="24"/>
      <c r="H325" s="24"/>
      <c r="I325" s="24"/>
      <c r="J325" s="24"/>
      <c r="K325" s="24"/>
      <c r="L325" s="24"/>
      <c r="M325" s="24"/>
      <c r="N325" s="24"/>
      <c r="O325" s="25"/>
      <c r="P325" s="24"/>
      <c r="Q325" s="24"/>
      <c r="R325" s="24"/>
      <c r="S325" s="24"/>
      <c r="T325" s="24"/>
      <c r="U325" s="24"/>
      <c r="V325" s="24"/>
      <c r="W325" s="26"/>
    </row>
    <row r="326" spans="5:23"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3"/>
      <c r="P326" s="22"/>
      <c r="Q326" s="22"/>
      <c r="R326" s="22"/>
      <c r="S326" s="22"/>
      <c r="T326" s="22"/>
      <c r="U326" s="22"/>
      <c r="V326" s="22"/>
      <c r="W326" s="22"/>
    </row>
    <row r="327" spans="5:23">
      <c r="E327" s="22"/>
      <c r="F327" s="22"/>
      <c r="G327" s="22"/>
      <c r="H327" s="22"/>
      <c r="I327" s="22"/>
      <c r="J327" s="22"/>
      <c r="K327" s="22"/>
      <c r="L327" s="330"/>
      <c r="M327" s="330"/>
      <c r="N327" s="330"/>
      <c r="O327" s="330"/>
      <c r="P327" s="330"/>
      <c r="Q327" s="22"/>
      <c r="R327" s="22"/>
      <c r="S327" s="22"/>
      <c r="T327" s="22"/>
      <c r="U327" s="22"/>
      <c r="V327" s="22"/>
      <c r="W327" s="22"/>
    </row>
    <row r="328" spans="5:23" ht="15.75" thickBot="1">
      <c r="E328" s="24"/>
      <c r="F328" s="24"/>
      <c r="G328" s="24"/>
      <c r="H328" s="24"/>
      <c r="I328" s="24"/>
      <c r="J328" s="24"/>
      <c r="K328" s="24"/>
      <c r="L328" s="331" t="s">
        <v>274</v>
      </c>
      <c r="M328" s="331"/>
      <c r="N328" s="331"/>
      <c r="O328" s="331"/>
      <c r="P328" s="331"/>
      <c r="Q328" s="24"/>
      <c r="R328" s="24"/>
      <c r="S328" s="24"/>
      <c r="T328" s="24"/>
      <c r="U328" s="24"/>
      <c r="V328" s="24"/>
      <c r="W328" s="26"/>
    </row>
    <row r="329" spans="5:23">
      <c r="E329" s="22"/>
      <c r="F329" s="22"/>
      <c r="G329" s="22"/>
      <c r="H329" s="22"/>
      <c r="I329" s="22"/>
      <c r="J329" s="22"/>
      <c r="L329" s="22"/>
      <c r="M329" s="22"/>
      <c r="N329" s="22"/>
      <c r="O329" s="29"/>
      <c r="P329" s="30"/>
      <c r="Q329" s="22"/>
      <c r="R329" s="30"/>
      <c r="S329" s="30"/>
      <c r="T329" s="30"/>
      <c r="U329" s="22"/>
      <c r="V329" s="22"/>
      <c r="W329" s="31"/>
    </row>
    <row r="330" spans="5:23">
      <c r="E330" s="22"/>
      <c r="F330" s="22"/>
      <c r="G330" s="22"/>
      <c r="H330" s="22"/>
      <c r="I330" s="22"/>
      <c r="J330" s="22"/>
      <c r="L330" s="22"/>
      <c r="M330" s="22"/>
      <c r="N330" s="22"/>
      <c r="O330" s="23"/>
      <c r="P330" s="31"/>
      <c r="Q330" s="22"/>
      <c r="R330" s="22"/>
      <c r="S330" s="32"/>
      <c r="T330" s="32"/>
      <c r="U330" s="31"/>
      <c r="V330" s="22"/>
      <c r="W330" s="32"/>
    </row>
    <row r="331" spans="5:23"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3"/>
      <c r="P331" s="31"/>
      <c r="Q331" s="32"/>
      <c r="R331" s="22"/>
      <c r="S331" s="22"/>
      <c r="T331" s="32"/>
      <c r="U331" s="31"/>
      <c r="V331" s="22"/>
      <c r="W331" s="32"/>
    </row>
    <row r="332" spans="5:23"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3"/>
      <c r="P332" s="31"/>
      <c r="Q332" s="32"/>
      <c r="R332" s="22"/>
      <c r="S332" s="22"/>
      <c r="T332" s="32"/>
      <c r="U332" s="31"/>
      <c r="V332" s="22"/>
      <c r="W332" s="32"/>
    </row>
    <row r="333" spans="5:23">
      <c r="E333" s="22"/>
      <c r="F333" s="22"/>
      <c r="G333" s="32"/>
      <c r="H333" s="22"/>
      <c r="I333" s="22"/>
      <c r="J333" s="22"/>
      <c r="K333" s="22"/>
      <c r="L333" s="36"/>
      <c r="M333" s="36"/>
      <c r="N333" s="36"/>
      <c r="O333" s="23"/>
      <c r="P333" s="22"/>
      <c r="Q333" s="22"/>
      <c r="R333" s="22"/>
      <c r="S333" s="22"/>
      <c r="T333" s="22"/>
      <c r="U333" s="22"/>
      <c r="V333" s="22"/>
      <c r="W333" s="22"/>
    </row>
    <row r="334" spans="5:23" ht="15.75" thickBot="1">
      <c r="E334" s="24"/>
      <c r="F334" s="24"/>
      <c r="G334" s="26"/>
      <c r="H334" s="37"/>
      <c r="I334" s="37"/>
      <c r="J334" s="38"/>
      <c r="K334" s="38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</row>
    <row r="335" spans="5:23">
      <c r="E335" s="22"/>
      <c r="F335" s="22"/>
      <c r="G335" s="22"/>
      <c r="H335" s="22"/>
      <c r="I335" s="36"/>
      <c r="J335" s="22"/>
      <c r="K335" s="36"/>
      <c r="L335" s="39"/>
      <c r="M335" s="36"/>
      <c r="N335" s="22"/>
      <c r="O335" s="36"/>
      <c r="P335" s="22"/>
      <c r="Q335" s="39"/>
      <c r="R335" s="22"/>
      <c r="S335" s="22"/>
      <c r="T335" s="22"/>
      <c r="U335" s="22"/>
      <c r="V335" s="22"/>
      <c r="W335" s="22"/>
    </row>
    <row r="336" spans="5:23">
      <c r="E336" s="22"/>
      <c r="F336" s="22"/>
      <c r="G336" s="22"/>
      <c r="H336" s="22"/>
      <c r="I336" s="39"/>
      <c r="J336" s="22"/>
      <c r="K336" s="22"/>
      <c r="L336" s="39"/>
      <c r="M336" s="22"/>
      <c r="N336" s="22"/>
      <c r="O336" s="36"/>
      <c r="P336" s="22"/>
      <c r="Q336" s="39"/>
      <c r="R336" s="22"/>
      <c r="S336" s="22"/>
      <c r="T336" s="22"/>
      <c r="U336" s="22"/>
      <c r="V336" s="22"/>
      <c r="W336" s="22"/>
    </row>
    <row r="337" spans="1:23">
      <c r="E337" s="22"/>
      <c r="F337" s="22"/>
      <c r="G337" s="22"/>
      <c r="H337" s="22"/>
      <c r="I337" s="22"/>
      <c r="J337" s="39"/>
      <c r="K337" s="39"/>
      <c r="L337" s="42"/>
      <c r="M337" s="42" t="s">
        <v>278</v>
      </c>
      <c r="N337" s="36"/>
      <c r="O337" s="44" t="s">
        <v>114</v>
      </c>
      <c r="P337" s="39"/>
      <c r="Q337" s="22"/>
      <c r="R337" s="39"/>
      <c r="S337" s="39"/>
      <c r="T337" s="39"/>
      <c r="U337" s="39"/>
      <c r="V337" s="39"/>
      <c r="W337" s="22"/>
    </row>
    <row r="338" spans="1:23">
      <c r="E338" s="22"/>
      <c r="F338" s="22"/>
      <c r="G338" s="22"/>
      <c r="H338" s="22"/>
      <c r="I338" s="22"/>
      <c r="J338" s="39"/>
      <c r="K338" s="39"/>
      <c r="L338" s="39"/>
      <c r="M338" s="39"/>
      <c r="N338" s="39"/>
      <c r="O338" s="36"/>
      <c r="P338" s="39"/>
      <c r="Q338" s="39"/>
      <c r="R338" s="39"/>
      <c r="S338" s="39"/>
      <c r="T338" s="39"/>
      <c r="U338" s="39"/>
      <c r="V338" s="39"/>
      <c r="W338" s="39"/>
    </row>
    <row r="339" spans="1:23">
      <c r="E339" s="23" t="s">
        <v>55</v>
      </c>
      <c r="F339" s="171" t="s">
        <v>280</v>
      </c>
      <c r="G339" s="48"/>
      <c r="H339" s="49"/>
      <c r="I339" s="50"/>
      <c r="J339" s="50"/>
      <c r="K339" s="51" t="s">
        <v>281</v>
      </c>
      <c r="L339" s="50"/>
      <c r="M339" s="50"/>
      <c r="N339" s="48"/>
      <c r="O339" s="53"/>
      <c r="P339" s="50"/>
      <c r="Q339" s="51"/>
      <c r="R339" s="51" t="s">
        <v>282</v>
      </c>
      <c r="S339" s="50"/>
      <c r="T339" s="50"/>
      <c r="U339" s="48"/>
      <c r="V339" s="55" t="s">
        <v>283</v>
      </c>
      <c r="W339" s="55" t="s">
        <v>284</v>
      </c>
    </row>
    <row r="340" spans="1:23" ht="15.75" thickBot="1">
      <c r="A340" s="56" t="s">
        <v>354</v>
      </c>
      <c r="B340" s="56" t="s">
        <v>285</v>
      </c>
      <c r="C340" s="56" t="s">
        <v>286</v>
      </c>
      <c r="E340" s="25" t="s">
        <v>60</v>
      </c>
      <c r="F340" s="57" t="s">
        <v>287</v>
      </c>
      <c r="G340" s="58"/>
      <c r="H340" s="24"/>
      <c r="I340" s="25" t="s">
        <v>288</v>
      </c>
      <c r="J340" s="60"/>
      <c r="K340" s="60" t="s">
        <v>289</v>
      </c>
      <c r="L340" s="60"/>
      <c r="M340" s="60" t="s">
        <v>290</v>
      </c>
      <c r="N340" s="60"/>
      <c r="O340" s="60"/>
      <c r="P340" s="60" t="s">
        <v>288</v>
      </c>
      <c r="Q340" s="60"/>
      <c r="R340" s="60" t="s">
        <v>289</v>
      </c>
      <c r="S340" s="60"/>
      <c r="T340" s="60" t="s">
        <v>290</v>
      </c>
      <c r="U340" s="58"/>
      <c r="V340" s="62" t="s">
        <v>291</v>
      </c>
      <c r="W340" s="62" t="s">
        <v>59</v>
      </c>
    </row>
    <row r="341" spans="1:23">
      <c r="E341" s="22">
        <v>1</v>
      </c>
      <c r="F341" s="332" t="s">
        <v>719</v>
      </c>
      <c r="G341" s="332"/>
      <c r="H341" s="332"/>
      <c r="I341" s="22"/>
      <c r="J341" s="65"/>
      <c r="K341" s="65"/>
      <c r="L341" s="65"/>
      <c r="M341" s="65"/>
      <c r="N341" s="67"/>
      <c r="O341" s="53"/>
      <c r="P341" s="67"/>
      <c r="Q341" s="65"/>
      <c r="R341" s="65"/>
      <c r="S341" s="65"/>
      <c r="T341" s="65"/>
      <c r="U341" s="65"/>
      <c r="V341" s="65"/>
      <c r="W341" s="65"/>
    </row>
    <row r="342" spans="1:23">
      <c r="E342" s="22">
        <v>2</v>
      </c>
      <c r="F342" s="22"/>
      <c r="G342" s="22"/>
      <c r="H342" s="22"/>
      <c r="I342" s="22"/>
      <c r="J342" s="22"/>
      <c r="K342" s="22"/>
      <c r="L342" s="22"/>
      <c r="M342" s="22"/>
      <c r="N342" s="22"/>
      <c r="O342" s="23"/>
      <c r="P342" s="22"/>
      <c r="Q342" s="22"/>
      <c r="R342" s="22"/>
      <c r="S342" s="22"/>
      <c r="T342" s="22"/>
      <c r="U342" s="22"/>
      <c r="V342" s="22"/>
      <c r="W342" s="22"/>
    </row>
    <row r="343" spans="1:23">
      <c r="E343" s="22">
        <v>3</v>
      </c>
      <c r="F343" s="67" t="s">
        <v>720</v>
      </c>
      <c r="G343" s="22"/>
      <c r="H343" s="22"/>
      <c r="I343" s="41"/>
      <c r="J343" s="66"/>
      <c r="K343" s="66"/>
      <c r="L343" s="66"/>
      <c r="M343" s="66"/>
      <c r="N343" s="66"/>
      <c r="O343" s="72"/>
      <c r="P343" s="41"/>
      <c r="Q343" s="66"/>
      <c r="R343" s="66"/>
      <c r="S343" s="66"/>
      <c r="T343" s="66"/>
      <c r="U343" s="22"/>
      <c r="V343" s="22"/>
      <c r="W343" s="75"/>
    </row>
    <row r="344" spans="1:23">
      <c r="B344" t="s">
        <v>721</v>
      </c>
      <c r="C344" t="s">
        <v>722</v>
      </c>
      <c r="E344" s="22">
        <v>4</v>
      </c>
      <c r="F344" s="150" t="s">
        <v>85</v>
      </c>
      <c r="G344" s="67"/>
      <c r="H344" s="22"/>
      <c r="I344" s="22">
        <v>0</v>
      </c>
      <c r="J344" s="66" t="s">
        <v>413</v>
      </c>
      <c r="K344" s="74">
        <v>0.68</v>
      </c>
      <c r="L344" s="66"/>
      <c r="M344" s="66">
        <f>+I344*K344</f>
        <v>0</v>
      </c>
      <c r="N344" s="66"/>
      <c r="O344" s="72"/>
      <c r="P344" s="22">
        <v>0</v>
      </c>
      <c r="Q344" s="66" t="s">
        <v>413</v>
      </c>
      <c r="R344" s="71">
        <v>1.02</v>
      </c>
      <c r="S344" s="66"/>
      <c r="T344" s="66">
        <f>+P344*R344</f>
        <v>0</v>
      </c>
      <c r="U344" s="22"/>
      <c r="V344" s="66">
        <f t="shared" ref="V344:V350" si="86">+T344-M344</f>
        <v>0</v>
      </c>
      <c r="W344" s="73">
        <f t="shared" ref="W344:W350" si="87">+IF(V344=0,0,(T344-M344)/M344)</f>
        <v>0</v>
      </c>
    </row>
    <row r="345" spans="1:23">
      <c r="B345" t="s">
        <v>723</v>
      </c>
      <c r="C345" t="s">
        <v>724</v>
      </c>
      <c r="E345" s="22">
        <v>5</v>
      </c>
      <c r="F345" s="150" t="s">
        <v>86</v>
      </c>
      <c r="G345" s="67"/>
      <c r="H345" s="22"/>
      <c r="I345" s="22">
        <v>0</v>
      </c>
      <c r="J345" s="66" t="s">
        <v>413</v>
      </c>
      <c r="K345" s="74">
        <v>0.68</v>
      </c>
      <c r="L345" s="66"/>
      <c r="M345" s="66">
        <f t="shared" ref="M345:M349" si="88">+I345*K345</f>
        <v>0</v>
      </c>
      <c r="N345" s="66"/>
      <c r="O345" s="72"/>
      <c r="P345" s="22">
        <v>0</v>
      </c>
      <c r="Q345" s="66" t="s">
        <v>413</v>
      </c>
      <c r="R345" s="71">
        <v>1.02</v>
      </c>
      <c r="S345" s="66"/>
      <c r="T345" s="66">
        <f t="shared" ref="T345:T349" si="89">+P345*R345</f>
        <v>0</v>
      </c>
      <c r="U345" s="22"/>
      <c r="V345" s="66">
        <f t="shared" si="86"/>
        <v>0</v>
      </c>
      <c r="W345" s="73">
        <f t="shared" si="87"/>
        <v>0</v>
      </c>
    </row>
    <row r="346" spans="1:23">
      <c r="B346" t="s">
        <v>725</v>
      </c>
      <c r="C346" t="s">
        <v>726</v>
      </c>
      <c r="E346" s="22">
        <v>6</v>
      </c>
      <c r="F346" s="150" t="s">
        <v>87</v>
      </c>
      <c r="G346" s="22"/>
      <c r="H346" s="22"/>
      <c r="I346" s="22">
        <v>0</v>
      </c>
      <c r="J346" s="66" t="s">
        <v>413</v>
      </c>
      <c r="K346" s="74">
        <v>0.68</v>
      </c>
      <c r="L346" s="66"/>
      <c r="M346" s="66">
        <f t="shared" si="88"/>
        <v>0</v>
      </c>
      <c r="N346" s="66"/>
      <c r="O346" s="72"/>
      <c r="P346" s="22">
        <v>0</v>
      </c>
      <c r="Q346" s="66" t="s">
        <v>413</v>
      </c>
      <c r="R346" s="71">
        <v>1.02</v>
      </c>
      <c r="S346" s="66"/>
      <c r="T346" s="66">
        <f t="shared" si="89"/>
        <v>0</v>
      </c>
      <c r="U346" s="22"/>
      <c r="V346" s="66">
        <f t="shared" si="86"/>
        <v>0</v>
      </c>
      <c r="W346" s="73">
        <f t="shared" si="87"/>
        <v>0</v>
      </c>
    </row>
    <row r="347" spans="1:23">
      <c r="B347" t="s">
        <v>727</v>
      </c>
      <c r="C347" t="s">
        <v>728</v>
      </c>
      <c r="E347" s="22">
        <v>7</v>
      </c>
      <c r="F347" s="22" t="s">
        <v>514</v>
      </c>
      <c r="G347" s="22"/>
      <c r="H347" s="22"/>
      <c r="I347" s="22">
        <v>0</v>
      </c>
      <c r="J347" s="66" t="s">
        <v>413</v>
      </c>
      <c r="K347" s="74">
        <v>0.68</v>
      </c>
      <c r="L347" s="66"/>
      <c r="M347" s="66">
        <f t="shared" si="88"/>
        <v>0</v>
      </c>
      <c r="N347" s="66"/>
      <c r="O347" s="72"/>
      <c r="P347" s="22">
        <v>0</v>
      </c>
      <c r="Q347" s="66" t="s">
        <v>413</v>
      </c>
      <c r="R347" s="71">
        <v>1.02</v>
      </c>
      <c r="S347" s="66"/>
      <c r="T347" s="66">
        <f t="shared" si="89"/>
        <v>0</v>
      </c>
      <c r="U347" s="22"/>
      <c r="V347" s="66">
        <f t="shared" si="86"/>
        <v>0</v>
      </c>
      <c r="W347" s="73">
        <f t="shared" si="87"/>
        <v>0</v>
      </c>
    </row>
    <row r="348" spans="1:23">
      <c r="B348" t="s">
        <v>729</v>
      </c>
      <c r="C348" t="s">
        <v>730</v>
      </c>
      <c r="E348" s="22">
        <v>8</v>
      </c>
      <c r="F348" s="22" t="s">
        <v>517</v>
      </c>
      <c r="G348" s="22"/>
      <c r="H348" s="22"/>
      <c r="I348" s="22">
        <v>0</v>
      </c>
      <c r="J348" s="66" t="s">
        <v>413</v>
      </c>
      <c r="K348" s="74">
        <v>0.68</v>
      </c>
      <c r="L348" s="66"/>
      <c r="M348" s="66">
        <f t="shared" si="88"/>
        <v>0</v>
      </c>
      <c r="N348" s="66"/>
      <c r="O348" s="72"/>
      <c r="P348" s="22">
        <v>0</v>
      </c>
      <c r="Q348" s="66" t="s">
        <v>413</v>
      </c>
      <c r="R348" s="71">
        <v>1.02</v>
      </c>
      <c r="S348" s="66"/>
      <c r="T348" s="66">
        <f t="shared" si="89"/>
        <v>0</v>
      </c>
      <c r="U348" s="22"/>
      <c r="V348" s="66">
        <f t="shared" si="86"/>
        <v>0</v>
      </c>
      <c r="W348" s="73">
        <f t="shared" si="87"/>
        <v>0</v>
      </c>
    </row>
    <row r="349" spans="1:23">
      <c r="B349" t="s">
        <v>731</v>
      </c>
      <c r="C349" t="s">
        <v>732</v>
      </c>
      <c r="E349" s="22">
        <v>9</v>
      </c>
      <c r="F349" s="22" t="s">
        <v>520</v>
      </c>
      <c r="G349" s="22"/>
      <c r="H349" s="22"/>
      <c r="I349" s="185">
        <v>0</v>
      </c>
      <c r="J349" s="66" t="s">
        <v>413</v>
      </c>
      <c r="K349" s="74">
        <v>0.68</v>
      </c>
      <c r="L349" s="22"/>
      <c r="M349" s="66">
        <f t="shared" si="88"/>
        <v>0</v>
      </c>
      <c r="N349" s="22"/>
      <c r="O349" s="23"/>
      <c r="P349" s="185">
        <v>0</v>
      </c>
      <c r="Q349" s="66" t="s">
        <v>413</v>
      </c>
      <c r="R349" s="71">
        <v>1.02</v>
      </c>
      <c r="S349" s="22"/>
      <c r="T349" s="66">
        <f t="shared" si="89"/>
        <v>0</v>
      </c>
      <c r="U349" s="22"/>
      <c r="V349" s="66">
        <f t="shared" si="86"/>
        <v>0</v>
      </c>
      <c r="W349" s="73">
        <f t="shared" si="87"/>
        <v>0</v>
      </c>
    </row>
    <row r="350" spans="1:23">
      <c r="E350" s="22">
        <v>10</v>
      </c>
      <c r="F350" s="22"/>
      <c r="G350" s="22"/>
      <c r="H350" s="22"/>
      <c r="I350" s="22">
        <f>+SUM(I344:I349)</f>
        <v>0</v>
      </c>
      <c r="J350" s="66" t="s">
        <v>413</v>
      </c>
      <c r="K350" s="22"/>
      <c r="L350" s="22"/>
      <c r="M350" s="187">
        <f>+SUM(M344:M349)</f>
        <v>0</v>
      </c>
      <c r="N350" s="22"/>
      <c r="O350" s="23"/>
      <c r="P350" s="22">
        <f>+SUM(P344:P349)</f>
        <v>0</v>
      </c>
      <c r="Q350" s="66" t="s">
        <v>413</v>
      </c>
      <c r="R350" s="22"/>
      <c r="S350" s="22"/>
      <c r="T350" s="187">
        <f>+SUM(T344:T349)</f>
        <v>0</v>
      </c>
      <c r="U350" s="22"/>
      <c r="V350" s="66">
        <f t="shared" si="86"/>
        <v>0</v>
      </c>
      <c r="W350" s="73">
        <f t="shared" si="87"/>
        <v>0</v>
      </c>
    </row>
    <row r="351" spans="1:23">
      <c r="E351" s="22">
        <v>11</v>
      </c>
      <c r="F351" s="22"/>
      <c r="G351" s="22"/>
      <c r="H351" s="22"/>
      <c r="I351" s="22"/>
      <c r="J351" s="22"/>
      <c r="K351" s="22"/>
      <c r="L351" s="22"/>
      <c r="M351" s="22"/>
      <c r="N351" s="22"/>
      <c r="O351" s="23"/>
      <c r="P351" s="22"/>
      <c r="Q351" s="22"/>
      <c r="R351" s="22"/>
      <c r="S351" s="22"/>
      <c r="T351" s="22"/>
      <c r="U351" s="22"/>
      <c r="V351" s="22"/>
      <c r="W351" s="22"/>
    </row>
    <row r="352" spans="1:23">
      <c r="E352" s="22">
        <v>12</v>
      </c>
      <c r="F352" s="67" t="s">
        <v>733</v>
      </c>
      <c r="G352" s="67"/>
      <c r="H352" s="67"/>
      <c r="I352" s="22"/>
      <c r="J352" s="22"/>
      <c r="K352" s="22"/>
      <c r="L352" s="22"/>
      <c r="M352" s="70"/>
      <c r="N352" s="22"/>
      <c r="O352" s="23"/>
      <c r="P352" s="22"/>
      <c r="Q352" s="22"/>
      <c r="R352" s="22"/>
      <c r="S352" s="22"/>
      <c r="T352" s="70"/>
      <c r="U352" s="22"/>
      <c r="V352" s="22"/>
      <c r="W352" s="22"/>
    </row>
    <row r="353" spans="3:23">
      <c r="C353" t="s">
        <v>734</v>
      </c>
      <c r="E353" s="22">
        <v>13</v>
      </c>
      <c r="F353" s="150" t="s">
        <v>86</v>
      </c>
      <c r="G353" s="22"/>
      <c r="H353" s="22"/>
      <c r="I353" s="41">
        <f>+M191+M206+M237+M247+M250+M253+M291+M299+M307+M313+M345</f>
        <v>0</v>
      </c>
      <c r="J353" s="66" t="s">
        <v>464</v>
      </c>
      <c r="K353" s="189">
        <v>-0.01</v>
      </c>
      <c r="L353" s="22"/>
      <c r="M353" s="66">
        <f>+I353*K353</f>
        <v>0</v>
      </c>
      <c r="N353" s="22"/>
      <c r="O353" s="23"/>
      <c r="P353" s="41">
        <f>+T191+T206+T237+T247+T250+T253+T291+T299+T307+T313+T345</f>
        <v>0</v>
      </c>
      <c r="Q353" s="66" t="s">
        <v>464</v>
      </c>
      <c r="R353" s="190">
        <f>+K353</f>
        <v>-0.01</v>
      </c>
      <c r="S353" s="22"/>
      <c r="T353" s="66">
        <f>+P353*R353</f>
        <v>0</v>
      </c>
      <c r="U353" s="22"/>
      <c r="V353" s="66">
        <f t="shared" ref="V353:V357" si="90">+T353-M353</f>
        <v>0</v>
      </c>
      <c r="W353" s="73">
        <f t="shared" ref="W353:W357" si="91">+IF(V353=0,0,(T353-M353)/M353)</f>
        <v>0</v>
      </c>
    </row>
    <row r="354" spans="3:23">
      <c r="C354" t="s">
        <v>735</v>
      </c>
      <c r="E354" s="22">
        <v>14</v>
      </c>
      <c r="F354" s="150" t="s">
        <v>87</v>
      </c>
      <c r="G354" s="22"/>
      <c r="H354" s="22"/>
      <c r="I354" s="41">
        <f>+M192+M207+M238+M248+M251+M254+M292+M300+M308+M314+M346</f>
        <v>0</v>
      </c>
      <c r="J354" s="66" t="s">
        <v>464</v>
      </c>
      <c r="K354" s="189">
        <v>-0.02</v>
      </c>
      <c r="L354" s="22"/>
      <c r="M354" s="66">
        <f t="shared" ref="M354:M356" si="92">+I354*K354</f>
        <v>0</v>
      </c>
      <c r="N354" s="22"/>
      <c r="O354" s="23"/>
      <c r="P354" s="41">
        <f>+T192+T207+T238+T248+T251+T254+T292+T300+T308+T314+T346</f>
        <v>0</v>
      </c>
      <c r="Q354" s="66" t="s">
        <v>464</v>
      </c>
      <c r="R354" s="190">
        <f t="shared" ref="R354:R356" si="93">+K354</f>
        <v>-0.02</v>
      </c>
      <c r="S354" s="22"/>
      <c r="T354" s="66">
        <f t="shared" ref="T354:T356" si="94">+P354*R354</f>
        <v>0</v>
      </c>
      <c r="U354" s="22"/>
      <c r="V354" s="66">
        <f t="shared" si="90"/>
        <v>0</v>
      </c>
      <c r="W354" s="73">
        <f t="shared" si="91"/>
        <v>0</v>
      </c>
    </row>
    <row r="355" spans="3:23">
      <c r="C355" t="s">
        <v>736</v>
      </c>
      <c r="E355" s="22">
        <v>15</v>
      </c>
      <c r="F355" s="22" t="s">
        <v>517</v>
      </c>
      <c r="G355" s="22"/>
      <c r="H355" s="22"/>
      <c r="I355" s="41">
        <f>+M194+M197+M209+M212+M240+M243+M256+M259+M262+M294+M302+M309+M315+M348</f>
        <v>0</v>
      </c>
      <c r="J355" s="66" t="s">
        <v>464</v>
      </c>
      <c r="K355" s="189">
        <v>-0.01</v>
      </c>
      <c r="L355" s="22"/>
      <c r="M355" s="66">
        <f t="shared" si="92"/>
        <v>0</v>
      </c>
      <c r="N355" s="22"/>
      <c r="O355" s="23"/>
      <c r="P355" s="41">
        <f>+T194+T197+T209+T212+T240+T243+T256+T259+T262+T294+T302+T309+T315+T348</f>
        <v>0</v>
      </c>
      <c r="Q355" s="66" t="s">
        <v>464</v>
      </c>
      <c r="R355" s="190">
        <f t="shared" si="93"/>
        <v>-0.01</v>
      </c>
      <c r="S355" s="22"/>
      <c r="T355" s="66">
        <f t="shared" si="94"/>
        <v>0</v>
      </c>
      <c r="U355" s="22"/>
      <c r="V355" s="66">
        <f t="shared" si="90"/>
        <v>0</v>
      </c>
      <c r="W355" s="73">
        <f t="shared" si="91"/>
        <v>0</v>
      </c>
    </row>
    <row r="356" spans="3:23">
      <c r="C356" t="s">
        <v>737</v>
      </c>
      <c r="E356" s="22">
        <v>16</v>
      </c>
      <c r="F356" s="22" t="s">
        <v>520</v>
      </c>
      <c r="G356" s="22"/>
      <c r="H356" s="22"/>
      <c r="I356" s="191">
        <f>+M195+M198+M210+M213+M241+M244+M257+M260+M263+M295+M303+M310+M316+M349</f>
        <v>0</v>
      </c>
      <c r="J356" s="66" t="s">
        <v>464</v>
      </c>
      <c r="K356" s="189">
        <v>-0.02</v>
      </c>
      <c r="L356" s="22"/>
      <c r="M356" s="66">
        <f t="shared" si="92"/>
        <v>0</v>
      </c>
      <c r="N356" s="22"/>
      <c r="O356" s="23"/>
      <c r="P356" s="191">
        <f>+T195+T198+T210+T213+T241+T244+T257+T260+T263+T295+T303+T310+T316+T349</f>
        <v>0</v>
      </c>
      <c r="Q356" s="66" t="s">
        <v>464</v>
      </c>
      <c r="R356" s="190">
        <f t="shared" si="93"/>
        <v>-0.02</v>
      </c>
      <c r="S356" s="22"/>
      <c r="T356" s="66">
        <f t="shared" si="94"/>
        <v>0</v>
      </c>
      <c r="U356" s="22"/>
      <c r="V356" s="66">
        <f t="shared" si="90"/>
        <v>0</v>
      </c>
      <c r="W356" s="73">
        <f t="shared" si="91"/>
        <v>0</v>
      </c>
    </row>
    <row r="357" spans="3:23">
      <c r="E357" s="22">
        <v>17</v>
      </c>
      <c r="F357" s="67" t="s">
        <v>521</v>
      </c>
      <c r="G357" s="65"/>
      <c r="H357" s="22"/>
      <c r="I357" s="41">
        <f>+SUM(I353:I356)</f>
        <v>0</v>
      </c>
      <c r="J357" s="66" t="s">
        <v>464</v>
      </c>
      <c r="K357" s="66"/>
      <c r="L357" s="66"/>
      <c r="M357" s="129">
        <f>+SUM(M353:M356)</f>
        <v>0</v>
      </c>
      <c r="N357" s="66"/>
      <c r="O357" s="72"/>
      <c r="P357" s="41">
        <f>+SUM(P353:P356)</f>
        <v>0</v>
      </c>
      <c r="Q357" s="66" t="s">
        <v>464</v>
      </c>
      <c r="R357" s="22"/>
      <c r="S357" s="22"/>
      <c r="T357" s="129">
        <f>+SUM(T353:T356)</f>
        <v>0</v>
      </c>
      <c r="U357" s="66"/>
      <c r="V357" s="66">
        <f t="shared" si="90"/>
        <v>0</v>
      </c>
      <c r="W357" s="73">
        <f t="shared" si="91"/>
        <v>0</v>
      </c>
    </row>
    <row r="358" spans="3:23">
      <c r="E358" s="22">
        <v>18</v>
      </c>
      <c r="F358" s="22"/>
      <c r="G358" s="22"/>
      <c r="H358" s="22"/>
      <c r="I358" s="22"/>
      <c r="J358" s="22"/>
      <c r="K358" s="22"/>
      <c r="L358" s="22"/>
      <c r="M358" s="22"/>
      <c r="N358" s="22"/>
      <c r="O358" s="23"/>
      <c r="P358" s="41"/>
      <c r="Q358" s="22"/>
      <c r="R358" s="22"/>
      <c r="S358" s="22"/>
      <c r="T358" s="22"/>
      <c r="U358" s="22"/>
      <c r="V358" s="22"/>
      <c r="W358" s="22"/>
    </row>
    <row r="359" spans="3:23">
      <c r="E359" s="22">
        <v>19</v>
      </c>
      <c r="F359" s="22"/>
      <c r="G359" s="22"/>
      <c r="H359" s="22"/>
      <c r="I359" s="22"/>
      <c r="J359" s="22"/>
      <c r="K359" s="22"/>
      <c r="L359" s="22"/>
      <c r="M359" s="22"/>
      <c r="N359" s="22"/>
      <c r="O359" s="23"/>
      <c r="P359" s="22"/>
      <c r="Q359" s="22"/>
      <c r="R359" s="22"/>
      <c r="S359" s="22"/>
      <c r="T359" s="22"/>
      <c r="U359" s="22"/>
      <c r="V359" s="22"/>
      <c r="W359" s="22"/>
    </row>
    <row r="360" spans="3:23">
      <c r="E360" s="22">
        <v>20</v>
      </c>
      <c r="F360" s="333"/>
      <c r="G360" s="333"/>
      <c r="H360" s="333"/>
      <c r="I360" s="22"/>
      <c r="J360" s="22"/>
      <c r="K360" s="22"/>
      <c r="L360" s="22"/>
      <c r="M360" s="22"/>
      <c r="N360" s="22"/>
      <c r="O360" s="23"/>
      <c r="P360" s="22"/>
      <c r="Q360" s="22"/>
      <c r="R360" s="22"/>
      <c r="S360" s="22"/>
      <c r="T360" s="22"/>
      <c r="U360" s="22"/>
      <c r="V360" s="22"/>
      <c r="W360" s="22"/>
    </row>
    <row r="361" spans="3:23" ht="15.75" thickBot="1">
      <c r="E361" s="22">
        <v>21</v>
      </c>
      <c r="F361" s="67" t="s">
        <v>316</v>
      </c>
      <c r="G361" s="22"/>
      <c r="H361" s="22"/>
      <c r="I361" s="22"/>
      <c r="J361" s="22"/>
      <c r="K361" s="22"/>
      <c r="L361" s="22"/>
      <c r="M361" s="192">
        <f>+M187+M202+M217+M264+M296+M304+M317+M350+M357</f>
        <v>0</v>
      </c>
      <c r="N361" s="66"/>
      <c r="O361" s="72"/>
      <c r="P361" s="66"/>
      <c r="Q361" s="22"/>
      <c r="R361" s="22"/>
      <c r="S361" s="22"/>
      <c r="T361" s="192">
        <f>+T187+T202+T217+T264+T296+T304+T317+T350+T357</f>
        <v>0</v>
      </c>
      <c r="U361" s="22"/>
      <c r="V361" s="66">
        <f t="shared" ref="V361" si="95">+T361-M361</f>
        <v>0</v>
      </c>
      <c r="W361" s="73">
        <f t="shared" ref="W361" si="96">+IF(V361=0,0,(T361-M361)/M361)</f>
        <v>0</v>
      </c>
    </row>
    <row r="362" spans="3:23" ht="15.75" thickTop="1">
      <c r="E362" s="22">
        <v>22</v>
      </c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</row>
    <row r="363" spans="3:23">
      <c r="E363" s="22">
        <v>23</v>
      </c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</row>
    <row r="364" spans="3:23">
      <c r="E364" s="22">
        <v>24</v>
      </c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</row>
    <row r="365" spans="3:23">
      <c r="E365" s="22">
        <v>25</v>
      </c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</row>
    <row r="366" spans="3:23">
      <c r="E366" s="22">
        <v>26</v>
      </c>
      <c r="F366" s="67"/>
      <c r="G366" s="22"/>
      <c r="H366" s="22"/>
      <c r="I366" s="22"/>
      <c r="J366" s="22"/>
      <c r="K366" s="22"/>
      <c r="L366" s="22"/>
      <c r="M366" s="66"/>
      <c r="N366" s="66"/>
      <c r="O366" s="72"/>
      <c r="P366" s="66"/>
      <c r="Q366" s="22"/>
      <c r="R366" s="22"/>
      <c r="S366" s="22"/>
      <c r="T366" s="66"/>
      <c r="U366" s="22"/>
      <c r="V366" s="22"/>
      <c r="W366" s="75"/>
    </row>
    <row r="367" spans="3:23">
      <c r="E367" s="22">
        <v>27</v>
      </c>
      <c r="F367" s="67"/>
      <c r="G367" s="22"/>
      <c r="H367" s="22"/>
      <c r="I367" s="22"/>
      <c r="J367" s="22"/>
      <c r="K367" s="22"/>
      <c r="L367" s="22"/>
      <c r="M367" s="66"/>
      <c r="N367" s="66"/>
      <c r="O367" s="72"/>
      <c r="P367" s="66"/>
      <c r="Q367" s="22"/>
      <c r="R367" s="22"/>
      <c r="S367" s="22"/>
      <c r="T367" s="66"/>
      <c r="U367" s="22"/>
      <c r="V367" s="22"/>
      <c r="W367" s="75"/>
    </row>
    <row r="368" spans="3:23">
      <c r="E368" s="22">
        <v>28</v>
      </c>
      <c r="F368" s="67"/>
      <c r="G368" s="22"/>
      <c r="H368" s="22"/>
      <c r="I368" s="22"/>
      <c r="J368" s="22"/>
      <c r="K368" s="22"/>
      <c r="L368" s="22"/>
      <c r="M368" s="66"/>
      <c r="N368" s="66"/>
      <c r="O368" s="72"/>
      <c r="P368" s="66"/>
      <c r="Q368" s="22"/>
      <c r="R368" s="22"/>
      <c r="S368" s="22"/>
      <c r="T368" s="66"/>
      <c r="U368" s="22"/>
      <c r="V368" s="22"/>
      <c r="W368" s="75"/>
    </row>
    <row r="369" spans="5:23">
      <c r="E369" s="22">
        <v>29</v>
      </c>
      <c r="F369" s="67"/>
      <c r="G369" s="22"/>
      <c r="H369" s="22"/>
      <c r="I369" s="22"/>
      <c r="J369" s="22"/>
      <c r="K369" s="22"/>
      <c r="L369" s="22"/>
      <c r="M369" s="66"/>
      <c r="N369" s="66"/>
      <c r="O369" s="72"/>
      <c r="P369" s="66"/>
      <c r="Q369" s="22"/>
      <c r="R369" s="22"/>
      <c r="S369" s="22"/>
      <c r="T369" s="66"/>
      <c r="U369" s="22"/>
      <c r="V369" s="22"/>
      <c r="W369" s="75"/>
    </row>
    <row r="370" spans="5:23">
      <c r="E370" s="22">
        <v>30</v>
      </c>
      <c r="F370" s="67"/>
      <c r="G370" s="22"/>
      <c r="H370" s="22"/>
      <c r="I370" s="22"/>
      <c r="J370" s="22"/>
      <c r="K370" s="22"/>
      <c r="L370" s="22"/>
      <c r="M370" s="66"/>
      <c r="N370" s="66"/>
      <c r="O370" s="72"/>
      <c r="P370" s="66"/>
      <c r="Q370" s="22"/>
      <c r="R370" s="22"/>
      <c r="S370" s="22"/>
      <c r="T370" s="66"/>
      <c r="U370" s="22"/>
      <c r="V370" s="22"/>
      <c r="W370" s="75"/>
    </row>
    <row r="371" spans="5:23">
      <c r="E371" s="22">
        <v>31</v>
      </c>
      <c r="F371" s="67"/>
      <c r="G371" s="22"/>
      <c r="H371" s="22"/>
      <c r="I371" s="22"/>
      <c r="J371" s="22"/>
      <c r="K371" s="22"/>
      <c r="L371" s="22"/>
      <c r="M371" s="66"/>
      <c r="N371" s="66"/>
      <c r="O371" s="72"/>
      <c r="P371" s="66"/>
      <c r="Q371" s="22"/>
      <c r="R371" s="22"/>
      <c r="S371" s="22"/>
      <c r="T371" s="66"/>
      <c r="U371" s="22"/>
      <c r="V371" s="22"/>
      <c r="W371" s="75"/>
    </row>
    <row r="372" spans="5:23">
      <c r="E372" s="22">
        <v>32</v>
      </c>
      <c r="F372" s="67"/>
      <c r="G372" s="22"/>
      <c r="H372" s="22"/>
      <c r="I372" s="22"/>
      <c r="J372" s="22"/>
      <c r="K372" s="22"/>
      <c r="L372" s="22"/>
      <c r="M372" s="66"/>
      <c r="N372" s="66"/>
      <c r="O372" s="72"/>
      <c r="P372" s="66"/>
      <c r="Q372" s="22"/>
      <c r="R372" s="22"/>
      <c r="S372" s="22"/>
      <c r="T372" s="66"/>
      <c r="U372" s="22"/>
      <c r="V372" s="22"/>
      <c r="W372" s="75"/>
    </row>
    <row r="373" spans="5:23">
      <c r="E373" s="22">
        <v>33</v>
      </c>
      <c r="F373" s="67"/>
      <c r="G373" s="22"/>
      <c r="H373" s="22"/>
      <c r="I373" s="22"/>
      <c r="J373" s="22"/>
      <c r="K373" s="22"/>
      <c r="L373" s="22"/>
      <c r="M373" s="66"/>
      <c r="N373" s="66"/>
      <c r="O373" s="72"/>
      <c r="P373" s="66"/>
      <c r="Q373" s="22"/>
      <c r="R373" s="22"/>
      <c r="S373" s="22"/>
      <c r="T373" s="66"/>
      <c r="U373" s="22"/>
      <c r="V373" s="22"/>
      <c r="W373" s="75"/>
    </row>
    <row r="374" spans="5:23">
      <c r="E374" s="22">
        <v>34</v>
      </c>
      <c r="F374" s="67"/>
      <c r="G374" s="22"/>
      <c r="H374" s="22"/>
      <c r="I374" s="22"/>
      <c r="J374" s="22"/>
      <c r="K374" s="22"/>
      <c r="L374" s="22"/>
      <c r="M374" s="66"/>
      <c r="N374" s="66"/>
      <c r="O374" s="72"/>
      <c r="P374" s="66"/>
      <c r="Q374" s="22"/>
      <c r="R374" s="22"/>
      <c r="S374" s="22"/>
      <c r="T374" s="66"/>
      <c r="U374" s="22"/>
      <c r="V374" s="22"/>
      <c r="W374" s="75"/>
    </row>
    <row r="375" spans="5:23">
      <c r="E375" s="22">
        <v>35</v>
      </c>
      <c r="F375" s="67"/>
      <c r="G375" s="22"/>
      <c r="H375" s="22"/>
      <c r="I375" s="22"/>
      <c r="J375" s="22"/>
      <c r="K375" s="22"/>
      <c r="L375" s="22"/>
      <c r="M375" s="66"/>
      <c r="N375" s="66"/>
      <c r="O375" s="72"/>
      <c r="P375" s="66"/>
      <c r="Q375" s="22"/>
      <c r="R375" s="22"/>
      <c r="S375" s="22"/>
      <c r="T375" s="66"/>
      <c r="U375" s="22"/>
      <c r="V375" s="22"/>
      <c r="W375" s="75"/>
    </row>
    <row r="376" spans="5:23">
      <c r="E376" s="22">
        <v>36</v>
      </c>
      <c r="F376" s="67"/>
      <c r="G376" s="22"/>
      <c r="H376" s="22"/>
      <c r="I376" s="22"/>
      <c r="J376" s="22"/>
      <c r="K376" s="22"/>
      <c r="L376" s="22"/>
      <c r="M376" s="66"/>
      <c r="N376" s="66"/>
      <c r="O376" s="72"/>
      <c r="P376" s="66"/>
      <c r="Q376" s="22"/>
      <c r="R376" s="22"/>
      <c r="S376" s="22"/>
      <c r="T376" s="66"/>
      <c r="U376" s="22"/>
      <c r="V376" s="22"/>
      <c r="W376" s="75"/>
    </row>
    <row r="377" spans="5:23">
      <c r="E377" s="22">
        <v>37</v>
      </c>
      <c r="F377" s="67"/>
      <c r="G377" s="22"/>
      <c r="H377" s="22"/>
      <c r="I377" s="22"/>
      <c r="J377" s="22"/>
      <c r="K377" s="22"/>
      <c r="L377" s="22"/>
      <c r="M377" s="66"/>
      <c r="N377" s="66"/>
      <c r="O377" s="72"/>
      <c r="P377" s="66"/>
      <c r="Q377" s="22"/>
      <c r="R377" s="22"/>
      <c r="S377" s="22"/>
      <c r="T377" s="66"/>
      <c r="U377" s="22"/>
      <c r="V377" s="22"/>
      <c r="W377" s="75"/>
    </row>
    <row r="378" spans="5:23">
      <c r="E378" s="22">
        <v>38</v>
      </c>
      <c r="F378" s="67"/>
      <c r="G378" s="22"/>
      <c r="H378" s="22"/>
      <c r="I378" s="22"/>
      <c r="J378" s="22"/>
      <c r="K378" s="22"/>
      <c r="L378" s="22"/>
      <c r="M378" s="66"/>
      <c r="N378" s="66"/>
      <c r="O378" s="72"/>
      <c r="P378" s="66"/>
      <c r="Q378" s="22"/>
      <c r="R378" s="22"/>
      <c r="S378" s="22"/>
      <c r="T378" s="66"/>
      <c r="U378" s="22"/>
      <c r="V378" s="22"/>
      <c r="W378" s="75"/>
    </row>
    <row r="379" spans="5:23" ht="15.75" thickBot="1">
      <c r="E379" s="24">
        <v>39</v>
      </c>
      <c r="F379" s="24"/>
      <c r="G379" s="24"/>
      <c r="H379" s="24"/>
      <c r="I379" s="24"/>
      <c r="J379" s="24"/>
      <c r="K379" s="24"/>
      <c r="L379" s="24"/>
      <c r="M379" s="24"/>
      <c r="N379" s="24"/>
      <c r="O379" s="25"/>
      <c r="P379" s="24"/>
      <c r="Q379" s="24"/>
      <c r="R379" s="24"/>
      <c r="S379" s="24"/>
      <c r="T379" s="24"/>
      <c r="U379" s="24"/>
      <c r="V379" s="24"/>
      <c r="W379" s="24"/>
    </row>
    <row r="380" spans="5:23"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3"/>
      <c r="P380" s="22"/>
      <c r="Q380" s="22"/>
      <c r="R380" s="22"/>
      <c r="S380" s="22"/>
      <c r="T380" s="22"/>
      <c r="U380" s="22"/>
      <c r="V380" s="22"/>
      <c r="W380" s="22"/>
    </row>
  </sheetData>
  <mergeCells count="20">
    <mergeCell ref="F233:H233"/>
    <mergeCell ref="L3:P3"/>
    <mergeCell ref="L4:P4"/>
    <mergeCell ref="L57:P57"/>
    <mergeCell ref="L58:P58"/>
    <mergeCell ref="F71:H71"/>
    <mergeCell ref="L111:P111"/>
    <mergeCell ref="L112:P112"/>
    <mergeCell ref="L165:P165"/>
    <mergeCell ref="L166:P166"/>
    <mergeCell ref="L219:P219"/>
    <mergeCell ref="L220:P220"/>
    <mergeCell ref="F341:H341"/>
    <mergeCell ref="F360:H360"/>
    <mergeCell ref="F267:O267"/>
    <mergeCell ref="L273:P273"/>
    <mergeCell ref="L274:P274"/>
    <mergeCell ref="F287:H287"/>
    <mergeCell ref="L327:P327"/>
    <mergeCell ref="L328:P328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843E6-431A-40CC-9718-38E96D9F0248}">
  <dimension ref="A3:X164"/>
  <sheetViews>
    <sheetView topLeftCell="B1" workbookViewId="0">
      <selection activeCell="D4" sqref="D4:V10"/>
    </sheetView>
  </sheetViews>
  <sheetFormatPr defaultRowHeight="15"/>
  <cols>
    <col min="1" max="1" width="36.28515625" bestFit="1" customWidth="1"/>
    <col min="2" max="2" width="38.28515625" bestFit="1" customWidth="1"/>
    <col min="8" max="8" width="11.85546875" customWidth="1"/>
    <col min="10" max="10" width="10" bestFit="1" customWidth="1"/>
    <col min="12" max="12" width="11.140625" customWidth="1"/>
    <col min="15" max="15" width="11.7109375" customWidth="1"/>
    <col min="17" max="17" width="9.42578125" bestFit="1" customWidth="1"/>
    <col min="19" max="19" width="13.140625" customWidth="1"/>
    <col min="21" max="21" width="29.140625" bestFit="1" customWidth="1"/>
    <col min="22" max="22" width="18.7109375" bestFit="1" customWidth="1"/>
  </cols>
  <sheetData>
    <row r="3" spans="1:22">
      <c r="D3" s="22"/>
      <c r="E3" s="22"/>
      <c r="F3" s="22"/>
      <c r="G3" s="22"/>
      <c r="H3" s="22"/>
      <c r="I3" s="22"/>
      <c r="J3" s="22"/>
      <c r="K3" s="330"/>
      <c r="L3" s="330"/>
      <c r="M3" s="330"/>
      <c r="N3" s="330"/>
      <c r="O3" s="330"/>
      <c r="P3" s="22"/>
      <c r="Q3" s="22"/>
      <c r="R3" s="22"/>
      <c r="S3" s="22"/>
      <c r="T3" s="22"/>
      <c r="U3" s="22"/>
      <c r="V3" s="22"/>
    </row>
    <row r="4" spans="1:22" ht="15.75" thickBot="1">
      <c r="D4" s="24"/>
      <c r="E4" s="24"/>
      <c r="F4" s="24"/>
      <c r="G4" s="24"/>
      <c r="H4" s="24"/>
      <c r="I4" s="24"/>
      <c r="J4" s="24"/>
      <c r="K4" s="331" t="s">
        <v>274</v>
      </c>
      <c r="L4" s="331"/>
      <c r="M4" s="331"/>
      <c r="N4" s="331"/>
      <c r="O4" s="331"/>
      <c r="P4" s="24"/>
      <c r="Q4" s="24"/>
      <c r="R4" s="24"/>
      <c r="S4" s="24"/>
      <c r="T4" s="24"/>
      <c r="U4" s="24"/>
      <c r="V4" s="26"/>
    </row>
    <row r="5" spans="1:22">
      <c r="A5" s="27" t="s">
        <v>275</v>
      </c>
      <c r="B5" s="28">
        <f>+'Scenario Operating Revenue'!D8</f>
        <v>47890341.396255873</v>
      </c>
      <c r="D5" s="22"/>
      <c r="E5" s="22"/>
      <c r="F5" s="22"/>
      <c r="G5" s="22"/>
      <c r="H5" s="22"/>
      <c r="I5" s="22"/>
      <c r="K5" s="22"/>
      <c r="L5" s="22"/>
      <c r="M5" s="22"/>
      <c r="N5" s="29"/>
      <c r="O5" s="30"/>
      <c r="P5" s="22"/>
      <c r="Q5" s="30"/>
      <c r="R5" s="30"/>
      <c r="S5" s="30"/>
      <c r="T5" s="22"/>
      <c r="U5" s="22"/>
      <c r="V5" s="31"/>
    </row>
    <row r="6" spans="1:22">
      <c r="D6" s="22"/>
      <c r="E6" s="22"/>
      <c r="F6" s="22"/>
      <c r="G6" s="22"/>
      <c r="H6" s="22"/>
      <c r="I6" s="22"/>
      <c r="K6" s="22"/>
      <c r="L6" s="22"/>
      <c r="M6" s="22"/>
      <c r="N6" s="23"/>
      <c r="O6" s="31"/>
      <c r="P6" s="22"/>
      <c r="Q6" s="22"/>
      <c r="R6" s="32"/>
      <c r="S6" s="32"/>
      <c r="T6" s="31"/>
      <c r="U6" s="22"/>
      <c r="V6" s="32"/>
    </row>
    <row r="7" spans="1:22">
      <c r="A7" s="33" t="s">
        <v>276</v>
      </c>
      <c r="B7" s="34">
        <v>-0.17165030741811466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3"/>
      <c r="O7" s="31"/>
      <c r="P7" s="32"/>
      <c r="Q7" s="22"/>
      <c r="R7" s="22"/>
      <c r="S7" s="32"/>
      <c r="T7" s="31"/>
      <c r="U7" s="22"/>
      <c r="V7" s="32"/>
    </row>
    <row r="8" spans="1:22">
      <c r="A8" s="33" t="s">
        <v>277</v>
      </c>
      <c r="B8" s="35">
        <f>+(S54+S144)</f>
        <v>47890341.396254882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3"/>
      <c r="O8" s="31"/>
      <c r="P8" s="32"/>
      <c r="Q8" s="22"/>
      <c r="R8" s="22"/>
      <c r="S8" s="32"/>
      <c r="T8" s="31"/>
      <c r="U8" s="22"/>
      <c r="V8" s="32"/>
    </row>
    <row r="9" spans="1:22">
      <c r="D9" s="22"/>
      <c r="E9" s="22"/>
      <c r="F9" s="32"/>
      <c r="G9" s="22"/>
      <c r="H9" s="22"/>
      <c r="I9" s="22"/>
      <c r="J9" s="22"/>
      <c r="K9" s="36"/>
      <c r="L9" s="36"/>
      <c r="M9" s="36"/>
      <c r="N9" s="23"/>
      <c r="O9" s="22"/>
      <c r="P9" s="22"/>
      <c r="Q9" s="22"/>
      <c r="R9" s="22"/>
      <c r="S9" s="22"/>
      <c r="T9" s="22"/>
      <c r="U9" s="22"/>
      <c r="V9" s="22"/>
    </row>
    <row r="10" spans="1:22" ht="15.75" thickBot="1">
      <c r="D10" s="24"/>
      <c r="E10" s="24"/>
      <c r="F10" s="26"/>
      <c r="G10" s="37"/>
      <c r="H10" s="37"/>
      <c r="I10" s="38"/>
      <c r="J10" s="38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</row>
    <row r="11" spans="1:22">
      <c r="D11" s="22"/>
      <c r="E11" s="22"/>
      <c r="F11" s="22"/>
      <c r="G11" s="22"/>
      <c r="H11" s="36"/>
      <c r="I11" s="22"/>
      <c r="J11" s="36"/>
      <c r="K11" s="39"/>
      <c r="L11" s="36"/>
      <c r="M11" s="22"/>
      <c r="N11" s="36"/>
      <c r="O11" s="22"/>
      <c r="P11" s="39"/>
      <c r="Q11" s="22"/>
      <c r="R11" s="22"/>
      <c r="S11" s="22"/>
      <c r="T11" s="22"/>
      <c r="U11" s="22"/>
      <c r="V11" s="22"/>
    </row>
    <row r="12" spans="1:22">
      <c r="D12" s="22"/>
      <c r="E12" s="22"/>
      <c r="F12" s="22"/>
      <c r="G12" s="22"/>
      <c r="H12" s="39"/>
      <c r="I12" s="22"/>
      <c r="J12" s="22"/>
      <c r="K12" s="39"/>
      <c r="L12" s="22"/>
      <c r="M12" s="22"/>
      <c r="N12" s="36"/>
      <c r="O12" s="22"/>
      <c r="P12" s="39"/>
      <c r="Q12" s="22"/>
      <c r="R12" s="22"/>
      <c r="S12" s="22"/>
      <c r="T12" s="22"/>
      <c r="U12" s="22"/>
      <c r="V12" s="22"/>
    </row>
    <row r="13" spans="1:22">
      <c r="D13" s="22"/>
      <c r="E13" s="22"/>
      <c r="F13" s="22"/>
      <c r="G13" s="22"/>
      <c r="H13" s="22"/>
      <c r="I13" s="39"/>
      <c r="J13" s="39"/>
      <c r="K13" s="42"/>
      <c r="L13" s="42" t="s">
        <v>278</v>
      </c>
      <c r="M13" s="36"/>
      <c r="N13" s="44" t="s">
        <v>738</v>
      </c>
      <c r="O13" s="39"/>
      <c r="P13" s="22"/>
      <c r="Q13" s="39"/>
      <c r="R13" s="39"/>
      <c r="S13" s="39"/>
      <c r="T13" s="39"/>
      <c r="U13" s="39"/>
      <c r="V13" s="22"/>
    </row>
    <row r="14" spans="1:22">
      <c r="D14" s="22"/>
      <c r="E14" s="22"/>
      <c r="F14" s="22"/>
      <c r="G14" s="22"/>
      <c r="H14" s="22"/>
      <c r="I14" s="39"/>
      <c r="J14" s="39"/>
      <c r="K14" s="39"/>
      <c r="L14" s="39"/>
      <c r="M14" s="39"/>
      <c r="N14" s="36"/>
      <c r="O14" s="39"/>
      <c r="P14" s="39"/>
      <c r="Q14" s="39"/>
      <c r="R14" s="39"/>
      <c r="S14" s="39"/>
      <c r="T14" s="39"/>
      <c r="U14" s="39"/>
      <c r="V14" s="39"/>
    </row>
    <row r="15" spans="1:22">
      <c r="D15" s="23" t="s">
        <v>55</v>
      </c>
      <c r="E15" s="171" t="s">
        <v>280</v>
      </c>
      <c r="F15" s="48"/>
      <c r="G15" s="49"/>
      <c r="H15" s="50"/>
      <c r="I15" s="50"/>
      <c r="J15" s="51" t="s">
        <v>281</v>
      </c>
      <c r="K15" s="50"/>
      <c r="L15" s="50"/>
      <c r="M15" s="48"/>
      <c r="N15" s="53"/>
      <c r="O15" s="50"/>
      <c r="P15" s="51"/>
      <c r="Q15" s="51" t="s">
        <v>282</v>
      </c>
      <c r="R15" s="50"/>
      <c r="S15" s="50"/>
      <c r="T15" s="48"/>
      <c r="U15" s="55" t="s">
        <v>283</v>
      </c>
      <c r="V15" s="55" t="s">
        <v>284</v>
      </c>
    </row>
    <row r="16" spans="1:22" ht="15.75" thickBot="1">
      <c r="A16" s="56" t="s">
        <v>285</v>
      </c>
      <c r="B16" s="56" t="s">
        <v>286</v>
      </c>
      <c r="D16" s="25" t="s">
        <v>60</v>
      </c>
      <c r="E16" s="57" t="s">
        <v>287</v>
      </c>
      <c r="F16" s="58"/>
      <c r="G16" s="24"/>
      <c r="H16" s="25" t="s">
        <v>288</v>
      </c>
      <c r="I16" s="60"/>
      <c r="J16" s="60" t="s">
        <v>289</v>
      </c>
      <c r="K16" s="60"/>
      <c r="L16" s="60" t="s">
        <v>290</v>
      </c>
      <c r="M16" s="60"/>
      <c r="N16" s="60"/>
      <c r="O16" s="60" t="s">
        <v>288</v>
      </c>
      <c r="P16" s="60"/>
      <c r="Q16" s="60" t="s">
        <v>289</v>
      </c>
      <c r="R16" s="60"/>
      <c r="S16" s="60" t="s">
        <v>290</v>
      </c>
      <c r="T16" s="58"/>
      <c r="U16" s="62" t="s">
        <v>291</v>
      </c>
      <c r="V16" s="62" t="s">
        <v>59</v>
      </c>
    </row>
    <row r="17" spans="1:24">
      <c r="D17" s="22">
        <v>1</v>
      </c>
      <c r="E17" s="67" t="s">
        <v>65</v>
      </c>
      <c r="F17" s="67"/>
      <c r="G17" s="22"/>
      <c r="H17" s="22"/>
      <c r="I17" s="66"/>
      <c r="J17" s="66"/>
      <c r="K17" s="66"/>
      <c r="L17" s="66"/>
      <c r="M17" s="70"/>
      <c r="N17" s="72"/>
      <c r="O17" s="70"/>
      <c r="P17" s="66"/>
      <c r="Q17" s="66"/>
      <c r="R17" s="66"/>
      <c r="S17" s="66"/>
      <c r="T17" s="66"/>
      <c r="U17" s="66"/>
      <c r="V17" s="66"/>
    </row>
    <row r="18" spans="1:24">
      <c r="A18" s="69" t="s">
        <v>739</v>
      </c>
      <c r="B18" s="69" t="s">
        <v>740</v>
      </c>
      <c r="D18" s="22">
        <v>2</v>
      </c>
      <c r="E18" s="67" t="s">
        <v>361</v>
      </c>
      <c r="F18" s="22"/>
      <c r="G18" s="22"/>
      <c r="H18" s="66">
        <v>8585.9699999999993</v>
      </c>
      <c r="I18" s="66" t="s">
        <v>294</v>
      </c>
      <c r="J18" s="71">
        <v>19.52</v>
      </c>
      <c r="K18" s="66"/>
      <c r="L18" s="66">
        <f>+H18*J18</f>
        <v>167598.13439999998</v>
      </c>
      <c r="M18" s="22"/>
      <c r="N18" s="23"/>
      <c r="O18" s="66">
        <v>8585.9699999999993</v>
      </c>
      <c r="P18" s="66" t="s">
        <v>294</v>
      </c>
      <c r="Q18" s="71">
        <v>21.42</v>
      </c>
      <c r="R18" s="66"/>
      <c r="S18" s="66">
        <f>+O18*Q18</f>
        <v>183911.4774</v>
      </c>
      <c r="T18" s="66"/>
      <c r="U18" s="66">
        <f>+S18-L18</f>
        <v>16313.343000000023</v>
      </c>
      <c r="V18" s="73">
        <f>+IF(U18=0,0,(S18-L18)/L18)</f>
        <v>9.7336065573770642E-2</v>
      </c>
      <c r="X18" s="20"/>
    </row>
    <row r="19" spans="1:24" ht="16.5">
      <c r="A19" s="69" t="s">
        <v>741</v>
      </c>
      <c r="B19" s="69" t="s">
        <v>742</v>
      </c>
      <c r="D19" s="22">
        <v>3</v>
      </c>
      <c r="E19" s="22" t="s">
        <v>370</v>
      </c>
      <c r="F19" s="22"/>
      <c r="G19" s="22"/>
      <c r="H19" s="172">
        <v>13410.6</v>
      </c>
      <c r="I19" s="66" t="s">
        <v>294</v>
      </c>
      <c r="J19" s="71">
        <v>19.52</v>
      </c>
      <c r="K19" s="22"/>
      <c r="L19" s="172">
        <f>+H19*J19</f>
        <v>261774.91200000001</v>
      </c>
      <c r="M19" s="22"/>
      <c r="N19" s="23"/>
      <c r="O19" s="172">
        <v>13410.6</v>
      </c>
      <c r="P19" s="66" t="s">
        <v>294</v>
      </c>
      <c r="Q19" s="71">
        <v>21.42</v>
      </c>
      <c r="R19" s="22"/>
      <c r="S19" s="172">
        <f>+O19*Q19</f>
        <v>287255.05200000003</v>
      </c>
      <c r="T19" s="66"/>
      <c r="U19" s="66">
        <f t="shared" ref="U19:U20" si="0">+S19-L19</f>
        <v>25480.140000000014</v>
      </c>
      <c r="V19" s="73">
        <f t="shared" ref="V19:V20" si="1">+IF(U19=0,0,(S19-L19)/L19)</f>
        <v>9.7336065573770544E-2</v>
      </c>
    </row>
    <row r="20" spans="1:24">
      <c r="A20" s="69"/>
      <c r="B20" s="69"/>
      <c r="D20" s="22">
        <v>4</v>
      </c>
      <c r="E20" s="173" t="s">
        <v>43</v>
      </c>
      <c r="F20" s="22"/>
      <c r="G20" s="22"/>
      <c r="H20" s="70">
        <f>+SUM(H18:H19)</f>
        <v>21996.57</v>
      </c>
      <c r="I20" s="66" t="s">
        <v>328</v>
      </c>
      <c r="J20" s="71"/>
      <c r="K20" s="66"/>
      <c r="L20" s="157">
        <f>+SUM(L18:L19)</f>
        <v>429373.04639999999</v>
      </c>
      <c r="M20" s="66"/>
      <c r="N20" s="72"/>
      <c r="O20" s="70">
        <f>+SUM(O18:O19)</f>
        <v>21996.57</v>
      </c>
      <c r="P20" s="66" t="s">
        <v>328</v>
      </c>
      <c r="Q20" s="71"/>
      <c r="R20" s="66"/>
      <c r="S20" s="157">
        <f>+SUM(S18:S19)</f>
        <v>471166.5294</v>
      </c>
      <c r="T20" s="66"/>
      <c r="U20" s="66">
        <f t="shared" si="0"/>
        <v>41793.483000000007</v>
      </c>
      <c r="V20" s="73">
        <f t="shared" si="1"/>
        <v>9.7336065573770517E-2</v>
      </c>
    </row>
    <row r="21" spans="1:24">
      <c r="A21" s="69"/>
      <c r="B21" s="69"/>
      <c r="D21" s="22">
        <v>5</v>
      </c>
      <c r="E21" s="22"/>
      <c r="F21" s="22"/>
      <c r="G21" s="22"/>
      <c r="H21" s="22"/>
      <c r="I21" s="66"/>
      <c r="J21" s="71"/>
      <c r="K21" s="66"/>
      <c r="L21" s="71"/>
      <c r="M21" s="70"/>
      <c r="N21" s="72"/>
      <c r="O21" s="70"/>
      <c r="P21" s="66"/>
      <c r="Q21" s="71"/>
      <c r="R21" s="66"/>
      <c r="S21" s="71"/>
      <c r="T21" s="66"/>
      <c r="U21" s="66"/>
      <c r="V21" s="75"/>
    </row>
    <row r="22" spans="1:24">
      <c r="A22" s="69"/>
      <c r="B22" s="69"/>
      <c r="D22" s="22">
        <v>6</v>
      </c>
      <c r="E22" s="67" t="s">
        <v>94</v>
      </c>
      <c r="F22" s="67"/>
      <c r="G22" s="22"/>
      <c r="H22" s="22"/>
      <c r="I22" s="66"/>
      <c r="J22" s="66"/>
      <c r="K22" s="66"/>
      <c r="L22" s="71"/>
      <c r="M22" s="66"/>
      <c r="N22" s="72"/>
      <c r="O22" s="66"/>
      <c r="P22" s="66"/>
      <c r="Q22" s="66"/>
      <c r="R22" s="66"/>
      <c r="S22" s="71"/>
      <c r="T22" s="66"/>
      <c r="U22" s="66"/>
      <c r="V22" s="66"/>
    </row>
    <row r="23" spans="1:24">
      <c r="A23" s="69" t="s">
        <v>743</v>
      </c>
      <c r="B23" s="69" t="s">
        <v>744</v>
      </c>
      <c r="D23" s="22">
        <v>7</v>
      </c>
      <c r="E23" s="67" t="s">
        <v>361</v>
      </c>
      <c r="F23" s="22"/>
      <c r="G23" s="22"/>
      <c r="H23" s="70">
        <v>257957869.19</v>
      </c>
      <c r="I23" s="66" t="s">
        <v>304</v>
      </c>
      <c r="J23" s="76">
        <v>1.042E-2</v>
      </c>
      <c r="K23" s="66"/>
      <c r="L23" s="66">
        <f>+H23*J23</f>
        <v>2687920.9969597999</v>
      </c>
      <c r="M23" s="70"/>
      <c r="N23" s="72"/>
      <c r="O23" s="70">
        <v>257957869.19</v>
      </c>
      <c r="P23" s="66" t="s">
        <v>304</v>
      </c>
      <c r="Q23" s="76">
        <f>+J23*(1.02)</f>
        <v>1.0628400000000001E-2</v>
      </c>
      <c r="R23" s="66"/>
      <c r="S23" s="66">
        <f>+O23*Q23</f>
        <v>2741679.4168989961</v>
      </c>
      <c r="T23" s="66"/>
      <c r="U23" s="66">
        <f t="shared" ref="U23:U27" si="2">+S23-L23</f>
        <v>53758.419939196203</v>
      </c>
      <c r="V23" s="73">
        <f t="shared" ref="V23:V27" si="3">+IF(U23=0,0,(S23-L23)/L23)</f>
        <v>2.0000000000000077E-2</v>
      </c>
    </row>
    <row r="24" spans="1:24">
      <c r="A24" s="69" t="s">
        <v>745</v>
      </c>
      <c r="B24" s="69" t="s">
        <v>746</v>
      </c>
      <c r="D24" s="22">
        <v>8</v>
      </c>
      <c r="E24" s="67" t="s">
        <v>386</v>
      </c>
      <c r="F24" s="22"/>
      <c r="G24" s="22"/>
      <c r="H24" s="70">
        <v>269526764.56999999</v>
      </c>
      <c r="I24" s="66" t="s">
        <v>304</v>
      </c>
      <c r="J24" s="76">
        <v>1.584E-2</v>
      </c>
      <c r="K24" s="22"/>
      <c r="L24" s="66">
        <f>+H24*J24</f>
        <v>4269303.9507887997</v>
      </c>
      <c r="M24" s="22"/>
      <c r="N24" s="23"/>
      <c r="O24" s="70">
        <v>248665475.38</v>
      </c>
      <c r="P24" s="66" t="s">
        <v>304</v>
      </c>
      <c r="Q24" s="76">
        <v>1.7329800000000003E-2</v>
      </c>
      <c r="R24" s="22"/>
      <c r="S24" s="66">
        <f>+O24*Q24</f>
        <v>4309322.9552403251</v>
      </c>
      <c r="T24" s="66"/>
      <c r="U24" s="66">
        <f t="shared" si="2"/>
        <v>40019.004451525398</v>
      </c>
      <c r="V24" s="73">
        <f t="shared" si="3"/>
        <v>9.3736601827404346E-3</v>
      </c>
    </row>
    <row r="25" spans="1:24">
      <c r="A25" s="69" t="s">
        <v>747</v>
      </c>
      <c r="B25" s="69" t="s">
        <v>748</v>
      </c>
      <c r="D25" s="22">
        <v>9</v>
      </c>
      <c r="E25" s="67" t="s">
        <v>395</v>
      </c>
      <c r="F25" s="65"/>
      <c r="G25" s="67"/>
      <c r="H25" s="70">
        <v>746619369.49000001</v>
      </c>
      <c r="I25" s="66" t="s">
        <v>304</v>
      </c>
      <c r="J25" s="76">
        <v>8.4700000000000001E-3</v>
      </c>
      <c r="K25" s="22"/>
      <c r="L25" s="66">
        <f>+H25*J25</f>
        <v>6323866.0595803</v>
      </c>
      <c r="M25" s="22"/>
      <c r="N25" s="23"/>
      <c r="O25" s="70">
        <v>415280779.51999998</v>
      </c>
      <c r="P25" s="66" t="s">
        <v>304</v>
      </c>
      <c r="Q25" s="76">
        <v>1.0559800000000003E-2</v>
      </c>
      <c r="R25" s="22"/>
      <c r="S25" s="66">
        <f>+O25*Q25</f>
        <v>4385281.9755752971</v>
      </c>
      <c r="T25" s="66"/>
      <c r="U25" s="66">
        <f t="shared" si="2"/>
        <v>-1938584.0840050029</v>
      </c>
      <c r="V25" s="73">
        <f t="shared" si="3"/>
        <v>-0.30655046544955794</v>
      </c>
    </row>
    <row r="26" spans="1:24" ht="16.5">
      <c r="A26" s="69" t="s">
        <v>749</v>
      </c>
      <c r="B26" s="69" t="s">
        <v>750</v>
      </c>
      <c r="D26" s="22"/>
      <c r="E26" s="67" t="s">
        <v>404</v>
      </c>
      <c r="F26" s="65"/>
      <c r="G26" s="67"/>
      <c r="H26" s="167">
        <v>0</v>
      </c>
      <c r="I26" s="66" t="s">
        <v>304</v>
      </c>
      <c r="J26" s="76">
        <v>0</v>
      </c>
      <c r="K26" s="66"/>
      <c r="L26" s="172">
        <f>+H26*J26</f>
        <v>0</v>
      </c>
      <c r="M26" s="66"/>
      <c r="N26" s="72"/>
      <c r="O26" s="167">
        <v>352199879.16000003</v>
      </c>
      <c r="P26" s="66" t="s">
        <v>304</v>
      </c>
      <c r="Q26" s="76">
        <v>6.3798000000000032E-3</v>
      </c>
      <c r="R26" s="66"/>
      <c r="S26" s="172">
        <f>+O26*Q26</f>
        <v>2246964.7890649694</v>
      </c>
      <c r="T26" s="22"/>
      <c r="U26" s="66">
        <f t="shared" si="2"/>
        <v>2246964.7890649694</v>
      </c>
      <c r="V26" s="162" t="str">
        <f>IFERROR(+IF(U26=0,0,(S26-L26)/L26),"New Rate")</f>
        <v>New Rate</v>
      </c>
    </row>
    <row r="27" spans="1:24">
      <c r="A27" s="69"/>
      <c r="B27" s="69"/>
      <c r="D27" s="22">
        <v>10</v>
      </c>
      <c r="E27" s="173" t="s">
        <v>43</v>
      </c>
      <c r="F27" s="65"/>
      <c r="G27" s="22"/>
      <c r="H27" s="66">
        <f>+SUM(H23:H26)</f>
        <v>1274104003.25</v>
      </c>
      <c r="I27" s="66" t="s">
        <v>304</v>
      </c>
      <c r="J27" s="66"/>
      <c r="K27" s="66"/>
      <c r="L27" s="157">
        <f>+SUM(L23:L26)</f>
        <v>13281091.0073289</v>
      </c>
      <c r="M27" s="66"/>
      <c r="N27" s="72"/>
      <c r="O27" s="66">
        <f>+SUM(O23:O26)</f>
        <v>1274104003.25</v>
      </c>
      <c r="P27" s="66" t="s">
        <v>304</v>
      </c>
      <c r="Q27" s="66"/>
      <c r="R27" s="66"/>
      <c r="S27" s="157">
        <f>+SUM(S23:S26)</f>
        <v>13683249.136779588</v>
      </c>
      <c r="T27" s="22"/>
      <c r="U27" s="66">
        <f t="shared" si="2"/>
        <v>402158.12945068814</v>
      </c>
      <c r="V27" s="73">
        <f t="shared" si="3"/>
        <v>3.0280504005940879E-2</v>
      </c>
    </row>
    <row r="28" spans="1:24">
      <c r="A28" s="69"/>
      <c r="B28" s="69"/>
      <c r="D28" s="22">
        <v>11</v>
      </c>
      <c r="E28" s="22"/>
      <c r="F28" s="22"/>
      <c r="G28" s="22"/>
      <c r="H28" s="22"/>
      <c r="I28" s="22"/>
      <c r="J28" s="22"/>
      <c r="K28" s="22"/>
      <c r="L28" s="74"/>
      <c r="M28" s="22"/>
      <c r="N28" s="23"/>
      <c r="O28" s="22"/>
      <c r="P28" s="22"/>
      <c r="Q28" s="22"/>
      <c r="R28" s="22"/>
      <c r="S28" s="74"/>
      <c r="T28" s="22"/>
      <c r="U28" s="22"/>
      <c r="V28" s="22"/>
    </row>
    <row r="29" spans="1:24">
      <c r="A29" s="69"/>
      <c r="B29" s="69"/>
      <c r="D29" s="22">
        <v>12</v>
      </c>
      <c r="E29" s="22" t="s">
        <v>99</v>
      </c>
      <c r="F29" s="65"/>
      <c r="G29" s="22"/>
      <c r="H29" s="22"/>
      <c r="I29" s="66"/>
      <c r="J29" s="66"/>
      <c r="K29" s="66"/>
      <c r="L29" s="71"/>
      <c r="M29" s="66"/>
      <c r="N29" s="72"/>
      <c r="O29" s="66"/>
      <c r="P29" s="66"/>
      <c r="Q29" s="66"/>
      <c r="R29" s="66"/>
      <c r="S29" s="71"/>
      <c r="T29" s="66"/>
      <c r="U29" s="66"/>
      <c r="V29" s="85"/>
    </row>
    <row r="30" spans="1:24">
      <c r="A30" s="69" t="s">
        <v>751</v>
      </c>
      <c r="B30" s="69" t="s">
        <v>752</v>
      </c>
      <c r="D30" s="22">
        <v>13</v>
      </c>
      <c r="E30" s="67" t="s">
        <v>361</v>
      </c>
      <c r="F30" s="65"/>
      <c r="G30" s="67"/>
      <c r="H30" s="70">
        <v>643312.37</v>
      </c>
      <c r="I30" s="66" t="s">
        <v>413</v>
      </c>
      <c r="J30" s="71">
        <v>11.88</v>
      </c>
      <c r="K30" s="66"/>
      <c r="L30" s="66">
        <f>+H30*J30</f>
        <v>7642550.9556</v>
      </c>
      <c r="M30" s="66"/>
      <c r="N30" s="72"/>
      <c r="O30" s="66">
        <v>643312.37</v>
      </c>
      <c r="P30" s="66" t="s">
        <v>413</v>
      </c>
      <c r="Q30" s="71">
        <v>12.993523179683963</v>
      </c>
      <c r="R30" s="66"/>
      <c r="S30" s="66">
        <f>+O30*Q30</f>
        <v>8358894.1913724262</v>
      </c>
      <c r="T30" s="22"/>
      <c r="U30" s="66">
        <f t="shared" ref="U30:U33" si="4">+S30-L30</f>
        <v>716343.23577242624</v>
      </c>
      <c r="V30" s="73">
        <f t="shared" ref="V30:V33" si="5">+IF(U30=0,0,(S30-L30)/L30)</f>
        <v>9.3730907380804987E-2</v>
      </c>
    </row>
    <row r="31" spans="1:24">
      <c r="A31" s="69" t="s">
        <v>753</v>
      </c>
      <c r="B31" s="69" t="s">
        <v>754</v>
      </c>
      <c r="D31" s="22">
        <v>14</v>
      </c>
      <c r="E31" s="67" t="s">
        <v>423</v>
      </c>
      <c r="F31" s="22"/>
      <c r="G31" s="22"/>
      <c r="H31" s="70">
        <v>1888584.92</v>
      </c>
      <c r="I31" s="66" t="s">
        <v>413</v>
      </c>
      <c r="J31" s="71">
        <v>3.77</v>
      </c>
      <c r="K31" s="66"/>
      <c r="L31" s="66">
        <f>+H31*J31</f>
        <v>7119965.1483999994</v>
      </c>
      <c r="M31" s="66"/>
      <c r="N31" s="72"/>
      <c r="O31" s="66">
        <v>1888584.92</v>
      </c>
      <c r="P31" s="66" t="s">
        <v>413</v>
      </c>
      <c r="Q31" s="71">
        <v>2.9240744148140552</v>
      </c>
      <c r="R31" s="66"/>
      <c r="S31" s="66">
        <f>+O31*Q31</f>
        <v>5522362.8447756488</v>
      </c>
      <c r="T31" s="22"/>
      <c r="U31" s="66">
        <f t="shared" si="4"/>
        <v>-1597602.3036243506</v>
      </c>
      <c r="V31" s="73">
        <f t="shared" si="5"/>
        <v>-0.22438344434640445</v>
      </c>
    </row>
    <row r="32" spans="1:24" ht="16.5">
      <c r="A32" s="69" t="s">
        <v>755</v>
      </c>
      <c r="B32" s="69" t="s">
        <v>756</v>
      </c>
      <c r="D32" s="22">
        <v>15</v>
      </c>
      <c r="E32" s="67" t="s">
        <v>433</v>
      </c>
      <c r="F32" s="65"/>
      <c r="G32" s="67"/>
      <c r="H32" s="167">
        <v>1780840.11</v>
      </c>
      <c r="I32" s="66" t="s">
        <v>430</v>
      </c>
      <c r="J32" s="71">
        <v>8.08</v>
      </c>
      <c r="K32" s="66"/>
      <c r="L32" s="172">
        <f>+H32*J32</f>
        <v>14389188.0888</v>
      </c>
      <c r="M32" s="66"/>
      <c r="N32" s="72"/>
      <c r="O32" s="172">
        <v>1780840.11</v>
      </c>
      <c r="P32" s="66" t="s">
        <v>430</v>
      </c>
      <c r="Q32" s="71">
        <v>10.064448764869908</v>
      </c>
      <c r="R32" s="66"/>
      <c r="S32" s="172">
        <f>+O32*Q32</f>
        <v>17923174.045520294</v>
      </c>
      <c r="T32" s="22"/>
      <c r="U32" s="66">
        <f t="shared" si="4"/>
        <v>3533985.9567202944</v>
      </c>
      <c r="V32" s="73">
        <f t="shared" si="5"/>
        <v>0.24560009466211755</v>
      </c>
    </row>
    <row r="33" spans="1:22">
      <c r="A33" s="69"/>
      <c r="B33" s="174"/>
      <c r="D33" s="22">
        <v>16</v>
      </c>
      <c r="E33" s="48" t="s">
        <v>298</v>
      </c>
      <c r="F33" s="65"/>
      <c r="G33" s="22"/>
      <c r="H33" s="66">
        <f>+SUM(H30:H31)</f>
        <v>2531897.29</v>
      </c>
      <c r="I33" s="66" t="s">
        <v>413</v>
      </c>
      <c r="J33" s="71"/>
      <c r="K33" s="66"/>
      <c r="L33" s="157">
        <f>+SUM(L30:L32)</f>
        <v>29151704.1928</v>
      </c>
      <c r="M33" s="66"/>
      <c r="N33" s="72"/>
      <c r="O33" s="66">
        <f>+SUM(O30:O31)</f>
        <v>2531897.29</v>
      </c>
      <c r="P33" s="66" t="s">
        <v>413</v>
      </c>
      <c r="Q33" s="80"/>
      <c r="R33" s="66"/>
      <c r="S33" s="157">
        <f>+SUM(S30:S32)</f>
        <v>31804431.081668369</v>
      </c>
      <c r="T33" s="66"/>
      <c r="U33" s="66">
        <f t="shared" si="4"/>
        <v>2652726.8888683692</v>
      </c>
      <c r="V33" s="73">
        <f t="shared" si="5"/>
        <v>9.0997317732235697E-2</v>
      </c>
    </row>
    <row r="34" spans="1:22">
      <c r="A34" s="69"/>
      <c r="B34" s="174"/>
      <c r="D34" s="22">
        <v>17</v>
      </c>
      <c r="E34" s="48"/>
      <c r="F34" s="65"/>
      <c r="G34" s="22"/>
      <c r="H34" s="66"/>
      <c r="I34" s="66"/>
      <c r="J34" s="71"/>
      <c r="K34" s="66"/>
      <c r="L34" s="66"/>
      <c r="M34" s="66"/>
      <c r="N34" s="72"/>
      <c r="O34" s="66"/>
      <c r="P34" s="66"/>
      <c r="Q34" s="80"/>
      <c r="R34" s="66"/>
      <c r="S34" s="66"/>
      <c r="T34" s="66"/>
      <c r="U34" s="66"/>
      <c r="V34" s="75"/>
    </row>
    <row r="35" spans="1:22">
      <c r="A35" s="69"/>
      <c r="B35" s="174"/>
      <c r="D35" s="22">
        <v>18</v>
      </c>
      <c r="E35" s="67" t="s">
        <v>344</v>
      </c>
      <c r="F35" s="67"/>
      <c r="G35" s="22"/>
      <c r="H35" s="41"/>
      <c r="I35" s="66"/>
      <c r="J35" s="66"/>
      <c r="K35" s="66"/>
      <c r="L35" s="71"/>
      <c r="M35" s="66"/>
      <c r="N35" s="72"/>
      <c r="O35" s="22"/>
      <c r="P35" s="66"/>
      <c r="Q35" s="66"/>
      <c r="R35" s="66"/>
      <c r="S35" s="71"/>
      <c r="T35" s="66"/>
      <c r="U35" s="66"/>
      <c r="V35" s="75"/>
    </row>
    <row r="36" spans="1:22">
      <c r="A36" s="69" t="s">
        <v>757</v>
      </c>
      <c r="B36" s="69" t="s">
        <v>758</v>
      </c>
      <c r="D36" s="22">
        <v>19</v>
      </c>
      <c r="E36" s="67" t="s">
        <v>440</v>
      </c>
      <c r="F36" s="22"/>
      <c r="G36" s="22"/>
      <c r="H36" s="66">
        <v>119000.51</v>
      </c>
      <c r="I36" s="66" t="s">
        <v>413</v>
      </c>
      <c r="J36" s="71">
        <v>0.68</v>
      </c>
      <c r="K36" s="22"/>
      <c r="L36" s="66">
        <f>+H36*J36</f>
        <v>80920.346799999999</v>
      </c>
      <c r="M36" s="22"/>
      <c r="N36" s="23"/>
      <c r="O36" s="66">
        <v>119000.51</v>
      </c>
      <c r="P36" s="66" t="s">
        <v>413</v>
      </c>
      <c r="Q36" s="71">
        <v>1.02</v>
      </c>
      <c r="R36" s="22"/>
      <c r="S36" s="66">
        <f>+O36*Q36</f>
        <v>121380.5202</v>
      </c>
      <c r="T36" s="22"/>
      <c r="U36" s="66">
        <f t="shared" ref="U36:U38" si="6">+S36-L36</f>
        <v>40460.1734</v>
      </c>
      <c r="V36" s="73">
        <f t="shared" ref="V36:V38" si="7">+IF(U36=0,0,(S36-L36)/L36)</f>
        <v>0.5</v>
      </c>
    </row>
    <row r="37" spans="1:22" ht="16.5">
      <c r="A37" s="69" t="s">
        <v>759</v>
      </c>
      <c r="B37" s="69" t="s">
        <v>760</v>
      </c>
      <c r="D37" s="22">
        <v>20</v>
      </c>
      <c r="E37" s="67" t="s">
        <v>445</v>
      </c>
      <c r="F37" s="22"/>
      <c r="G37" s="22"/>
      <c r="H37" s="172">
        <v>888138.23</v>
      </c>
      <c r="I37" s="66" t="s">
        <v>413</v>
      </c>
      <c r="J37" s="71">
        <v>0.68</v>
      </c>
      <c r="K37" s="22"/>
      <c r="L37" s="172">
        <f>+H37*J37</f>
        <v>603933.99640000006</v>
      </c>
      <c r="M37" s="22"/>
      <c r="N37" s="23"/>
      <c r="O37" s="172">
        <v>888138.23</v>
      </c>
      <c r="P37" s="66" t="s">
        <v>413</v>
      </c>
      <c r="Q37" s="71">
        <v>1.02</v>
      </c>
      <c r="R37" s="22"/>
      <c r="S37" s="172">
        <f>+O37*Q37</f>
        <v>905900.99459999998</v>
      </c>
      <c r="T37" s="22"/>
      <c r="U37" s="66">
        <f t="shared" si="6"/>
        <v>301966.99819999991</v>
      </c>
      <c r="V37" s="73">
        <f t="shared" si="7"/>
        <v>0.49999999999999983</v>
      </c>
    </row>
    <row r="38" spans="1:22">
      <c r="A38" s="69"/>
      <c r="B38" s="69"/>
      <c r="D38" s="22">
        <v>21</v>
      </c>
      <c r="E38" s="48" t="s">
        <v>298</v>
      </c>
      <c r="F38" s="65"/>
      <c r="G38" s="22"/>
      <c r="H38" s="70">
        <f>+SUM(H36:H37)</f>
        <v>1007138.74</v>
      </c>
      <c r="I38" s="66" t="s">
        <v>413</v>
      </c>
      <c r="J38" s="71"/>
      <c r="K38" s="66"/>
      <c r="L38" s="157">
        <f>+SUM(L36:L37)</f>
        <v>684854.3432</v>
      </c>
      <c r="M38" s="66"/>
      <c r="N38" s="72"/>
      <c r="O38" s="70">
        <f>+SUM(O36:O37)</f>
        <v>1007138.74</v>
      </c>
      <c r="P38" s="66" t="s">
        <v>413</v>
      </c>
      <c r="Q38" s="71"/>
      <c r="R38" s="66"/>
      <c r="S38" s="157">
        <f>+SUM(S36:S37)</f>
        <v>1027281.5148</v>
      </c>
      <c r="T38" s="66"/>
      <c r="U38" s="66">
        <f t="shared" si="6"/>
        <v>342427.1716</v>
      </c>
      <c r="V38" s="73">
        <f t="shared" si="7"/>
        <v>0.5</v>
      </c>
    </row>
    <row r="39" spans="1:22">
      <c r="A39" s="69"/>
      <c r="B39" s="69"/>
      <c r="D39" s="22">
        <v>22</v>
      </c>
      <c r="E39" s="48"/>
      <c r="F39" s="65"/>
      <c r="G39" s="22"/>
      <c r="H39" s="66"/>
      <c r="I39" s="66"/>
      <c r="J39" s="71"/>
      <c r="K39" s="66"/>
      <c r="L39" s="71"/>
      <c r="M39" s="66"/>
      <c r="N39" s="72"/>
      <c r="O39" s="66"/>
      <c r="P39" s="66"/>
      <c r="Q39" s="71"/>
      <c r="R39" s="66"/>
      <c r="S39" s="71"/>
      <c r="T39" s="66"/>
      <c r="U39" s="66"/>
      <c r="V39" s="75"/>
    </row>
    <row r="40" spans="1:22">
      <c r="A40" s="69"/>
      <c r="B40" s="69"/>
      <c r="D40" s="22">
        <v>23</v>
      </c>
      <c r="E40" s="22" t="s">
        <v>761</v>
      </c>
      <c r="F40" s="22"/>
      <c r="G40" s="22"/>
      <c r="H40" s="22"/>
      <c r="I40" s="22"/>
      <c r="J40" s="22"/>
      <c r="K40" s="22"/>
      <c r="L40" s="74"/>
      <c r="M40" s="22"/>
      <c r="N40" s="23"/>
      <c r="O40" s="22"/>
      <c r="P40" s="22"/>
      <c r="Q40" s="22"/>
      <c r="R40" s="22"/>
      <c r="S40" s="74"/>
      <c r="T40" s="66"/>
      <c r="U40" s="66"/>
      <c r="V40" s="66"/>
    </row>
    <row r="41" spans="1:22">
      <c r="A41" s="69" t="s">
        <v>762</v>
      </c>
      <c r="B41" s="69" t="s">
        <v>763</v>
      </c>
      <c r="D41" s="22">
        <v>24</v>
      </c>
      <c r="E41" s="67" t="s">
        <v>440</v>
      </c>
      <c r="F41" s="22"/>
      <c r="G41" s="22"/>
      <c r="H41" s="66">
        <v>8645931.6999999993</v>
      </c>
      <c r="I41" s="22" t="s">
        <v>675</v>
      </c>
      <c r="J41" s="76">
        <v>2.0300000000000001E-3</v>
      </c>
      <c r="K41" s="22"/>
      <c r="L41" s="66">
        <f>+H41*J41</f>
        <v>17551.241351000001</v>
      </c>
      <c r="M41" s="22"/>
      <c r="N41" s="23"/>
      <c r="O41" s="193">
        <v>8645931.6999999993</v>
      </c>
      <c r="P41" s="22" t="s">
        <v>675</v>
      </c>
      <c r="Q41" s="76">
        <v>2.0300000000000001E-3</v>
      </c>
      <c r="R41" s="22"/>
      <c r="S41" s="66">
        <f>+O41*Q41</f>
        <v>17551.241351000001</v>
      </c>
      <c r="T41" s="22"/>
      <c r="U41" s="66">
        <f t="shared" ref="U41:U43" si="8">+S41-L41</f>
        <v>0</v>
      </c>
      <c r="V41" s="73">
        <f t="shared" ref="V41:V43" si="9">+IF(U41=0,0,(S41-L41)/L41)</f>
        <v>0</v>
      </c>
    </row>
    <row r="42" spans="1:22" ht="16.5">
      <c r="A42" s="69" t="s">
        <v>764</v>
      </c>
      <c r="B42" s="69" t="s">
        <v>765</v>
      </c>
      <c r="D42" s="22">
        <v>25</v>
      </c>
      <c r="E42" s="67" t="s">
        <v>445</v>
      </c>
      <c r="F42" s="22"/>
      <c r="G42" s="22"/>
      <c r="H42" s="172">
        <v>27333710.02</v>
      </c>
      <c r="I42" s="22" t="s">
        <v>675</v>
      </c>
      <c r="J42" s="76">
        <v>2.0300000000000001E-3</v>
      </c>
      <c r="K42" s="22"/>
      <c r="L42" s="172">
        <f>+H42*J42</f>
        <v>55487.4313406</v>
      </c>
      <c r="M42" s="22"/>
      <c r="N42" s="23"/>
      <c r="O42" s="194">
        <v>27333710.02</v>
      </c>
      <c r="P42" s="22" t="s">
        <v>675</v>
      </c>
      <c r="Q42" s="76">
        <v>2.0300000000000001E-3</v>
      </c>
      <c r="R42" s="22"/>
      <c r="S42" s="172">
        <f>+O42*Q42</f>
        <v>55487.4313406</v>
      </c>
      <c r="T42" s="66"/>
      <c r="U42" s="66">
        <f t="shared" si="8"/>
        <v>0</v>
      </c>
      <c r="V42" s="73">
        <f t="shared" si="9"/>
        <v>0</v>
      </c>
    </row>
    <row r="43" spans="1:22">
      <c r="A43" s="69"/>
      <c r="B43" s="69"/>
      <c r="D43" s="22">
        <v>26</v>
      </c>
      <c r="E43" s="22"/>
      <c r="F43" s="22"/>
      <c r="G43" s="22"/>
      <c r="H43" s="70">
        <f>+SUM(H41:H42)</f>
        <v>35979641.719999999</v>
      </c>
      <c r="I43" s="22" t="s">
        <v>675</v>
      </c>
      <c r="J43" s="22"/>
      <c r="K43" s="22"/>
      <c r="L43" s="157">
        <f>+SUM(L41:L42)</f>
        <v>73038.672691600004</v>
      </c>
      <c r="M43" s="22"/>
      <c r="N43" s="23"/>
      <c r="O43" s="70">
        <f>+SUM(O41:O42)</f>
        <v>35979641.719999999</v>
      </c>
      <c r="P43" s="22" t="s">
        <v>675</v>
      </c>
      <c r="Q43" s="22"/>
      <c r="R43" s="22"/>
      <c r="S43" s="157">
        <f>+SUM(S41:S42)</f>
        <v>73038.672691600004</v>
      </c>
      <c r="T43" s="66"/>
      <c r="U43" s="66">
        <f t="shared" si="8"/>
        <v>0</v>
      </c>
      <c r="V43" s="73">
        <f t="shared" si="9"/>
        <v>0</v>
      </c>
    </row>
    <row r="44" spans="1:22">
      <c r="A44" s="69"/>
      <c r="B44" s="69"/>
      <c r="D44" s="22">
        <v>27</v>
      </c>
      <c r="E44" s="22" t="s">
        <v>766</v>
      </c>
      <c r="F44" s="22"/>
      <c r="G44" s="22"/>
      <c r="H44" s="22"/>
      <c r="I44" s="22"/>
      <c r="J44" s="22"/>
      <c r="K44" s="22"/>
      <c r="L44" s="22"/>
      <c r="M44" s="22"/>
      <c r="N44" s="23"/>
      <c r="O44" s="22"/>
      <c r="P44" s="22"/>
      <c r="Q44" s="22"/>
      <c r="R44" s="22"/>
      <c r="S44" s="22"/>
      <c r="T44" s="22"/>
      <c r="U44" s="22"/>
      <c r="V44" s="22"/>
    </row>
    <row r="45" spans="1:22">
      <c r="A45" s="69" t="s">
        <v>767</v>
      </c>
      <c r="B45" s="69" t="s">
        <v>768</v>
      </c>
      <c r="D45" s="22">
        <v>28</v>
      </c>
      <c r="E45" s="67" t="s">
        <v>440</v>
      </c>
      <c r="F45" s="22"/>
      <c r="G45" s="22"/>
      <c r="H45" s="66">
        <v>36511132.229999997</v>
      </c>
      <c r="I45" s="22" t="s">
        <v>675</v>
      </c>
      <c r="J45" s="76">
        <v>-1.0200000000000001E-3</v>
      </c>
      <c r="K45" s="22"/>
      <c r="L45" s="66">
        <f>+H45*J45</f>
        <v>-37241.354874600001</v>
      </c>
      <c r="M45" s="22"/>
      <c r="N45" s="23"/>
      <c r="O45" s="193">
        <v>36511132.229999997</v>
      </c>
      <c r="P45" s="22" t="s">
        <v>675</v>
      </c>
      <c r="Q45" s="76">
        <v>-1.0200000000000001E-3</v>
      </c>
      <c r="R45" s="22"/>
      <c r="S45" s="66">
        <f>+O45*Q45</f>
        <v>-37241.354874600001</v>
      </c>
      <c r="T45" s="22"/>
      <c r="U45" s="66">
        <f t="shared" ref="U45:U47" si="10">+S45-L45</f>
        <v>0</v>
      </c>
      <c r="V45" s="73">
        <f t="shared" ref="V45:V47" si="11">+IF(U45=0,0,(S45-L45)/L45)</f>
        <v>0</v>
      </c>
    </row>
    <row r="46" spans="1:22" ht="16.5">
      <c r="A46" s="69" t="s">
        <v>769</v>
      </c>
      <c r="B46" s="69" t="s">
        <v>770</v>
      </c>
      <c r="D46" s="22">
        <v>29</v>
      </c>
      <c r="E46" s="22" t="s">
        <v>445</v>
      </c>
      <c r="F46" s="22"/>
      <c r="G46" s="22"/>
      <c r="H46" s="172">
        <v>109235089.39</v>
      </c>
      <c r="I46" s="22" t="s">
        <v>675</v>
      </c>
      <c r="J46" s="76">
        <v>-1.0200000000000001E-3</v>
      </c>
      <c r="K46" s="22"/>
      <c r="L46" s="194">
        <f>+H46*J46</f>
        <v>-111419.79117780001</v>
      </c>
      <c r="M46" s="22"/>
      <c r="N46" s="23"/>
      <c r="O46" s="194">
        <v>109235089.39</v>
      </c>
      <c r="P46" s="22" t="s">
        <v>675</v>
      </c>
      <c r="Q46" s="76">
        <v>-1.0200000000000001E-3</v>
      </c>
      <c r="R46" s="22"/>
      <c r="S46" s="194">
        <f>+O46*Q46</f>
        <v>-111419.79117780001</v>
      </c>
      <c r="T46" s="22"/>
      <c r="U46" s="66">
        <f t="shared" si="10"/>
        <v>0</v>
      </c>
      <c r="V46" s="73">
        <f t="shared" si="11"/>
        <v>0</v>
      </c>
    </row>
    <row r="47" spans="1:22">
      <c r="A47" s="69"/>
      <c r="B47" s="69"/>
      <c r="D47" s="22">
        <v>30</v>
      </c>
      <c r="E47" s="22" t="s">
        <v>298</v>
      </c>
      <c r="F47" s="22"/>
      <c r="G47" s="22"/>
      <c r="H47" s="70">
        <f>+SUM(H45:H46)</f>
        <v>145746221.62</v>
      </c>
      <c r="I47" s="22"/>
      <c r="J47" s="22"/>
      <c r="K47" s="22"/>
      <c r="L47" s="41">
        <f>+SUM(L45:L46)</f>
        <v>-148661.1460524</v>
      </c>
      <c r="M47" s="22"/>
      <c r="N47" s="23"/>
      <c r="O47" s="70">
        <f>+SUM(O45:O46)</f>
        <v>145746221.62</v>
      </c>
      <c r="P47" s="22"/>
      <c r="Q47" s="22"/>
      <c r="R47" s="22"/>
      <c r="S47" s="41">
        <f>+SUM(S45:S46)</f>
        <v>-148661.1460524</v>
      </c>
      <c r="T47" s="22"/>
      <c r="U47" s="66">
        <f t="shared" si="10"/>
        <v>0</v>
      </c>
      <c r="V47" s="73">
        <f t="shared" si="11"/>
        <v>0</v>
      </c>
    </row>
    <row r="48" spans="1:22">
      <c r="A48" s="69"/>
      <c r="B48" s="69"/>
      <c r="D48" s="22">
        <v>31</v>
      </c>
      <c r="E48" s="48"/>
      <c r="F48" s="65"/>
      <c r="G48" s="22"/>
      <c r="H48" s="66"/>
      <c r="I48" s="66"/>
      <c r="J48" s="71"/>
      <c r="K48" s="66"/>
      <c r="L48" s="66"/>
      <c r="M48" s="66"/>
      <c r="N48" s="72"/>
      <c r="O48" s="66"/>
      <c r="P48" s="66"/>
      <c r="Q48" s="80"/>
      <c r="R48" s="66"/>
      <c r="S48" s="66"/>
      <c r="T48" s="66"/>
      <c r="U48" s="66"/>
      <c r="V48" s="75"/>
    </row>
    <row r="49" spans="1:22">
      <c r="A49" s="69"/>
      <c r="B49" s="69"/>
      <c r="D49" s="22">
        <v>32</v>
      </c>
      <c r="E49" s="22" t="s">
        <v>112</v>
      </c>
      <c r="F49" s="22"/>
      <c r="G49" s="22"/>
      <c r="H49" s="22"/>
      <c r="I49" s="22"/>
      <c r="J49" s="22"/>
      <c r="K49" s="22"/>
      <c r="L49" s="22"/>
      <c r="M49" s="22"/>
      <c r="N49" s="23"/>
      <c r="O49" s="22"/>
      <c r="P49" s="22"/>
      <c r="Q49" s="22"/>
      <c r="R49" s="22"/>
      <c r="S49" s="22"/>
      <c r="T49" s="22"/>
      <c r="U49" s="22"/>
      <c r="V49" s="22"/>
    </row>
    <row r="50" spans="1:22">
      <c r="A50" s="69"/>
      <c r="B50" s="69" t="s">
        <v>771</v>
      </c>
      <c r="D50" s="22">
        <v>33</v>
      </c>
      <c r="E50" s="67" t="s">
        <v>440</v>
      </c>
      <c r="F50" s="22"/>
      <c r="G50" s="22"/>
      <c r="H50" s="193">
        <v>0</v>
      </c>
      <c r="I50" s="22" t="s">
        <v>464</v>
      </c>
      <c r="J50" s="168">
        <v>-0.01</v>
      </c>
      <c r="K50" s="22"/>
      <c r="L50" s="66">
        <f>+H50*J50</f>
        <v>0</v>
      </c>
      <c r="M50" s="22"/>
      <c r="N50" s="23"/>
      <c r="O50" s="193">
        <v>0</v>
      </c>
      <c r="P50" s="22" t="s">
        <v>464</v>
      </c>
      <c r="Q50" s="168">
        <f>+J50</f>
        <v>-0.01</v>
      </c>
      <c r="R50" s="22"/>
      <c r="S50" s="66">
        <f>+O50*Q50</f>
        <v>0</v>
      </c>
      <c r="T50" s="22"/>
      <c r="U50" s="66">
        <f t="shared" ref="U50:U52" si="12">+S50-L50</f>
        <v>0</v>
      </c>
      <c r="V50" s="73">
        <f t="shared" ref="V50:V52" si="13">+IF(U50=0,0,(S50-L50)/L50)</f>
        <v>0</v>
      </c>
    </row>
    <row r="51" spans="1:22">
      <c r="A51" s="69"/>
      <c r="B51" s="69" t="s">
        <v>772</v>
      </c>
      <c r="D51" s="22">
        <v>34</v>
      </c>
      <c r="E51" s="22" t="s">
        <v>445</v>
      </c>
      <c r="F51" s="22"/>
      <c r="G51" s="22"/>
      <c r="H51" s="194">
        <v>0</v>
      </c>
      <c r="I51" s="22" t="s">
        <v>464</v>
      </c>
      <c r="J51" s="168">
        <v>-0.01</v>
      </c>
      <c r="K51" s="22"/>
      <c r="L51" s="194">
        <f>+H51*J51</f>
        <v>0</v>
      </c>
      <c r="M51" s="22"/>
      <c r="N51" s="23"/>
      <c r="O51" s="194">
        <v>0</v>
      </c>
      <c r="P51" s="22" t="s">
        <v>464</v>
      </c>
      <c r="Q51" s="168">
        <f>+J51</f>
        <v>-0.01</v>
      </c>
      <c r="R51" s="22"/>
      <c r="S51" s="194">
        <f>+O51*Q51</f>
        <v>0</v>
      </c>
      <c r="T51" s="22"/>
      <c r="U51" s="66">
        <f t="shared" si="12"/>
        <v>0</v>
      </c>
      <c r="V51" s="73">
        <f t="shared" si="13"/>
        <v>0</v>
      </c>
    </row>
    <row r="52" spans="1:22">
      <c r="D52" s="22">
        <v>35</v>
      </c>
      <c r="E52" s="22" t="s">
        <v>298</v>
      </c>
      <c r="F52" s="22"/>
      <c r="G52" s="22"/>
      <c r="H52" s="193">
        <f>+SUM(H50:H51)</f>
        <v>0</v>
      </c>
      <c r="I52" s="22" t="s">
        <v>464</v>
      </c>
      <c r="J52" s="22"/>
      <c r="K52" s="22"/>
      <c r="L52" s="41">
        <f>+SUM(L50:L51)</f>
        <v>0</v>
      </c>
      <c r="M52" s="22"/>
      <c r="N52" s="23"/>
      <c r="O52" s="193">
        <f>+SUM(O50:O51)</f>
        <v>0</v>
      </c>
      <c r="P52" s="22" t="s">
        <v>464</v>
      </c>
      <c r="Q52" s="22"/>
      <c r="R52" s="22"/>
      <c r="S52" s="41">
        <f>+SUM(S50:S51)</f>
        <v>0</v>
      </c>
      <c r="T52" s="22"/>
      <c r="U52" s="66">
        <f t="shared" si="12"/>
        <v>0</v>
      </c>
      <c r="V52" s="73">
        <f t="shared" si="13"/>
        <v>0</v>
      </c>
    </row>
    <row r="53" spans="1:22">
      <c r="D53" s="22">
        <v>36</v>
      </c>
    </row>
    <row r="54" spans="1:22" ht="15.75" thickBot="1">
      <c r="D54" s="22">
        <v>37</v>
      </c>
      <c r="E54" s="67" t="s">
        <v>316</v>
      </c>
      <c r="F54" s="67"/>
      <c r="G54" s="22"/>
      <c r="H54" s="22"/>
      <c r="I54" s="66"/>
      <c r="J54" s="66"/>
      <c r="K54" s="66"/>
      <c r="L54" s="78">
        <f>+L20+L27+L33+L38+L43+L47+L52</f>
        <v>43471400.1163681</v>
      </c>
      <c r="M54" s="66"/>
      <c r="N54" s="72"/>
      <c r="O54" s="66"/>
      <c r="P54" s="66"/>
      <c r="Q54" s="66"/>
      <c r="R54" s="66"/>
      <c r="S54" s="78">
        <f>+S20+S27+S33+S38+S43+S47+S52</f>
        <v>46910505.789287157</v>
      </c>
      <c r="T54" s="22"/>
      <c r="U54" s="66">
        <f>+S54-L54</f>
        <v>3439105.6729190573</v>
      </c>
      <c r="V54" s="73">
        <f>+IF(U54=0,0,(S54-L54)/L54)</f>
        <v>7.9111914125446936E-2</v>
      </c>
    </row>
    <row r="55" spans="1:22" ht="16.5" thickTop="1" thickBot="1">
      <c r="D55" s="24">
        <v>39</v>
      </c>
      <c r="E55" s="24" t="s">
        <v>773</v>
      </c>
      <c r="F55" s="24"/>
      <c r="G55" s="24"/>
      <c r="H55" s="24"/>
      <c r="I55" s="24"/>
      <c r="J55" s="24"/>
      <c r="K55" s="24"/>
      <c r="L55" s="24"/>
      <c r="M55" s="24"/>
      <c r="N55" s="25"/>
      <c r="O55" s="24"/>
      <c r="P55" s="24"/>
      <c r="Q55" s="24"/>
      <c r="R55" s="24"/>
      <c r="S55" s="24"/>
      <c r="T55" s="24"/>
      <c r="U55" s="24"/>
      <c r="V55" s="26"/>
    </row>
    <row r="56" spans="1:22"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3"/>
      <c r="O56" s="22"/>
      <c r="P56" s="22"/>
      <c r="Q56" s="22"/>
      <c r="R56" s="22"/>
      <c r="S56" s="22"/>
      <c r="T56" s="22"/>
      <c r="U56" s="22"/>
      <c r="V56" s="22"/>
    </row>
    <row r="57" spans="1:22">
      <c r="D57" s="22"/>
      <c r="E57" s="22"/>
      <c r="F57" s="22"/>
      <c r="G57" s="22"/>
      <c r="H57" s="22"/>
      <c r="I57" s="22"/>
      <c r="J57" s="22"/>
      <c r="K57" s="330"/>
      <c r="L57" s="330"/>
      <c r="M57" s="330"/>
      <c r="N57" s="330"/>
      <c r="O57" s="330"/>
      <c r="P57" s="22"/>
      <c r="Q57" s="22"/>
      <c r="R57" s="22"/>
      <c r="S57" s="22"/>
      <c r="T57" s="22"/>
      <c r="U57" s="22"/>
      <c r="V57" s="22"/>
    </row>
    <row r="58" spans="1:22" ht="15.75" thickBot="1">
      <c r="D58" s="24"/>
      <c r="E58" s="24"/>
      <c r="F58" s="24"/>
      <c r="G58" s="24"/>
      <c r="H58" s="24"/>
      <c r="I58" s="24"/>
      <c r="J58" s="24"/>
      <c r="K58" s="331" t="s">
        <v>274</v>
      </c>
      <c r="L58" s="331"/>
      <c r="M58" s="331"/>
      <c r="N58" s="331"/>
      <c r="O58" s="331"/>
      <c r="P58" s="24"/>
      <c r="Q58" s="24"/>
      <c r="R58" s="24"/>
      <c r="S58" s="24"/>
      <c r="T58" s="24"/>
      <c r="U58" s="24"/>
      <c r="V58" s="26"/>
    </row>
    <row r="59" spans="1:22">
      <c r="D59" s="22"/>
      <c r="E59" s="22"/>
      <c r="F59" s="22"/>
      <c r="G59" s="22"/>
      <c r="H59" s="22"/>
      <c r="I59" s="22"/>
      <c r="K59" s="22"/>
      <c r="L59" s="22"/>
      <c r="M59" s="22"/>
      <c r="N59" s="29"/>
      <c r="O59" s="30"/>
      <c r="P59" s="22"/>
      <c r="Q59" s="30"/>
      <c r="R59" s="30"/>
      <c r="S59" s="30"/>
      <c r="T59" s="22"/>
      <c r="U59" s="22"/>
      <c r="V59" s="31"/>
    </row>
    <row r="60" spans="1:22">
      <c r="D60" s="22"/>
      <c r="E60" s="22"/>
      <c r="F60" s="22"/>
      <c r="G60" s="22"/>
      <c r="H60" s="22"/>
      <c r="I60" s="22"/>
      <c r="K60" s="22"/>
      <c r="L60" s="22"/>
      <c r="M60" s="22"/>
      <c r="N60" s="23"/>
      <c r="O60" s="31"/>
      <c r="P60" s="22"/>
      <c r="Q60" s="22"/>
      <c r="R60" s="32"/>
      <c r="S60" s="32"/>
      <c r="T60" s="31"/>
      <c r="U60" s="22"/>
      <c r="V60" s="32"/>
    </row>
    <row r="61" spans="1:22"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3"/>
      <c r="O61" s="31"/>
      <c r="P61" s="32"/>
      <c r="Q61" s="22"/>
      <c r="R61" s="22"/>
      <c r="S61" s="32"/>
      <c r="T61" s="31"/>
      <c r="U61" s="22"/>
      <c r="V61" s="32"/>
    </row>
    <row r="62" spans="1:22"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3"/>
      <c r="O62" s="31"/>
      <c r="P62" s="32"/>
      <c r="Q62" s="22"/>
      <c r="R62" s="22"/>
      <c r="S62" s="32"/>
      <c r="T62" s="31"/>
      <c r="U62" s="22"/>
      <c r="V62" s="32"/>
    </row>
    <row r="63" spans="1:22">
      <c r="D63" s="22"/>
      <c r="E63" s="22"/>
      <c r="F63" s="32"/>
      <c r="G63" s="22"/>
      <c r="H63" s="22"/>
      <c r="I63" s="22"/>
      <c r="J63" s="22"/>
      <c r="K63" s="36"/>
      <c r="L63" s="36"/>
      <c r="M63" s="36"/>
      <c r="N63" s="23"/>
      <c r="O63" s="22"/>
      <c r="P63" s="22"/>
      <c r="Q63" s="22"/>
      <c r="R63" s="22"/>
      <c r="S63" s="22"/>
      <c r="T63" s="22"/>
      <c r="U63" s="22"/>
      <c r="V63" s="22"/>
    </row>
    <row r="64" spans="1:22" ht="15.75" thickBot="1">
      <c r="D64" s="24"/>
      <c r="E64" s="24"/>
      <c r="F64" s="26"/>
      <c r="G64" s="37"/>
      <c r="H64" s="37"/>
      <c r="I64" s="38"/>
      <c r="J64" s="38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</row>
    <row r="65" spans="1:22">
      <c r="D65" s="22"/>
      <c r="E65" s="22"/>
      <c r="F65" s="22"/>
      <c r="G65" s="22"/>
      <c r="H65" s="36"/>
      <c r="I65" s="22"/>
      <c r="J65" s="36"/>
      <c r="K65" s="39"/>
      <c r="L65" s="36"/>
      <c r="M65" s="22"/>
      <c r="N65" s="36"/>
      <c r="O65" s="22"/>
      <c r="P65" s="39"/>
      <c r="Q65" s="22"/>
      <c r="R65" s="22"/>
      <c r="S65" s="22"/>
      <c r="T65" s="22"/>
      <c r="U65" s="22"/>
      <c r="V65" s="22"/>
    </row>
    <row r="66" spans="1:22">
      <c r="D66" s="22"/>
      <c r="E66" s="22"/>
      <c r="F66" s="22"/>
      <c r="G66" s="22"/>
      <c r="H66" s="39"/>
      <c r="I66" s="22"/>
      <c r="J66" s="22"/>
      <c r="K66" s="39"/>
      <c r="L66" s="22"/>
      <c r="M66" s="22"/>
      <c r="N66" s="36"/>
      <c r="O66" s="22"/>
      <c r="P66" s="39"/>
      <c r="Q66" s="22"/>
      <c r="R66" s="22"/>
      <c r="S66" s="22"/>
      <c r="T66" s="22"/>
      <c r="U66" s="22"/>
      <c r="V66" s="22"/>
    </row>
    <row r="67" spans="1:22">
      <c r="D67" s="22"/>
      <c r="E67" s="22"/>
      <c r="F67" s="22"/>
      <c r="G67" s="22"/>
      <c r="H67" s="22"/>
      <c r="I67" s="39"/>
      <c r="J67" s="39"/>
      <c r="K67" s="42"/>
      <c r="L67" s="42" t="s">
        <v>278</v>
      </c>
      <c r="M67" s="36"/>
      <c r="N67" s="44" t="s">
        <v>774</v>
      </c>
      <c r="O67" s="39"/>
      <c r="P67" s="22"/>
      <c r="Q67" s="39"/>
      <c r="R67" s="39"/>
      <c r="S67" s="39"/>
      <c r="T67" s="39"/>
      <c r="U67" s="39"/>
      <c r="V67" s="22"/>
    </row>
    <row r="68" spans="1:22">
      <c r="D68" s="22"/>
      <c r="E68" s="22"/>
      <c r="F68" s="22"/>
      <c r="G68" s="22"/>
      <c r="H68" s="22"/>
      <c r="I68" s="39"/>
      <c r="J68" s="39"/>
      <c r="K68" s="39"/>
      <c r="L68" s="39"/>
      <c r="M68" s="39"/>
      <c r="N68" s="36"/>
      <c r="O68" s="39"/>
      <c r="P68" s="39"/>
      <c r="Q68" s="39"/>
      <c r="R68" s="39"/>
      <c r="S68" s="39"/>
      <c r="T68" s="39"/>
      <c r="U68" s="39"/>
      <c r="V68" s="39"/>
    </row>
    <row r="69" spans="1:22">
      <c r="D69" s="23" t="s">
        <v>55</v>
      </c>
      <c r="E69" s="171" t="s">
        <v>280</v>
      </c>
      <c r="F69" s="48"/>
      <c r="G69" s="49"/>
      <c r="H69" s="50"/>
      <c r="I69" s="50"/>
      <c r="J69" s="51" t="s">
        <v>281</v>
      </c>
      <c r="K69" s="50"/>
      <c r="L69" s="50"/>
      <c r="M69" s="48"/>
      <c r="N69" s="53"/>
      <c r="O69" s="50"/>
      <c r="P69" s="51"/>
      <c r="Q69" s="51" t="s">
        <v>282</v>
      </c>
      <c r="R69" s="50"/>
      <c r="S69" s="50"/>
      <c r="T69" s="48"/>
      <c r="U69" s="55" t="s">
        <v>283</v>
      </c>
      <c r="V69" s="55" t="s">
        <v>284</v>
      </c>
    </row>
    <row r="70" spans="1:22" ht="15.75" thickBot="1">
      <c r="A70" s="56" t="s">
        <v>285</v>
      </c>
      <c r="B70" s="56" t="s">
        <v>286</v>
      </c>
      <c r="D70" s="25" t="s">
        <v>60</v>
      </c>
      <c r="E70" s="57" t="s">
        <v>287</v>
      </c>
      <c r="F70" s="58"/>
      <c r="G70" s="24"/>
      <c r="H70" s="25" t="s">
        <v>288</v>
      </c>
      <c r="I70" s="60"/>
      <c r="J70" s="60" t="s">
        <v>289</v>
      </c>
      <c r="K70" s="60"/>
      <c r="L70" s="60" t="s">
        <v>290</v>
      </c>
      <c r="M70" s="60"/>
      <c r="N70" s="60"/>
      <c r="O70" s="60" t="s">
        <v>288</v>
      </c>
      <c r="P70" s="60"/>
      <c r="Q70" s="60" t="s">
        <v>289</v>
      </c>
      <c r="R70" s="60"/>
      <c r="S70" s="60" t="s">
        <v>290</v>
      </c>
      <c r="T70" s="58"/>
      <c r="U70" s="62" t="s">
        <v>291</v>
      </c>
      <c r="V70" s="62" t="s">
        <v>59</v>
      </c>
    </row>
    <row r="71" spans="1:22">
      <c r="B71" s="69"/>
      <c r="D71" s="22">
        <v>1</v>
      </c>
      <c r="E71" s="84"/>
      <c r="F71" s="67"/>
      <c r="G71" s="22"/>
      <c r="H71" s="22"/>
      <c r="I71" s="65"/>
      <c r="J71" s="65"/>
      <c r="K71" s="65"/>
      <c r="L71" s="65"/>
      <c r="M71" s="67"/>
      <c r="N71" s="53"/>
      <c r="O71" s="67"/>
      <c r="P71" s="65"/>
      <c r="Q71" s="65"/>
      <c r="R71" s="65"/>
      <c r="S71" s="65"/>
      <c r="T71" s="65"/>
      <c r="U71" s="65"/>
      <c r="V71" s="65"/>
    </row>
    <row r="72" spans="1:22">
      <c r="A72" s="69"/>
      <c r="B72" s="69"/>
      <c r="D72" s="22">
        <v>2</v>
      </c>
      <c r="E72" s="67" t="s">
        <v>65</v>
      </c>
      <c r="F72" s="22"/>
      <c r="G72" s="22"/>
      <c r="H72" s="22"/>
      <c r="I72" s="22"/>
      <c r="J72" s="22"/>
      <c r="K72" s="22"/>
      <c r="L72" s="22"/>
      <c r="M72" s="22"/>
      <c r="N72" s="23"/>
      <c r="O72" s="22"/>
      <c r="P72" s="22"/>
      <c r="Q72" s="22"/>
      <c r="R72" s="22"/>
      <c r="S72" s="22"/>
      <c r="T72" s="22"/>
      <c r="U72" s="22"/>
      <c r="V72" s="22"/>
    </row>
    <row r="73" spans="1:22">
      <c r="A73" s="69" t="s">
        <v>775</v>
      </c>
      <c r="B73" s="69" t="s">
        <v>776</v>
      </c>
      <c r="D73" s="22">
        <v>3</v>
      </c>
      <c r="E73" s="150" t="s">
        <v>86</v>
      </c>
      <c r="F73" s="22"/>
      <c r="G73" s="22"/>
      <c r="H73" s="22">
        <v>0</v>
      </c>
      <c r="I73" s="66" t="s">
        <v>294</v>
      </c>
      <c r="J73" s="74">
        <v>20.350000000000001</v>
      </c>
      <c r="K73" s="22"/>
      <c r="L73" s="66">
        <f>+H73*J73</f>
        <v>0</v>
      </c>
      <c r="M73" s="22"/>
      <c r="N73" s="23"/>
      <c r="O73" s="22">
        <v>0</v>
      </c>
      <c r="P73" s="66" t="s">
        <v>294</v>
      </c>
      <c r="Q73" s="71">
        <v>22.24</v>
      </c>
      <c r="R73" s="22"/>
      <c r="S73" s="66">
        <f>+O73*Q73</f>
        <v>0</v>
      </c>
      <c r="T73" s="22"/>
      <c r="U73" s="66">
        <f t="shared" ref="U73:U75" si="14">+S73-L73</f>
        <v>0</v>
      </c>
      <c r="V73" s="73">
        <f t="shared" ref="V73:V75" si="15">+IF(U73=0,0,(S73-L73)/L73)</f>
        <v>0</v>
      </c>
    </row>
    <row r="74" spans="1:22" ht="16.5">
      <c r="A74" s="69" t="s">
        <v>777</v>
      </c>
      <c r="B74" s="69" t="s">
        <v>778</v>
      </c>
      <c r="D74" s="22">
        <v>4</v>
      </c>
      <c r="E74" s="22" t="s">
        <v>517</v>
      </c>
      <c r="F74" s="67"/>
      <c r="G74" s="22"/>
      <c r="H74" s="167">
        <v>358</v>
      </c>
      <c r="I74" s="66" t="s">
        <v>294</v>
      </c>
      <c r="J74" s="74">
        <v>20.350000000000001</v>
      </c>
      <c r="K74" s="66"/>
      <c r="L74" s="172">
        <f>+H74*J74</f>
        <v>7285.3</v>
      </c>
      <c r="M74" s="70"/>
      <c r="N74" s="72"/>
      <c r="O74" s="167">
        <v>358</v>
      </c>
      <c r="P74" s="66" t="s">
        <v>294</v>
      </c>
      <c r="Q74" s="71">
        <v>22.24</v>
      </c>
      <c r="R74" s="66"/>
      <c r="S74" s="172">
        <f>+O74*Q74</f>
        <v>7961.9199999999992</v>
      </c>
      <c r="T74" s="22"/>
      <c r="U74" s="66">
        <f t="shared" si="14"/>
        <v>676.61999999999898</v>
      </c>
      <c r="V74" s="73">
        <f t="shared" si="15"/>
        <v>9.287469287469273E-2</v>
      </c>
    </row>
    <row r="75" spans="1:22">
      <c r="A75" s="69"/>
      <c r="B75" s="69"/>
      <c r="D75" s="22">
        <v>5</v>
      </c>
      <c r="E75" s="67" t="s">
        <v>521</v>
      </c>
      <c r="F75" s="67"/>
      <c r="G75" s="22"/>
      <c r="H75" s="137">
        <f>+SUM(H73:H74)</f>
        <v>358</v>
      </c>
      <c r="I75" s="66" t="s">
        <v>328</v>
      </c>
      <c r="J75" s="74"/>
      <c r="K75" s="66"/>
      <c r="L75" s="157">
        <f>+SUM(L73:L74)</f>
        <v>7285.3</v>
      </c>
      <c r="M75" s="66"/>
      <c r="N75" s="72"/>
      <c r="O75" s="137">
        <f>+SUM(O73:O74)</f>
        <v>358</v>
      </c>
      <c r="P75" s="66" t="s">
        <v>328</v>
      </c>
      <c r="Q75" s="74"/>
      <c r="R75" s="66"/>
      <c r="S75" s="157">
        <f>+SUM(S73:S74)</f>
        <v>7961.9199999999992</v>
      </c>
      <c r="T75" s="22"/>
      <c r="U75" s="66">
        <f t="shared" si="14"/>
        <v>676.61999999999898</v>
      </c>
      <c r="V75" s="73">
        <f t="shared" si="15"/>
        <v>9.287469287469273E-2</v>
      </c>
    </row>
    <row r="76" spans="1:22">
      <c r="A76" s="69"/>
      <c r="B76" s="69"/>
      <c r="D76" s="22">
        <v>6</v>
      </c>
      <c r="E76" s="22"/>
      <c r="F76" s="22"/>
      <c r="G76" s="22"/>
      <c r="H76" s="22"/>
      <c r="I76" s="22"/>
      <c r="J76" s="22"/>
      <c r="K76" s="22"/>
      <c r="L76" s="70"/>
      <c r="M76" s="22"/>
      <c r="N76" s="23"/>
      <c r="O76" s="22"/>
      <c r="P76" s="22"/>
      <c r="Q76" s="22"/>
      <c r="R76" s="22"/>
      <c r="S76" s="70"/>
      <c r="T76" s="22"/>
      <c r="U76" s="22"/>
      <c r="V76" s="22"/>
    </row>
    <row r="77" spans="1:22">
      <c r="A77" s="69"/>
      <c r="B77" s="69"/>
      <c r="D77" s="22">
        <v>7</v>
      </c>
      <c r="E77" s="67" t="s">
        <v>522</v>
      </c>
      <c r="F77" s="22"/>
      <c r="G77" s="22"/>
      <c r="H77" s="22"/>
      <c r="I77" s="22"/>
      <c r="J77" s="22"/>
      <c r="K77" s="22"/>
      <c r="L77" s="70"/>
      <c r="M77" s="22"/>
      <c r="N77" s="23"/>
      <c r="O77" s="22"/>
      <c r="P77" s="22"/>
      <c r="Q77" s="22"/>
      <c r="R77" s="22"/>
      <c r="S77" s="70"/>
      <c r="T77" s="22"/>
      <c r="U77" s="22"/>
      <c r="V77" s="22"/>
    </row>
    <row r="78" spans="1:22">
      <c r="A78" s="69" t="s">
        <v>779</v>
      </c>
      <c r="B78" s="69" t="s">
        <v>780</v>
      </c>
      <c r="D78" s="22">
        <v>8</v>
      </c>
      <c r="E78" s="150" t="s">
        <v>86</v>
      </c>
      <c r="F78" s="22"/>
      <c r="G78" s="22"/>
      <c r="H78" s="22">
        <v>0</v>
      </c>
      <c r="I78" s="66" t="s">
        <v>304</v>
      </c>
      <c r="J78" s="77">
        <v>1.042E-2</v>
      </c>
      <c r="K78" s="22"/>
      <c r="L78" s="66">
        <f>+H78*J78</f>
        <v>0</v>
      </c>
      <c r="M78" s="22"/>
      <c r="N78" s="23"/>
      <c r="O78" s="22">
        <v>0</v>
      </c>
      <c r="P78" s="66" t="s">
        <v>304</v>
      </c>
      <c r="Q78" s="76">
        <f>+J78*(1.02)</f>
        <v>1.0628400000000001E-2</v>
      </c>
      <c r="R78" s="22"/>
      <c r="S78" s="66">
        <f>+O78*Q78</f>
        <v>0</v>
      </c>
      <c r="T78" s="22"/>
      <c r="U78" s="66">
        <f t="shared" ref="U78:U82" si="16">+S78-L78</f>
        <v>0</v>
      </c>
      <c r="V78" s="73">
        <f t="shared" ref="V78:V82" si="17">+IF(U78=0,0,(S78-L78)/L78)</f>
        <v>0</v>
      </c>
    </row>
    <row r="79" spans="1:22">
      <c r="A79" s="69" t="s">
        <v>781</v>
      </c>
      <c r="B79" s="69" t="s">
        <v>782</v>
      </c>
      <c r="D79" s="22">
        <v>9</v>
      </c>
      <c r="E79" s="22" t="s">
        <v>534</v>
      </c>
      <c r="F79" s="22"/>
      <c r="G79" s="22"/>
      <c r="H79" s="70">
        <v>2966666</v>
      </c>
      <c r="I79" s="66" t="s">
        <v>304</v>
      </c>
      <c r="J79" s="77">
        <v>1.584E-2</v>
      </c>
      <c r="K79" s="22"/>
      <c r="L79" s="66">
        <f>+H79*J79</f>
        <v>46991.989439999998</v>
      </c>
      <c r="M79" s="22"/>
      <c r="N79" s="23"/>
      <c r="O79" s="70">
        <v>2809721</v>
      </c>
      <c r="P79" s="66" t="s">
        <v>304</v>
      </c>
      <c r="Q79" s="77">
        <v>1.7248200000000002E-2</v>
      </c>
      <c r="R79" s="66"/>
      <c r="S79" s="66">
        <f>+O79*Q79</f>
        <v>48462.629752200002</v>
      </c>
      <c r="T79" s="22"/>
      <c r="U79" s="66">
        <f t="shared" si="16"/>
        <v>1470.6403122000047</v>
      </c>
      <c r="V79" s="73">
        <f t="shared" si="17"/>
        <v>3.1295553342718933E-2</v>
      </c>
    </row>
    <row r="80" spans="1:22">
      <c r="A80" s="69" t="s">
        <v>783</v>
      </c>
      <c r="B80" s="69" t="s">
        <v>784</v>
      </c>
      <c r="D80" s="22">
        <v>10</v>
      </c>
      <c r="E80" s="22" t="s">
        <v>543</v>
      </c>
      <c r="F80" s="65"/>
      <c r="G80" s="22"/>
      <c r="H80" s="70">
        <v>8529736</v>
      </c>
      <c r="I80" s="66" t="s">
        <v>304</v>
      </c>
      <c r="J80" s="77">
        <v>8.4700000000000001E-3</v>
      </c>
      <c r="K80" s="22"/>
      <c r="L80" s="66">
        <f>+H80*J80</f>
        <v>72246.863920000003</v>
      </c>
      <c r="M80" s="22"/>
      <c r="N80" s="23"/>
      <c r="O80" s="70">
        <v>4768707</v>
      </c>
      <c r="P80" s="66" t="s">
        <v>304</v>
      </c>
      <c r="Q80" s="77">
        <v>1.0478200000000002E-2</v>
      </c>
      <c r="R80" s="66"/>
      <c r="S80" s="66">
        <f>+O80*Q80</f>
        <v>49967.465687400007</v>
      </c>
      <c r="T80" s="22"/>
      <c r="U80" s="66">
        <f t="shared" si="16"/>
        <v>-22279.398232599997</v>
      </c>
      <c r="V80" s="73">
        <f t="shared" si="17"/>
        <v>-0.30837875893506322</v>
      </c>
    </row>
    <row r="81" spans="1:22" ht="16.5">
      <c r="A81" s="69" t="s">
        <v>785</v>
      </c>
      <c r="B81" s="69" t="s">
        <v>786</v>
      </c>
      <c r="D81" s="22"/>
      <c r="E81" s="22" t="s">
        <v>552</v>
      </c>
      <c r="F81" s="65"/>
      <c r="G81" s="22"/>
      <c r="H81" s="167">
        <v>0</v>
      </c>
      <c r="I81" s="66" t="s">
        <v>304</v>
      </c>
      <c r="J81" s="77">
        <v>0</v>
      </c>
      <c r="K81" s="66"/>
      <c r="L81" s="172">
        <f>+H81*J81</f>
        <v>0</v>
      </c>
      <c r="M81" s="66"/>
      <c r="N81" s="72"/>
      <c r="O81" s="167">
        <v>3917974</v>
      </c>
      <c r="P81" s="66" t="s">
        <v>304</v>
      </c>
      <c r="Q81" s="77">
        <v>6.2982000000000021E-3</v>
      </c>
      <c r="R81" s="22"/>
      <c r="S81" s="172">
        <f>+O81*Q81</f>
        <v>24676.18384680001</v>
      </c>
      <c r="T81" s="22"/>
      <c r="U81" s="66">
        <f t="shared" si="16"/>
        <v>24676.18384680001</v>
      </c>
      <c r="V81" s="162" t="str">
        <f>IFERROR(+IF(U81=0,0,(S81-L81)/L81),"New Rate")</f>
        <v>New Rate</v>
      </c>
    </row>
    <row r="82" spans="1:22">
      <c r="A82" s="69"/>
      <c r="B82" s="69"/>
      <c r="D82" s="22">
        <v>11</v>
      </c>
      <c r="E82" s="22" t="s">
        <v>787</v>
      </c>
      <c r="F82" s="65"/>
      <c r="G82" s="22"/>
      <c r="H82" s="70">
        <f>+SUM(H78:H80)</f>
        <v>11496402</v>
      </c>
      <c r="I82" s="66"/>
      <c r="J82" s="74"/>
      <c r="K82" s="66"/>
      <c r="L82" s="157">
        <f>+SUM(L78:L80)</f>
        <v>119238.85336000001</v>
      </c>
      <c r="M82" s="66"/>
      <c r="N82" s="72"/>
      <c r="O82" s="70">
        <f>+SUM(O78:O81)</f>
        <v>11496402</v>
      </c>
      <c r="P82" s="66"/>
      <c r="Q82" s="74"/>
      <c r="R82" s="22"/>
      <c r="S82" s="157">
        <f>+SUM(S78:S81)</f>
        <v>123106.27928640001</v>
      </c>
      <c r="T82" s="22"/>
      <c r="U82" s="66">
        <f t="shared" si="16"/>
        <v>3867.4259263999993</v>
      </c>
      <c r="V82" s="73">
        <f t="shared" si="17"/>
        <v>3.2434276390797379E-2</v>
      </c>
    </row>
    <row r="83" spans="1:22">
      <c r="A83" s="69"/>
      <c r="B83" s="69"/>
      <c r="D83" s="22">
        <v>12</v>
      </c>
      <c r="E83" s="22"/>
      <c r="F83" s="65"/>
      <c r="G83" s="22"/>
      <c r="H83" s="70"/>
      <c r="I83" s="66"/>
      <c r="J83" s="74"/>
      <c r="K83" s="66"/>
      <c r="L83" s="70"/>
      <c r="M83" s="66"/>
      <c r="N83" s="72"/>
      <c r="O83" s="70"/>
      <c r="P83" s="66"/>
      <c r="Q83" s="74"/>
      <c r="R83" s="22"/>
      <c r="S83" s="70"/>
      <c r="T83" s="22"/>
      <c r="U83" s="22"/>
      <c r="V83" s="75"/>
    </row>
    <row r="84" spans="1:22">
      <c r="A84" s="69"/>
      <c r="B84" s="69"/>
      <c r="D84" s="22">
        <v>13</v>
      </c>
      <c r="E84" s="67" t="s">
        <v>556</v>
      </c>
      <c r="F84" s="22"/>
      <c r="G84" s="22"/>
      <c r="H84" s="22"/>
      <c r="I84" s="22"/>
      <c r="J84" s="74"/>
      <c r="K84" s="22"/>
      <c r="L84" s="70"/>
      <c r="M84" s="22"/>
      <c r="N84" s="23"/>
      <c r="O84" s="22"/>
      <c r="P84" s="22"/>
      <c r="Q84" s="74"/>
      <c r="R84" s="22"/>
      <c r="S84" s="70"/>
      <c r="T84" s="22"/>
      <c r="U84" s="22"/>
      <c r="V84" s="22"/>
    </row>
    <row r="85" spans="1:22">
      <c r="A85" s="69" t="s">
        <v>788</v>
      </c>
      <c r="B85" s="69" t="s">
        <v>789</v>
      </c>
      <c r="D85" s="22">
        <v>14</v>
      </c>
      <c r="E85" s="67" t="s">
        <v>86</v>
      </c>
      <c r="F85" s="22"/>
      <c r="G85" s="22"/>
      <c r="H85" s="22">
        <v>0</v>
      </c>
      <c r="I85" s="66" t="s">
        <v>304</v>
      </c>
      <c r="J85" s="77">
        <v>8.5699999999999995E-3</v>
      </c>
      <c r="K85" s="22"/>
      <c r="L85" s="70">
        <f>+H85*J85</f>
        <v>0</v>
      </c>
      <c r="M85" s="22"/>
      <c r="N85" s="23"/>
      <c r="O85" s="22">
        <v>0</v>
      </c>
      <c r="P85" s="66" t="s">
        <v>304</v>
      </c>
      <c r="Q85" s="76">
        <f>+J85*(1.02)</f>
        <v>8.7413999999999999E-3</v>
      </c>
      <c r="R85" s="22"/>
      <c r="S85" s="70">
        <f>+O85*Q85</f>
        <v>0</v>
      </c>
      <c r="T85" s="22"/>
      <c r="U85" s="66">
        <f t="shared" ref="U85:U87" si="18">+S85-L85</f>
        <v>0</v>
      </c>
      <c r="V85" s="73">
        <f t="shared" ref="V85:V87" si="19">+IF(U85=0,0,(S85-L85)/L85)</f>
        <v>0</v>
      </c>
    </row>
    <row r="86" spans="1:22">
      <c r="A86" s="69" t="s">
        <v>790</v>
      </c>
      <c r="B86" s="69" t="s">
        <v>791</v>
      </c>
      <c r="D86" s="22">
        <v>15</v>
      </c>
      <c r="E86" s="22" t="s">
        <v>534</v>
      </c>
      <c r="F86" s="22"/>
      <c r="G86" s="22"/>
      <c r="H86" s="70">
        <v>1452314</v>
      </c>
      <c r="I86" s="66" t="s">
        <v>304</v>
      </c>
      <c r="J86" s="77">
        <v>8.5699999999999995E-3</v>
      </c>
      <c r="K86" s="22"/>
      <c r="L86" s="66">
        <f t="shared" ref="L86:L88" si="20">+H86*J86</f>
        <v>12446.330979999999</v>
      </c>
      <c r="M86" s="22"/>
      <c r="N86" s="23"/>
      <c r="O86" s="70">
        <v>1283037</v>
      </c>
      <c r="P86" s="66" t="s">
        <v>304</v>
      </c>
      <c r="Q86" s="77">
        <f>+Q85</f>
        <v>8.7413999999999999E-3</v>
      </c>
      <c r="R86" s="22"/>
      <c r="S86" s="66">
        <f t="shared" ref="S86:S88" si="21">+O86*Q86</f>
        <v>11215.5396318</v>
      </c>
      <c r="T86" s="66"/>
      <c r="U86" s="66">
        <f t="shared" si="18"/>
        <v>-1230.7913481999985</v>
      </c>
      <c r="V86" s="73">
        <f t="shared" si="19"/>
        <v>-9.8887885126769992E-2</v>
      </c>
    </row>
    <row r="87" spans="1:22">
      <c r="A87" s="69" t="s">
        <v>792</v>
      </c>
      <c r="B87" s="69" t="s">
        <v>793</v>
      </c>
      <c r="D87" s="22">
        <v>16</v>
      </c>
      <c r="E87" s="22" t="s">
        <v>543</v>
      </c>
      <c r="F87" s="22"/>
      <c r="G87" s="22"/>
      <c r="H87" s="70">
        <v>3797430</v>
      </c>
      <c r="I87" s="66" t="s">
        <v>304</v>
      </c>
      <c r="J87" s="77">
        <v>8.5699999999999995E-3</v>
      </c>
      <c r="K87" s="22"/>
      <c r="L87" s="66">
        <f t="shared" si="20"/>
        <v>32543.9751</v>
      </c>
      <c r="M87" s="22"/>
      <c r="N87" s="23"/>
      <c r="O87" s="70">
        <v>2177593</v>
      </c>
      <c r="P87" s="66" t="s">
        <v>304</v>
      </c>
      <c r="Q87" s="77">
        <f t="shared" ref="Q87:Q88" si="22">+Q86</f>
        <v>8.7413999999999999E-3</v>
      </c>
      <c r="R87" s="22"/>
      <c r="S87" s="66">
        <f t="shared" si="21"/>
        <v>19035.2114502</v>
      </c>
      <c r="T87" s="22"/>
      <c r="U87" s="66">
        <f t="shared" si="18"/>
        <v>-13508.763649799999</v>
      </c>
      <c r="V87" s="73">
        <f t="shared" si="19"/>
        <v>-0.4150926126353876</v>
      </c>
    </row>
    <row r="88" spans="1:22" ht="16.5">
      <c r="A88" s="69" t="s">
        <v>794</v>
      </c>
      <c r="B88" s="69" t="s">
        <v>795</v>
      </c>
      <c r="E88" s="22" t="s">
        <v>552</v>
      </c>
      <c r="F88" s="22"/>
      <c r="G88" s="22"/>
      <c r="H88" s="167">
        <v>0</v>
      </c>
      <c r="I88" s="66" t="s">
        <v>304</v>
      </c>
      <c r="J88" s="77">
        <v>0</v>
      </c>
      <c r="K88" s="22"/>
      <c r="L88" s="66">
        <f t="shared" si="20"/>
        <v>0</v>
      </c>
      <c r="M88" s="22"/>
      <c r="N88" s="23"/>
      <c r="O88" s="167">
        <v>1789114</v>
      </c>
      <c r="P88" s="66" t="s">
        <v>304</v>
      </c>
      <c r="Q88" s="77">
        <f t="shared" si="22"/>
        <v>8.7413999999999999E-3</v>
      </c>
      <c r="R88" s="22"/>
      <c r="S88" s="66">
        <f t="shared" si="21"/>
        <v>15639.3611196</v>
      </c>
    </row>
    <row r="89" spans="1:22">
      <c r="A89" s="69"/>
      <c r="B89" s="69"/>
      <c r="D89" s="22">
        <v>17</v>
      </c>
      <c r="E89" s="67" t="s">
        <v>521</v>
      </c>
      <c r="F89" s="65"/>
      <c r="G89" s="22"/>
      <c r="H89" s="70">
        <f>+SUM(H85:H87)</f>
        <v>5249744</v>
      </c>
      <c r="I89" s="66" t="s">
        <v>304</v>
      </c>
      <c r="J89" s="74"/>
      <c r="K89" s="66"/>
      <c r="L89" s="129">
        <f>+SUM(L85:L87)</f>
        <v>44990.306079999995</v>
      </c>
      <c r="M89" s="66"/>
      <c r="N89" s="72"/>
      <c r="O89" s="70">
        <f>+SUM(O85:O88)</f>
        <v>5249744</v>
      </c>
      <c r="P89" s="66" t="s">
        <v>304</v>
      </c>
      <c r="Q89" s="71"/>
      <c r="R89" s="22"/>
      <c r="S89" s="129">
        <f>+SUM(S85:S88)</f>
        <v>45890.112201600001</v>
      </c>
      <c r="T89" s="22"/>
      <c r="U89" s="66">
        <f>+S89-L89</f>
        <v>899.80612160000601</v>
      </c>
      <c r="V89" s="73">
        <f>+IF(U89=0,0,(S89-L89)/L89)</f>
        <v>2.0000000000000136E-2</v>
      </c>
    </row>
    <row r="90" spans="1:22">
      <c r="A90" s="69"/>
      <c r="B90" s="69"/>
      <c r="D90" s="22">
        <v>18</v>
      </c>
      <c r="E90" s="22"/>
      <c r="F90" s="22"/>
      <c r="G90" s="22"/>
      <c r="H90" s="22"/>
      <c r="I90" s="22"/>
      <c r="J90" s="22"/>
      <c r="K90" s="22"/>
      <c r="L90" s="22"/>
      <c r="M90" s="22"/>
      <c r="N90" s="23"/>
      <c r="O90" s="22"/>
      <c r="P90" s="22"/>
      <c r="Q90" s="22"/>
      <c r="R90" s="22"/>
      <c r="S90" s="22"/>
      <c r="T90" s="22"/>
      <c r="U90" s="22"/>
      <c r="V90" s="22"/>
    </row>
    <row r="91" spans="1:22">
      <c r="A91" s="69"/>
      <c r="B91" s="69"/>
      <c r="D91" s="22">
        <v>19</v>
      </c>
      <c r="E91" s="67" t="s">
        <v>586</v>
      </c>
      <c r="F91" s="22"/>
      <c r="G91" s="22"/>
      <c r="H91" s="22"/>
      <c r="I91" s="22"/>
      <c r="J91" s="22"/>
      <c r="K91" s="22"/>
      <c r="L91" s="22"/>
      <c r="M91" s="22"/>
      <c r="N91" s="23"/>
      <c r="O91" s="22"/>
      <c r="P91" s="22"/>
      <c r="Q91" s="22"/>
      <c r="R91" s="22"/>
      <c r="S91" s="22"/>
      <c r="T91" s="22"/>
      <c r="U91" s="22"/>
      <c r="V91" s="22"/>
    </row>
    <row r="92" spans="1:22">
      <c r="A92" s="69" t="s">
        <v>796</v>
      </c>
      <c r="B92" s="69" t="s">
        <v>797</v>
      </c>
      <c r="D92" s="22">
        <v>20</v>
      </c>
      <c r="E92" s="150" t="s">
        <v>86</v>
      </c>
      <c r="F92" s="22"/>
      <c r="G92" s="22"/>
      <c r="H92" s="22">
        <v>0</v>
      </c>
      <c r="I92" s="66" t="s">
        <v>413</v>
      </c>
      <c r="J92" s="74">
        <v>11.88</v>
      </c>
      <c r="K92" s="163"/>
      <c r="L92" s="66">
        <f>+H92*J92</f>
        <v>0</v>
      </c>
      <c r="M92" s="22"/>
      <c r="N92" s="23"/>
      <c r="O92" s="22">
        <v>0</v>
      </c>
      <c r="P92" s="66" t="s">
        <v>413</v>
      </c>
      <c r="Q92" s="71">
        <v>12.993523179683963</v>
      </c>
      <c r="R92" s="22"/>
      <c r="S92" s="66">
        <f>+O92*Q92</f>
        <v>0</v>
      </c>
      <c r="T92" s="22"/>
      <c r="U92" s="66">
        <f t="shared" ref="U92:U95" si="23">+S92-L92</f>
        <v>0</v>
      </c>
      <c r="V92" s="73">
        <f t="shared" ref="V92:V95" si="24">+IF(U92=0,0,(S92-L92)/L92)</f>
        <v>0</v>
      </c>
    </row>
    <row r="93" spans="1:22">
      <c r="A93" s="69" t="s">
        <v>798</v>
      </c>
      <c r="B93" s="69" t="s">
        <v>799</v>
      </c>
      <c r="D93" s="22">
        <v>21</v>
      </c>
      <c r="E93" s="22" t="s">
        <v>598</v>
      </c>
      <c r="F93" s="22"/>
      <c r="G93" s="22"/>
      <c r="H93" s="70">
        <v>30267</v>
      </c>
      <c r="I93" s="66" t="s">
        <v>413</v>
      </c>
      <c r="J93" s="74">
        <v>3.77</v>
      </c>
      <c r="K93" s="163"/>
      <c r="L93" s="66">
        <f t="shared" ref="L93:L94" si="25">+H93*J93</f>
        <v>114106.59</v>
      </c>
      <c r="M93" s="66"/>
      <c r="N93" s="72"/>
      <c r="O93" s="66">
        <v>30267</v>
      </c>
      <c r="P93" s="66" t="s">
        <v>413</v>
      </c>
      <c r="Q93" s="71">
        <v>2.9240744148140552</v>
      </c>
      <c r="R93" s="22"/>
      <c r="S93" s="66">
        <f t="shared" ref="S93:S94" si="26">+O93*Q93</f>
        <v>88502.960313177013</v>
      </c>
      <c r="T93" s="66"/>
      <c r="U93" s="66">
        <f t="shared" si="23"/>
        <v>-25603.629686822984</v>
      </c>
      <c r="V93" s="73">
        <f t="shared" si="24"/>
        <v>-0.22438344434640439</v>
      </c>
    </row>
    <row r="94" spans="1:22" ht="16.5">
      <c r="A94" s="69" t="s">
        <v>800</v>
      </c>
      <c r="B94" s="69" t="s">
        <v>801</v>
      </c>
      <c r="D94" s="22">
        <v>22</v>
      </c>
      <c r="E94" s="22" t="s">
        <v>607</v>
      </c>
      <c r="F94" s="22"/>
      <c r="G94" s="22"/>
      <c r="H94" s="167">
        <v>37120</v>
      </c>
      <c r="I94" s="66" t="s">
        <v>430</v>
      </c>
      <c r="J94" s="74">
        <v>8.08</v>
      </c>
      <c r="K94" s="163"/>
      <c r="L94" s="66">
        <f t="shared" si="25"/>
        <v>299929.59999999998</v>
      </c>
      <c r="M94" s="22"/>
      <c r="N94" s="23"/>
      <c r="O94" s="172">
        <v>37120</v>
      </c>
      <c r="P94" s="66" t="s">
        <v>430</v>
      </c>
      <c r="Q94" s="71">
        <v>10.064448764869908</v>
      </c>
      <c r="R94" s="22"/>
      <c r="S94" s="66">
        <f t="shared" si="26"/>
        <v>373592.33815197099</v>
      </c>
      <c r="T94" s="22"/>
      <c r="U94" s="66">
        <f t="shared" si="23"/>
        <v>73662.738151971018</v>
      </c>
      <c r="V94" s="73">
        <f t="shared" si="24"/>
        <v>0.24560009466211746</v>
      </c>
    </row>
    <row r="95" spans="1:22">
      <c r="A95" s="69"/>
      <c r="B95" s="69"/>
      <c r="D95" s="22">
        <v>23</v>
      </c>
      <c r="E95" s="22" t="s">
        <v>43</v>
      </c>
      <c r="F95" s="22"/>
      <c r="G95" s="22"/>
      <c r="H95" s="70">
        <f>+SUM(H92:H93)</f>
        <v>30267</v>
      </c>
      <c r="I95" s="66"/>
      <c r="J95" s="71"/>
      <c r="K95" s="163"/>
      <c r="L95" s="129">
        <f>+SUM(L92:L94)</f>
        <v>414036.18999999994</v>
      </c>
      <c r="M95" s="22"/>
      <c r="N95" s="23"/>
      <c r="O95" s="70">
        <f>+SUM(O92:O93)</f>
        <v>30267</v>
      </c>
      <c r="P95" s="66"/>
      <c r="Q95" s="71"/>
      <c r="R95" s="22"/>
      <c r="S95" s="129">
        <f>+SUM(S92:S94)</f>
        <v>462095.29846514802</v>
      </c>
      <c r="T95" s="22"/>
      <c r="U95" s="66">
        <f t="shared" si="23"/>
        <v>48059.108465148078</v>
      </c>
      <c r="V95" s="73">
        <f t="shared" si="24"/>
        <v>0.11607465633655861</v>
      </c>
    </row>
    <row r="96" spans="1:22">
      <c r="A96" s="69"/>
      <c r="B96" s="69"/>
      <c r="D96" s="22">
        <v>24</v>
      </c>
      <c r="E96" s="22"/>
      <c r="F96" s="22"/>
      <c r="G96" s="22"/>
      <c r="H96" s="66"/>
      <c r="I96" s="66"/>
      <c r="J96" s="71"/>
      <c r="K96" s="163"/>
      <c r="L96" s="66"/>
      <c r="M96" s="22"/>
      <c r="N96" s="23"/>
      <c r="O96" s="66"/>
      <c r="P96" s="66"/>
      <c r="Q96" s="71"/>
      <c r="R96" s="22"/>
      <c r="S96" s="66"/>
      <c r="T96" s="22"/>
      <c r="U96" s="22"/>
      <c r="V96" s="75"/>
    </row>
    <row r="97" spans="1:23">
      <c r="A97" s="69"/>
      <c r="B97" s="69"/>
      <c r="D97" s="22">
        <v>25</v>
      </c>
      <c r="E97" s="173" t="s">
        <v>611</v>
      </c>
      <c r="F97" s="22"/>
      <c r="G97" s="22"/>
      <c r="H97" s="22"/>
      <c r="I97" s="22"/>
      <c r="J97" s="22"/>
      <c r="K97" s="22"/>
      <c r="L97" s="70"/>
      <c r="M97" s="22"/>
      <c r="N97" s="23"/>
      <c r="O97" s="22"/>
      <c r="P97" s="22"/>
      <c r="Q97" s="22"/>
      <c r="R97" s="22"/>
      <c r="S97" s="70"/>
      <c r="T97" s="22"/>
      <c r="U97" s="22"/>
      <c r="V97" s="22"/>
    </row>
    <row r="98" spans="1:23">
      <c r="A98" s="69" t="s">
        <v>802</v>
      </c>
      <c r="B98" s="69" t="s">
        <v>803</v>
      </c>
      <c r="D98" s="22">
        <v>26</v>
      </c>
      <c r="E98" s="173" t="s">
        <v>804</v>
      </c>
      <c r="F98" s="22"/>
      <c r="G98" s="22"/>
      <c r="H98" s="22">
        <v>0</v>
      </c>
      <c r="I98" s="22" t="s">
        <v>413</v>
      </c>
      <c r="J98" s="74">
        <v>1.33</v>
      </c>
      <c r="K98" s="22"/>
      <c r="L98" s="70">
        <f>+H98*J98</f>
        <v>0</v>
      </c>
      <c r="M98" s="22"/>
      <c r="N98" s="23"/>
      <c r="O98" s="22">
        <v>0</v>
      </c>
      <c r="P98" s="22" t="s">
        <v>413</v>
      </c>
      <c r="Q98" s="71">
        <v>1.706400366718684</v>
      </c>
      <c r="R98" s="22"/>
      <c r="S98" s="70">
        <f>+O98*Q98</f>
        <v>0</v>
      </c>
      <c r="T98" s="22"/>
      <c r="U98" s="66">
        <f t="shared" ref="U98:U104" si="27">+S98-L98</f>
        <v>0</v>
      </c>
      <c r="V98" s="73">
        <f t="shared" ref="V98:V104" si="28">+IF(U98=0,0,(S98-L98)/L98)</f>
        <v>0</v>
      </c>
    </row>
    <row r="99" spans="1:23">
      <c r="A99" s="69" t="s">
        <v>805</v>
      </c>
      <c r="B99" s="69" t="s">
        <v>806</v>
      </c>
      <c r="D99" s="22">
        <v>27</v>
      </c>
      <c r="E99" s="173" t="s">
        <v>807</v>
      </c>
      <c r="F99" s="22"/>
      <c r="G99" s="22"/>
      <c r="H99" s="22">
        <v>0</v>
      </c>
      <c r="I99" s="22" t="s">
        <v>624</v>
      </c>
      <c r="J99" s="74">
        <v>1.43</v>
      </c>
      <c r="K99" s="22" t="s">
        <v>654</v>
      </c>
      <c r="L99" s="70">
        <f t="shared" ref="L99:L103" si="29">+H99*J99</f>
        <v>0</v>
      </c>
      <c r="M99" s="22"/>
      <c r="N99" s="23"/>
      <c r="O99" s="22">
        <v>0</v>
      </c>
      <c r="P99" s="22" t="s">
        <v>624</v>
      </c>
      <c r="Q99" s="71">
        <v>1.5572974220539444</v>
      </c>
      <c r="R99" s="22"/>
      <c r="S99" s="70">
        <f t="shared" ref="S99:S103" si="30">+O99*Q99</f>
        <v>0</v>
      </c>
      <c r="T99" s="22"/>
      <c r="U99" s="66">
        <f t="shared" si="27"/>
        <v>0</v>
      </c>
      <c r="V99" s="73">
        <f t="shared" si="28"/>
        <v>0</v>
      </c>
    </row>
    <row r="100" spans="1:23">
      <c r="A100" s="69" t="s">
        <v>808</v>
      </c>
      <c r="B100" s="69" t="s">
        <v>809</v>
      </c>
      <c r="D100" s="22">
        <v>28</v>
      </c>
      <c r="E100" s="173" t="s">
        <v>810</v>
      </c>
      <c r="F100" s="22"/>
      <c r="G100" s="22"/>
      <c r="H100" s="22">
        <v>0</v>
      </c>
      <c r="I100" s="22" t="s">
        <v>624</v>
      </c>
      <c r="J100" s="74">
        <v>0.56000000000000005</v>
      </c>
      <c r="K100" s="22" t="s">
        <v>664</v>
      </c>
      <c r="L100" s="70">
        <f t="shared" si="29"/>
        <v>0</v>
      </c>
      <c r="M100" s="22"/>
      <c r="N100" s="23"/>
      <c r="O100" s="22">
        <v>0</v>
      </c>
      <c r="P100" s="22" t="s">
        <v>624</v>
      </c>
      <c r="Q100" s="71">
        <v>0.62126226943641405</v>
      </c>
      <c r="R100" s="22"/>
      <c r="S100" s="70">
        <f t="shared" si="30"/>
        <v>0</v>
      </c>
      <c r="T100" s="22"/>
      <c r="U100" s="66">
        <f t="shared" si="27"/>
        <v>0</v>
      </c>
      <c r="V100" s="73">
        <f t="shared" si="28"/>
        <v>0</v>
      </c>
    </row>
    <row r="101" spans="1:23">
      <c r="A101" s="69" t="s">
        <v>811</v>
      </c>
      <c r="B101" s="69" t="s">
        <v>812</v>
      </c>
      <c r="D101" s="22">
        <v>29</v>
      </c>
      <c r="E101" s="150" t="s">
        <v>647</v>
      </c>
      <c r="F101" s="22"/>
      <c r="G101" s="22"/>
      <c r="H101" s="70">
        <v>86588.24</v>
      </c>
      <c r="I101" s="66" t="s">
        <v>413</v>
      </c>
      <c r="J101" s="74">
        <v>1.33</v>
      </c>
      <c r="K101" s="163"/>
      <c r="L101" s="66">
        <f t="shared" si="29"/>
        <v>115162.35920000001</v>
      </c>
      <c r="M101" s="22"/>
      <c r="N101" s="23"/>
      <c r="O101" s="70">
        <v>86588.24</v>
      </c>
      <c r="P101" s="66" t="s">
        <v>413</v>
      </c>
      <c r="Q101" s="71">
        <v>1.706400366718684</v>
      </c>
      <c r="R101" s="163"/>
      <c r="S101" s="66">
        <f t="shared" si="30"/>
        <v>147754.20448952544</v>
      </c>
      <c r="T101" s="66"/>
      <c r="U101" s="66">
        <f t="shared" si="27"/>
        <v>32591.84528952543</v>
      </c>
      <c r="V101" s="73">
        <f t="shared" si="28"/>
        <v>0.28300779452532637</v>
      </c>
    </row>
    <row r="102" spans="1:23">
      <c r="A102" s="69" t="s">
        <v>813</v>
      </c>
      <c r="B102" s="69" t="s">
        <v>814</v>
      </c>
      <c r="D102" s="22">
        <v>30</v>
      </c>
      <c r="E102" s="150" t="s">
        <v>657</v>
      </c>
      <c r="F102" s="65"/>
      <c r="G102" s="22"/>
      <c r="H102" s="70">
        <v>38043.1</v>
      </c>
      <c r="I102" s="66" t="s">
        <v>624</v>
      </c>
      <c r="J102" s="74">
        <v>1.43</v>
      </c>
      <c r="K102" s="163" t="s">
        <v>654</v>
      </c>
      <c r="L102" s="66">
        <f t="shared" si="29"/>
        <v>54401.632999999994</v>
      </c>
      <c r="M102" s="66"/>
      <c r="N102" s="72"/>
      <c r="O102" s="70">
        <v>38043.1</v>
      </c>
      <c r="P102" s="66" t="s">
        <v>624</v>
      </c>
      <c r="Q102" s="71">
        <v>1.5572974220539444</v>
      </c>
      <c r="R102" s="163" t="s">
        <v>625</v>
      </c>
      <c r="S102" s="66">
        <f t="shared" si="30"/>
        <v>59244.421556940411</v>
      </c>
      <c r="T102" s="66"/>
      <c r="U102" s="66">
        <f t="shared" si="27"/>
        <v>4842.788556940417</v>
      </c>
      <c r="V102" s="73">
        <f t="shared" si="28"/>
        <v>8.9019176261499675E-2</v>
      </c>
    </row>
    <row r="103" spans="1:23">
      <c r="A103" s="69" t="s">
        <v>815</v>
      </c>
      <c r="B103" s="69" t="s">
        <v>816</v>
      </c>
      <c r="D103" s="22">
        <v>31</v>
      </c>
      <c r="E103" s="150" t="s">
        <v>667</v>
      </c>
      <c r="F103" s="22"/>
      <c r="G103" s="22"/>
      <c r="H103" s="157">
        <v>171208.81</v>
      </c>
      <c r="I103" s="66" t="s">
        <v>624</v>
      </c>
      <c r="J103" s="74">
        <v>0.56000000000000005</v>
      </c>
      <c r="K103" s="163" t="s">
        <v>664</v>
      </c>
      <c r="L103" s="66">
        <f t="shared" si="29"/>
        <v>95876.933600000004</v>
      </c>
      <c r="M103" s="22"/>
      <c r="N103" s="23"/>
      <c r="O103" s="157">
        <v>171208.81</v>
      </c>
      <c r="P103" s="66" t="s">
        <v>624</v>
      </c>
      <c r="Q103" s="71">
        <v>0.62126226943641405</v>
      </c>
      <c r="R103" s="163" t="s">
        <v>635</v>
      </c>
      <c r="S103" s="66">
        <f t="shared" si="30"/>
        <v>106365.57384810782</v>
      </c>
      <c r="T103" s="22"/>
      <c r="U103" s="66">
        <f t="shared" si="27"/>
        <v>10488.640248107811</v>
      </c>
      <c r="V103" s="73">
        <f t="shared" si="28"/>
        <v>0.10939690970788213</v>
      </c>
    </row>
    <row r="104" spans="1:23">
      <c r="A104" s="69"/>
      <c r="B104" s="69"/>
      <c r="D104" s="22">
        <v>32</v>
      </c>
      <c r="E104" s="67" t="s">
        <v>521</v>
      </c>
      <c r="F104" s="65"/>
      <c r="G104" s="22"/>
      <c r="H104" s="66">
        <f>+SUM(H98,H101)</f>
        <v>86588.24</v>
      </c>
      <c r="I104" s="66" t="s">
        <v>413</v>
      </c>
      <c r="J104" s="71"/>
      <c r="K104" s="66"/>
      <c r="L104" s="129">
        <f>+SUM(L98:L103)</f>
        <v>265440.92580000003</v>
      </c>
      <c r="M104" s="66"/>
      <c r="N104" s="72"/>
      <c r="O104" s="66">
        <f>+SUM(O98,O101)</f>
        <v>86588.24</v>
      </c>
      <c r="P104" s="66" t="s">
        <v>413</v>
      </c>
      <c r="Q104" s="71"/>
      <c r="R104" s="66"/>
      <c r="S104" s="129">
        <f>+SUM(S98:S103)</f>
        <v>313364.19989457366</v>
      </c>
      <c r="T104" s="22"/>
      <c r="U104" s="66">
        <f t="shared" si="27"/>
        <v>47923.27409457363</v>
      </c>
      <c r="V104" s="73">
        <f t="shared" si="28"/>
        <v>0.18054214492411036</v>
      </c>
    </row>
    <row r="105" spans="1:23">
      <c r="A105" s="69"/>
      <c r="B105" s="69"/>
      <c r="D105" s="22">
        <v>34</v>
      </c>
      <c r="E105" s="22"/>
      <c r="F105" s="22"/>
      <c r="G105" s="22"/>
      <c r="H105" s="22"/>
      <c r="I105" s="22"/>
      <c r="J105" s="22"/>
      <c r="K105" s="22"/>
      <c r="L105" s="70"/>
      <c r="M105" s="22"/>
      <c r="N105" s="23"/>
      <c r="O105" s="22"/>
      <c r="P105" s="22"/>
      <c r="Q105" s="22"/>
      <c r="R105" s="22"/>
      <c r="S105" s="70"/>
      <c r="T105" s="22"/>
      <c r="U105" s="22"/>
      <c r="V105" s="22"/>
    </row>
    <row r="106" spans="1:23">
      <c r="A106" s="69"/>
      <c r="B106" s="69"/>
      <c r="D106" s="22">
        <v>35</v>
      </c>
      <c r="E106" s="67" t="s">
        <v>672</v>
      </c>
      <c r="F106" s="22"/>
      <c r="G106" s="22"/>
      <c r="H106" s="22"/>
      <c r="I106" s="22"/>
      <c r="J106" s="22"/>
      <c r="K106" s="22"/>
      <c r="L106" s="70"/>
      <c r="M106" s="22"/>
      <c r="N106" s="23"/>
      <c r="O106" s="22"/>
      <c r="P106" s="22"/>
      <c r="Q106" s="22"/>
      <c r="R106" s="22"/>
      <c r="S106" s="70"/>
      <c r="T106" s="22"/>
      <c r="U106" s="22"/>
      <c r="V106" s="22"/>
    </row>
    <row r="107" spans="1:23">
      <c r="A107" s="69" t="s">
        <v>817</v>
      </c>
      <c r="B107" s="69" t="s">
        <v>818</v>
      </c>
      <c r="D107" s="22">
        <v>36</v>
      </c>
      <c r="E107" s="150" t="s">
        <v>86</v>
      </c>
      <c r="F107" s="22"/>
      <c r="G107" s="22"/>
      <c r="H107" s="22">
        <v>0</v>
      </c>
      <c r="I107" s="22" t="s">
        <v>675</v>
      </c>
      <c r="J107" s="77">
        <v>2.0300000000000001E-3</v>
      </c>
      <c r="K107" s="22"/>
      <c r="L107" s="70">
        <f>+H107*J107</f>
        <v>0</v>
      </c>
      <c r="M107" s="22"/>
      <c r="N107" s="23"/>
      <c r="O107" s="22">
        <v>0</v>
      </c>
      <c r="P107" s="22" t="s">
        <v>675</v>
      </c>
      <c r="Q107" s="76">
        <v>2.0300000000000001E-3</v>
      </c>
      <c r="R107" s="22"/>
      <c r="S107" s="70">
        <f>+O107*Q107</f>
        <v>0</v>
      </c>
      <c r="T107" s="22"/>
      <c r="U107" s="66">
        <f t="shared" ref="U107:U109" si="31">+S107-L107</f>
        <v>0</v>
      </c>
      <c r="V107" s="73">
        <f t="shared" ref="V107:V109" si="32">+IF(U107=0,0,(S107-L107)/L107)</f>
        <v>0</v>
      </c>
    </row>
    <row r="108" spans="1:23" ht="16.5">
      <c r="A108" s="69" t="s">
        <v>819</v>
      </c>
      <c r="B108" s="69" t="s">
        <v>820</v>
      </c>
      <c r="D108" s="22">
        <v>37</v>
      </c>
      <c r="E108" s="22" t="s">
        <v>517</v>
      </c>
      <c r="F108" s="22"/>
      <c r="G108" s="22"/>
      <c r="H108" s="167">
        <v>13506304</v>
      </c>
      <c r="I108" s="22" t="s">
        <v>675</v>
      </c>
      <c r="J108" s="77">
        <v>2.0300000000000001E-3</v>
      </c>
      <c r="K108" s="22"/>
      <c r="L108" s="157">
        <f>+H108*J108</f>
        <v>27417.797120000003</v>
      </c>
      <c r="M108" s="22"/>
      <c r="N108" s="23"/>
      <c r="O108" s="167">
        <v>13506304</v>
      </c>
      <c r="P108" s="22" t="s">
        <v>675</v>
      </c>
      <c r="Q108" s="76">
        <v>2.0300000000000001E-3</v>
      </c>
      <c r="R108" s="22"/>
      <c r="S108" s="157">
        <f>+O108*Q108</f>
        <v>27417.797120000003</v>
      </c>
      <c r="T108" s="22"/>
      <c r="U108" s="66">
        <f t="shared" si="31"/>
        <v>0</v>
      </c>
      <c r="V108" s="73">
        <f t="shared" si="32"/>
        <v>0</v>
      </c>
    </row>
    <row r="109" spans="1:23" ht="15.75" thickBot="1">
      <c r="A109" s="69"/>
      <c r="D109" s="24">
        <v>38</v>
      </c>
      <c r="E109" s="24"/>
      <c r="F109" s="184" t="s">
        <v>43</v>
      </c>
      <c r="G109" s="24"/>
      <c r="H109" s="139">
        <f>+SUM(H107:H108)</f>
        <v>13506304</v>
      </c>
      <c r="I109" s="139"/>
      <c r="J109" s="139"/>
      <c r="K109" s="139"/>
      <c r="L109" s="139">
        <f>+SUM(L107:L108)</f>
        <v>27417.797120000003</v>
      </c>
      <c r="M109" s="139"/>
      <c r="N109" s="139"/>
      <c r="O109" s="195">
        <f>+SUM(O107:O108)</f>
        <v>13506304</v>
      </c>
      <c r="P109" s="139"/>
      <c r="Q109" s="139"/>
      <c r="R109" s="139"/>
      <c r="S109" s="139">
        <f>+SUM(S107:S108)</f>
        <v>27417.797120000003</v>
      </c>
      <c r="T109" s="24"/>
      <c r="U109" s="114">
        <f t="shared" si="31"/>
        <v>0</v>
      </c>
      <c r="V109" s="186">
        <f t="shared" si="32"/>
        <v>0</v>
      </c>
      <c r="W109" s="24"/>
    </row>
    <row r="110" spans="1:23">
      <c r="A110" s="69"/>
      <c r="B110" s="69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3"/>
      <c r="O110" s="22"/>
      <c r="P110" s="22"/>
      <c r="Q110" s="22"/>
      <c r="R110" s="22"/>
      <c r="S110" s="22"/>
      <c r="T110" s="22"/>
      <c r="U110" s="22"/>
      <c r="V110" s="22"/>
    </row>
    <row r="111" spans="1:23">
      <c r="A111" s="69"/>
      <c r="B111" s="69"/>
      <c r="D111" s="22"/>
      <c r="E111" s="22"/>
      <c r="F111" s="22"/>
      <c r="G111" s="22"/>
      <c r="H111" s="22"/>
      <c r="I111" s="22"/>
      <c r="J111" s="22"/>
      <c r="K111" s="330"/>
      <c r="L111" s="330"/>
      <c r="M111" s="330"/>
      <c r="N111" s="330"/>
      <c r="O111" s="330"/>
      <c r="P111" s="22"/>
      <c r="Q111" s="22"/>
      <c r="R111" s="22"/>
      <c r="S111" s="22"/>
      <c r="T111" s="22"/>
      <c r="U111" s="22"/>
      <c r="V111" s="22"/>
    </row>
    <row r="112" spans="1:23" ht="15.75" thickBot="1">
      <c r="A112" s="69"/>
      <c r="B112" s="69"/>
      <c r="D112" s="24"/>
      <c r="E112" s="24"/>
      <c r="F112" s="24"/>
      <c r="G112" s="24"/>
      <c r="H112" s="24"/>
      <c r="I112" s="24"/>
      <c r="J112" s="24"/>
      <c r="K112" s="331" t="s">
        <v>274</v>
      </c>
      <c r="L112" s="331"/>
      <c r="M112" s="331"/>
      <c r="N112" s="331"/>
      <c r="O112" s="331"/>
      <c r="P112" s="24"/>
      <c r="Q112" s="24"/>
      <c r="R112" s="24"/>
      <c r="S112" s="24"/>
      <c r="T112" s="24"/>
      <c r="U112" s="24"/>
      <c r="V112" s="26"/>
    </row>
    <row r="113" spans="1:22">
      <c r="A113" s="69"/>
      <c r="B113" s="69"/>
      <c r="D113" s="22"/>
      <c r="E113" s="22"/>
      <c r="F113" s="22"/>
      <c r="G113" s="22"/>
      <c r="H113" s="22"/>
      <c r="I113" s="22"/>
      <c r="K113" s="22"/>
      <c r="L113" s="22"/>
      <c r="M113" s="22"/>
      <c r="N113" s="29"/>
      <c r="O113" s="30"/>
      <c r="P113" s="22"/>
      <c r="Q113" s="30"/>
      <c r="R113" s="30"/>
      <c r="S113" s="30"/>
      <c r="T113" s="22"/>
      <c r="U113" s="22"/>
      <c r="V113" s="31"/>
    </row>
    <row r="114" spans="1:22">
      <c r="A114" s="69"/>
      <c r="B114" s="69"/>
      <c r="D114" s="22"/>
      <c r="E114" s="22"/>
      <c r="F114" s="22"/>
      <c r="G114" s="22"/>
      <c r="H114" s="22"/>
      <c r="I114" s="22"/>
      <c r="K114" s="22"/>
      <c r="L114" s="22"/>
      <c r="M114" s="22"/>
      <c r="N114" s="23"/>
      <c r="O114" s="31"/>
      <c r="P114" s="22"/>
      <c r="Q114" s="22"/>
      <c r="R114" s="32"/>
      <c r="S114" s="32"/>
      <c r="T114" s="31"/>
      <c r="U114" s="22"/>
      <c r="V114" s="32"/>
    </row>
    <row r="115" spans="1:22">
      <c r="A115" s="69"/>
      <c r="B115" s="69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3"/>
      <c r="O115" s="31"/>
      <c r="P115" s="32"/>
      <c r="Q115" s="22"/>
      <c r="R115" s="22"/>
      <c r="S115" s="32"/>
      <c r="T115" s="31"/>
      <c r="U115" s="22"/>
      <c r="V115" s="32"/>
    </row>
    <row r="116" spans="1:22">
      <c r="A116" s="69"/>
      <c r="B116" s="69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3"/>
      <c r="O116" s="31"/>
      <c r="P116" s="32"/>
      <c r="Q116" s="22"/>
      <c r="R116" s="22"/>
      <c r="S116" s="32"/>
      <c r="T116" s="31"/>
      <c r="U116" s="22"/>
      <c r="V116" s="32"/>
    </row>
    <row r="117" spans="1:22">
      <c r="A117" s="69"/>
      <c r="B117" s="69"/>
      <c r="D117" s="22"/>
      <c r="E117" s="22"/>
      <c r="F117" s="32"/>
      <c r="G117" s="22"/>
      <c r="H117" s="22"/>
      <c r="I117" s="22"/>
      <c r="J117" s="22"/>
      <c r="K117" s="36"/>
      <c r="L117" s="36"/>
      <c r="M117" s="36"/>
      <c r="N117" s="23"/>
      <c r="O117" s="22"/>
      <c r="P117" s="22"/>
      <c r="Q117" s="22"/>
      <c r="R117" s="22"/>
      <c r="S117" s="22"/>
      <c r="T117" s="22"/>
      <c r="U117" s="22"/>
      <c r="V117" s="22"/>
    </row>
    <row r="118" spans="1:22" ht="15.75" thickBot="1">
      <c r="A118" s="69"/>
      <c r="B118" s="69"/>
      <c r="D118" s="24"/>
      <c r="E118" s="24"/>
      <c r="F118" s="26"/>
      <c r="G118" s="37"/>
      <c r="H118" s="37"/>
      <c r="I118" s="38"/>
      <c r="J118" s="38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</row>
    <row r="119" spans="1:22">
      <c r="A119" s="69"/>
      <c r="B119" s="69"/>
      <c r="D119" s="22"/>
      <c r="E119" s="22"/>
      <c r="F119" s="22"/>
      <c r="G119" s="22"/>
      <c r="H119" s="36"/>
      <c r="I119" s="22"/>
      <c r="J119" s="36"/>
      <c r="K119" s="39"/>
      <c r="L119" s="36"/>
      <c r="M119" s="22"/>
      <c r="N119" s="36"/>
      <c r="O119" s="22"/>
      <c r="P119" s="39"/>
      <c r="Q119" s="22"/>
      <c r="R119" s="22"/>
      <c r="S119" s="22"/>
      <c r="T119" s="22"/>
      <c r="U119" s="22"/>
      <c r="V119" s="22"/>
    </row>
    <row r="120" spans="1:22">
      <c r="A120" s="69"/>
      <c r="B120" s="69"/>
      <c r="D120" s="22"/>
      <c r="E120" s="22"/>
      <c r="F120" s="22"/>
      <c r="G120" s="22"/>
      <c r="H120" s="39"/>
      <c r="I120" s="22"/>
      <c r="J120" s="22"/>
      <c r="K120" s="39"/>
      <c r="L120" s="22"/>
      <c r="M120" s="22"/>
      <c r="N120" s="36"/>
      <c r="O120" s="22"/>
      <c r="P120" s="39"/>
      <c r="Q120" s="22"/>
      <c r="R120" s="22"/>
      <c r="S120" s="22"/>
      <c r="T120" s="22"/>
      <c r="U120" s="22"/>
      <c r="V120" s="22"/>
    </row>
    <row r="121" spans="1:22">
      <c r="A121" s="69"/>
      <c r="B121" s="69"/>
      <c r="D121" s="22"/>
      <c r="E121" s="22"/>
      <c r="F121" s="22"/>
      <c r="G121" s="22"/>
      <c r="H121" s="22"/>
      <c r="I121" s="39"/>
      <c r="J121" s="39"/>
      <c r="K121" s="42"/>
      <c r="L121" s="42" t="s">
        <v>278</v>
      </c>
      <c r="M121" s="36"/>
      <c r="N121" s="44" t="s">
        <v>774</v>
      </c>
      <c r="O121" s="39"/>
      <c r="P121" s="22"/>
      <c r="Q121" s="39"/>
      <c r="R121" s="39"/>
      <c r="S121" s="39"/>
      <c r="T121" s="39"/>
      <c r="U121" s="39"/>
      <c r="V121" s="22"/>
    </row>
    <row r="122" spans="1:22">
      <c r="A122" s="69"/>
      <c r="B122" s="69"/>
      <c r="D122" s="22"/>
      <c r="E122" s="22"/>
      <c r="F122" s="22"/>
      <c r="G122" s="22"/>
      <c r="H122" s="22"/>
      <c r="I122" s="39"/>
      <c r="J122" s="39"/>
      <c r="K122" s="39"/>
      <c r="L122" s="39"/>
      <c r="M122" s="39"/>
      <c r="N122" s="36"/>
      <c r="O122" s="39"/>
      <c r="P122" s="39"/>
      <c r="Q122" s="39"/>
      <c r="R122" s="39"/>
      <c r="S122" s="39"/>
      <c r="T122" s="39"/>
      <c r="U122" s="39"/>
      <c r="V122" s="39"/>
    </row>
    <row r="123" spans="1:22">
      <c r="A123" s="69"/>
      <c r="B123" s="69"/>
      <c r="D123" s="23" t="s">
        <v>55</v>
      </c>
      <c r="E123" s="171" t="s">
        <v>280</v>
      </c>
      <c r="F123" s="48"/>
      <c r="G123" s="49"/>
      <c r="H123" s="50"/>
      <c r="I123" s="50"/>
      <c r="J123" s="51" t="s">
        <v>281</v>
      </c>
      <c r="K123" s="50"/>
      <c r="L123" s="50"/>
      <c r="M123" s="48"/>
      <c r="N123" s="53"/>
      <c r="O123" s="50"/>
      <c r="P123" s="51"/>
      <c r="Q123" s="51" t="s">
        <v>282</v>
      </c>
      <c r="R123" s="50"/>
      <c r="S123" s="50"/>
      <c r="T123" s="48"/>
      <c r="U123" s="55" t="s">
        <v>283</v>
      </c>
      <c r="V123" s="55" t="s">
        <v>284</v>
      </c>
    </row>
    <row r="124" spans="1:22" ht="15.75" thickBot="1">
      <c r="A124" s="69"/>
      <c r="B124" s="69"/>
      <c r="D124" s="25" t="s">
        <v>60</v>
      </c>
      <c r="E124" s="57" t="s">
        <v>287</v>
      </c>
      <c r="F124" s="58"/>
      <c r="G124" s="24"/>
      <c r="H124" s="25" t="s">
        <v>288</v>
      </c>
      <c r="I124" s="60"/>
      <c r="J124" s="60" t="s">
        <v>289</v>
      </c>
      <c r="K124" s="60"/>
      <c r="L124" s="60" t="s">
        <v>290</v>
      </c>
      <c r="M124" s="60"/>
      <c r="N124" s="60"/>
      <c r="O124" s="60" t="s">
        <v>288</v>
      </c>
      <c r="P124" s="60"/>
      <c r="Q124" s="60" t="s">
        <v>289</v>
      </c>
      <c r="R124" s="60"/>
      <c r="S124" s="60" t="s">
        <v>290</v>
      </c>
      <c r="T124" s="58"/>
      <c r="U124" s="62" t="s">
        <v>291</v>
      </c>
      <c r="V124" s="62" t="s">
        <v>59</v>
      </c>
    </row>
    <row r="125" spans="1:22">
      <c r="A125" s="69"/>
      <c r="B125" s="69"/>
      <c r="D125" s="22">
        <v>1</v>
      </c>
      <c r="E125" s="332" t="s">
        <v>165</v>
      </c>
      <c r="F125" s="332"/>
      <c r="G125" s="332"/>
      <c r="H125" s="22"/>
      <c r="I125" s="65"/>
      <c r="J125" s="65"/>
      <c r="K125" s="65"/>
      <c r="L125" s="65"/>
      <c r="M125" s="67"/>
      <c r="N125" s="53"/>
      <c r="O125" s="67"/>
      <c r="P125" s="65"/>
      <c r="Q125" s="65"/>
      <c r="R125" s="65"/>
      <c r="S125" s="65"/>
      <c r="T125" s="65"/>
      <c r="U125" s="65"/>
      <c r="V125" s="65"/>
    </row>
    <row r="126" spans="1:22">
      <c r="A126" s="69"/>
      <c r="B126" s="69"/>
      <c r="D126" s="22">
        <v>2</v>
      </c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</row>
    <row r="127" spans="1:22">
      <c r="A127" s="69"/>
      <c r="B127" s="69"/>
      <c r="D127" s="22">
        <v>3</v>
      </c>
      <c r="E127" s="67" t="s">
        <v>686</v>
      </c>
      <c r="F127" s="22"/>
      <c r="G127" s="22"/>
      <c r="H127" s="22"/>
      <c r="I127" s="22"/>
      <c r="J127" s="22"/>
      <c r="K127" s="22"/>
      <c r="L127" s="70"/>
      <c r="M127" s="22"/>
      <c r="N127" s="23"/>
      <c r="O127" s="22"/>
      <c r="P127" s="22"/>
      <c r="Q127" s="22"/>
      <c r="R127" s="22"/>
      <c r="S127" s="70"/>
      <c r="T127" s="22"/>
      <c r="U127" s="22"/>
      <c r="V127" s="22"/>
    </row>
    <row r="128" spans="1:22">
      <c r="A128" s="69" t="s">
        <v>821</v>
      </c>
      <c r="B128" s="69" t="s">
        <v>822</v>
      </c>
      <c r="D128" s="22">
        <v>4</v>
      </c>
      <c r="E128" s="150" t="s">
        <v>86</v>
      </c>
      <c r="F128" s="22"/>
      <c r="G128" s="22"/>
      <c r="H128" s="22">
        <v>0</v>
      </c>
      <c r="I128" s="22" t="s">
        <v>675</v>
      </c>
      <c r="J128" s="77">
        <v>-1.0200000000000001E-3</v>
      </c>
      <c r="K128" s="22"/>
      <c r="L128" s="70">
        <f>+H128*J128</f>
        <v>0</v>
      </c>
      <c r="M128" s="22"/>
      <c r="N128" s="23"/>
      <c r="O128" s="22">
        <v>0</v>
      </c>
      <c r="P128" s="22" t="s">
        <v>675</v>
      </c>
      <c r="Q128" s="76">
        <v>-1.0200000000000001E-3</v>
      </c>
      <c r="R128" s="22"/>
      <c r="S128" s="70">
        <f>+O128*Q128</f>
        <v>0</v>
      </c>
      <c r="T128" s="22"/>
      <c r="U128" s="66">
        <f t="shared" ref="U128:U130" si="33">+S128-L128</f>
        <v>0</v>
      </c>
      <c r="V128" s="73">
        <f t="shared" ref="V128:V130" si="34">+IF(U128=0,0,(S128-L128)/L128)</f>
        <v>0</v>
      </c>
    </row>
    <row r="129" spans="1:22">
      <c r="A129" s="69" t="s">
        <v>823</v>
      </c>
      <c r="B129" s="69" t="s">
        <v>824</v>
      </c>
      <c r="D129" s="22">
        <v>5</v>
      </c>
      <c r="E129" s="22" t="s">
        <v>517</v>
      </c>
      <c r="F129" s="22"/>
      <c r="G129" s="22"/>
      <c r="H129" s="185">
        <v>0</v>
      </c>
      <c r="I129" s="22" t="s">
        <v>675</v>
      </c>
      <c r="J129" s="77">
        <v>-1.0200000000000001E-3</v>
      </c>
      <c r="K129" s="22"/>
      <c r="L129" s="70">
        <f>+H129*J129</f>
        <v>0</v>
      </c>
      <c r="M129" s="22"/>
      <c r="N129" s="23"/>
      <c r="O129" s="185">
        <v>0</v>
      </c>
      <c r="P129" s="22" t="s">
        <v>675</v>
      </c>
      <c r="Q129" s="76">
        <v>-1.0200000000000001E-3</v>
      </c>
      <c r="R129" s="22"/>
      <c r="S129" s="70">
        <f>+O129*Q129</f>
        <v>0</v>
      </c>
      <c r="T129" s="22"/>
      <c r="U129" s="66">
        <f t="shared" si="33"/>
        <v>0</v>
      </c>
      <c r="V129" s="73">
        <f t="shared" si="34"/>
        <v>0</v>
      </c>
    </row>
    <row r="130" spans="1:22">
      <c r="A130" s="69"/>
      <c r="B130" s="69"/>
      <c r="D130" s="22">
        <v>6</v>
      </c>
      <c r="E130" s="67" t="s">
        <v>521</v>
      </c>
      <c r="F130" s="67"/>
      <c r="G130" s="22"/>
      <c r="H130" s="22">
        <f>+SUM(H128:H129)</f>
        <v>0</v>
      </c>
      <c r="I130" s="22" t="s">
        <v>675</v>
      </c>
      <c r="J130" s="22"/>
      <c r="K130" s="22"/>
      <c r="L130" s="129">
        <f>+SUM(L128:L129)</f>
        <v>0</v>
      </c>
      <c r="M130" s="22"/>
      <c r="N130" s="23"/>
      <c r="O130" s="22">
        <f>+SUM(O128:O129)</f>
        <v>0</v>
      </c>
      <c r="P130" s="22" t="s">
        <v>675</v>
      </c>
      <c r="Q130" s="22"/>
      <c r="R130" s="22"/>
      <c r="S130" s="129">
        <f>+SUM(S128:S129)</f>
        <v>0</v>
      </c>
      <c r="T130" s="22"/>
      <c r="U130" s="66">
        <f t="shared" si="33"/>
        <v>0</v>
      </c>
      <c r="V130" s="73">
        <f t="shared" si="34"/>
        <v>0</v>
      </c>
    </row>
    <row r="131" spans="1:22">
      <c r="A131" s="69"/>
      <c r="B131" s="69"/>
      <c r="D131" s="22">
        <v>7</v>
      </c>
      <c r="E131" s="22"/>
      <c r="F131" s="22"/>
      <c r="G131" s="22"/>
      <c r="H131" s="22"/>
      <c r="I131" s="22"/>
      <c r="J131" s="22"/>
      <c r="K131" s="22"/>
      <c r="L131" s="70"/>
      <c r="M131" s="22"/>
      <c r="N131" s="23"/>
      <c r="O131" s="22"/>
      <c r="P131" s="22"/>
      <c r="Q131" s="22"/>
      <c r="R131" s="22"/>
      <c r="S131" s="70"/>
      <c r="T131" s="22"/>
      <c r="U131" s="22"/>
      <c r="V131" s="22"/>
    </row>
    <row r="132" spans="1:22">
      <c r="A132" s="69"/>
      <c r="B132" s="69"/>
      <c r="D132" s="22">
        <v>8</v>
      </c>
      <c r="E132" s="67" t="s">
        <v>720</v>
      </c>
      <c r="F132" s="22"/>
      <c r="G132" s="22"/>
      <c r="H132" s="41"/>
      <c r="I132" s="66"/>
      <c r="J132" s="66"/>
      <c r="K132" s="66"/>
      <c r="L132" s="66"/>
      <c r="M132" s="66"/>
      <c r="N132" s="72"/>
      <c r="O132" s="41"/>
      <c r="P132" s="66"/>
      <c r="Q132" s="66"/>
      <c r="R132" s="66"/>
      <c r="S132" s="66"/>
      <c r="T132" s="22"/>
      <c r="U132" s="22"/>
      <c r="V132" s="75"/>
    </row>
    <row r="133" spans="1:22">
      <c r="A133" s="69" t="s">
        <v>825</v>
      </c>
      <c r="B133" s="69" t="s">
        <v>826</v>
      </c>
      <c r="D133" s="22">
        <v>9</v>
      </c>
      <c r="E133" s="150" t="s">
        <v>86</v>
      </c>
      <c r="F133" s="67"/>
      <c r="G133" s="22"/>
      <c r="H133" s="22">
        <v>0</v>
      </c>
      <c r="I133" s="66" t="s">
        <v>413</v>
      </c>
      <c r="J133" s="74">
        <v>0.68</v>
      </c>
      <c r="K133" s="66"/>
      <c r="L133" s="66">
        <f>+H133*J133</f>
        <v>0</v>
      </c>
      <c r="M133" s="66"/>
      <c r="N133" s="72"/>
      <c r="O133" s="22">
        <v>0</v>
      </c>
      <c r="P133" s="66" t="s">
        <v>413</v>
      </c>
      <c r="Q133" s="71">
        <v>1.02</v>
      </c>
      <c r="R133" s="66"/>
      <c r="S133" s="66">
        <f>+O133*Q133</f>
        <v>0</v>
      </c>
      <c r="T133" s="22"/>
      <c r="U133" s="66">
        <f t="shared" ref="U133:U135" si="35">+S133-L133</f>
        <v>0</v>
      </c>
      <c r="V133" s="73">
        <f t="shared" ref="V133:V135" si="36">+IF(U133=0,0,(S133-L133)/L133)</f>
        <v>0</v>
      </c>
    </row>
    <row r="134" spans="1:22" ht="16.5">
      <c r="A134" s="69" t="s">
        <v>827</v>
      </c>
      <c r="B134" s="69" t="s">
        <v>828</v>
      </c>
      <c r="D134" s="22">
        <v>10</v>
      </c>
      <c r="E134" s="22" t="s">
        <v>517</v>
      </c>
      <c r="F134" s="22"/>
      <c r="G134" s="22"/>
      <c r="H134" s="185">
        <v>0</v>
      </c>
      <c r="I134" s="66" t="s">
        <v>413</v>
      </c>
      <c r="J134" s="74">
        <v>0.68</v>
      </c>
      <c r="K134" s="66"/>
      <c r="L134" s="172">
        <f>+H134*J134</f>
        <v>0</v>
      </c>
      <c r="M134" s="66"/>
      <c r="N134" s="72"/>
      <c r="O134" s="185">
        <v>0</v>
      </c>
      <c r="P134" s="66" t="s">
        <v>413</v>
      </c>
      <c r="Q134" s="71">
        <v>1.02</v>
      </c>
      <c r="R134" s="66"/>
      <c r="S134" s="172">
        <f>+O134*Q134</f>
        <v>0</v>
      </c>
      <c r="T134" s="22"/>
      <c r="U134" s="66">
        <f t="shared" si="35"/>
        <v>0</v>
      </c>
      <c r="V134" s="73">
        <f t="shared" si="36"/>
        <v>0</v>
      </c>
    </row>
    <row r="135" spans="1:22">
      <c r="A135" s="69"/>
      <c r="B135" s="69"/>
      <c r="D135" s="22">
        <v>11</v>
      </c>
      <c r="E135" s="22" t="s">
        <v>43</v>
      </c>
      <c r="F135" s="22"/>
      <c r="G135" s="22"/>
      <c r="H135" s="22">
        <f>+SUM(H133:H134)</f>
        <v>0</v>
      </c>
      <c r="I135" s="22"/>
      <c r="J135" s="22"/>
      <c r="K135" s="22"/>
      <c r="L135" s="191">
        <f>+SUM(L133:L134)</f>
        <v>0</v>
      </c>
      <c r="M135" s="22"/>
      <c r="N135" s="23"/>
      <c r="O135" s="22">
        <f>+SUM(O133:O134)</f>
        <v>0</v>
      </c>
      <c r="P135" s="22"/>
      <c r="Q135" s="22"/>
      <c r="R135" s="22"/>
      <c r="S135" s="191">
        <f>+SUM(S133:S134)</f>
        <v>0</v>
      </c>
      <c r="T135" s="22"/>
      <c r="U135" s="66">
        <f t="shared" si="35"/>
        <v>0</v>
      </c>
      <c r="V135" s="73">
        <f t="shared" si="36"/>
        <v>0</v>
      </c>
    </row>
    <row r="136" spans="1:22">
      <c r="A136" s="69"/>
      <c r="B136" s="69"/>
      <c r="D136" s="22">
        <v>12</v>
      </c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75"/>
    </row>
    <row r="137" spans="1:22">
      <c r="A137" s="69"/>
      <c r="B137" s="69"/>
      <c r="D137" s="22">
        <v>13</v>
      </c>
      <c r="E137" s="67"/>
      <c r="F137" s="67"/>
      <c r="G137" s="67"/>
      <c r="H137" s="22"/>
      <c r="I137" s="22"/>
      <c r="J137" s="22"/>
      <c r="K137" s="22"/>
      <c r="L137" s="70"/>
      <c r="M137" s="22"/>
      <c r="N137" s="23"/>
      <c r="O137" s="22"/>
      <c r="P137" s="22"/>
      <c r="Q137" s="22"/>
      <c r="R137" s="22"/>
      <c r="S137" s="70"/>
      <c r="T137" s="22"/>
      <c r="U137" s="22"/>
      <c r="V137" s="22"/>
    </row>
    <row r="138" spans="1:22">
      <c r="A138" s="69"/>
      <c r="B138" s="69"/>
      <c r="D138" s="22">
        <v>14</v>
      </c>
      <c r="E138" s="22" t="s">
        <v>112</v>
      </c>
      <c r="F138" s="22"/>
      <c r="G138" s="22"/>
      <c r="H138" s="22"/>
      <c r="I138" s="22"/>
      <c r="J138" s="22"/>
      <c r="K138" s="22"/>
      <c r="L138" s="22"/>
      <c r="M138" s="22"/>
      <c r="N138" s="23"/>
      <c r="O138" s="22"/>
      <c r="P138" s="22"/>
      <c r="Q138" s="22"/>
      <c r="R138" s="22"/>
      <c r="S138" s="22"/>
      <c r="T138" s="22"/>
      <c r="U138" s="22"/>
      <c r="V138" s="22"/>
    </row>
    <row r="139" spans="1:22">
      <c r="A139" s="69"/>
      <c r="B139" s="69" t="s">
        <v>829</v>
      </c>
      <c r="D139" s="22">
        <v>15</v>
      </c>
      <c r="E139" s="67" t="s">
        <v>440</v>
      </c>
      <c r="F139" s="22"/>
      <c r="G139" s="22"/>
      <c r="H139" s="193">
        <v>0</v>
      </c>
      <c r="I139" s="22" t="s">
        <v>464</v>
      </c>
      <c r="J139" s="190">
        <v>-0.01</v>
      </c>
      <c r="K139" s="22"/>
      <c r="L139" s="66">
        <f>+H139*J139</f>
        <v>0</v>
      </c>
      <c r="M139" s="22"/>
      <c r="N139" s="23"/>
      <c r="O139" s="193">
        <v>0</v>
      </c>
      <c r="P139" s="22" t="s">
        <v>464</v>
      </c>
      <c r="Q139" s="168">
        <f>+J139</f>
        <v>-0.01</v>
      </c>
      <c r="R139" s="22"/>
      <c r="S139" s="66">
        <f>+O139*Q139</f>
        <v>0</v>
      </c>
      <c r="T139" s="22"/>
      <c r="U139" s="66">
        <f t="shared" ref="U139:U141" si="37">+S139-L139</f>
        <v>0</v>
      </c>
      <c r="V139" s="73">
        <f t="shared" ref="V139:V141" si="38">+IF(U139=0,0,(S139-L139)/L139)</f>
        <v>0</v>
      </c>
    </row>
    <row r="140" spans="1:22">
      <c r="A140" s="69"/>
      <c r="B140" s="69" t="s">
        <v>830</v>
      </c>
      <c r="D140" s="22">
        <v>16</v>
      </c>
      <c r="E140" s="22" t="s">
        <v>445</v>
      </c>
      <c r="F140" s="22"/>
      <c r="G140" s="22"/>
      <c r="H140" s="194">
        <v>0</v>
      </c>
      <c r="I140" s="22" t="s">
        <v>464</v>
      </c>
      <c r="J140" s="190">
        <v>-0.01</v>
      </c>
      <c r="K140" s="22"/>
      <c r="L140" s="194">
        <f>+H140*J140</f>
        <v>0</v>
      </c>
      <c r="M140" s="22"/>
      <c r="N140" s="23"/>
      <c r="O140" s="194">
        <v>0</v>
      </c>
      <c r="P140" s="22" t="s">
        <v>464</v>
      </c>
      <c r="Q140" s="168">
        <f>+J140</f>
        <v>-0.01</v>
      </c>
      <c r="R140" s="22"/>
      <c r="S140" s="194">
        <f>+O140*Q140</f>
        <v>0</v>
      </c>
      <c r="T140" s="22"/>
      <c r="U140" s="66">
        <f t="shared" si="37"/>
        <v>0</v>
      </c>
      <c r="V140" s="73">
        <f t="shared" si="38"/>
        <v>0</v>
      </c>
    </row>
    <row r="141" spans="1:22">
      <c r="A141" s="69"/>
      <c r="B141" s="69"/>
      <c r="D141" s="22">
        <v>17</v>
      </c>
      <c r="E141" s="22" t="s">
        <v>298</v>
      </c>
      <c r="F141" s="22"/>
      <c r="G141" s="22"/>
      <c r="H141" s="193">
        <f>+SUM(H139:H140)</f>
        <v>0</v>
      </c>
      <c r="I141" s="22" t="s">
        <v>464</v>
      </c>
      <c r="J141" s="22"/>
      <c r="K141" s="22"/>
      <c r="L141" s="41">
        <f>+SUM(L139:L140)</f>
        <v>0</v>
      </c>
      <c r="M141" s="22"/>
      <c r="N141" s="23"/>
      <c r="O141" s="193">
        <f>+SUM(O139:O140)</f>
        <v>0</v>
      </c>
      <c r="P141" s="22" t="s">
        <v>464</v>
      </c>
      <c r="Q141" s="22"/>
      <c r="R141" s="22"/>
      <c r="S141" s="41">
        <f>+SUM(S139:S140)</f>
        <v>0</v>
      </c>
      <c r="T141" s="22"/>
      <c r="U141" s="66">
        <f t="shared" si="37"/>
        <v>0</v>
      </c>
      <c r="V141" s="73">
        <f t="shared" si="38"/>
        <v>0</v>
      </c>
    </row>
    <row r="142" spans="1:22">
      <c r="A142" s="69"/>
      <c r="B142" s="69"/>
      <c r="D142" s="22">
        <v>18</v>
      </c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</row>
    <row r="143" spans="1:22">
      <c r="A143" s="69"/>
      <c r="B143" s="69"/>
      <c r="D143" s="22">
        <v>19</v>
      </c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</row>
    <row r="144" spans="1:22" ht="15.75" thickBot="1">
      <c r="A144" s="69"/>
      <c r="B144" s="69"/>
      <c r="D144" s="22">
        <v>20</v>
      </c>
      <c r="E144" s="67" t="s">
        <v>316</v>
      </c>
      <c r="F144" s="22"/>
      <c r="G144" s="22"/>
      <c r="H144" s="22"/>
      <c r="I144" s="22"/>
      <c r="J144" s="22"/>
      <c r="K144" s="22"/>
      <c r="L144" s="78">
        <f>+L75+L82+L89+L95+L104+L109+L130+L135+L141</f>
        <v>878409.37235999992</v>
      </c>
      <c r="M144" s="66"/>
      <c r="N144" s="72"/>
      <c r="O144" s="66"/>
      <c r="P144" s="22"/>
      <c r="Q144" s="22"/>
      <c r="R144" s="22"/>
      <c r="S144" s="78">
        <f>+S75+S82+S89+S95+S104+S109+S130+S135+S141</f>
        <v>979835.60696772172</v>
      </c>
      <c r="T144" s="22"/>
      <c r="U144" s="66">
        <f>+S144-L144</f>
        <v>101426.2346077218</v>
      </c>
      <c r="V144" s="73">
        <f>+IF(U144=0,0,(S144-L144)/L144)</f>
        <v>0.11546579282871554</v>
      </c>
    </row>
    <row r="145" spans="1:22" ht="15.75" thickTop="1">
      <c r="A145" s="69"/>
      <c r="B145" s="69"/>
      <c r="D145" s="22">
        <v>21</v>
      </c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</row>
    <row r="146" spans="1:22">
      <c r="A146" s="69"/>
      <c r="B146" s="69"/>
      <c r="D146" s="22">
        <v>22</v>
      </c>
      <c r="E146" s="22"/>
      <c r="F146" s="22"/>
      <c r="G146" s="22"/>
      <c r="H146" s="41"/>
      <c r="I146" s="22"/>
      <c r="J146" s="22"/>
      <c r="K146" s="22"/>
      <c r="L146" s="41"/>
      <c r="M146" s="22"/>
      <c r="N146" s="23"/>
      <c r="O146" s="41"/>
      <c r="P146" s="22"/>
      <c r="Q146" s="22"/>
      <c r="R146" s="22"/>
      <c r="S146" s="22"/>
      <c r="T146" s="22"/>
      <c r="U146" s="22"/>
      <c r="V146" s="75"/>
    </row>
    <row r="147" spans="1:22">
      <c r="A147" s="69"/>
      <c r="B147" s="69"/>
      <c r="D147" s="22">
        <v>23</v>
      </c>
      <c r="E147" s="22"/>
      <c r="F147" s="22"/>
      <c r="G147" s="22"/>
      <c r="H147" s="41"/>
      <c r="I147" s="22"/>
      <c r="J147" s="22"/>
      <c r="K147" s="22"/>
      <c r="L147" s="41"/>
      <c r="M147" s="22"/>
      <c r="N147" s="23"/>
      <c r="O147" s="41"/>
      <c r="P147" s="22"/>
      <c r="Q147" s="22"/>
      <c r="R147" s="22"/>
      <c r="S147" s="22"/>
      <c r="T147" s="22"/>
      <c r="U147" s="22"/>
      <c r="V147" s="75"/>
    </row>
    <row r="148" spans="1:22">
      <c r="A148" s="69"/>
      <c r="B148" s="69"/>
      <c r="D148" s="22">
        <v>24</v>
      </c>
      <c r="E148" s="22"/>
      <c r="F148" s="22"/>
      <c r="G148" s="22"/>
      <c r="H148" s="41"/>
      <c r="I148" s="22"/>
      <c r="J148" s="22"/>
      <c r="K148" s="22"/>
      <c r="L148" s="41"/>
      <c r="M148" s="22"/>
      <c r="N148" s="23"/>
      <c r="O148" s="41"/>
      <c r="P148" s="22"/>
      <c r="Q148" s="22"/>
      <c r="R148" s="22"/>
      <c r="S148" s="22"/>
      <c r="T148" s="22"/>
      <c r="U148" s="22"/>
      <c r="V148" s="75"/>
    </row>
    <row r="149" spans="1:22">
      <c r="A149" s="69"/>
      <c r="B149" s="69"/>
      <c r="D149" s="22">
        <v>25</v>
      </c>
      <c r="E149" s="22"/>
      <c r="F149" s="22"/>
      <c r="G149" s="22"/>
      <c r="H149" s="41"/>
      <c r="I149" s="22"/>
      <c r="J149" s="22"/>
      <c r="K149" s="22"/>
      <c r="L149" s="41"/>
      <c r="M149" s="22"/>
      <c r="N149" s="23"/>
      <c r="O149" s="41"/>
      <c r="P149" s="22"/>
      <c r="Q149" s="22"/>
      <c r="R149" s="22"/>
      <c r="S149" s="22"/>
      <c r="T149" s="22"/>
      <c r="U149" s="22"/>
      <c r="V149" s="75"/>
    </row>
    <row r="150" spans="1:22">
      <c r="A150" s="69"/>
      <c r="B150" s="69"/>
      <c r="D150" s="22">
        <v>26</v>
      </c>
      <c r="E150" s="22"/>
      <c r="F150" s="22"/>
      <c r="G150" s="22"/>
      <c r="H150" s="41"/>
      <c r="I150" s="22"/>
      <c r="J150" s="22"/>
      <c r="K150" s="22"/>
      <c r="L150" s="41"/>
      <c r="M150" s="22"/>
      <c r="N150" s="23"/>
      <c r="O150" s="41"/>
      <c r="P150" s="22"/>
      <c r="Q150" s="22"/>
      <c r="R150" s="22"/>
      <c r="S150" s="22"/>
      <c r="T150" s="22"/>
      <c r="U150" s="22"/>
      <c r="V150" s="75"/>
    </row>
    <row r="151" spans="1:22">
      <c r="A151" s="69"/>
      <c r="B151" s="69"/>
      <c r="D151" s="22">
        <v>27</v>
      </c>
      <c r="E151" s="22"/>
      <c r="F151" s="22"/>
      <c r="G151" s="22"/>
      <c r="H151" s="41"/>
      <c r="I151" s="22"/>
      <c r="J151" s="22"/>
      <c r="K151" s="22"/>
      <c r="L151" s="41"/>
      <c r="M151" s="22"/>
      <c r="N151" s="23"/>
      <c r="O151" s="41"/>
      <c r="P151" s="22"/>
      <c r="Q151" s="22"/>
      <c r="R151" s="22"/>
      <c r="S151" s="22"/>
      <c r="T151" s="22"/>
      <c r="U151" s="22"/>
      <c r="V151" s="75"/>
    </row>
    <row r="152" spans="1:22">
      <c r="A152" s="69"/>
      <c r="B152" s="69"/>
      <c r="D152" s="22">
        <v>28</v>
      </c>
      <c r="E152" s="22"/>
      <c r="F152" s="22"/>
      <c r="G152" s="22"/>
      <c r="H152" s="41"/>
      <c r="I152" s="22"/>
      <c r="J152" s="22"/>
      <c r="K152" s="22"/>
      <c r="L152" s="41"/>
      <c r="M152" s="22"/>
      <c r="N152" s="23"/>
      <c r="O152" s="41"/>
      <c r="P152" s="22"/>
      <c r="Q152" s="22"/>
      <c r="R152" s="22"/>
      <c r="S152" s="22"/>
      <c r="T152" s="22"/>
      <c r="U152" s="22"/>
      <c r="V152" s="75"/>
    </row>
    <row r="153" spans="1:22">
      <c r="A153" s="69"/>
      <c r="B153" s="69"/>
      <c r="D153" s="22">
        <v>29</v>
      </c>
      <c r="E153" s="22"/>
      <c r="F153" s="22"/>
      <c r="G153" s="22"/>
      <c r="H153" s="41"/>
      <c r="I153" s="22"/>
      <c r="J153" s="22"/>
      <c r="K153" s="22"/>
      <c r="L153" s="41"/>
      <c r="M153" s="22"/>
      <c r="N153" s="23"/>
      <c r="O153" s="41"/>
      <c r="P153" s="22"/>
      <c r="Q153" s="22"/>
      <c r="R153" s="22"/>
      <c r="S153" s="22"/>
      <c r="T153" s="22"/>
      <c r="U153" s="22"/>
      <c r="V153" s="75"/>
    </row>
    <row r="154" spans="1:22">
      <c r="A154" s="69"/>
      <c r="B154" s="69"/>
      <c r="D154" s="22">
        <v>30</v>
      </c>
      <c r="E154" s="22"/>
      <c r="F154" s="22"/>
      <c r="G154" s="22"/>
      <c r="H154" s="41"/>
      <c r="I154" s="22"/>
      <c r="J154" s="22"/>
      <c r="K154" s="22"/>
      <c r="L154" s="41"/>
      <c r="M154" s="22"/>
      <c r="N154" s="23"/>
      <c r="O154" s="41"/>
      <c r="P154" s="22"/>
      <c r="Q154" s="22"/>
      <c r="R154" s="22"/>
      <c r="S154" s="22"/>
      <c r="T154" s="22"/>
      <c r="U154" s="22"/>
      <c r="V154" s="75"/>
    </row>
    <row r="155" spans="1:22">
      <c r="A155" s="69"/>
      <c r="B155" s="69"/>
      <c r="D155" s="22">
        <v>31</v>
      </c>
      <c r="E155" s="22"/>
      <c r="F155" s="22"/>
      <c r="G155" s="22"/>
      <c r="H155" s="41"/>
      <c r="I155" s="22"/>
      <c r="J155" s="22"/>
      <c r="K155" s="22"/>
      <c r="L155" s="41"/>
      <c r="M155" s="22"/>
      <c r="N155" s="23"/>
      <c r="O155" s="41"/>
      <c r="P155" s="22"/>
      <c r="Q155" s="22"/>
      <c r="R155" s="22"/>
      <c r="S155" s="22"/>
      <c r="T155" s="22"/>
      <c r="U155" s="22"/>
      <c r="V155" s="75"/>
    </row>
    <row r="156" spans="1:22">
      <c r="A156" s="69"/>
      <c r="B156" s="69"/>
      <c r="D156" s="22">
        <v>32</v>
      </c>
      <c r="E156" s="22"/>
      <c r="F156" s="22"/>
      <c r="G156" s="22"/>
      <c r="H156" s="41"/>
      <c r="I156" s="22"/>
      <c r="J156" s="22"/>
      <c r="K156" s="22"/>
      <c r="L156" s="41"/>
      <c r="M156" s="22"/>
      <c r="N156" s="23"/>
      <c r="O156" s="41"/>
      <c r="P156" s="22"/>
      <c r="Q156" s="22"/>
      <c r="R156" s="22"/>
      <c r="S156" s="22"/>
      <c r="T156" s="22"/>
      <c r="U156" s="22"/>
      <c r="V156" s="75"/>
    </row>
    <row r="157" spans="1:22">
      <c r="A157" s="69"/>
      <c r="B157" s="69"/>
      <c r="D157" s="22">
        <v>33</v>
      </c>
      <c r="E157" s="22"/>
      <c r="F157" s="22"/>
      <c r="G157" s="22"/>
      <c r="H157" s="41"/>
      <c r="I157" s="22"/>
      <c r="J157" s="22"/>
      <c r="K157" s="22"/>
      <c r="L157" s="41"/>
      <c r="M157" s="22"/>
      <c r="N157" s="23"/>
      <c r="O157" s="41"/>
      <c r="P157" s="22"/>
      <c r="Q157" s="22"/>
      <c r="R157" s="22"/>
      <c r="S157" s="22"/>
      <c r="T157" s="22"/>
      <c r="U157" s="22"/>
      <c r="V157" s="75"/>
    </row>
    <row r="158" spans="1:22">
      <c r="A158" s="69"/>
      <c r="B158" s="69"/>
      <c r="D158" s="22">
        <v>34</v>
      </c>
      <c r="E158" s="22"/>
      <c r="F158" s="22"/>
      <c r="G158" s="22"/>
      <c r="H158" s="41"/>
      <c r="I158" s="22"/>
      <c r="J158" s="22"/>
      <c r="K158" s="22"/>
      <c r="L158" s="41"/>
      <c r="M158" s="22"/>
      <c r="N158" s="23"/>
      <c r="O158" s="41"/>
      <c r="P158" s="22"/>
      <c r="Q158" s="22"/>
      <c r="R158" s="22"/>
      <c r="S158" s="22"/>
      <c r="T158" s="22"/>
      <c r="U158" s="22"/>
      <c r="V158" s="75"/>
    </row>
    <row r="159" spans="1:22">
      <c r="A159" s="69"/>
      <c r="B159" s="69"/>
      <c r="D159" s="22">
        <v>35</v>
      </c>
      <c r="E159" s="22"/>
      <c r="F159" s="22"/>
      <c r="G159" s="22"/>
      <c r="H159" s="22"/>
      <c r="I159" s="22"/>
      <c r="J159" s="22"/>
      <c r="K159" s="22"/>
      <c r="L159" s="22"/>
      <c r="M159" s="22"/>
      <c r="N159" s="23"/>
      <c r="O159" s="22"/>
      <c r="P159" s="22"/>
      <c r="Q159" s="22"/>
      <c r="R159" s="22"/>
      <c r="S159" s="22"/>
      <c r="T159" s="22"/>
      <c r="U159" s="22"/>
      <c r="V159" s="22"/>
    </row>
    <row r="160" spans="1:22">
      <c r="A160" s="69"/>
      <c r="B160" s="69"/>
      <c r="D160" s="22">
        <v>36</v>
      </c>
      <c r="E160" s="22"/>
      <c r="F160" s="65"/>
      <c r="G160" s="22"/>
      <c r="H160" s="22"/>
      <c r="I160" s="66"/>
      <c r="J160" s="66"/>
      <c r="K160" s="66"/>
      <c r="L160" s="71"/>
      <c r="M160" s="66"/>
      <c r="N160" s="72"/>
      <c r="O160" s="66"/>
      <c r="P160" s="66"/>
      <c r="Q160" s="66"/>
      <c r="R160" s="66"/>
      <c r="S160" s="71"/>
      <c r="T160" s="66"/>
      <c r="U160" s="66"/>
      <c r="V160" s="85"/>
    </row>
    <row r="161" spans="1:22">
      <c r="A161" s="69"/>
      <c r="B161" s="69"/>
      <c r="D161" s="22">
        <v>37</v>
      </c>
      <c r="E161" s="22"/>
      <c r="F161" s="65"/>
      <c r="G161" s="22"/>
      <c r="H161" s="22"/>
      <c r="I161" s="66"/>
      <c r="J161" s="66"/>
      <c r="K161" s="66"/>
      <c r="L161" s="71"/>
      <c r="M161" s="66"/>
      <c r="N161" s="72"/>
      <c r="O161" s="66"/>
      <c r="P161" s="66"/>
      <c r="Q161" s="66"/>
      <c r="R161" s="66"/>
      <c r="S161" s="71"/>
      <c r="T161" s="66"/>
      <c r="U161" s="66"/>
      <c r="V161" s="85"/>
    </row>
    <row r="162" spans="1:22">
      <c r="A162" s="69"/>
      <c r="B162" s="69"/>
      <c r="D162" s="22">
        <v>38</v>
      </c>
      <c r="E162" s="22"/>
      <c r="F162" s="65"/>
      <c r="G162" s="22"/>
      <c r="H162" s="22"/>
      <c r="I162" s="66"/>
      <c r="J162" s="66"/>
      <c r="K162" s="66"/>
      <c r="L162" s="71"/>
      <c r="M162" s="66"/>
      <c r="N162" s="72"/>
      <c r="O162" s="66"/>
      <c r="P162" s="66"/>
      <c r="Q162" s="66"/>
      <c r="R162" s="66"/>
      <c r="S162" s="71"/>
      <c r="T162" s="66"/>
      <c r="U162" s="66"/>
      <c r="V162" s="85"/>
    </row>
    <row r="163" spans="1:22" ht="15.75" thickBot="1">
      <c r="A163" s="69"/>
      <c r="B163" s="69"/>
      <c r="D163" s="24">
        <v>39</v>
      </c>
      <c r="E163" s="24"/>
      <c r="F163" s="24"/>
      <c r="G163" s="24"/>
      <c r="H163" s="24"/>
      <c r="I163" s="24"/>
      <c r="J163" s="24"/>
      <c r="K163" s="24"/>
      <c r="L163" s="24"/>
      <c r="M163" s="24"/>
      <c r="N163" s="25"/>
      <c r="O163" s="24"/>
      <c r="P163" s="24"/>
      <c r="Q163" s="24"/>
      <c r="R163" s="24"/>
      <c r="S163" s="24"/>
      <c r="T163" s="24"/>
      <c r="U163" s="24"/>
      <c r="V163" s="26"/>
    </row>
    <row r="164" spans="1:22"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3"/>
      <c r="O164" s="22"/>
      <c r="P164" s="22"/>
      <c r="Q164" s="22"/>
      <c r="R164" s="22"/>
      <c r="S164" s="22"/>
      <c r="T164" s="22"/>
      <c r="U164" s="22"/>
      <c r="V164" s="22"/>
    </row>
  </sheetData>
  <mergeCells count="7">
    <mergeCell ref="E125:G125"/>
    <mergeCell ref="K3:O3"/>
    <mergeCell ref="K4:O4"/>
    <mergeCell ref="K57:O57"/>
    <mergeCell ref="K58:O58"/>
    <mergeCell ref="K111:O111"/>
    <mergeCell ref="K112:O112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EDDE6-52F3-42DE-9DFE-F5A4001D67F4}">
  <dimension ref="A3:V164"/>
  <sheetViews>
    <sheetView workbookViewId="0">
      <selection activeCell="S138" activeCellId="1" sqref="S50 S138"/>
    </sheetView>
  </sheetViews>
  <sheetFormatPr defaultRowHeight="15"/>
  <cols>
    <col min="1" max="1" width="36.28515625" bestFit="1" customWidth="1"/>
    <col min="2" max="2" width="38.28515625" bestFit="1" customWidth="1"/>
    <col min="5" max="5" width="10.7109375" customWidth="1"/>
    <col min="8" max="8" width="11.85546875" customWidth="1"/>
    <col min="10" max="10" width="10" bestFit="1" customWidth="1"/>
    <col min="12" max="12" width="11.140625" customWidth="1"/>
    <col min="15" max="15" width="11.7109375" customWidth="1"/>
    <col min="19" max="19" width="13.140625" customWidth="1"/>
    <col min="21" max="21" width="10.7109375" customWidth="1"/>
    <col min="22" max="22" width="18.7109375" bestFit="1" customWidth="1"/>
  </cols>
  <sheetData>
    <row r="3" spans="1:22">
      <c r="D3" s="22"/>
      <c r="E3" s="22"/>
      <c r="F3" s="22"/>
      <c r="G3" s="22"/>
      <c r="H3" s="22"/>
      <c r="I3" s="22"/>
      <c r="J3" s="22"/>
      <c r="K3" s="330"/>
      <c r="L3" s="330"/>
      <c r="M3" s="330"/>
      <c r="N3" s="330"/>
      <c r="O3" s="330"/>
      <c r="P3" s="22"/>
      <c r="Q3" s="22"/>
      <c r="R3" s="22"/>
      <c r="S3" s="22"/>
      <c r="T3" s="22"/>
      <c r="U3" s="22"/>
      <c r="V3" s="22"/>
    </row>
    <row r="4" spans="1:22" ht="15.75" thickBot="1">
      <c r="D4" s="24"/>
      <c r="E4" s="24"/>
      <c r="F4" s="24"/>
      <c r="G4" s="24"/>
      <c r="H4" s="24"/>
      <c r="I4" s="24"/>
      <c r="J4" s="24"/>
      <c r="K4" s="331" t="s">
        <v>274</v>
      </c>
      <c r="L4" s="331"/>
      <c r="M4" s="331"/>
      <c r="N4" s="331"/>
      <c r="O4" s="331"/>
      <c r="P4" s="24"/>
      <c r="Q4" s="24"/>
      <c r="R4" s="24"/>
      <c r="S4" s="24"/>
      <c r="T4" s="24"/>
      <c r="U4" s="24"/>
      <c r="V4" s="26"/>
    </row>
    <row r="5" spans="1:22">
      <c r="A5" s="27" t="s">
        <v>275</v>
      </c>
      <c r="B5" s="28">
        <f>+'Scenario Operating Revenue'!D9</f>
        <v>29992417.033898521</v>
      </c>
      <c r="D5" s="22"/>
      <c r="E5" s="22"/>
      <c r="F5" s="22"/>
      <c r="G5" s="22"/>
      <c r="H5" s="22"/>
      <c r="I5" s="22"/>
      <c r="K5" s="22"/>
      <c r="L5" s="22"/>
      <c r="M5" s="22"/>
      <c r="N5" s="29"/>
      <c r="O5" s="30"/>
      <c r="P5" s="22"/>
      <c r="Q5" s="30"/>
      <c r="R5" s="30"/>
      <c r="S5" s="30"/>
      <c r="T5" s="22"/>
      <c r="U5" s="22"/>
      <c r="V5" s="31"/>
    </row>
    <row r="6" spans="1:22">
      <c r="D6" s="22"/>
      <c r="E6" s="22"/>
      <c r="F6" s="22"/>
      <c r="G6" s="22"/>
      <c r="H6" s="22"/>
      <c r="I6" s="22"/>
      <c r="K6" s="22"/>
      <c r="L6" s="22"/>
      <c r="M6" s="22"/>
      <c r="N6" s="23"/>
      <c r="O6" s="31"/>
      <c r="P6" s="22"/>
      <c r="Q6" s="22"/>
      <c r="R6" s="32"/>
      <c r="S6" s="32"/>
      <c r="T6" s="31"/>
      <c r="U6" s="22"/>
      <c r="V6" s="32"/>
    </row>
    <row r="7" spans="1:22">
      <c r="A7" s="33" t="s">
        <v>276</v>
      </c>
      <c r="B7" s="34">
        <v>0.56648385022200687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3"/>
      <c r="O7" s="31"/>
      <c r="P7" s="32"/>
      <c r="Q7" s="22"/>
      <c r="R7" s="22"/>
      <c r="S7" s="32"/>
      <c r="T7" s="31"/>
      <c r="U7" s="22"/>
      <c r="V7" s="32"/>
    </row>
    <row r="8" spans="1:22">
      <c r="A8" s="33" t="s">
        <v>277</v>
      </c>
      <c r="B8" s="35">
        <f>+(S50+S138)</f>
        <v>29992417.033898521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3"/>
      <c r="O8" s="31"/>
      <c r="P8" s="32"/>
      <c r="Q8" s="22"/>
      <c r="R8" s="22"/>
      <c r="S8" s="32"/>
      <c r="T8" s="31"/>
      <c r="U8" s="22"/>
      <c r="V8" s="32"/>
    </row>
    <row r="9" spans="1:22">
      <c r="D9" s="22"/>
      <c r="E9" s="22"/>
      <c r="F9" s="32"/>
      <c r="G9" s="22"/>
      <c r="H9" s="22"/>
      <c r="I9" s="22"/>
      <c r="J9" s="22"/>
      <c r="K9" s="36"/>
      <c r="L9" s="36"/>
      <c r="M9" s="36"/>
      <c r="N9" s="23"/>
      <c r="O9" s="22"/>
      <c r="P9" s="22"/>
      <c r="Q9" s="22"/>
      <c r="R9" s="22"/>
      <c r="S9" s="22"/>
      <c r="T9" s="22"/>
      <c r="U9" s="22"/>
      <c r="V9" s="22"/>
    </row>
    <row r="10" spans="1:22" ht="15.75" thickBot="1">
      <c r="D10" s="24"/>
      <c r="E10" s="24"/>
      <c r="F10" s="26"/>
      <c r="G10" s="37"/>
      <c r="H10" s="37"/>
      <c r="I10" s="38"/>
      <c r="J10" s="38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</row>
    <row r="11" spans="1:22">
      <c r="D11" s="22"/>
      <c r="E11" s="22"/>
      <c r="F11" s="22"/>
      <c r="G11" s="22"/>
      <c r="H11" s="36"/>
      <c r="I11" s="22"/>
      <c r="J11" s="36"/>
      <c r="K11" s="39"/>
      <c r="L11" s="36"/>
      <c r="M11" s="22"/>
      <c r="N11" s="36"/>
      <c r="O11" s="22"/>
      <c r="P11" s="39"/>
      <c r="Q11" s="22"/>
      <c r="R11" s="22"/>
      <c r="S11" s="22"/>
      <c r="T11" s="22"/>
      <c r="U11" s="22"/>
      <c r="V11" s="22"/>
    </row>
    <row r="12" spans="1:22">
      <c r="D12" s="22"/>
      <c r="E12" s="22"/>
      <c r="F12" s="22"/>
      <c r="G12" s="22"/>
      <c r="H12" s="39"/>
      <c r="I12" s="22"/>
      <c r="J12" s="22"/>
      <c r="K12" s="39"/>
      <c r="L12" s="22"/>
      <c r="M12" s="22"/>
      <c r="N12" s="36"/>
      <c r="O12" s="22"/>
      <c r="P12" s="39"/>
      <c r="Q12" s="22"/>
      <c r="R12" s="22"/>
      <c r="S12" s="22"/>
      <c r="T12" s="22"/>
      <c r="U12" s="22"/>
      <c r="V12" s="22"/>
    </row>
    <row r="13" spans="1:22">
      <c r="D13" s="22"/>
      <c r="E13" s="22"/>
      <c r="F13" s="22"/>
      <c r="G13" s="22"/>
      <c r="H13" s="22"/>
      <c r="I13" s="39"/>
      <c r="J13" s="39"/>
      <c r="K13" s="42"/>
      <c r="L13" s="42" t="s">
        <v>278</v>
      </c>
      <c r="M13" s="36"/>
      <c r="N13" s="44" t="s">
        <v>831</v>
      </c>
      <c r="O13" s="39"/>
      <c r="P13" s="22"/>
      <c r="Q13" s="39"/>
      <c r="R13" s="39"/>
      <c r="S13" s="39"/>
      <c r="T13" s="39"/>
      <c r="U13" s="39"/>
      <c r="V13" s="22"/>
    </row>
    <row r="14" spans="1:22">
      <c r="D14" s="22"/>
      <c r="E14" s="22"/>
      <c r="F14" s="22"/>
      <c r="G14" s="22"/>
      <c r="H14" s="22"/>
      <c r="I14" s="39"/>
      <c r="J14" s="39"/>
      <c r="K14" s="39"/>
      <c r="L14" s="39"/>
      <c r="M14" s="39"/>
      <c r="N14" s="36"/>
      <c r="O14" s="39"/>
      <c r="P14" s="39"/>
      <c r="Q14" s="39"/>
      <c r="R14" s="39"/>
      <c r="S14" s="39"/>
      <c r="T14" s="39"/>
      <c r="U14" s="39"/>
      <c r="V14" s="39"/>
    </row>
    <row r="15" spans="1:22">
      <c r="D15" s="23" t="s">
        <v>55</v>
      </c>
      <c r="E15" s="171" t="s">
        <v>280</v>
      </c>
      <c r="F15" s="48"/>
      <c r="G15" s="49"/>
      <c r="H15" s="50"/>
      <c r="I15" s="50"/>
      <c r="J15" s="51" t="s">
        <v>281</v>
      </c>
      <c r="K15" s="50"/>
      <c r="L15" s="50"/>
      <c r="M15" s="48"/>
      <c r="N15" s="53"/>
      <c r="O15" s="50"/>
      <c r="P15" s="51"/>
      <c r="Q15" s="51" t="s">
        <v>282</v>
      </c>
      <c r="R15" s="50"/>
      <c r="S15" s="50"/>
      <c r="T15" s="48"/>
      <c r="U15" s="55" t="s">
        <v>283</v>
      </c>
      <c r="V15" s="55" t="s">
        <v>284</v>
      </c>
    </row>
    <row r="16" spans="1:22" ht="15.75" thickBot="1">
      <c r="A16" s="56" t="s">
        <v>285</v>
      </c>
      <c r="B16" s="56" t="s">
        <v>286</v>
      </c>
      <c r="D16" s="25" t="s">
        <v>60</v>
      </c>
      <c r="E16" s="57" t="s">
        <v>287</v>
      </c>
      <c r="F16" s="58"/>
      <c r="G16" s="24"/>
      <c r="H16" s="25" t="s">
        <v>288</v>
      </c>
      <c r="I16" s="60"/>
      <c r="J16" s="60" t="s">
        <v>289</v>
      </c>
      <c r="K16" s="60"/>
      <c r="L16" s="60" t="s">
        <v>290</v>
      </c>
      <c r="M16" s="60"/>
      <c r="N16" s="60"/>
      <c r="O16" s="60" t="s">
        <v>288</v>
      </c>
      <c r="P16" s="60"/>
      <c r="Q16" s="60" t="s">
        <v>289</v>
      </c>
      <c r="R16" s="60"/>
      <c r="S16" s="60" t="s">
        <v>290</v>
      </c>
      <c r="T16" s="58"/>
      <c r="U16" s="62" t="s">
        <v>291</v>
      </c>
      <c r="V16" s="62" t="s">
        <v>59</v>
      </c>
    </row>
    <row r="17" spans="1:22">
      <c r="D17" s="22">
        <v>1</v>
      </c>
      <c r="E17" s="67" t="s">
        <v>65</v>
      </c>
      <c r="F17" s="67"/>
      <c r="G17" s="22"/>
      <c r="H17" s="22"/>
      <c r="I17" s="66"/>
      <c r="J17" s="66"/>
      <c r="K17" s="66"/>
      <c r="L17" s="66"/>
      <c r="M17" s="70"/>
      <c r="N17" s="72"/>
      <c r="O17" s="70"/>
      <c r="P17" s="66"/>
      <c r="Q17" s="66"/>
      <c r="R17" s="66"/>
      <c r="S17" s="66"/>
      <c r="T17" s="66"/>
      <c r="U17" s="66"/>
      <c r="V17" s="66"/>
    </row>
    <row r="18" spans="1:22">
      <c r="A18" s="69" t="s">
        <v>832</v>
      </c>
      <c r="B18" s="69" t="s">
        <v>833</v>
      </c>
      <c r="D18" s="22">
        <v>2</v>
      </c>
      <c r="E18" s="67" t="s">
        <v>834</v>
      </c>
      <c r="F18" s="22"/>
      <c r="G18" s="22"/>
      <c r="H18" s="66">
        <v>0</v>
      </c>
      <c r="I18" s="66" t="s">
        <v>294</v>
      </c>
      <c r="J18" s="71">
        <v>83.9</v>
      </c>
      <c r="K18" s="66"/>
      <c r="L18" s="66">
        <f>+H18*J18</f>
        <v>0</v>
      </c>
      <c r="M18" s="22"/>
      <c r="N18" s="23"/>
      <c r="O18" s="66">
        <v>0</v>
      </c>
      <c r="P18" s="66" t="s">
        <v>294</v>
      </c>
      <c r="Q18" s="71">
        <v>127.62</v>
      </c>
      <c r="R18" s="66"/>
      <c r="S18" s="66">
        <f>+O18*Q18</f>
        <v>0</v>
      </c>
      <c r="T18" s="66"/>
      <c r="U18" s="66">
        <f>+S18-L18</f>
        <v>0</v>
      </c>
      <c r="V18" s="73">
        <f>+IF(U18=0,0,(S18-L18)/L18)</f>
        <v>0</v>
      </c>
    </row>
    <row r="19" spans="1:22" ht="16.5">
      <c r="A19" s="69" t="s">
        <v>835</v>
      </c>
      <c r="B19" s="69" t="s">
        <v>836</v>
      </c>
      <c r="D19" s="22">
        <v>3</v>
      </c>
      <c r="E19" s="22" t="s">
        <v>837</v>
      </c>
      <c r="F19" s="22"/>
      <c r="G19" s="22"/>
      <c r="H19" s="172">
        <v>1453.37</v>
      </c>
      <c r="I19" s="66" t="s">
        <v>294</v>
      </c>
      <c r="J19" s="71">
        <v>83.9</v>
      </c>
      <c r="K19" s="22"/>
      <c r="L19" s="172">
        <f>+H19*J19</f>
        <v>121937.743</v>
      </c>
      <c r="M19" s="22"/>
      <c r="N19" s="23"/>
      <c r="O19" s="172">
        <v>1453.37</v>
      </c>
      <c r="P19" s="66" t="s">
        <v>294</v>
      </c>
      <c r="Q19" s="71">
        <v>127.62</v>
      </c>
      <c r="R19" s="22"/>
      <c r="S19" s="172">
        <f>+O19*Q19</f>
        <v>185479.07939999999</v>
      </c>
      <c r="T19" s="66"/>
      <c r="U19" s="66">
        <f t="shared" ref="U19:U20" si="0">+S19-L19</f>
        <v>63541.336399999986</v>
      </c>
      <c r="V19" s="73">
        <f t="shared" ref="V19:V20" si="1">+IF(U19=0,0,(S19-L19)/L19)</f>
        <v>0.52109654350417145</v>
      </c>
    </row>
    <row r="20" spans="1:22">
      <c r="A20" s="69"/>
      <c r="B20" s="69"/>
      <c r="D20" s="22">
        <v>4</v>
      </c>
      <c r="E20" s="173" t="s">
        <v>43</v>
      </c>
      <c r="F20" s="22"/>
      <c r="G20" s="22"/>
      <c r="H20" s="70">
        <f>+SUM(H18:H19)</f>
        <v>1453.37</v>
      </c>
      <c r="I20" s="66" t="s">
        <v>328</v>
      </c>
      <c r="J20" s="71"/>
      <c r="K20" s="66"/>
      <c r="L20" s="157">
        <f>+SUM(L18:L19)</f>
        <v>121937.743</v>
      </c>
      <c r="M20" s="66"/>
      <c r="N20" s="72"/>
      <c r="O20" s="70">
        <f>+SUM(O18:O19)</f>
        <v>1453.37</v>
      </c>
      <c r="P20" s="66" t="s">
        <v>328</v>
      </c>
      <c r="Q20" s="71"/>
      <c r="R20" s="66"/>
      <c r="S20" s="157">
        <f>+SUM(S18:S19)</f>
        <v>185479.07939999999</v>
      </c>
      <c r="T20" s="66"/>
      <c r="U20" s="66">
        <f t="shared" si="0"/>
        <v>63541.336399999986</v>
      </c>
      <c r="V20" s="73">
        <f t="shared" si="1"/>
        <v>0.52109654350417145</v>
      </c>
    </row>
    <row r="21" spans="1:22">
      <c r="A21" s="69"/>
      <c r="B21" s="69"/>
      <c r="D21" s="22">
        <v>5</v>
      </c>
      <c r="E21" s="22"/>
      <c r="F21" s="22"/>
      <c r="G21" s="22"/>
      <c r="H21" s="22"/>
      <c r="I21" s="66"/>
      <c r="J21" s="71"/>
      <c r="K21" s="66"/>
      <c r="L21" s="71"/>
      <c r="M21" s="70"/>
      <c r="N21" s="72"/>
      <c r="O21" s="70"/>
      <c r="P21" s="66"/>
      <c r="Q21" s="71"/>
      <c r="R21" s="66"/>
      <c r="S21" s="71"/>
      <c r="T21" s="66"/>
      <c r="U21" s="66"/>
      <c r="V21" s="75"/>
    </row>
    <row r="22" spans="1:22">
      <c r="A22" s="69"/>
      <c r="B22" s="69"/>
      <c r="D22" s="22">
        <v>6</v>
      </c>
      <c r="E22" s="67" t="s">
        <v>94</v>
      </c>
      <c r="F22" s="67"/>
      <c r="G22" s="22"/>
      <c r="H22" s="22"/>
      <c r="I22" s="66"/>
      <c r="J22" s="66"/>
      <c r="K22" s="66"/>
      <c r="L22" s="71"/>
      <c r="M22" s="66"/>
      <c r="N22" s="72"/>
      <c r="O22" s="66"/>
      <c r="P22" s="66"/>
      <c r="Q22" s="66"/>
      <c r="R22" s="66"/>
      <c r="S22" s="71"/>
      <c r="T22" s="66"/>
      <c r="U22" s="66"/>
      <c r="V22" s="66"/>
    </row>
    <row r="23" spans="1:22">
      <c r="A23" s="69" t="s">
        <v>838</v>
      </c>
      <c r="B23" s="69" t="s">
        <v>839</v>
      </c>
      <c r="D23" s="22">
        <v>7</v>
      </c>
      <c r="E23" s="67" t="s">
        <v>834</v>
      </c>
      <c r="F23" s="22"/>
      <c r="G23" s="22"/>
      <c r="H23" s="70">
        <v>0</v>
      </c>
      <c r="I23" s="66" t="s">
        <v>304</v>
      </c>
      <c r="J23" s="76">
        <v>1.1509999999999999E-2</v>
      </c>
      <c r="K23" s="66"/>
      <c r="L23" s="66">
        <f>+H23*J23</f>
        <v>0</v>
      </c>
      <c r="M23" s="70"/>
      <c r="N23" s="72"/>
      <c r="O23" s="70">
        <v>0</v>
      </c>
      <c r="P23" s="66" t="s">
        <v>304</v>
      </c>
      <c r="Q23" s="76">
        <f>+J23*(1.01)</f>
        <v>1.1625099999999999E-2</v>
      </c>
      <c r="R23" s="66"/>
      <c r="S23" s="66">
        <f>+O23*Q23</f>
        <v>0</v>
      </c>
      <c r="T23" s="66"/>
      <c r="U23" s="66">
        <f t="shared" ref="U23:U27" si="2">+S23-L23</f>
        <v>0</v>
      </c>
      <c r="V23" s="73">
        <f t="shared" ref="V23:V27" si="3">+IF(U23=0,0,(S23-L23)/L23)</f>
        <v>0</v>
      </c>
    </row>
    <row r="24" spans="1:22">
      <c r="A24" s="69" t="s">
        <v>840</v>
      </c>
      <c r="B24" s="69" t="s">
        <v>841</v>
      </c>
      <c r="D24" s="22">
        <v>8</v>
      </c>
      <c r="E24" s="67" t="s">
        <v>842</v>
      </c>
      <c r="F24" s="22"/>
      <c r="G24" s="22"/>
      <c r="H24" s="70">
        <v>51076578.460000001</v>
      </c>
      <c r="I24" s="66" t="s">
        <v>304</v>
      </c>
      <c r="J24" s="76">
        <v>1.3860000000000001E-2</v>
      </c>
      <c r="K24" s="22"/>
      <c r="L24" s="66">
        <f>+H24*J24</f>
        <v>707921.37745560007</v>
      </c>
      <c r="M24" s="22"/>
      <c r="N24" s="23"/>
      <c r="O24" s="70">
        <v>48592993.530000001</v>
      </c>
      <c r="P24" s="66" t="s">
        <v>304</v>
      </c>
      <c r="Q24" s="77">
        <v>2.0947400000000001E-2</v>
      </c>
      <c r="R24" s="22"/>
      <c r="S24" s="66">
        <f>+O24*Q24</f>
        <v>1017896.8726703221</v>
      </c>
      <c r="T24" s="66"/>
      <c r="U24" s="66">
        <f t="shared" si="2"/>
        <v>309975.495214722</v>
      </c>
      <c r="V24" s="73">
        <f t="shared" si="3"/>
        <v>0.4378671206805918</v>
      </c>
    </row>
    <row r="25" spans="1:22">
      <c r="A25" s="69" t="s">
        <v>843</v>
      </c>
      <c r="B25" s="69" t="s">
        <v>844</v>
      </c>
      <c r="D25" s="22">
        <v>9</v>
      </c>
      <c r="E25" s="67" t="s">
        <v>845</v>
      </c>
      <c r="F25" s="65"/>
      <c r="G25" s="67"/>
      <c r="H25" s="70">
        <v>155234374.47999999</v>
      </c>
      <c r="I25" s="66" t="s">
        <v>304</v>
      </c>
      <c r="J25" s="76">
        <v>1.078E-2</v>
      </c>
      <c r="K25" s="22"/>
      <c r="L25" s="66">
        <f>+H25*J25</f>
        <v>1673426.5568943999</v>
      </c>
      <c r="M25" s="22"/>
      <c r="N25" s="23"/>
      <c r="O25" s="70">
        <v>90266980.709999993</v>
      </c>
      <c r="P25" s="66" t="s">
        <v>304</v>
      </c>
      <c r="Q25" s="76">
        <v>1.0227400000000001E-2</v>
      </c>
      <c r="R25" s="22"/>
      <c r="S25" s="66">
        <f>+O25*Q25</f>
        <v>923196.51851345401</v>
      </c>
      <c r="T25" s="66"/>
      <c r="U25" s="66">
        <f t="shared" si="2"/>
        <v>-750230.03838094592</v>
      </c>
      <c r="V25" s="73">
        <f t="shared" si="3"/>
        <v>-0.44831966798306794</v>
      </c>
    </row>
    <row r="26" spans="1:22" ht="16.5">
      <c r="A26" s="69" t="s">
        <v>846</v>
      </c>
      <c r="B26" s="69" t="s">
        <v>847</v>
      </c>
      <c r="D26" s="22"/>
      <c r="E26" s="67" t="s">
        <v>848</v>
      </c>
      <c r="F26" s="65"/>
      <c r="G26" s="67"/>
      <c r="H26" s="167">
        <v>0</v>
      </c>
      <c r="I26" s="66" t="s">
        <v>304</v>
      </c>
      <c r="J26" s="76">
        <v>0</v>
      </c>
      <c r="K26" s="66"/>
      <c r="L26" s="172">
        <f>+H26*J26</f>
        <v>0</v>
      </c>
      <c r="M26" s="66"/>
      <c r="N26" s="72"/>
      <c r="O26" s="167">
        <v>67450978.700000003</v>
      </c>
      <c r="P26" s="66" t="s">
        <v>304</v>
      </c>
      <c r="Q26" s="76">
        <v>7.1874000000000009E-3</v>
      </c>
      <c r="R26" s="66"/>
      <c r="S26" s="172">
        <f>+O26*Q26</f>
        <v>484797.1643083801</v>
      </c>
      <c r="T26" s="22"/>
      <c r="U26" s="66">
        <f t="shared" si="2"/>
        <v>484797.1643083801</v>
      </c>
      <c r="V26" s="162" t="str">
        <f>IFERROR(+IF(U26=0,0,(S26-L26)/L26),"New Rate")</f>
        <v>New Rate</v>
      </c>
    </row>
    <row r="27" spans="1:22">
      <c r="A27" s="69"/>
      <c r="B27" s="69"/>
      <c r="D27" s="22">
        <v>10</v>
      </c>
      <c r="E27" s="173" t="s">
        <v>43</v>
      </c>
      <c r="F27" s="65"/>
      <c r="G27" s="22"/>
      <c r="H27" s="66">
        <f>+SUM(H23:H25)</f>
        <v>206310952.94</v>
      </c>
      <c r="I27" s="66" t="s">
        <v>304</v>
      </c>
      <c r="J27" s="66"/>
      <c r="K27" s="66"/>
      <c r="L27" s="157">
        <f>+SUM(L23:L25)</f>
        <v>2381347.9343499998</v>
      </c>
      <c r="M27" s="66"/>
      <c r="N27" s="72"/>
      <c r="O27" s="66">
        <f>+SUM(O23:O26)</f>
        <v>206310952.94</v>
      </c>
      <c r="P27" s="66" t="s">
        <v>304</v>
      </c>
      <c r="Q27" s="66"/>
      <c r="R27" s="66"/>
      <c r="S27" s="157">
        <f>+SUM(S23:S26)</f>
        <v>2425890.5554921562</v>
      </c>
      <c r="T27" s="22"/>
      <c r="U27" s="66">
        <f t="shared" si="2"/>
        <v>44542.621142156422</v>
      </c>
      <c r="V27" s="73">
        <f t="shared" si="3"/>
        <v>1.8704793406980464E-2</v>
      </c>
    </row>
    <row r="28" spans="1:22">
      <c r="A28" s="69"/>
      <c r="B28" s="69"/>
      <c r="D28" s="22">
        <v>11</v>
      </c>
      <c r="E28" s="22"/>
      <c r="F28" s="22"/>
      <c r="G28" s="22"/>
      <c r="H28" s="22"/>
      <c r="I28" s="22"/>
      <c r="J28" s="22"/>
      <c r="K28" s="22"/>
      <c r="L28" s="74"/>
      <c r="M28" s="22"/>
      <c r="N28" s="23"/>
      <c r="O28" s="22"/>
      <c r="P28" s="22"/>
      <c r="Q28" s="22"/>
      <c r="R28" s="22"/>
      <c r="S28" s="74"/>
      <c r="T28" s="22"/>
      <c r="U28" s="22"/>
      <c r="V28" s="22"/>
    </row>
    <row r="29" spans="1:22">
      <c r="A29" s="69"/>
      <c r="B29" s="69"/>
      <c r="D29" s="22">
        <v>12</v>
      </c>
      <c r="E29" s="22" t="s">
        <v>99</v>
      </c>
      <c r="F29" s="65"/>
      <c r="G29" s="22"/>
      <c r="H29" s="22"/>
      <c r="I29" s="66"/>
      <c r="J29" s="66"/>
      <c r="K29" s="66"/>
      <c r="L29" s="71"/>
      <c r="M29" s="66"/>
      <c r="N29" s="72"/>
      <c r="O29" s="66"/>
      <c r="P29" s="66"/>
      <c r="Q29" s="66"/>
      <c r="R29" s="66"/>
      <c r="S29" s="71"/>
      <c r="T29" s="66"/>
      <c r="U29" s="66"/>
      <c r="V29" s="85"/>
    </row>
    <row r="30" spans="1:22">
      <c r="A30" s="69" t="s">
        <v>849</v>
      </c>
      <c r="B30" s="69" t="s">
        <v>850</v>
      </c>
      <c r="D30" s="22">
        <v>13</v>
      </c>
      <c r="E30" s="67" t="s">
        <v>834</v>
      </c>
      <c r="F30" s="65"/>
      <c r="G30" s="67"/>
      <c r="H30" s="70">
        <v>0</v>
      </c>
      <c r="I30" s="66" t="s">
        <v>413</v>
      </c>
      <c r="J30" s="71">
        <v>9.2899999999999991</v>
      </c>
      <c r="K30" s="66"/>
      <c r="L30" s="66">
        <f>+H30*J30</f>
        <v>0</v>
      </c>
      <c r="M30" s="66"/>
      <c r="N30" s="72"/>
      <c r="O30" s="66">
        <v>0</v>
      </c>
      <c r="P30" s="66" t="s">
        <v>413</v>
      </c>
      <c r="Q30" s="71">
        <v>12.766843379309357</v>
      </c>
      <c r="R30" s="66"/>
      <c r="S30" s="66">
        <f>+O30*Q30</f>
        <v>0</v>
      </c>
      <c r="T30" s="22"/>
      <c r="U30" s="66">
        <f t="shared" ref="U30:U33" si="4">+S30-L30</f>
        <v>0</v>
      </c>
      <c r="V30" s="73">
        <f t="shared" ref="V30:V33" si="5">+IF(U30=0,0,(S30-L30)/L30)</f>
        <v>0</v>
      </c>
    </row>
    <row r="31" spans="1:22">
      <c r="A31" s="69" t="s">
        <v>851</v>
      </c>
      <c r="B31" s="69" t="s">
        <v>852</v>
      </c>
      <c r="D31" s="22">
        <v>14</v>
      </c>
      <c r="E31" s="67" t="s">
        <v>853</v>
      </c>
      <c r="F31" s="22"/>
      <c r="G31" s="22"/>
      <c r="H31" s="70">
        <v>592305.27</v>
      </c>
      <c r="I31" s="66" t="s">
        <v>413</v>
      </c>
      <c r="J31" s="71">
        <v>2.95</v>
      </c>
      <c r="K31" s="66"/>
      <c r="L31" s="66">
        <f>+H31*J31</f>
        <v>1747300.5465000002</v>
      </c>
      <c r="M31" s="66"/>
      <c r="N31" s="72"/>
      <c r="O31" s="66">
        <v>592305.27</v>
      </c>
      <c r="P31" s="66" t="s">
        <v>413</v>
      </c>
      <c r="Q31" s="71">
        <v>1.5508190117197869</v>
      </c>
      <c r="R31" s="66"/>
      <c r="S31" s="66">
        <f>+O31*Q31</f>
        <v>918558.27345782157</v>
      </c>
      <c r="T31" s="22"/>
      <c r="U31" s="66">
        <f t="shared" si="4"/>
        <v>-828742.2730421786</v>
      </c>
      <c r="V31" s="73">
        <f t="shared" si="5"/>
        <v>-0.47429864009498751</v>
      </c>
    </row>
    <row r="32" spans="1:22" ht="16.5">
      <c r="A32" s="69" t="s">
        <v>854</v>
      </c>
      <c r="B32" s="69" t="s">
        <v>855</v>
      </c>
      <c r="D32" s="22">
        <v>15</v>
      </c>
      <c r="E32" s="67" t="s">
        <v>856</v>
      </c>
      <c r="F32" s="65"/>
      <c r="G32" s="67"/>
      <c r="H32" s="167">
        <v>544685.55000000005</v>
      </c>
      <c r="I32" s="66" t="s">
        <v>430</v>
      </c>
      <c r="J32" s="71">
        <v>6.31</v>
      </c>
      <c r="K32" s="66"/>
      <c r="L32" s="172">
        <f>+H32*J32</f>
        <v>3436965.8204999999</v>
      </c>
      <c r="M32" s="66"/>
      <c r="N32" s="72"/>
      <c r="O32" s="172">
        <v>544685.55000000005</v>
      </c>
      <c r="P32" s="66" t="s">
        <v>430</v>
      </c>
      <c r="Q32" s="71">
        <v>11.216024367589569</v>
      </c>
      <c r="R32" s="66"/>
      <c r="S32" s="172">
        <f>+O32*Q32</f>
        <v>6109206.4014739264</v>
      </c>
      <c r="T32" s="22"/>
      <c r="U32" s="66">
        <f t="shared" si="4"/>
        <v>2672240.5809739265</v>
      </c>
      <c r="V32" s="73">
        <f t="shared" si="5"/>
        <v>0.77749989977647682</v>
      </c>
    </row>
    <row r="33" spans="1:22">
      <c r="A33" s="69"/>
      <c r="B33" s="69"/>
      <c r="D33" s="22">
        <v>16</v>
      </c>
      <c r="E33" s="48" t="s">
        <v>298</v>
      </c>
      <c r="F33" s="65"/>
      <c r="G33" s="22"/>
      <c r="H33" s="66">
        <f>+SUM(H30:H31)</f>
        <v>592305.27</v>
      </c>
      <c r="I33" s="66" t="s">
        <v>413</v>
      </c>
      <c r="J33" s="71"/>
      <c r="K33" s="66"/>
      <c r="L33" s="157">
        <f>+SUM(L30:L32)</f>
        <v>5184266.3670000006</v>
      </c>
      <c r="M33" s="66"/>
      <c r="N33" s="72"/>
      <c r="O33" s="66">
        <f>+SUM(O30:O31)</f>
        <v>592305.27</v>
      </c>
      <c r="P33" s="66" t="s">
        <v>413</v>
      </c>
      <c r="Q33" s="80"/>
      <c r="R33" s="66"/>
      <c r="S33" s="157">
        <f>+SUM(S30:S32)</f>
        <v>7027764.6749317478</v>
      </c>
      <c r="T33" s="66"/>
      <c r="U33" s="66">
        <f t="shared" si="4"/>
        <v>1843498.3079317473</v>
      </c>
      <c r="V33" s="73">
        <f t="shared" si="5"/>
        <v>0.35559482816438143</v>
      </c>
    </row>
    <row r="34" spans="1:22">
      <c r="A34" s="69"/>
      <c r="B34" s="69"/>
      <c r="D34" s="22">
        <v>17</v>
      </c>
      <c r="E34" s="48"/>
      <c r="F34" s="65"/>
      <c r="G34" s="22"/>
      <c r="H34" s="66"/>
      <c r="I34" s="66"/>
      <c r="J34" s="71"/>
      <c r="K34" s="66"/>
      <c r="L34" s="66"/>
      <c r="M34" s="66"/>
      <c r="N34" s="72"/>
      <c r="O34" s="66"/>
      <c r="P34" s="66"/>
      <c r="Q34" s="80"/>
      <c r="R34" s="66"/>
      <c r="S34" s="66"/>
      <c r="T34" s="66"/>
      <c r="U34" s="66"/>
      <c r="V34" s="75"/>
    </row>
    <row r="35" spans="1:22">
      <c r="A35" s="69"/>
      <c r="B35" s="69"/>
      <c r="D35" s="22">
        <v>18</v>
      </c>
      <c r="E35" s="67" t="s">
        <v>344</v>
      </c>
      <c r="F35" s="67"/>
      <c r="G35" s="22"/>
      <c r="H35" s="41"/>
      <c r="I35" s="66"/>
      <c r="J35" s="66"/>
      <c r="K35" s="66"/>
      <c r="L35" s="71"/>
      <c r="M35" s="66"/>
      <c r="N35" s="72"/>
      <c r="O35" s="22"/>
      <c r="P35" s="66"/>
      <c r="Q35" s="66"/>
      <c r="R35" s="66"/>
      <c r="S35" s="71"/>
      <c r="T35" s="66"/>
      <c r="U35" s="66"/>
      <c r="V35" s="75"/>
    </row>
    <row r="36" spans="1:22">
      <c r="A36" s="69" t="s">
        <v>857</v>
      </c>
      <c r="B36" s="69" t="s">
        <v>858</v>
      </c>
      <c r="D36" s="22">
        <v>19</v>
      </c>
      <c r="E36" s="67" t="s">
        <v>859</v>
      </c>
      <c r="F36" s="22"/>
      <c r="G36" s="22"/>
      <c r="H36" s="66">
        <v>0</v>
      </c>
      <c r="I36" s="66" t="s">
        <v>413</v>
      </c>
      <c r="J36" s="71">
        <v>0.68</v>
      </c>
      <c r="K36" s="22"/>
      <c r="L36" s="66">
        <f>+H36*J36</f>
        <v>0</v>
      </c>
      <c r="M36" s="22"/>
      <c r="N36" s="23"/>
      <c r="O36" s="66">
        <v>0</v>
      </c>
      <c r="P36" s="66" t="s">
        <v>413</v>
      </c>
      <c r="Q36" s="71">
        <v>1.02</v>
      </c>
      <c r="R36" s="22"/>
      <c r="S36" s="66">
        <f>+O36*Q36</f>
        <v>0</v>
      </c>
      <c r="T36" s="22"/>
      <c r="U36" s="66">
        <f t="shared" ref="U36:U38" si="6">+S36-L36</f>
        <v>0</v>
      </c>
      <c r="V36" s="73">
        <f t="shared" ref="V36:V38" si="7">+IF(U36=0,0,(S36-L36)/L36)</f>
        <v>0</v>
      </c>
    </row>
    <row r="37" spans="1:22" ht="16.5">
      <c r="A37" s="69" t="s">
        <v>860</v>
      </c>
      <c r="B37" s="69" t="s">
        <v>861</v>
      </c>
      <c r="D37" s="22">
        <v>20</v>
      </c>
      <c r="E37" s="67" t="s">
        <v>862</v>
      </c>
      <c r="F37" s="22"/>
      <c r="G37" s="22"/>
      <c r="H37" s="172">
        <v>0</v>
      </c>
      <c r="I37" s="66" t="s">
        <v>413</v>
      </c>
      <c r="J37" s="71">
        <v>0.68</v>
      </c>
      <c r="K37" s="22"/>
      <c r="L37" s="172">
        <f>+H37*J37</f>
        <v>0</v>
      </c>
      <c r="M37" s="22"/>
      <c r="N37" s="23"/>
      <c r="O37" s="172">
        <v>0</v>
      </c>
      <c r="P37" s="66" t="s">
        <v>413</v>
      </c>
      <c r="Q37" s="71">
        <v>1.02</v>
      </c>
      <c r="R37" s="22"/>
      <c r="S37" s="172">
        <f>+O37*Q37</f>
        <v>0</v>
      </c>
      <c r="T37" s="22"/>
      <c r="U37" s="66">
        <f t="shared" si="6"/>
        <v>0</v>
      </c>
      <c r="V37" s="73">
        <f t="shared" si="7"/>
        <v>0</v>
      </c>
    </row>
    <row r="38" spans="1:22">
      <c r="A38" s="69"/>
      <c r="B38" s="69"/>
      <c r="D38" s="22">
        <v>21</v>
      </c>
      <c r="E38" s="48" t="s">
        <v>298</v>
      </c>
      <c r="F38" s="65"/>
      <c r="G38" s="22"/>
      <c r="H38" s="70">
        <f>+SUM(H36:H37)</f>
        <v>0</v>
      </c>
      <c r="I38" s="66" t="s">
        <v>413</v>
      </c>
      <c r="J38" s="71"/>
      <c r="K38" s="66"/>
      <c r="L38" s="157">
        <f>+SUM(L36:L37)</f>
        <v>0</v>
      </c>
      <c r="M38" s="66"/>
      <c r="N38" s="72"/>
      <c r="O38" s="70">
        <f>+SUM(O36:O37)</f>
        <v>0</v>
      </c>
      <c r="P38" s="66" t="s">
        <v>413</v>
      </c>
      <c r="Q38" s="71"/>
      <c r="R38" s="66"/>
      <c r="S38" s="157">
        <f>+SUM(S36:S37)</f>
        <v>0</v>
      </c>
      <c r="T38" s="66"/>
      <c r="U38" s="66">
        <f t="shared" si="6"/>
        <v>0</v>
      </c>
      <c r="V38" s="73">
        <f t="shared" si="7"/>
        <v>0</v>
      </c>
    </row>
    <row r="39" spans="1:22">
      <c r="A39" s="69"/>
      <c r="B39" s="69"/>
      <c r="D39" s="22">
        <v>22</v>
      </c>
      <c r="E39" s="48"/>
      <c r="F39" s="65"/>
      <c r="G39" s="22"/>
      <c r="H39" s="66"/>
      <c r="I39" s="66"/>
      <c r="J39" s="71"/>
      <c r="K39" s="66"/>
      <c r="L39" s="71"/>
      <c r="M39" s="66"/>
      <c r="N39" s="72"/>
      <c r="O39" s="66"/>
      <c r="P39" s="66"/>
      <c r="Q39" s="71"/>
      <c r="R39" s="66"/>
      <c r="S39" s="71"/>
      <c r="T39" s="66"/>
      <c r="U39" s="66"/>
      <c r="V39" s="75"/>
    </row>
    <row r="40" spans="1:22">
      <c r="A40" s="69"/>
      <c r="B40" s="69"/>
      <c r="D40" s="22">
        <v>23</v>
      </c>
      <c r="E40" s="22" t="s">
        <v>761</v>
      </c>
      <c r="F40" s="22"/>
      <c r="G40" s="22"/>
      <c r="H40" s="22"/>
      <c r="I40" s="22"/>
      <c r="J40" s="22"/>
      <c r="K40" s="22"/>
      <c r="L40" s="74"/>
      <c r="M40" s="22"/>
      <c r="N40" s="23"/>
      <c r="O40" s="22"/>
      <c r="P40" s="22"/>
      <c r="Q40" s="22"/>
      <c r="R40" s="22"/>
      <c r="S40" s="74"/>
      <c r="T40" s="66"/>
      <c r="U40" s="66"/>
      <c r="V40" s="66"/>
    </row>
    <row r="41" spans="1:22">
      <c r="A41" s="69" t="s">
        <v>863</v>
      </c>
      <c r="B41" s="69" t="s">
        <v>864</v>
      </c>
      <c r="D41" s="22">
        <v>24</v>
      </c>
      <c r="E41" s="67" t="s">
        <v>859</v>
      </c>
      <c r="F41" s="22"/>
      <c r="G41" s="22"/>
      <c r="H41" s="66">
        <v>0</v>
      </c>
      <c r="I41" s="22" t="s">
        <v>675</v>
      </c>
      <c r="J41" s="76">
        <v>2.0300000000000001E-3</v>
      </c>
      <c r="K41" s="22"/>
      <c r="L41" s="66">
        <f>+H41*J41</f>
        <v>0</v>
      </c>
      <c r="M41" s="22"/>
      <c r="N41" s="23"/>
      <c r="O41" s="193">
        <v>0</v>
      </c>
      <c r="P41" s="22" t="s">
        <v>675</v>
      </c>
      <c r="Q41" s="76">
        <v>2.0300000000000001E-3</v>
      </c>
      <c r="R41" s="22"/>
      <c r="S41" s="66">
        <f>+O41*Q41</f>
        <v>0</v>
      </c>
      <c r="T41" s="22"/>
      <c r="U41" s="66">
        <f t="shared" ref="U41:U43" si="8">+S41-L41</f>
        <v>0</v>
      </c>
      <c r="V41" s="73">
        <f t="shared" ref="V41:V43" si="9">+IF(U41=0,0,(S41-L41)/L41)</f>
        <v>0</v>
      </c>
    </row>
    <row r="42" spans="1:22" ht="16.5">
      <c r="A42" s="69" t="s">
        <v>865</v>
      </c>
      <c r="B42" s="69" t="s">
        <v>866</v>
      </c>
      <c r="D42" s="22">
        <v>25</v>
      </c>
      <c r="E42" s="67" t="s">
        <v>862</v>
      </c>
      <c r="F42" s="22"/>
      <c r="G42" s="22"/>
      <c r="H42" s="172">
        <v>21354005.66</v>
      </c>
      <c r="I42" s="22" t="s">
        <v>675</v>
      </c>
      <c r="J42" s="76">
        <v>2.0300000000000001E-3</v>
      </c>
      <c r="K42" s="22"/>
      <c r="L42" s="172">
        <f>+H42*J42</f>
        <v>43348.631489800006</v>
      </c>
      <c r="M42" s="22"/>
      <c r="N42" s="23"/>
      <c r="O42" s="194">
        <v>21354005.66</v>
      </c>
      <c r="P42" s="22" t="s">
        <v>675</v>
      </c>
      <c r="Q42" s="76">
        <v>2.0300000000000001E-3</v>
      </c>
      <c r="R42" s="22"/>
      <c r="S42" s="172">
        <f>+O42*Q42</f>
        <v>43348.631489800006</v>
      </c>
      <c r="T42" s="66"/>
      <c r="U42" s="66">
        <f t="shared" si="8"/>
        <v>0</v>
      </c>
      <c r="V42" s="73">
        <f t="shared" si="9"/>
        <v>0</v>
      </c>
    </row>
    <row r="43" spans="1:22">
      <c r="A43" s="69"/>
      <c r="B43" s="69"/>
      <c r="D43" s="22">
        <v>26</v>
      </c>
      <c r="E43" s="22"/>
      <c r="F43" s="22"/>
      <c r="G43" s="22"/>
      <c r="H43" s="70">
        <f>+SUM(H41:H42)</f>
        <v>21354005.66</v>
      </c>
      <c r="I43" s="22" t="s">
        <v>675</v>
      </c>
      <c r="J43" s="22"/>
      <c r="K43" s="22"/>
      <c r="L43" s="157">
        <f>+SUM(L41:L42)</f>
        <v>43348.631489800006</v>
      </c>
      <c r="M43" s="22"/>
      <c r="N43" s="23"/>
      <c r="O43" s="70">
        <f>+SUM(O41:O42)</f>
        <v>21354005.66</v>
      </c>
      <c r="P43" s="22" t="s">
        <v>675</v>
      </c>
      <c r="Q43" s="22"/>
      <c r="R43" s="22"/>
      <c r="S43" s="157">
        <f>+SUM(S41:S42)</f>
        <v>43348.631489800006</v>
      </c>
      <c r="T43" s="66"/>
      <c r="U43" s="66">
        <f t="shared" si="8"/>
        <v>0</v>
      </c>
      <c r="V43" s="73">
        <f t="shared" si="9"/>
        <v>0</v>
      </c>
    </row>
    <row r="44" spans="1:22">
      <c r="A44" s="69"/>
      <c r="B44" s="69"/>
      <c r="D44" s="22">
        <v>27</v>
      </c>
      <c r="E44" s="22" t="s">
        <v>766</v>
      </c>
      <c r="F44" s="22"/>
      <c r="G44" s="22"/>
      <c r="H44" s="22"/>
      <c r="I44" s="22"/>
      <c r="J44" s="22"/>
      <c r="K44" s="22"/>
      <c r="L44" s="22"/>
      <c r="M44" s="22"/>
      <c r="N44" s="23"/>
      <c r="O44" s="22"/>
      <c r="P44" s="22"/>
      <c r="Q44" s="22"/>
      <c r="R44" s="22"/>
      <c r="S44" s="22"/>
      <c r="T44" s="22"/>
      <c r="U44" s="22"/>
      <c r="V44" s="22"/>
    </row>
    <row r="45" spans="1:22">
      <c r="A45" s="69" t="s">
        <v>867</v>
      </c>
      <c r="B45" s="69" t="s">
        <v>868</v>
      </c>
      <c r="D45" s="22">
        <v>28</v>
      </c>
      <c r="E45" s="67" t="s">
        <v>859</v>
      </c>
      <c r="F45" s="22"/>
      <c r="G45" s="22"/>
      <c r="H45" s="66">
        <v>0</v>
      </c>
      <c r="I45" s="22" t="s">
        <v>675</v>
      </c>
      <c r="J45" s="76">
        <v>-1.0200000000000001E-3</v>
      </c>
      <c r="K45" s="22"/>
      <c r="L45" s="66">
        <f>+H45*J45</f>
        <v>0</v>
      </c>
      <c r="M45" s="22"/>
      <c r="N45" s="23"/>
      <c r="O45" s="193">
        <v>0</v>
      </c>
      <c r="P45" s="22" t="s">
        <v>675</v>
      </c>
      <c r="Q45" s="76">
        <v>-1.0200000000000001E-3</v>
      </c>
      <c r="R45" s="22"/>
      <c r="S45" s="66">
        <f>+O45*Q45</f>
        <v>0</v>
      </c>
      <c r="T45" s="22"/>
      <c r="U45" s="66">
        <f t="shared" ref="U45:U47" si="10">+S45-L45</f>
        <v>0</v>
      </c>
      <c r="V45" s="73">
        <f t="shared" ref="V45:V47" si="11">+IF(U45=0,0,(S45-L45)/L45)</f>
        <v>0</v>
      </c>
    </row>
    <row r="46" spans="1:22" ht="16.5">
      <c r="A46" s="69" t="s">
        <v>869</v>
      </c>
      <c r="B46" s="69" t="s">
        <v>870</v>
      </c>
      <c r="D46" s="22">
        <v>29</v>
      </c>
      <c r="E46" s="22" t="s">
        <v>862</v>
      </c>
      <c r="F46" s="22"/>
      <c r="G46" s="22"/>
      <c r="H46" s="172">
        <v>2680704.4</v>
      </c>
      <c r="I46" s="22" t="s">
        <v>675</v>
      </c>
      <c r="J46" s="76">
        <v>-1.0200000000000001E-3</v>
      </c>
      <c r="K46" s="22"/>
      <c r="L46" s="194">
        <f>+H46*J46</f>
        <v>-2734.3184879999999</v>
      </c>
      <c r="M46" s="22"/>
      <c r="N46" s="23"/>
      <c r="O46" s="194">
        <v>2680704.4</v>
      </c>
      <c r="P46" s="22" t="s">
        <v>675</v>
      </c>
      <c r="Q46" s="76">
        <v>-1.0200000000000001E-3</v>
      </c>
      <c r="R46" s="22"/>
      <c r="S46" s="194">
        <f>+O46*Q46</f>
        <v>-2734.3184879999999</v>
      </c>
      <c r="T46" s="22"/>
      <c r="U46" s="66">
        <f t="shared" si="10"/>
        <v>0</v>
      </c>
      <c r="V46" s="73">
        <f t="shared" si="11"/>
        <v>0</v>
      </c>
    </row>
    <row r="47" spans="1:22">
      <c r="A47" s="69"/>
      <c r="B47" s="69"/>
      <c r="D47" s="22">
        <v>30</v>
      </c>
      <c r="E47" s="22" t="s">
        <v>298</v>
      </c>
      <c r="F47" s="22"/>
      <c r="G47" s="22"/>
      <c r="H47" s="70">
        <f>+SUM(H45:H46)</f>
        <v>2680704.4</v>
      </c>
      <c r="I47" s="22"/>
      <c r="J47" s="22"/>
      <c r="K47" s="22"/>
      <c r="L47" s="41">
        <f>+SUM(L45:L46)</f>
        <v>-2734.3184879999999</v>
      </c>
      <c r="M47" s="22"/>
      <c r="N47" s="23"/>
      <c r="O47" s="70">
        <f>+SUM(O45:O46)</f>
        <v>2680704.4</v>
      </c>
      <c r="P47" s="22"/>
      <c r="Q47" s="22"/>
      <c r="R47" s="22"/>
      <c r="S47" s="41">
        <f>+SUM(S45:S46)</f>
        <v>-2734.3184879999999</v>
      </c>
      <c r="T47" s="22"/>
      <c r="U47" s="66">
        <f t="shared" si="10"/>
        <v>0</v>
      </c>
      <c r="V47" s="73">
        <f t="shared" si="11"/>
        <v>0</v>
      </c>
    </row>
    <row r="48" spans="1:22">
      <c r="A48" s="69"/>
      <c r="B48" s="69"/>
      <c r="D48" s="22">
        <v>31</v>
      </c>
      <c r="E48" s="48"/>
      <c r="F48" s="65"/>
      <c r="G48" s="22"/>
      <c r="H48" s="66"/>
      <c r="I48" s="66"/>
      <c r="J48" s="71"/>
      <c r="K48" s="66"/>
      <c r="L48" s="66"/>
      <c r="M48" s="66"/>
      <c r="N48" s="72"/>
      <c r="O48" s="66"/>
      <c r="P48" s="66"/>
      <c r="Q48" s="80"/>
      <c r="R48" s="66"/>
      <c r="S48" s="66"/>
      <c r="T48" s="66"/>
      <c r="U48" s="66"/>
      <c r="V48" s="75"/>
    </row>
    <row r="49" spans="1:22">
      <c r="A49" s="69"/>
      <c r="B49" s="69"/>
      <c r="D49" s="22">
        <v>32</v>
      </c>
      <c r="E49" s="22"/>
      <c r="F49" s="22"/>
      <c r="G49" s="22"/>
      <c r="H49" s="22"/>
      <c r="I49" s="22"/>
      <c r="J49" s="22"/>
      <c r="K49" s="22"/>
      <c r="L49" s="22"/>
      <c r="M49" s="22"/>
      <c r="N49" s="23"/>
      <c r="O49" s="22"/>
      <c r="P49" s="22"/>
      <c r="Q49" s="22"/>
      <c r="R49" s="22"/>
      <c r="S49" s="22"/>
      <c r="T49" s="22"/>
      <c r="U49" s="22"/>
      <c r="V49" s="22"/>
    </row>
    <row r="50" spans="1:22" ht="15.75" thickBot="1">
      <c r="A50" s="69"/>
      <c r="B50" s="69"/>
      <c r="D50" s="22">
        <v>33</v>
      </c>
      <c r="E50" s="67" t="s">
        <v>316</v>
      </c>
      <c r="F50" s="67"/>
      <c r="G50" s="22"/>
      <c r="H50" s="22"/>
      <c r="I50" s="66"/>
      <c r="J50" s="66"/>
      <c r="K50" s="66"/>
      <c r="L50" s="78">
        <f>+L20+L27+L33+L38+L43+L47</f>
        <v>7728166.3573518004</v>
      </c>
      <c r="M50" s="66"/>
      <c r="N50" s="72"/>
      <c r="O50" s="66"/>
      <c r="P50" s="66"/>
      <c r="Q50" s="66"/>
      <c r="R50" s="66"/>
      <c r="S50" s="78">
        <f>+S20+S27+S33+S38+S43+S47</f>
        <v>9679748.6228257045</v>
      </c>
      <c r="T50" s="22"/>
      <c r="U50" s="66">
        <f>+S50-L50</f>
        <v>1951582.2654739041</v>
      </c>
      <c r="V50" s="73">
        <f>+IF(U50=0,0,(S50-L50)/L50)</f>
        <v>0.25252850097065588</v>
      </c>
    </row>
    <row r="51" spans="1:22" ht="15.75" thickTop="1">
      <c r="A51" s="69"/>
      <c r="B51" s="69"/>
      <c r="D51" s="22">
        <v>34</v>
      </c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</row>
    <row r="52" spans="1:22">
      <c r="D52" s="22">
        <v>35</v>
      </c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</row>
    <row r="53" spans="1:22">
      <c r="D53" s="22">
        <v>36</v>
      </c>
    </row>
    <row r="54" spans="1:22">
      <c r="D54" s="22">
        <v>37</v>
      </c>
    </row>
    <row r="55" spans="1:22" ht="15.75" thickBot="1">
      <c r="D55" s="24">
        <v>39</v>
      </c>
      <c r="E55" s="24" t="s">
        <v>773</v>
      </c>
      <c r="F55" s="24"/>
      <c r="G55" s="24"/>
      <c r="H55" s="24"/>
      <c r="I55" s="24"/>
      <c r="J55" s="24"/>
      <c r="K55" s="24"/>
      <c r="L55" s="24"/>
      <c r="M55" s="24"/>
      <c r="N55" s="25"/>
      <c r="O55" s="24"/>
      <c r="P55" s="24"/>
      <c r="Q55" s="24"/>
      <c r="R55" s="24"/>
      <c r="S55" s="24"/>
      <c r="T55" s="24"/>
      <c r="U55" s="24"/>
      <c r="V55" s="26"/>
    </row>
    <row r="56" spans="1:22"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3"/>
      <c r="O56" s="22"/>
      <c r="P56" s="22"/>
      <c r="Q56" s="22"/>
      <c r="R56" s="22"/>
      <c r="S56" s="22"/>
      <c r="T56" s="22"/>
      <c r="U56" s="22"/>
      <c r="V56" s="22"/>
    </row>
    <row r="57" spans="1:22">
      <c r="D57" s="22"/>
      <c r="E57" s="22"/>
      <c r="F57" s="22"/>
      <c r="G57" s="22"/>
      <c r="H57" s="22"/>
      <c r="I57" s="22"/>
      <c r="J57" s="22"/>
      <c r="K57" s="330"/>
      <c r="L57" s="330"/>
      <c r="M57" s="330"/>
      <c r="N57" s="330"/>
      <c r="O57" s="330"/>
      <c r="P57" s="22"/>
      <c r="Q57" s="22"/>
      <c r="R57" s="22"/>
      <c r="S57" s="22"/>
      <c r="T57" s="22"/>
      <c r="U57" s="22"/>
      <c r="V57" s="22"/>
    </row>
    <row r="58" spans="1:22" ht="15.75" thickBot="1">
      <c r="D58" s="24"/>
      <c r="E58" s="24"/>
      <c r="F58" s="24"/>
      <c r="G58" s="24"/>
      <c r="H58" s="24"/>
      <c r="I58" s="24"/>
      <c r="J58" s="24"/>
      <c r="K58" s="331" t="s">
        <v>274</v>
      </c>
      <c r="L58" s="331"/>
      <c r="M58" s="331"/>
      <c r="N58" s="331"/>
      <c r="O58" s="331"/>
      <c r="P58" s="24"/>
      <c r="Q58" s="24"/>
      <c r="R58" s="24"/>
      <c r="S58" s="24"/>
      <c r="T58" s="24"/>
      <c r="U58" s="24"/>
      <c r="V58" s="26"/>
    </row>
    <row r="59" spans="1:22">
      <c r="D59" s="22"/>
      <c r="E59" s="22"/>
      <c r="F59" s="22"/>
      <c r="G59" s="22"/>
      <c r="H59" s="22"/>
      <c r="I59" s="22"/>
      <c r="K59" s="22"/>
      <c r="L59" s="22"/>
      <c r="M59" s="22"/>
      <c r="N59" s="29"/>
      <c r="O59" s="30"/>
      <c r="P59" s="22"/>
      <c r="Q59" s="30"/>
      <c r="R59" s="30"/>
      <c r="S59" s="30"/>
      <c r="T59" s="22"/>
      <c r="U59" s="22"/>
      <c r="V59" s="31"/>
    </row>
    <row r="60" spans="1:22">
      <c r="D60" s="22"/>
      <c r="E60" s="22"/>
      <c r="F60" s="22"/>
      <c r="G60" s="22"/>
      <c r="H60" s="22"/>
      <c r="I60" s="22"/>
      <c r="K60" s="22"/>
      <c r="L60" s="22"/>
      <c r="M60" s="22"/>
      <c r="N60" s="23"/>
      <c r="O60" s="31"/>
      <c r="P60" s="22"/>
      <c r="Q60" s="22"/>
      <c r="R60" s="32"/>
      <c r="S60" s="32"/>
      <c r="T60" s="31"/>
      <c r="U60" s="22"/>
      <c r="V60" s="32"/>
    </row>
    <row r="61" spans="1:22"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3"/>
      <c r="O61" s="31"/>
      <c r="P61" s="32"/>
      <c r="Q61" s="22"/>
      <c r="R61" s="22"/>
      <c r="S61" s="32"/>
      <c r="T61" s="31"/>
      <c r="U61" s="22"/>
      <c r="V61" s="32"/>
    </row>
    <row r="62" spans="1:22"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3"/>
      <c r="O62" s="31"/>
      <c r="P62" s="32"/>
      <c r="Q62" s="22"/>
      <c r="R62" s="22"/>
      <c r="S62" s="32"/>
      <c r="T62" s="31"/>
      <c r="U62" s="22"/>
      <c r="V62" s="32"/>
    </row>
    <row r="63" spans="1:22">
      <c r="D63" s="22"/>
      <c r="E63" s="22"/>
      <c r="F63" s="32"/>
      <c r="G63" s="22"/>
      <c r="H63" s="22"/>
      <c r="I63" s="22"/>
      <c r="J63" s="22"/>
      <c r="K63" s="36"/>
      <c r="L63" s="36"/>
      <c r="M63" s="36"/>
      <c r="N63" s="23"/>
      <c r="O63" s="22"/>
      <c r="P63" s="22"/>
      <c r="Q63" s="22"/>
      <c r="R63" s="22"/>
      <c r="S63" s="22"/>
      <c r="T63" s="22"/>
      <c r="U63" s="22"/>
      <c r="V63" s="22"/>
    </row>
    <row r="64" spans="1:22" ht="15.75" thickBot="1">
      <c r="D64" s="24"/>
      <c r="E64" s="24"/>
      <c r="F64" s="26"/>
      <c r="G64" s="37"/>
      <c r="H64" s="37"/>
      <c r="I64" s="38"/>
      <c r="J64" s="38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</row>
    <row r="65" spans="1:22">
      <c r="D65" s="22"/>
      <c r="E65" s="22"/>
      <c r="F65" s="22"/>
      <c r="G65" s="22"/>
      <c r="H65" s="36"/>
      <c r="I65" s="22"/>
      <c r="J65" s="36"/>
      <c r="K65" s="39"/>
      <c r="L65" s="36"/>
      <c r="M65" s="22"/>
      <c r="N65" s="36"/>
      <c r="O65" s="22"/>
      <c r="P65" s="39"/>
      <c r="Q65" s="22"/>
      <c r="R65" s="22"/>
      <c r="S65" s="22"/>
      <c r="T65" s="22"/>
      <c r="U65" s="22"/>
      <c r="V65" s="22"/>
    </row>
    <row r="66" spans="1:22">
      <c r="D66" s="22"/>
      <c r="E66" s="22"/>
      <c r="F66" s="22"/>
      <c r="G66" s="22"/>
      <c r="H66" s="39"/>
      <c r="I66" s="22"/>
      <c r="J66" s="22"/>
      <c r="K66" s="39"/>
      <c r="L66" s="22"/>
      <c r="M66" s="22"/>
      <c r="N66" s="36"/>
      <c r="O66" s="22"/>
      <c r="P66" s="39"/>
      <c r="Q66" s="22"/>
      <c r="R66" s="22"/>
      <c r="S66" s="22"/>
      <c r="T66" s="22"/>
      <c r="U66" s="22"/>
      <c r="V66" s="22"/>
    </row>
    <row r="67" spans="1:22">
      <c r="D67" s="22"/>
      <c r="E67" s="22"/>
      <c r="F67" s="22"/>
      <c r="G67" s="22"/>
      <c r="H67" s="22"/>
      <c r="I67" s="39"/>
      <c r="J67" s="39"/>
      <c r="K67" s="42"/>
      <c r="L67" s="42" t="s">
        <v>278</v>
      </c>
      <c r="M67" s="36"/>
      <c r="N67" s="44" t="s">
        <v>169</v>
      </c>
      <c r="O67" s="39"/>
      <c r="P67" s="22"/>
      <c r="Q67" s="39"/>
      <c r="R67" s="39"/>
      <c r="S67" s="39"/>
      <c r="T67" s="39"/>
      <c r="U67" s="39"/>
      <c r="V67" s="22"/>
    </row>
    <row r="68" spans="1:22">
      <c r="D68" s="22"/>
      <c r="E68" s="22"/>
      <c r="F68" s="22"/>
      <c r="G68" s="22"/>
      <c r="H68" s="22"/>
      <c r="I68" s="39"/>
      <c r="J68" s="39"/>
      <c r="K68" s="39"/>
      <c r="L68" s="39"/>
      <c r="M68" s="39"/>
      <c r="N68" s="36"/>
      <c r="O68" s="39"/>
      <c r="P68" s="39"/>
      <c r="Q68" s="39"/>
      <c r="R68" s="39"/>
      <c r="S68" s="39"/>
      <c r="T68" s="39"/>
      <c r="U68" s="39"/>
      <c r="V68" s="39"/>
    </row>
    <row r="69" spans="1:22">
      <c r="D69" s="23" t="s">
        <v>55</v>
      </c>
      <c r="E69" s="171" t="s">
        <v>280</v>
      </c>
      <c r="F69" s="48"/>
      <c r="G69" s="49"/>
      <c r="H69" s="50"/>
      <c r="I69" s="50"/>
      <c r="J69" s="51" t="s">
        <v>281</v>
      </c>
      <c r="K69" s="50"/>
      <c r="L69" s="50"/>
      <c r="M69" s="48"/>
      <c r="N69" s="53"/>
      <c r="O69" s="50"/>
      <c r="P69" s="51"/>
      <c r="Q69" s="51" t="s">
        <v>282</v>
      </c>
      <c r="R69" s="50"/>
      <c r="S69" s="50"/>
      <c r="T69" s="48"/>
      <c r="U69" s="55" t="s">
        <v>283</v>
      </c>
      <c r="V69" s="55" t="s">
        <v>284</v>
      </c>
    </row>
    <row r="70" spans="1:22" ht="15.75" thickBot="1">
      <c r="A70" s="56" t="s">
        <v>285</v>
      </c>
      <c r="B70" s="56" t="s">
        <v>286</v>
      </c>
      <c r="D70" s="25" t="s">
        <v>60</v>
      </c>
      <c r="E70" s="57" t="s">
        <v>287</v>
      </c>
      <c r="F70" s="58"/>
      <c r="G70" s="24"/>
      <c r="H70" s="25" t="s">
        <v>288</v>
      </c>
      <c r="I70" s="60"/>
      <c r="J70" s="60" t="s">
        <v>289</v>
      </c>
      <c r="K70" s="60"/>
      <c r="L70" s="60" t="s">
        <v>290</v>
      </c>
      <c r="M70" s="60"/>
      <c r="N70" s="60"/>
      <c r="O70" s="60" t="s">
        <v>288</v>
      </c>
      <c r="P70" s="60"/>
      <c r="Q70" s="60" t="s">
        <v>289</v>
      </c>
      <c r="R70" s="60"/>
      <c r="S70" s="60" t="s">
        <v>290</v>
      </c>
      <c r="T70" s="58"/>
      <c r="U70" s="62" t="s">
        <v>291</v>
      </c>
      <c r="V70" s="62" t="s">
        <v>59</v>
      </c>
    </row>
    <row r="71" spans="1:22">
      <c r="B71" s="69"/>
      <c r="D71" s="22">
        <v>1</v>
      </c>
      <c r="E71" s="84"/>
      <c r="F71" s="67"/>
      <c r="G71" s="22"/>
      <c r="H71" s="22"/>
      <c r="I71" s="65"/>
      <c r="J71" s="65"/>
      <c r="K71" s="65"/>
      <c r="L71" s="65"/>
      <c r="M71" s="67"/>
      <c r="N71" s="53"/>
      <c r="O71" s="67"/>
      <c r="P71" s="65"/>
      <c r="Q71" s="65"/>
      <c r="R71" s="65"/>
      <c r="S71" s="65"/>
      <c r="T71" s="65"/>
      <c r="U71" s="65"/>
      <c r="V71" s="65"/>
    </row>
    <row r="72" spans="1:22">
      <c r="A72" s="69"/>
      <c r="B72" s="69"/>
      <c r="D72" s="22">
        <v>2</v>
      </c>
      <c r="E72" s="67" t="s">
        <v>65</v>
      </c>
      <c r="F72" s="22"/>
      <c r="G72" s="22"/>
      <c r="H72" s="22"/>
      <c r="I72" s="22"/>
      <c r="J72" s="22"/>
      <c r="K72" s="22"/>
      <c r="L72" s="22"/>
      <c r="M72" s="22"/>
      <c r="N72" s="23"/>
      <c r="O72" s="22"/>
      <c r="P72" s="22"/>
      <c r="Q72" s="22"/>
      <c r="R72" s="22"/>
      <c r="S72" s="22"/>
      <c r="T72" s="22"/>
      <c r="U72" s="22"/>
      <c r="V72" s="22"/>
    </row>
    <row r="73" spans="1:22">
      <c r="A73" s="69" t="s">
        <v>871</v>
      </c>
      <c r="B73" s="69" t="s">
        <v>872</v>
      </c>
      <c r="D73" s="22">
        <v>3</v>
      </c>
      <c r="E73" s="150" t="s">
        <v>87</v>
      </c>
      <c r="F73" s="22"/>
      <c r="G73" s="22"/>
      <c r="H73" s="22">
        <v>0</v>
      </c>
      <c r="I73" s="66" t="s">
        <v>294</v>
      </c>
      <c r="J73" s="74">
        <v>84.73</v>
      </c>
      <c r="K73" s="22"/>
      <c r="L73" s="66">
        <f>+H73*J73</f>
        <v>0</v>
      </c>
      <c r="M73" s="22"/>
      <c r="N73" s="23"/>
      <c r="O73" s="22">
        <v>0</v>
      </c>
      <c r="P73" s="66" t="s">
        <v>294</v>
      </c>
      <c r="Q73" s="71">
        <v>128.44</v>
      </c>
      <c r="R73" s="22"/>
      <c r="S73" s="66">
        <f>+O73*Q73</f>
        <v>0</v>
      </c>
      <c r="T73" s="22"/>
      <c r="U73" s="66">
        <f t="shared" ref="U73:U75" si="12">+S73-L73</f>
        <v>0</v>
      </c>
      <c r="V73" s="73">
        <f t="shared" ref="V73:V75" si="13">+IF(U73=0,0,(S73-L73)/L73)</f>
        <v>0</v>
      </c>
    </row>
    <row r="74" spans="1:22" ht="16.5">
      <c r="A74" s="69" t="s">
        <v>873</v>
      </c>
      <c r="B74" s="69" t="s">
        <v>874</v>
      </c>
      <c r="D74" s="22">
        <v>4</v>
      </c>
      <c r="E74" s="22" t="s">
        <v>875</v>
      </c>
      <c r="F74" s="67"/>
      <c r="G74" s="22"/>
      <c r="H74" s="167">
        <v>2587</v>
      </c>
      <c r="I74" s="66" t="s">
        <v>294</v>
      </c>
      <c r="J74" s="74">
        <v>84.73</v>
      </c>
      <c r="K74" s="66"/>
      <c r="L74" s="172">
        <f>+H74*J74</f>
        <v>219196.51</v>
      </c>
      <c r="M74" s="70"/>
      <c r="N74" s="72"/>
      <c r="O74" s="167">
        <v>2587</v>
      </c>
      <c r="P74" s="66" t="s">
        <v>294</v>
      </c>
      <c r="Q74" s="71">
        <v>128.44</v>
      </c>
      <c r="R74" s="66"/>
      <c r="S74" s="172">
        <f>+O74*Q74</f>
        <v>332274.27999999997</v>
      </c>
      <c r="T74" s="22"/>
      <c r="U74" s="66">
        <f t="shared" si="12"/>
        <v>113077.76999999996</v>
      </c>
      <c r="V74" s="73">
        <f t="shared" si="13"/>
        <v>0.5158739525551751</v>
      </c>
    </row>
    <row r="75" spans="1:22">
      <c r="A75" s="69"/>
      <c r="B75" s="69"/>
      <c r="D75" s="22">
        <v>5</v>
      </c>
      <c r="E75" s="67" t="s">
        <v>521</v>
      </c>
      <c r="F75" s="67"/>
      <c r="G75" s="22"/>
      <c r="H75" s="95">
        <f>+SUM(H73:H74)</f>
        <v>2587</v>
      </c>
      <c r="I75" s="66" t="s">
        <v>328</v>
      </c>
      <c r="J75" s="74"/>
      <c r="K75" s="66"/>
      <c r="L75" s="157">
        <f>+SUM(L73:L74)</f>
        <v>219196.51</v>
      </c>
      <c r="M75" s="66"/>
      <c r="N75" s="72"/>
      <c r="O75" s="95">
        <f>+SUM(O73:O74)</f>
        <v>2587</v>
      </c>
      <c r="P75" s="66" t="s">
        <v>328</v>
      </c>
      <c r="Q75" s="74"/>
      <c r="R75" s="66"/>
      <c r="S75" s="157">
        <f>+SUM(S73:S74)</f>
        <v>332274.27999999997</v>
      </c>
      <c r="T75" s="22"/>
      <c r="U75" s="66">
        <f t="shared" si="12"/>
        <v>113077.76999999996</v>
      </c>
      <c r="V75" s="73">
        <f t="shared" si="13"/>
        <v>0.5158739525551751</v>
      </c>
    </row>
    <row r="76" spans="1:22">
      <c r="A76" s="69"/>
      <c r="B76" s="69"/>
      <c r="D76" s="22">
        <v>6</v>
      </c>
      <c r="E76" s="22"/>
      <c r="F76" s="22"/>
      <c r="G76" s="22"/>
      <c r="H76" s="22"/>
      <c r="I76" s="22"/>
      <c r="J76" s="22"/>
      <c r="K76" s="22"/>
      <c r="L76" s="70"/>
      <c r="M76" s="22"/>
      <c r="N76" s="23"/>
      <c r="O76" s="22"/>
      <c r="P76" s="22"/>
      <c r="Q76" s="22"/>
      <c r="R76" s="22"/>
      <c r="S76" s="70"/>
      <c r="T76" s="22"/>
      <c r="U76" s="22"/>
      <c r="V76" s="22"/>
    </row>
    <row r="77" spans="1:22">
      <c r="A77" s="69"/>
      <c r="B77" s="69"/>
      <c r="D77" s="22">
        <v>7</v>
      </c>
      <c r="E77" s="67" t="s">
        <v>522</v>
      </c>
      <c r="F77" s="22"/>
      <c r="G77" s="22"/>
      <c r="H77" s="22"/>
      <c r="I77" s="22"/>
      <c r="J77" s="22"/>
      <c r="K77" s="22"/>
      <c r="L77" s="70"/>
      <c r="M77" s="22"/>
      <c r="N77" s="23"/>
      <c r="O77" s="22"/>
      <c r="P77" s="22"/>
      <c r="Q77" s="22"/>
      <c r="R77" s="22"/>
      <c r="S77" s="70"/>
      <c r="T77" s="22"/>
      <c r="U77" s="22"/>
      <c r="V77" s="22"/>
    </row>
    <row r="78" spans="1:22">
      <c r="A78" s="69" t="s">
        <v>876</v>
      </c>
      <c r="B78" s="69" t="s">
        <v>877</v>
      </c>
      <c r="D78" s="22">
        <v>8</v>
      </c>
      <c r="E78" s="150" t="s">
        <v>87</v>
      </c>
      <c r="F78" s="22"/>
      <c r="G78" s="22"/>
      <c r="H78" s="22">
        <v>0</v>
      </c>
      <c r="I78" s="66" t="s">
        <v>304</v>
      </c>
      <c r="J78" s="77">
        <v>1.1509999999999999E-2</v>
      </c>
      <c r="K78" s="22"/>
      <c r="L78" s="66">
        <f>+H78*J78</f>
        <v>0</v>
      </c>
      <c r="M78" s="22"/>
      <c r="N78" s="23"/>
      <c r="O78" s="22">
        <v>0</v>
      </c>
      <c r="P78" s="66" t="s">
        <v>304</v>
      </c>
      <c r="Q78" s="77">
        <f>+J78*(1.01)</f>
        <v>1.1625099999999999E-2</v>
      </c>
      <c r="R78" s="22"/>
      <c r="S78" s="66">
        <f>+O78*Q78</f>
        <v>0</v>
      </c>
      <c r="T78" s="22"/>
      <c r="U78" s="66">
        <f t="shared" ref="U78:U82" si="14">+S78-L78</f>
        <v>0</v>
      </c>
      <c r="V78" s="73">
        <f t="shared" ref="V78:V82" si="15">+IF(U78=0,0,(S78-L78)/L78)</f>
        <v>0</v>
      </c>
    </row>
    <row r="79" spans="1:22">
      <c r="A79" s="69" t="s">
        <v>878</v>
      </c>
      <c r="B79" s="69" t="s">
        <v>879</v>
      </c>
      <c r="D79" s="22">
        <v>9</v>
      </c>
      <c r="E79" s="22" t="s">
        <v>880</v>
      </c>
      <c r="F79" s="22"/>
      <c r="G79" s="22"/>
      <c r="H79" s="70">
        <v>75916793</v>
      </c>
      <c r="I79" s="66" t="s">
        <v>304</v>
      </c>
      <c r="J79" s="77">
        <v>1.3860000000000001E-2</v>
      </c>
      <c r="K79" s="22"/>
      <c r="L79" s="66">
        <f>+H79*J79</f>
        <v>1052206.75098</v>
      </c>
      <c r="M79" s="22"/>
      <c r="N79" s="23"/>
      <c r="O79" s="70">
        <v>78130773</v>
      </c>
      <c r="P79" s="66" t="s">
        <v>304</v>
      </c>
      <c r="Q79" s="77">
        <v>2.09272E-2</v>
      </c>
      <c r="R79" s="66"/>
      <c r="S79" s="66">
        <f>+O79*Q79</f>
        <v>1635058.3127256001</v>
      </c>
      <c r="T79" s="22"/>
      <c r="U79" s="66">
        <f t="shared" si="14"/>
        <v>582851.56174560008</v>
      </c>
      <c r="V79" s="73">
        <f t="shared" si="15"/>
        <v>0.55393254339296549</v>
      </c>
    </row>
    <row r="80" spans="1:22">
      <c r="A80" s="69" t="s">
        <v>881</v>
      </c>
      <c r="B80" s="69" t="s">
        <v>882</v>
      </c>
      <c r="D80" s="22">
        <v>10</v>
      </c>
      <c r="E80" s="22" t="s">
        <v>883</v>
      </c>
      <c r="F80" s="22"/>
      <c r="G80" s="70"/>
      <c r="H80" s="66">
        <v>245054258</v>
      </c>
      <c r="I80" s="77" t="s">
        <v>304</v>
      </c>
      <c r="J80" s="77">
        <v>1.078E-2</v>
      </c>
      <c r="K80" s="66"/>
      <c r="L80" s="66">
        <f>+H80*J80</f>
        <v>2641684.90124</v>
      </c>
      <c r="M80" s="23"/>
      <c r="N80" s="70"/>
      <c r="O80" s="66">
        <v>126481852</v>
      </c>
      <c r="P80" s="77" t="s">
        <v>304</v>
      </c>
      <c r="Q80" s="77">
        <v>1.02072E-2</v>
      </c>
      <c r="R80" s="66"/>
      <c r="S80" s="66">
        <f>+O80*Q80</f>
        <v>1291025.5597343999</v>
      </c>
      <c r="T80" s="22"/>
      <c r="U80" s="66">
        <f t="shared" si="14"/>
        <v>-1350659.3415056001</v>
      </c>
      <c r="V80" s="73">
        <f t="shared" si="15"/>
        <v>-0.51128707321285904</v>
      </c>
    </row>
    <row r="81" spans="1:22" ht="16.5">
      <c r="A81" s="69" t="s">
        <v>884</v>
      </c>
      <c r="B81" s="69" t="s">
        <v>885</v>
      </c>
      <c r="D81" s="22"/>
      <c r="E81" s="22" t="s">
        <v>886</v>
      </c>
      <c r="F81" s="65"/>
      <c r="G81" s="22"/>
      <c r="H81" s="167">
        <v>0</v>
      </c>
      <c r="I81" s="66" t="s">
        <v>304</v>
      </c>
      <c r="J81" s="77">
        <v>0</v>
      </c>
      <c r="K81" s="66"/>
      <c r="L81" s="172">
        <f>+H81*J81</f>
        <v>0</v>
      </c>
      <c r="M81" s="66"/>
      <c r="N81" s="72"/>
      <c r="O81" s="167">
        <v>116358426</v>
      </c>
      <c r="P81" s="66" t="s">
        <v>304</v>
      </c>
      <c r="Q81" s="77">
        <v>7.1671999999999994E-3</v>
      </c>
      <c r="R81" s="22"/>
      <c r="S81" s="172">
        <f>+O81*Q81</f>
        <v>833964.11082719988</v>
      </c>
      <c r="T81" s="22"/>
      <c r="U81" s="66">
        <f t="shared" si="14"/>
        <v>833964.11082719988</v>
      </c>
      <c r="V81" s="162" t="str">
        <f>IFERROR(+IF(U81=0,0,(S81-L81)/L81),"New Rate")</f>
        <v>New Rate</v>
      </c>
    </row>
    <row r="82" spans="1:22">
      <c r="A82" s="69"/>
      <c r="B82" s="69"/>
      <c r="D82" s="22">
        <v>11</v>
      </c>
      <c r="E82" s="22" t="s">
        <v>43</v>
      </c>
      <c r="F82" s="65"/>
      <c r="G82" s="22"/>
      <c r="H82" s="70">
        <f>+SUM(H78:H80)</f>
        <v>320971051</v>
      </c>
      <c r="I82" s="66"/>
      <c r="J82" s="74"/>
      <c r="K82" s="66"/>
      <c r="L82" s="157">
        <f>+SUM(L78:L80)</f>
        <v>3693891.65222</v>
      </c>
      <c r="M82" s="66"/>
      <c r="N82" s="72"/>
      <c r="O82" s="70">
        <f>+SUM(O78:O81)</f>
        <v>320971051</v>
      </c>
      <c r="P82" s="66"/>
      <c r="Q82" s="74"/>
      <c r="R82" s="22"/>
      <c r="S82" s="157">
        <f>+SUM(S78:S81)</f>
        <v>3760047.9832872003</v>
      </c>
      <c r="T82" s="22"/>
      <c r="U82" s="66">
        <f t="shared" si="14"/>
        <v>66156.331067200284</v>
      </c>
      <c r="V82" s="73">
        <f t="shared" si="15"/>
        <v>1.7909656615791868E-2</v>
      </c>
    </row>
    <row r="83" spans="1:22">
      <c r="A83" s="69"/>
      <c r="B83" s="69"/>
      <c r="D83" s="22">
        <v>12</v>
      </c>
      <c r="E83" s="22"/>
      <c r="F83" s="65"/>
      <c r="G83" s="22"/>
      <c r="H83" s="70"/>
      <c r="I83" s="66"/>
      <c r="J83" s="74"/>
      <c r="K83" s="66"/>
      <c r="L83" s="70"/>
      <c r="M83" s="66"/>
      <c r="N83" s="72"/>
      <c r="O83" s="70"/>
      <c r="P83" s="66"/>
      <c r="Q83" s="74"/>
      <c r="R83" s="22"/>
      <c r="S83" s="70"/>
      <c r="T83" s="22"/>
      <c r="U83" s="22"/>
      <c r="V83" s="75"/>
    </row>
    <row r="84" spans="1:22">
      <c r="A84" s="69"/>
      <c r="B84" s="69"/>
      <c r="D84" s="22">
        <v>13</v>
      </c>
      <c r="E84" s="67" t="s">
        <v>556</v>
      </c>
      <c r="F84" s="22"/>
      <c r="G84" s="22"/>
      <c r="H84" s="22"/>
      <c r="I84" s="22"/>
      <c r="J84" s="74"/>
      <c r="K84" s="22"/>
      <c r="L84" s="70"/>
      <c r="M84" s="22"/>
      <c r="N84" s="23"/>
      <c r="O84" s="22"/>
      <c r="P84" s="22"/>
      <c r="Q84" s="74"/>
      <c r="R84" s="22"/>
      <c r="S84" s="70"/>
      <c r="T84" s="22"/>
      <c r="U84" s="22"/>
      <c r="V84" s="22"/>
    </row>
    <row r="85" spans="1:22">
      <c r="A85" s="69" t="s">
        <v>887</v>
      </c>
      <c r="B85" s="69" t="s">
        <v>888</v>
      </c>
      <c r="D85" s="22">
        <v>14</v>
      </c>
      <c r="E85" s="67" t="s">
        <v>87</v>
      </c>
      <c r="F85" s="22"/>
      <c r="G85" s="22"/>
      <c r="H85" s="22">
        <v>0</v>
      </c>
      <c r="I85" s="66" t="s">
        <v>304</v>
      </c>
      <c r="J85" s="77">
        <v>8.5699999999999995E-3</v>
      </c>
      <c r="K85" s="22"/>
      <c r="L85" s="70">
        <f>+H85*J85</f>
        <v>0</v>
      </c>
      <c r="M85" s="22"/>
      <c r="N85" s="23"/>
      <c r="O85" s="22">
        <v>0</v>
      </c>
      <c r="P85" s="66" t="s">
        <v>304</v>
      </c>
      <c r="Q85" s="77">
        <f>+J85*1.01</f>
        <v>8.6556999999999988E-3</v>
      </c>
      <c r="R85" s="22"/>
      <c r="S85" s="70">
        <f>+O85*Q85</f>
        <v>0</v>
      </c>
      <c r="T85" s="22"/>
      <c r="U85" s="66">
        <f t="shared" ref="U85:U89" si="16">+S85-L85</f>
        <v>0</v>
      </c>
      <c r="V85" s="73">
        <f t="shared" ref="V85:V89" si="17">+IF(U85=0,0,(S85-L85)/L85)</f>
        <v>0</v>
      </c>
    </row>
    <row r="86" spans="1:22">
      <c r="A86" s="69" t="s">
        <v>889</v>
      </c>
      <c r="B86" s="69" t="s">
        <v>890</v>
      </c>
      <c r="D86" s="22">
        <v>15</v>
      </c>
      <c r="E86" s="22" t="s">
        <v>880</v>
      </c>
      <c r="F86" s="22"/>
      <c r="G86" s="22"/>
      <c r="H86" s="70">
        <v>51336976</v>
      </c>
      <c r="I86" s="66" t="s">
        <v>304</v>
      </c>
      <c r="J86" s="77">
        <v>8.5699999999999995E-3</v>
      </c>
      <c r="K86" s="22"/>
      <c r="L86" s="66">
        <f t="shared" ref="L86:L88" si="18">+H86*J86</f>
        <v>439957.88431999995</v>
      </c>
      <c r="M86" s="22"/>
      <c r="N86" s="23"/>
      <c r="O86" s="70">
        <v>50383603</v>
      </c>
      <c r="P86" s="66" t="s">
        <v>304</v>
      </c>
      <c r="Q86" s="77">
        <f>+Q85</f>
        <v>8.6556999999999988E-3</v>
      </c>
      <c r="R86" s="22"/>
      <c r="S86" s="66">
        <f t="shared" ref="S86:S88" si="19">+O86*Q86</f>
        <v>436105.35248709994</v>
      </c>
      <c r="T86" s="66"/>
      <c r="U86" s="66">
        <f t="shared" si="16"/>
        <v>-3852.5318329000147</v>
      </c>
      <c r="V86" s="73">
        <f t="shared" si="17"/>
        <v>-8.7565923244096368E-3</v>
      </c>
    </row>
    <row r="87" spans="1:22">
      <c r="A87" s="69" t="s">
        <v>891</v>
      </c>
      <c r="B87" s="69" t="s">
        <v>892</v>
      </c>
      <c r="D87" s="22">
        <v>16</v>
      </c>
      <c r="E87" s="22" t="s">
        <v>883</v>
      </c>
      <c r="F87" s="22"/>
      <c r="G87" s="22"/>
      <c r="H87" s="70">
        <v>155645208</v>
      </c>
      <c r="I87" s="66" t="s">
        <v>304</v>
      </c>
      <c r="J87" s="77">
        <v>8.5699999999999995E-3</v>
      </c>
      <c r="K87" s="22"/>
      <c r="L87" s="66">
        <f t="shared" si="18"/>
        <v>1333879.4325599999</v>
      </c>
      <c r="M87" s="22"/>
      <c r="N87" s="23"/>
      <c r="O87" s="70">
        <v>81563400</v>
      </c>
      <c r="P87" s="66" t="s">
        <v>304</v>
      </c>
      <c r="Q87" s="77">
        <f t="shared" ref="Q87:Q88" si="20">+Q86</f>
        <v>8.6556999999999988E-3</v>
      </c>
      <c r="R87" s="22"/>
      <c r="S87" s="66">
        <f t="shared" si="19"/>
        <v>705988.32137999986</v>
      </c>
      <c r="T87" s="66"/>
      <c r="U87" s="66">
        <f t="shared" si="16"/>
        <v>-627891.11118000001</v>
      </c>
      <c r="V87" s="73">
        <f t="shared" si="17"/>
        <v>-0.4707255362465127</v>
      </c>
    </row>
    <row r="88" spans="1:22" ht="16.5">
      <c r="A88" s="69" t="s">
        <v>893</v>
      </c>
      <c r="B88" s="69" t="s">
        <v>894</v>
      </c>
      <c r="D88" s="22"/>
      <c r="E88" s="22" t="s">
        <v>886</v>
      </c>
      <c r="F88" s="22"/>
      <c r="G88" s="22"/>
      <c r="H88" s="167">
        <v>0</v>
      </c>
      <c r="I88" s="66" t="s">
        <v>304</v>
      </c>
      <c r="J88" s="77">
        <v>0</v>
      </c>
      <c r="K88" s="22"/>
      <c r="L88" s="66">
        <f t="shared" si="18"/>
        <v>0</v>
      </c>
      <c r="M88" s="22"/>
      <c r="N88" s="23"/>
      <c r="O88" s="167">
        <v>75035181</v>
      </c>
      <c r="P88" s="66" t="s">
        <v>304</v>
      </c>
      <c r="Q88" s="77">
        <f t="shared" si="20"/>
        <v>8.6556999999999988E-3</v>
      </c>
      <c r="R88" s="22"/>
      <c r="S88" s="66">
        <f t="shared" si="19"/>
        <v>649482.01618169993</v>
      </c>
      <c r="T88" s="22"/>
      <c r="U88" s="66">
        <f t="shared" si="16"/>
        <v>649482.01618169993</v>
      </c>
      <c r="V88" s="73" t="e">
        <f t="shared" si="17"/>
        <v>#DIV/0!</v>
      </c>
    </row>
    <row r="89" spans="1:22">
      <c r="A89" s="69"/>
      <c r="B89" s="69"/>
      <c r="D89" s="22">
        <v>17</v>
      </c>
      <c r="E89" s="67" t="s">
        <v>521</v>
      </c>
      <c r="F89" s="65"/>
      <c r="G89" s="22"/>
      <c r="H89" s="70">
        <f>+SUM(H85:H88)</f>
        <v>206982184</v>
      </c>
      <c r="I89" s="66" t="s">
        <v>304</v>
      </c>
      <c r="J89" s="74"/>
      <c r="K89" s="66"/>
      <c r="L89" s="129">
        <f>+SUM(L85:L88)</f>
        <v>1773837.3168799998</v>
      </c>
      <c r="M89" s="66"/>
      <c r="N89" s="72"/>
      <c r="O89" s="70">
        <f>+SUM(O85:O88)</f>
        <v>206982184</v>
      </c>
      <c r="P89" s="66" t="s">
        <v>304</v>
      </c>
      <c r="Q89" s="71"/>
      <c r="R89" s="22"/>
      <c r="S89" s="129">
        <f>+SUM(S85:S88)</f>
        <v>1791575.6900487999</v>
      </c>
      <c r="T89" s="22"/>
      <c r="U89" s="66">
        <f t="shared" si="16"/>
        <v>17738.373168800026</v>
      </c>
      <c r="V89" s="73">
        <f t="shared" si="17"/>
        <v>1.0000000000000016E-2</v>
      </c>
    </row>
    <row r="90" spans="1:22">
      <c r="A90" s="69"/>
      <c r="B90" s="69"/>
      <c r="D90" s="22">
        <v>18</v>
      </c>
      <c r="E90" s="22"/>
      <c r="F90" s="22"/>
      <c r="G90" s="22"/>
      <c r="H90" s="22"/>
      <c r="I90" s="22"/>
      <c r="J90" s="22"/>
      <c r="K90" s="22"/>
      <c r="L90" s="22"/>
      <c r="M90" s="22"/>
      <c r="N90" s="23"/>
      <c r="O90" s="22"/>
      <c r="P90" s="22"/>
      <c r="Q90" s="22"/>
      <c r="R90" s="22"/>
      <c r="S90" s="22"/>
      <c r="T90" s="22"/>
      <c r="U90" s="22"/>
      <c r="V90" s="22"/>
    </row>
    <row r="91" spans="1:22">
      <c r="A91" s="69"/>
      <c r="B91" s="69"/>
      <c r="D91" s="22">
        <v>19</v>
      </c>
      <c r="E91" s="67" t="s">
        <v>586</v>
      </c>
      <c r="F91" s="22"/>
      <c r="G91" s="22"/>
      <c r="H91" s="22"/>
      <c r="I91" s="22"/>
      <c r="J91" s="22"/>
      <c r="K91" s="22"/>
      <c r="L91" s="22"/>
      <c r="M91" s="22"/>
      <c r="N91" s="23"/>
      <c r="O91" s="22"/>
      <c r="P91" s="22"/>
      <c r="Q91" s="22"/>
      <c r="R91" s="22"/>
      <c r="S91" s="22"/>
      <c r="T91" s="22"/>
      <c r="U91" s="22"/>
      <c r="V91" s="22"/>
    </row>
    <row r="92" spans="1:22">
      <c r="A92" s="69" t="s">
        <v>895</v>
      </c>
      <c r="B92" s="69" t="s">
        <v>896</v>
      </c>
      <c r="D92" s="22">
        <v>20</v>
      </c>
      <c r="E92" s="150" t="s">
        <v>87</v>
      </c>
      <c r="F92" s="22"/>
      <c r="G92" s="22"/>
      <c r="H92" s="22">
        <v>0</v>
      </c>
      <c r="I92" s="66" t="s">
        <v>413</v>
      </c>
      <c r="J92" s="74">
        <v>9.2899999999999991</v>
      </c>
      <c r="K92" s="163"/>
      <c r="L92" s="66">
        <f>+H92*J92</f>
        <v>0</v>
      </c>
      <c r="M92" s="22"/>
      <c r="N92" s="23"/>
      <c r="O92" s="22">
        <v>0</v>
      </c>
      <c r="P92" s="66" t="s">
        <v>413</v>
      </c>
      <c r="Q92" s="71">
        <v>12.766843379309357</v>
      </c>
      <c r="R92" s="22"/>
      <c r="S92" s="66">
        <f>+O92*Q92</f>
        <v>0</v>
      </c>
      <c r="T92" s="22"/>
      <c r="U92" s="66">
        <f t="shared" ref="U92:U95" si="21">+S92-L92</f>
        <v>0</v>
      </c>
      <c r="V92" s="73">
        <f t="shared" ref="V92:V95" si="22">+IF(U92=0,0,(S92-L92)/L92)</f>
        <v>0</v>
      </c>
    </row>
    <row r="93" spans="1:22">
      <c r="A93" s="69" t="s">
        <v>897</v>
      </c>
      <c r="B93" s="69" t="s">
        <v>898</v>
      </c>
      <c r="D93" s="22">
        <v>21</v>
      </c>
      <c r="E93" s="22" t="s">
        <v>899</v>
      </c>
      <c r="F93" s="22"/>
      <c r="G93" s="22"/>
      <c r="H93" s="70">
        <v>516200</v>
      </c>
      <c r="I93" s="66" t="s">
        <v>413</v>
      </c>
      <c r="J93" s="74">
        <v>2.95</v>
      </c>
      <c r="K93" s="163"/>
      <c r="L93" s="66">
        <f t="shared" ref="L93:L94" si="23">+H93*J93</f>
        <v>1522790</v>
      </c>
      <c r="M93" s="66"/>
      <c r="N93" s="72"/>
      <c r="O93" s="66">
        <v>516200</v>
      </c>
      <c r="P93" s="66" t="s">
        <v>413</v>
      </c>
      <c r="Q93" s="71">
        <v>1.5508190117197869</v>
      </c>
      <c r="R93" s="22"/>
      <c r="S93" s="66">
        <f t="shared" ref="S93:S94" si="24">+O93*Q93</f>
        <v>800532.77384975401</v>
      </c>
      <c r="T93" s="66"/>
      <c r="U93" s="66">
        <f t="shared" si="21"/>
        <v>-722257.22615024599</v>
      </c>
      <c r="V93" s="73">
        <f t="shared" si="22"/>
        <v>-0.47429864009498746</v>
      </c>
    </row>
    <row r="94" spans="1:22" ht="16.5">
      <c r="A94" s="69" t="s">
        <v>900</v>
      </c>
      <c r="B94" s="69" t="s">
        <v>901</v>
      </c>
      <c r="D94" s="22">
        <v>22</v>
      </c>
      <c r="E94" s="22" t="s">
        <v>610</v>
      </c>
      <c r="F94" s="22"/>
      <c r="G94" s="22"/>
      <c r="H94" s="167">
        <v>482200</v>
      </c>
      <c r="I94" s="66" t="s">
        <v>430</v>
      </c>
      <c r="J94" s="74">
        <v>6.31</v>
      </c>
      <c r="K94" s="163"/>
      <c r="L94" s="66">
        <f t="shared" si="23"/>
        <v>3042682</v>
      </c>
      <c r="M94" s="22"/>
      <c r="N94" s="23"/>
      <c r="O94" s="172">
        <v>482200</v>
      </c>
      <c r="P94" s="66" t="s">
        <v>430</v>
      </c>
      <c r="Q94" s="71">
        <v>11.216024367589569</v>
      </c>
      <c r="R94" s="22"/>
      <c r="S94" s="66">
        <f t="shared" si="24"/>
        <v>5408366.9500516895</v>
      </c>
      <c r="T94" s="22"/>
      <c r="U94" s="66">
        <f t="shared" si="21"/>
        <v>2365684.9500516895</v>
      </c>
      <c r="V94" s="73">
        <f t="shared" si="22"/>
        <v>0.7774998997764766</v>
      </c>
    </row>
    <row r="95" spans="1:22">
      <c r="A95" s="69"/>
      <c r="B95" s="69"/>
      <c r="D95" s="22">
        <v>23</v>
      </c>
      <c r="E95" s="22" t="s">
        <v>43</v>
      </c>
      <c r="F95" s="22"/>
      <c r="G95" s="22"/>
      <c r="H95" s="70">
        <f>+SUM(H92:H93)</f>
        <v>516200</v>
      </c>
      <c r="I95" s="66"/>
      <c r="J95" s="71"/>
      <c r="K95" s="163"/>
      <c r="L95" s="129">
        <f>+SUM(L92:L94)</f>
        <v>4565472</v>
      </c>
      <c r="M95" s="22"/>
      <c r="N95" s="23"/>
      <c r="O95" s="70">
        <f>+SUM(O92:O93)</f>
        <v>516200</v>
      </c>
      <c r="P95" s="66"/>
      <c r="Q95" s="71"/>
      <c r="R95" s="22"/>
      <c r="S95" s="129">
        <f>+SUM(S92:S94)</f>
        <v>6208899.7239014432</v>
      </c>
      <c r="T95" s="22"/>
      <c r="U95" s="66">
        <f t="shared" si="21"/>
        <v>1643427.7239014432</v>
      </c>
      <c r="V95" s="73">
        <f t="shared" si="22"/>
        <v>0.35996885402022905</v>
      </c>
    </row>
    <row r="96" spans="1:22">
      <c r="A96" s="69"/>
      <c r="B96" s="69"/>
      <c r="D96" s="22">
        <v>24</v>
      </c>
      <c r="E96" s="22"/>
      <c r="F96" s="22"/>
      <c r="G96" s="22"/>
      <c r="H96" s="66"/>
      <c r="I96" s="66"/>
      <c r="J96" s="71"/>
      <c r="K96" s="163"/>
      <c r="L96" s="66"/>
      <c r="M96" s="22"/>
      <c r="N96" s="23"/>
      <c r="O96" s="66"/>
      <c r="P96" s="66"/>
      <c r="Q96" s="71"/>
      <c r="R96" s="22"/>
      <c r="S96" s="66"/>
      <c r="T96" s="22"/>
      <c r="U96" s="22"/>
      <c r="V96" s="75"/>
    </row>
    <row r="97" spans="1:22">
      <c r="A97" s="69"/>
      <c r="B97" s="69"/>
      <c r="D97" s="22">
        <v>25</v>
      </c>
      <c r="E97" s="173" t="s">
        <v>611</v>
      </c>
      <c r="F97" s="22"/>
      <c r="G97" s="22"/>
      <c r="H97" s="22"/>
      <c r="I97" s="22"/>
      <c r="J97" s="22"/>
      <c r="K97" s="22"/>
      <c r="L97" s="70"/>
      <c r="M97" s="22"/>
      <c r="N97" s="23"/>
      <c r="O97" s="22"/>
      <c r="P97" s="22"/>
      <c r="Q97" s="22"/>
      <c r="R97" s="22"/>
      <c r="S97" s="70"/>
      <c r="T97" s="22"/>
      <c r="U97" s="22"/>
      <c r="V97" s="22"/>
    </row>
    <row r="98" spans="1:22">
      <c r="A98" s="69" t="s">
        <v>902</v>
      </c>
      <c r="B98" s="69" t="s">
        <v>903</v>
      </c>
      <c r="D98" s="22">
        <v>26</v>
      </c>
      <c r="E98" s="173" t="s">
        <v>904</v>
      </c>
      <c r="F98" s="22"/>
      <c r="G98" s="22"/>
      <c r="H98" s="22">
        <v>0</v>
      </c>
      <c r="I98" s="22" t="s">
        <v>413</v>
      </c>
      <c r="J98" s="74">
        <v>0.86</v>
      </c>
      <c r="K98" s="22"/>
      <c r="L98" s="70">
        <f>+H98*J98</f>
        <v>0</v>
      </c>
      <c r="M98" s="22"/>
      <c r="N98" s="23"/>
      <c r="O98" s="22">
        <v>0</v>
      </c>
      <c r="P98" s="22" t="s">
        <v>413</v>
      </c>
      <c r="Q98" s="71">
        <v>1.3001815956842657</v>
      </c>
      <c r="R98" s="22"/>
      <c r="S98" s="70">
        <f>+O98*Q98</f>
        <v>0</v>
      </c>
      <c r="T98" s="22"/>
      <c r="U98" s="66">
        <f t="shared" ref="U98:U104" si="25">+S98-L98</f>
        <v>0</v>
      </c>
      <c r="V98" s="73">
        <f t="shared" ref="V98:V104" si="26">+IF(U98=0,0,(S98-L98)/L98)</f>
        <v>0</v>
      </c>
    </row>
    <row r="99" spans="1:22">
      <c r="A99" s="69" t="s">
        <v>905</v>
      </c>
      <c r="B99" s="69" t="s">
        <v>906</v>
      </c>
      <c r="D99" s="22">
        <v>27</v>
      </c>
      <c r="E99" s="173" t="s">
        <v>907</v>
      </c>
      <c r="F99" s="22"/>
      <c r="G99" s="22"/>
      <c r="H99" s="22">
        <v>0</v>
      </c>
      <c r="I99" s="22" t="s">
        <v>624</v>
      </c>
      <c r="J99" s="74">
        <v>1.1200000000000001</v>
      </c>
      <c r="K99" s="22" t="s">
        <v>654</v>
      </c>
      <c r="L99" s="70">
        <f t="shared" ref="L99:L103" si="27">+H99*J99</f>
        <v>0</v>
      </c>
      <c r="M99" s="22"/>
      <c r="N99" s="23"/>
      <c r="O99" s="22">
        <v>0</v>
      </c>
      <c r="P99" s="22" t="s">
        <v>624</v>
      </c>
      <c r="Q99" s="71">
        <v>1.5351541732175666</v>
      </c>
      <c r="R99" s="22"/>
      <c r="S99" s="70">
        <f t="shared" ref="S99:S103" si="28">+O99*Q99</f>
        <v>0</v>
      </c>
      <c r="T99" s="22"/>
      <c r="U99" s="66">
        <f t="shared" si="25"/>
        <v>0</v>
      </c>
      <c r="V99" s="73">
        <f t="shared" si="26"/>
        <v>0</v>
      </c>
    </row>
    <row r="100" spans="1:22">
      <c r="A100" s="69" t="s">
        <v>908</v>
      </c>
      <c r="B100" s="69" t="s">
        <v>909</v>
      </c>
      <c r="D100" s="22">
        <v>28</v>
      </c>
      <c r="E100" s="173" t="s">
        <v>910</v>
      </c>
      <c r="F100" s="22"/>
      <c r="G100" s="22"/>
      <c r="H100" s="22">
        <v>0</v>
      </c>
      <c r="I100" s="22" t="s">
        <v>624</v>
      </c>
      <c r="J100" s="74">
        <v>0.44</v>
      </c>
      <c r="K100" s="22" t="s">
        <v>664</v>
      </c>
      <c r="L100" s="70">
        <f t="shared" si="27"/>
        <v>0</v>
      </c>
      <c r="M100" s="22"/>
      <c r="N100" s="23"/>
      <c r="O100" s="22">
        <v>0</v>
      </c>
      <c r="P100" s="22" t="s">
        <v>624</v>
      </c>
      <c r="Q100" s="71">
        <v>0.61092870158658275</v>
      </c>
      <c r="R100" s="22"/>
      <c r="S100" s="70">
        <f t="shared" si="28"/>
        <v>0</v>
      </c>
      <c r="T100" s="22"/>
      <c r="U100" s="66">
        <f t="shared" si="25"/>
        <v>0</v>
      </c>
      <c r="V100" s="73">
        <f t="shared" si="26"/>
        <v>0</v>
      </c>
    </row>
    <row r="101" spans="1:22">
      <c r="A101" s="69" t="s">
        <v>911</v>
      </c>
      <c r="B101" s="69" t="s">
        <v>912</v>
      </c>
      <c r="D101" s="22">
        <v>29</v>
      </c>
      <c r="E101" s="150" t="s">
        <v>650</v>
      </c>
      <c r="F101" s="22"/>
      <c r="G101" s="22"/>
      <c r="H101" s="70">
        <v>1691241.73</v>
      </c>
      <c r="I101" s="66" t="s">
        <v>413</v>
      </c>
      <c r="J101" s="74">
        <v>0.86</v>
      </c>
      <c r="K101" s="163"/>
      <c r="L101" s="66">
        <f t="shared" si="27"/>
        <v>1454467.8877999999</v>
      </c>
      <c r="M101" s="22"/>
      <c r="N101" s="23"/>
      <c r="O101" s="70">
        <v>1691241.73</v>
      </c>
      <c r="P101" s="66" t="s">
        <v>413</v>
      </c>
      <c r="Q101" s="71">
        <v>1.3001815956842657</v>
      </c>
      <c r="R101" s="163"/>
      <c r="S101" s="66">
        <f t="shared" si="28"/>
        <v>2198921.3711992181</v>
      </c>
      <c r="T101" s="66"/>
      <c r="U101" s="66">
        <f t="shared" si="25"/>
        <v>744453.48339921818</v>
      </c>
      <c r="V101" s="73">
        <f t="shared" si="26"/>
        <v>0.51183906474914631</v>
      </c>
    </row>
    <row r="102" spans="1:22">
      <c r="A102" s="69" t="s">
        <v>913</v>
      </c>
      <c r="B102" s="69" t="s">
        <v>914</v>
      </c>
      <c r="D102" s="22">
        <v>30</v>
      </c>
      <c r="E102" s="150" t="s">
        <v>660</v>
      </c>
      <c r="F102" s="65"/>
      <c r="G102" s="22"/>
      <c r="H102" s="70">
        <v>355048.34</v>
      </c>
      <c r="I102" s="66" t="s">
        <v>624</v>
      </c>
      <c r="J102" s="74">
        <v>1.1200000000000001</v>
      </c>
      <c r="K102" s="163" t="s">
        <v>654</v>
      </c>
      <c r="L102" s="66">
        <f t="shared" si="27"/>
        <v>397654.14080000005</v>
      </c>
      <c r="M102" s="66"/>
      <c r="N102" s="72"/>
      <c r="O102" s="70">
        <v>355048.34</v>
      </c>
      <c r="P102" s="66" t="s">
        <v>624</v>
      </c>
      <c r="Q102" s="71">
        <v>1.5351541732175666</v>
      </c>
      <c r="R102" s="163" t="s">
        <v>625</v>
      </c>
      <c r="S102" s="66">
        <f t="shared" si="28"/>
        <v>545053.94084496959</v>
      </c>
      <c r="T102" s="66"/>
      <c r="U102" s="66">
        <f t="shared" si="25"/>
        <v>147399.80004496954</v>
      </c>
      <c r="V102" s="73">
        <f t="shared" si="26"/>
        <v>0.37067336894425601</v>
      </c>
    </row>
    <row r="103" spans="1:22">
      <c r="A103" s="69" t="s">
        <v>915</v>
      </c>
      <c r="B103" s="69" t="s">
        <v>916</v>
      </c>
      <c r="D103" s="22">
        <v>31</v>
      </c>
      <c r="E103" s="150" t="s">
        <v>670</v>
      </c>
      <c r="F103" s="22"/>
      <c r="G103" s="22"/>
      <c r="H103" s="157">
        <v>8856414.7300000004</v>
      </c>
      <c r="I103" s="66" t="s">
        <v>624</v>
      </c>
      <c r="J103" s="74">
        <v>0.44</v>
      </c>
      <c r="K103" s="163" t="s">
        <v>664</v>
      </c>
      <c r="L103" s="66">
        <f t="shared" si="27"/>
        <v>3896822.4812000003</v>
      </c>
      <c r="M103" s="22"/>
      <c r="N103" s="23"/>
      <c r="O103" s="157">
        <v>8856414.7300000004</v>
      </c>
      <c r="P103" s="66" t="s">
        <v>624</v>
      </c>
      <c r="Q103" s="71">
        <v>0.61092870158658275</v>
      </c>
      <c r="R103" s="163" t="s">
        <v>635</v>
      </c>
      <c r="S103" s="66">
        <f t="shared" si="28"/>
        <v>5410637.9517111862</v>
      </c>
      <c r="T103" s="22"/>
      <c r="U103" s="66">
        <f t="shared" si="25"/>
        <v>1513815.4705111859</v>
      </c>
      <c r="V103" s="73">
        <f t="shared" si="26"/>
        <v>0.38847432178768809</v>
      </c>
    </row>
    <row r="104" spans="1:22">
      <c r="A104" s="69"/>
      <c r="B104" s="69"/>
      <c r="D104" s="22">
        <v>32</v>
      </c>
      <c r="E104" s="67" t="s">
        <v>521</v>
      </c>
      <c r="F104" s="65"/>
      <c r="G104" s="22"/>
      <c r="H104" s="66">
        <f>+SUM(H98,H101)</f>
        <v>1691241.73</v>
      </c>
      <c r="I104" s="66" t="s">
        <v>413</v>
      </c>
      <c r="J104" s="71"/>
      <c r="K104" s="66"/>
      <c r="L104" s="129">
        <f>+SUM(L98:L103)</f>
        <v>5748944.5098000001</v>
      </c>
      <c r="M104" s="66"/>
      <c r="N104" s="72"/>
      <c r="O104" s="66">
        <f>+SUM(O98,O101)</f>
        <v>1691241.73</v>
      </c>
      <c r="P104" s="66" t="s">
        <v>413</v>
      </c>
      <c r="Q104" s="71"/>
      <c r="R104" s="66"/>
      <c r="S104" s="129">
        <f>+SUM(S98:S103)</f>
        <v>8154613.2637553737</v>
      </c>
      <c r="T104" s="22"/>
      <c r="U104" s="66">
        <f t="shared" si="25"/>
        <v>2405668.7539553735</v>
      </c>
      <c r="V104" s="73">
        <f t="shared" si="26"/>
        <v>0.41845398748492429</v>
      </c>
    </row>
    <row r="105" spans="1:22">
      <c r="A105" s="69"/>
      <c r="B105" s="69"/>
      <c r="D105" s="22">
        <v>34</v>
      </c>
      <c r="E105" s="22"/>
      <c r="F105" s="22"/>
      <c r="G105" s="22"/>
      <c r="H105" s="22"/>
      <c r="I105" s="22"/>
      <c r="J105" s="22"/>
      <c r="K105" s="22"/>
      <c r="L105" s="70"/>
      <c r="M105" s="22"/>
      <c r="N105" s="23"/>
      <c r="O105" s="22"/>
      <c r="P105" s="22"/>
      <c r="Q105" s="22"/>
      <c r="R105" s="22"/>
      <c r="S105" s="70"/>
      <c r="T105" s="22"/>
      <c r="U105" s="22"/>
      <c r="V105" s="22"/>
    </row>
    <row r="106" spans="1:22">
      <c r="A106" s="69"/>
      <c r="B106" s="69"/>
      <c r="D106" s="22">
        <v>35</v>
      </c>
      <c r="E106" s="67" t="s">
        <v>672</v>
      </c>
      <c r="F106" s="22"/>
      <c r="G106" s="22"/>
      <c r="H106" s="22"/>
      <c r="I106" s="22"/>
      <c r="J106" s="22"/>
      <c r="K106" s="22"/>
      <c r="L106" s="70"/>
      <c r="M106" s="22"/>
      <c r="N106" s="23"/>
      <c r="O106" s="22"/>
      <c r="P106" s="22"/>
      <c r="Q106" s="22"/>
      <c r="R106" s="22"/>
      <c r="S106" s="70"/>
      <c r="T106" s="22"/>
      <c r="U106" s="22"/>
      <c r="V106" s="22"/>
    </row>
    <row r="107" spans="1:22">
      <c r="A107" s="69" t="s">
        <v>917</v>
      </c>
      <c r="B107" s="69" t="s">
        <v>918</v>
      </c>
      <c r="D107" s="22">
        <v>36</v>
      </c>
      <c r="E107" s="150" t="s">
        <v>87</v>
      </c>
      <c r="F107" s="22"/>
      <c r="G107" s="22"/>
      <c r="H107" s="22">
        <v>0</v>
      </c>
      <c r="I107" s="22" t="s">
        <v>675</v>
      </c>
      <c r="J107" s="77">
        <v>2.0300000000000001E-3</v>
      </c>
      <c r="K107" s="22"/>
      <c r="L107" s="70">
        <f>+H107*J107</f>
        <v>0</v>
      </c>
      <c r="M107" s="22"/>
      <c r="N107" s="23"/>
      <c r="O107" s="22">
        <v>0</v>
      </c>
      <c r="P107" s="22" t="s">
        <v>675</v>
      </c>
      <c r="Q107" s="76">
        <v>2.0300000000000001E-3</v>
      </c>
      <c r="R107" s="22"/>
      <c r="S107" s="70">
        <f>+O107*Q107</f>
        <v>0</v>
      </c>
      <c r="T107" s="22"/>
      <c r="U107" s="66">
        <f t="shared" ref="U107:U109" si="29">+S107-L107</f>
        <v>0</v>
      </c>
      <c r="V107" s="73">
        <f t="shared" ref="V107:V109" si="30">+IF(U107=0,0,(S107-L107)/L107)</f>
        <v>0</v>
      </c>
    </row>
    <row r="108" spans="1:22" ht="16.5">
      <c r="A108" s="69" t="s">
        <v>919</v>
      </c>
      <c r="B108" s="69" t="s">
        <v>920</v>
      </c>
      <c r="D108" s="22">
        <v>37</v>
      </c>
      <c r="E108" s="22" t="s">
        <v>875</v>
      </c>
      <c r="F108" s="22"/>
      <c r="G108" s="22"/>
      <c r="H108" s="167">
        <v>32205802</v>
      </c>
      <c r="I108" s="22" t="s">
        <v>675</v>
      </c>
      <c r="J108" s="77">
        <v>2.0300000000000001E-3</v>
      </c>
      <c r="K108" s="22"/>
      <c r="L108" s="70">
        <f>+H108*J108</f>
        <v>65377.778060000004</v>
      </c>
      <c r="M108" s="22"/>
      <c r="N108" s="23"/>
      <c r="O108" s="167">
        <v>32205802</v>
      </c>
      <c r="P108" s="22" t="s">
        <v>675</v>
      </c>
      <c r="Q108" s="76">
        <v>2.0300000000000001E-3</v>
      </c>
      <c r="R108" s="22"/>
      <c r="S108" s="70">
        <f>+O108*Q108</f>
        <v>65377.778060000004</v>
      </c>
      <c r="T108" s="22"/>
      <c r="U108" s="66">
        <f t="shared" si="29"/>
        <v>0</v>
      </c>
      <c r="V108" s="73">
        <f t="shared" si="30"/>
        <v>0</v>
      </c>
    </row>
    <row r="109" spans="1:22" ht="15.75" thickBot="1">
      <c r="A109" s="69"/>
      <c r="B109" s="69"/>
      <c r="D109" s="24">
        <v>38</v>
      </c>
      <c r="E109" s="24"/>
      <c r="F109" s="24" t="s">
        <v>43</v>
      </c>
      <c r="G109" s="24"/>
      <c r="H109" s="139">
        <f>+SUM(H107:H108)</f>
        <v>32205802</v>
      </c>
      <c r="I109" s="139"/>
      <c r="J109" s="139"/>
      <c r="K109" s="139"/>
      <c r="L109" s="139">
        <f>+SUM(L107:L108)</f>
        <v>65377.778060000004</v>
      </c>
      <c r="M109" s="139"/>
      <c r="N109" s="196"/>
      <c r="O109" s="139">
        <f>+SUM(O107:O108)</f>
        <v>32205802</v>
      </c>
      <c r="P109" s="139"/>
      <c r="Q109" s="139"/>
      <c r="R109" s="139"/>
      <c r="S109" s="139">
        <f>+SUM(S107:S108)</f>
        <v>65377.778060000004</v>
      </c>
      <c r="T109" s="139"/>
      <c r="U109" s="139">
        <f t="shared" si="29"/>
        <v>0</v>
      </c>
      <c r="V109" s="197">
        <f t="shared" si="30"/>
        <v>0</v>
      </c>
    </row>
    <row r="110" spans="1:22">
      <c r="A110" s="69"/>
      <c r="B110" s="69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3"/>
      <c r="O110" s="22"/>
      <c r="P110" s="22"/>
      <c r="Q110" s="22"/>
      <c r="R110" s="22"/>
      <c r="S110" s="22"/>
      <c r="T110" s="22"/>
      <c r="U110" s="22"/>
      <c r="V110" s="22"/>
    </row>
    <row r="111" spans="1:22">
      <c r="A111" s="69"/>
      <c r="B111" s="69"/>
      <c r="D111" s="22"/>
      <c r="E111" s="22"/>
      <c r="F111" s="22"/>
      <c r="G111" s="22"/>
      <c r="H111" s="22"/>
      <c r="I111" s="22"/>
      <c r="J111" s="22"/>
      <c r="K111" s="330"/>
      <c r="L111" s="330"/>
      <c r="M111" s="330"/>
      <c r="N111" s="330"/>
      <c r="O111" s="330"/>
      <c r="P111" s="22"/>
      <c r="Q111" s="22"/>
      <c r="R111" s="22"/>
      <c r="S111" s="22"/>
      <c r="T111" s="22"/>
      <c r="U111" s="22"/>
      <c r="V111" s="22"/>
    </row>
    <row r="112" spans="1:22" ht="15.75" thickBot="1">
      <c r="A112" s="69"/>
      <c r="B112" s="69"/>
      <c r="D112" s="24"/>
      <c r="E112" s="24"/>
      <c r="F112" s="24"/>
      <c r="G112" s="24"/>
      <c r="H112" s="24"/>
      <c r="I112" s="24"/>
      <c r="J112" s="24"/>
      <c r="K112" s="331" t="s">
        <v>274</v>
      </c>
      <c r="L112" s="331"/>
      <c r="M112" s="331"/>
      <c r="N112" s="331"/>
      <c r="O112" s="331"/>
      <c r="P112" s="24"/>
      <c r="Q112" s="24"/>
      <c r="R112" s="24"/>
      <c r="S112" s="24"/>
      <c r="T112" s="24"/>
      <c r="U112" s="24"/>
      <c r="V112" s="26"/>
    </row>
    <row r="113" spans="1:22">
      <c r="A113" s="69"/>
      <c r="B113" s="69"/>
      <c r="D113" s="22"/>
      <c r="E113" s="22"/>
      <c r="F113" s="22"/>
      <c r="G113" s="22"/>
      <c r="H113" s="22"/>
      <c r="I113" s="22"/>
      <c r="K113" s="22"/>
      <c r="L113" s="22"/>
      <c r="M113" s="22"/>
      <c r="N113" s="29"/>
      <c r="O113" s="30"/>
      <c r="P113" s="22"/>
      <c r="Q113" s="30"/>
      <c r="R113" s="30"/>
      <c r="S113" s="30"/>
      <c r="T113" s="22"/>
      <c r="U113" s="22"/>
      <c r="V113" s="31"/>
    </row>
    <row r="114" spans="1:22">
      <c r="A114" s="69"/>
      <c r="B114" s="69"/>
      <c r="D114" s="22"/>
      <c r="E114" s="22"/>
      <c r="F114" s="22"/>
      <c r="G114" s="22"/>
      <c r="H114" s="22"/>
      <c r="I114" s="22"/>
      <c r="K114" s="22"/>
      <c r="L114" s="22"/>
      <c r="M114" s="22"/>
      <c r="N114" s="23"/>
      <c r="O114" s="31"/>
      <c r="P114" s="22"/>
      <c r="Q114" s="22"/>
      <c r="R114" s="32"/>
      <c r="S114" s="32"/>
      <c r="T114" s="31"/>
      <c r="U114" s="22"/>
      <c r="V114" s="32"/>
    </row>
    <row r="115" spans="1:22">
      <c r="A115" s="69"/>
      <c r="B115" s="69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3"/>
      <c r="O115" s="31"/>
      <c r="P115" s="32"/>
      <c r="Q115" s="22"/>
      <c r="R115" s="22"/>
      <c r="S115" s="32"/>
      <c r="T115" s="31"/>
      <c r="U115" s="22"/>
      <c r="V115" s="32"/>
    </row>
    <row r="116" spans="1:22">
      <c r="A116" s="69"/>
      <c r="B116" s="69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3"/>
      <c r="O116" s="31"/>
      <c r="P116" s="32"/>
      <c r="Q116" s="22"/>
      <c r="R116" s="22"/>
      <c r="S116" s="32"/>
      <c r="T116" s="31"/>
      <c r="U116" s="22"/>
      <c r="V116" s="32"/>
    </row>
    <row r="117" spans="1:22">
      <c r="A117" s="69"/>
      <c r="B117" s="69"/>
      <c r="D117" s="22"/>
      <c r="E117" s="22"/>
      <c r="F117" s="32"/>
      <c r="G117" s="22"/>
      <c r="H117" s="22"/>
      <c r="I117" s="22"/>
      <c r="J117" s="22"/>
      <c r="K117" s="36"/>
      <c r="L117" s="36"/>
      <c r="M117" s="36"/>
      <c r="N117" s="23"/>
      <c r="O117" s="22"/>
      <c r="P117" s="22"/>
      <c r="Q117" s="22"/>
      <c r="R117" s="22"/>
      <c r="S117" s="22"/>
      <c r="T117" s="22"/>
      <c r="U117" s="22"/>
      <c r="V117" s="22"/>
    </row>
    <row r="118" spans="1:22" ht="15.75" thickBot="1">
      <c r="A118" s="69"/>
      <c r="B118" s="69"/>
      <c r="D118" s="24"/>
      <c r="E118" s="24"/>
      <c r="F118" s="26"/>
      <c r="G118" s="37"/>
      <c r="H118" s="37"/>
      <c r="I118" s="38"/>
      <c r="J118" s="38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</row>
    <row r="119" spans="1:22">
      <c r="A119" s="69"/>
      <c r="B119" s="69"/>
      <c r="D119" s="22"/>
      <c r="E119" s="22"/>
      <c r="F119" s="22"/>
      <c r="G119" s="22"/>
      <c r="H119" s="36"/>
      <c r="I119" s="22"/>
      <c r="J119" s="36"/>
      <c r="K119" s="39"/>
      <c r="L119" s="36"/>
      <c r="M119" s="22"/>
      <c r="N119" s="36"/>
      <c r="O119" s="22"/>
      <c r="P119" s="39"/>
      <c r="Q119" s="22"/>
      <c r="R119" s="22"/>
      <c r="S119" s="22"/>
      <c r="T119" s="22"/>
      <c r="U119" s="22"/>
      <c r="V119" s="22"/>
    </row>
    <row r="120" spans="1:22">
      <c r="A120" s="69"/>
      <c r="B120" s="69"/>
      <c r="D120" s="22"/>
      <c r="E120" s="22"/>
      <c r="F120" s="22"/>
      <c r="G120" s="22"/>
      <c r="H120" s="39"/>
      <c r="I120" s="22"/>
      <c r="J120" s="22"/>
      <c r="K120" s="39"/>
      <c r="L120" s="22"/>
      <c r="M120" s="22"/>
      <c r="N120" s="36"/>
      <c r="O120" s="22"/>
      <c r="P120" s="39"/>
      <c r="Q120" s="22"/>
      <c r="R120" s="22"/>
      <c r="S120" s="22"/>
      <c r="T120" s="22"/>
      <c r="U120" s="22"/>
      <c r="V120" s="22"/>
    </row>
    <row r="121" spans="1:22">
      <c r="A121" s="69"/>
      <c r="B121" s="69"/>
      <c r="D121" s="22"/>
      <c r="E121" s="22"/>
      <c r="F121" s="22"/>
      <c r="G121" s="22"/>
      <c r="H121" s="22"/>
      <c r="I121" s="39"/>
      <c r="J121" s="39"/>
      <c r="K121" s="42"/>
      <c r="L121" s="42" t="s">
        <v>278</v>
      </c>
      <c r="M121" s="36"/>
      <c r="N121" s="44" t="s">
        <v>169</v>
      </c>
      <c r="O121" s="39"/>
      <c r="P121" s="22"/>
      <c r="Q121" s="39"/>
      <c r="R121" s="39"/>
      <c r="S121" s="39"/>
      <c r="T121" s="39"/>
      <c r="U121" s="39"/>
      <c r="V121" s="22"/>
    </row>
    <row r="122" spans="1:22">
      <c r="A122" s="69"/>
      <c r="B122" s="69"/>
      <c r="D122" s="22"/>
      <c r="E122" s="22"/>
      <c r="F122" s="22"/>
      <c r="G122" s="22"/>
      <c r="H122" s="22"/>
      <c r="I122" s="39"/>
      <c r="J122" s="39"/>
      <c r="K122" s="39"/>
      <c r="L122" s="39"/>
      <c r="M122" s="39"/>
      <c r="N122" s="36"/>
      <c r="O122" s="39"/>
      <c r="P122" s="39"/>
      <c r="Q122" s="39"/>
      <c r="R122" s="39"/>
      <c r="S122" s="39"/>
      <c r="T122" s="39"/>
      <c r="U122" s="39"/>
      <c r="V122" s="39"/>
    </row>
    <row r="123" spans="1:22">
      <c r="A123" s="69"/>
      <c r="B123" s="69"/>
      <c r="D123" s="23" t="s">
        <v>55</v>
      </c>
      <c r="E123" s="171" t="s">
        <v>280</v>
      </c>
      <c r="F123" s="48"/>
      <c r="G123" s="49"/>
      <c r="H123" s="50"/>
      <c r="I123" s="50"/>
      <c r="J123" s="51" t="s">
        <v>281</v>
      </c>
      <c r="K123" s="50"/>
      <c r="L123" s="50"/>
      <c r="M123" s="48"/>
      <c r="N123" s="53"/>
      <c r="O123" s="50"/>
      <c r="P123" s="51"/>
      <c r="Q123" s="51" t="s">
        <v>282</v>
      </c>
      <c r="R123" s="50"/>
      <c r="S123" s="50"/>
      <c r="T123" s="48"/>
      <c r="U123" s="55" t="s">
        <v>283</v>
      </c>
      <c r="V123" s="55" t="s">
        <v>284</v>
      </c>
    </row>
    <row r="124" spans="1:22" ht="15.75" thickBot="1">
      <c r="A124" s="69"/>
      <c r="B124" s="69"/>
      <c r="D124" s="25" t="s">
        <v>60</v>
      </c>
      <c r="E124" s="57" t="s">
        <v>287</v>
      </c>
      <c r="F124" s="58"/>
      <c r="G124" s="24"/>
      <c r="H124" s="25" t="s">
        <v>288</v>
      </c>
      <c r="I124" s="60"/>
      <c r="J124" s="60" t="s">
        <v>289</v>
      </c>
      <c r="K124" s="60"/>
      <c r="L124" s="60" t="s">
        <v>290</v>
      </c>
      <c r="M124" s="60"/>
      <c r="N124" s="60"/>
      <c r="O124" s="60" t="s">
        <v>288</v>
      </c>
      <c r="P124" s="60"/>
      <c r="Q124" s="60" t="s">
        <v>289</v>
      </c>
      <c r="R124" s="60"/>
      <c r="S124" s="60" t="s">
        <v>290</v>
      </c>
      <c r="T124" s="58"/>
      <c r="U124" s="62" t="s">
        <v>291</v>
      </c>
      <c r="V124" s="62" t="s">
        <v>59</v>
      </c>
    </row>
    <row r="125" spans="1:22">
      <c r="A125" s="69"/>
      <c r="B125" s="69"/>
      <c r="D125" s="22">
        <v>1</v>
      </c>
      <c r="E125" s="332" t="s">
        <v>165</v>
      </c>
      <c r="F125" s="332"/>
      <c r="G125" s="332"/>
      <c r="H125" s="22"/>
      <c r="I125" s="65"/>
      <c r="J125" s="65"/>
      <c r="K125" s="65"/>
      <c r="L125" s="65"/>
      <c r="M125" s="67"/>
      <c r="N125" s="53"/>
      <c r="O125" s="67"/>
      <c r="P125" s="65"/>
      <c r="Q125" s="65"/>
      <c r="R125" s="65"/>
      <c r="S125" s="65"/>
      <c r="T125" s="65"/>
      <c r="U125" s="65"/>
      <c r="V125" s="65"/>
    </row>
    <row r="126" spans="1:22">
      <c r="A126" s="69"/>
      <c r="B126" s="69"/>
      <c r="D126" s="22">
        <v>2</v>
      </c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</row>
    <row r="127" spans="1:22">
      <c r="A127" s="69"/>
      <c r="B127" s="69"/>
      <c r="D127" s="22">
        <v>3</v>
      </c>
      <c r="E127" s="67" t="s">
        <v>686</v>
      </c>
      <c r="F127" s="22"/>
      <c r="G127" s="22"/>
      <c r="H127" s="22"/>
      <c r="I127" s="22"/>
      <c r="J127" s="22"/>
      <c r="K127" s="22"/>
      <c r="L127" s="70"/>
      <c r="M127" s="22"/>
      <c r="N127" s="23"/>
      <c r="O127" s="22"/>
      <c r="P127" s="22"/>
      <c r="Q127" s="22"/>
      <c r="R127" s="22"/>
      <c r="S127" s="70"/>
      <c r="T127" s="22"/>
      <c r="U127" s="22"/>
      <c r="V127" s="22"/>
    </row>
    <row r="128" spans="1:22">
      <c r="A128" s="69" t="s">
        <v>921</v>
      </c>
      <c r="B128" s="69" t="s">
        <v>922</v>
      </c>
      <c r="D128" s="22">
        <v>4</v>
      </c>
      <c r="E128" s="150" t="s">
        <v>87</v>
      </c>
      <c r="F128" s="22"/>
      <c r="G128" s="22"/>
      <c r="H128" s="22">
        <v>0</v>
      </c>
      <c r="I128" s="22" t="s">
        <v>675</v>
      </c>
      <c r="J128" s="77">
        <v>-1.0200000000000001E-3</v>
      </c>
      <c r="K128" s="22"/>
      <c r="L128" s="70">
        <f>+H128*J128</f>
        <v>0</v>
      </c>
      <c r="M128" s="22"/>
      <c r="N128" s="23"/>
      <c r="O128" s="22">
        <v>0</v>
      </c>
      <c r="P128" s="22" t="s">
        <v>675</v>
      </c>
      <c r="Q128" s="76">
        <v>-1.0200000000000001E-3</v>
      </c>
      <c r="R128" s="22"/>
      <c r="S128" s="70">
        <f>+O128*Q128</f>
        <v>0</v>
      </c>
      <c r="T128" s="22"/>
      <c r="U128" s="66">
        <f t="shared" ref="U128:U130" si="31">+S128-L128</f>
        <v>0</v>
      </c>
      <c r="V128" s="73">
        <f t="shared" ref="V128:V130" si="32">+IF(U128=0,0,(S128-L128)/L128)</f>
        <v>0</v>
      </c>
    </row>
    <row r="129" spans="1:22" ht="16.5">
      <c r="A129" s="69" t="s">
        <v>923</v>
      </c>
      <c r="B129" s="69" t="s">
        <v>924</v>
      </c>
      <c r="D129" s="22">
        <v>5</v>
      </c>
      <c r="E129" s="22" t="s">
        <v>875</v>
      </c>
      <c r="F129" s="22"/>
      <c r="G129" s="22"/>
      <c r="H129" s="167">
        <v>117949</v>
      </c>
      <c r="I129" s="22" t="s">
        <v>675</v>
      </c>
      <c r="J129" s="77">
        <v>-1.0200000000000001E-3</v>
      </c>
      <c r="K129" s="22"/>
      <c r="L129" s="70">
        <f>+H129*J129</f>
        <v>-120.30798000000001</v>
      </c>
      <c r="M129" s="22"/>
      <c r="N129" s="23"/>
      <c r="O129" s="167">
        <v>117949</v>
      </c>
      <c r="P129" s="22" t="s">
        <v>675</v>
      </c>
      <c r="Q129" s="76">
        <v>-1.0200000000000001E-3</v>
      </c>
      <c r="R129" s="22"/>
      <c r="S129" s="70">
        <f>+O129*Q129</f>
        <v>-120.30798000000001</v>
      </c>
      <c r="T129" s="22"/>
      <c r="U129" s="66">
        <f t="shared" si="31"/>
        <v>0</v>
      </c>
      <c r="V129" s="73">
        <f t="shared" si="32"/>
        <v>0</v>
      </c>
    </row>
    <row r="130" spans="1:22">
      <c r="A130" s="69"/>
      <c r="B130" s="69"/>
      <c r="D130" s="22">
        <v>6</v>
      </c>
      <c r="E130" s="67" t="s">
        <v>521</v>
      </c>
      <c r="F130" s="67"/>
      <c r="G130" s="22"/>
      <c r="H130" s="70">
        <f>+SUM(H128:H129)</f>
        <v>117949</v>
      </c>
      <c r="I130" s="22" t="s">
        <v>675</v>
      </c>
      <c r="J130" s="22"/>
      <c r="K130" s="22"/>
      <c r="L130" s="129">
        <f>+SUM(L128:L129)</f>
        <v>-120.30798000000001</v>
      </c>
      <c r="M130" s="22"/>
      <c r="N130" s="23"/>
      <c r="O130" s="70">
        <f>+SUM(O128:O129)</f>
        <v>117949</v>
      </c>
      <c r="P130" s="22" t="s">
        <v>675</v>
      </c>
      <c r="Q130" s="22"/>
      <c r="R130" s="22"/>
      <c r="S130" s="129">
        <f>+SUM(S128:S129)</f>
        <v>-120.30798000000001</v>
      </c>
      <c r="T130" s="22"/>
      <c r="U130" s="66">
        <f t="shared" si="31"/>
        <v>0</v>
      </c>
      <c r="V130" s="73">
        <f t="shared" si="32"/>
        <v>0</v>
      </c>
    </row>
    <row r="131" spans="1:22">
      <c r="A131" s="69"/>
      <c r="B131" s="69"/>
      <c r="D131" s="22">
        <v>7</v>
      </c>
      <c r="E131" s="22"/>
      <c r="F131" s="22"/>
      <c r="G131" s="22"/>
      <c r="H131" s="22"/>
      <c r="I131" s="22"/>
      <c r="J131" s="22"/>
      <c r="K131" s="22"/>
      <c r="L131" s="70"/>
      <c r="M131" s="22"/>
      <c r="N131" s="23"/>
      <c r="O131" s="22"/>
      <c r="P131" s="22"/>
      <c r="Q131" s="22"/>
      <c r="R131" s="22"/>
      <c r="S131" s="70"/>
      <c r="T131" s="22"/>
      <c r="U131" s="22"/>
      <c r="V131" s="22"/>
    </row>
    <row r="132" spans="1:22">
      <c r="A132" s="69"/>
      <c r="B132" s="69"/>
      <c r="D132" s="22">
        <v>8</v>
      </c>
      <c r="E132" s="67" t="s">
        <v>720</v>
      </c>
      <c r="F132" s="22"/>
      <c r="G132" s="22"/>
      <c r="H132" s="41"/>
      <c r="I132" s="66"/>
      <c r="J132" s="66"/>
      <c r="K132" s="66"/>
      <c r="L132" s="66"/>
      <c r="M132" s="66"/>
      <c r="N132" s="72"/>
      <c r="O132" s="41"/>
      <c r="P132" s="66"/>
      <c r="Q132" s="66"/>
      <c r="R132" s="66"/>
      <c r="S132" s="66"/>
      <c r="T132" s="22"/>
      <c r="U132" s="22"/>
      <c r="V132" s="75"/>
    </row>
    <row r="133" spans="1:22">
      <c r="A133" s="69" t="s">
        <v>925</v>
      </c>
      <c r="B133" s="69" t="s">
        <v>926</v>
      </c>
      <c r="D133" s="22">
        <v>9</v>
      </c>
      <c r="E133" s="150" t="s">
        <v>87</v>
      </c>
      <c r="F133" s="67"/>
      <c r="G133" s="22"/>
      <c r="H133" s="22">
        <v>0</v>
      </c>
      <c r="I133" s="66" t="s">
        <v>413</v>
      </c>
      <c r="J133" s="74">
        <v>0.68</v>
      </c>
      <c r="K133" s="66"/>
      <c r="L133" s="66">
        <f>+H133*J133</f>
        <v>0</v>
      </c>
      <c r="M133" s="66"/>
      <c r="N133" s="72"/>
      <c r="O133" s="22">
        <v>0</v>
      </c>
      <c r="P133" s="66" t="s">
        <v>413</v>
      </c>
      <c r="Q133" s="71">
        <v>1.02</v>
      </c>
      <c r="R133" s="66"/>
      <c r="S133" s="66">
        <f>+O133*Q133</f>
        <v>0</v>
      </c>
      <c r="T133" s="22"/>
      <c r="U133" s="66">
        <f t="shared" ref="U133:U135" si="33">+S133-L133</f>
        <v>0</v>
      </c>
      <c r="V133" s="73">
        <f t="shared" ref="V133:V135" si="34">+IF(U133=0,0,(S133-L133)/L133)</f>
        <v>0</v>
      </c>
    </row>
    <row r="134" spans="1:22" ht="16.5">
      <c r="A134" s="69" t="s">
        <v>927</v>
      </c>
      <c r="B134" s="69" t="s">
        <v>928</v>
      </c>
      <c r="D134" s="22">
        <v>10</v>
      </c>
      <c r="E134" s="22" t="s">
        <v>875</v>
      </c>
      <c r="F134" s="22"/>
      <c r="G134" s="22"/>
      <c r="H134" s="185">
        <v>0</v>
      </c>
      <c r="I134" s="66" t="s">
        <v>413</v>
      </c>
      <c r="J134" s="74">
        <v>0.68</v>
      </c>
      <c r="K134" s="66"/>
      <c r="L134" s="172">
        <f>+H134*J134</f>
        <v>0</v>
      </c>
      <c r="M134" s="66"/>
      <c r="N134" s="72"/>
      <c r="O134" s="185">
        <v>0</v>
      </c>
      <c r="P134" s="66" t="s">
        <v>413</v>
      </c>
      <c r="Q134" s="71">
        <v>1.02</v>
      </c>
      <c r="R134" s="66"/>
      <c r="S134" s="172">
        <f>+O134*Q134</f>
        <v>0</v>
      </c>
      <c r="T134" s="22"/>
      <c r="U134" s="66">
        <f t="shared" si="33"/>
        <v>0</v>
      </c>
      <c r="V134" s="73">
        <f t="shared" si="34"/>
        <v>0</v>
      </c>
    </row>
    <row r="135" spans="1:22">
      <c r="A135" s="69"/>
      <c r="B135" s="69"/>
      <c r="D135" s="22">
        <v>11</v>
      </c>
      <c r="E135" s="22" t="s">
        <v>43</v>
      </c>
      <c r="F135" s="22"/>
      <c r="G135" s="22"/>
      <c r="H135" s="22">
        <f>+SUM(H133:H134)</f>
        <v>0</v>
      </c>
      <c r="I135" s="22"/>
      <c r="J135" s="22"/>
      <c r="K135" s="22"/>
      <c r="L135" s="191">
        <f>+SUM(L133:L134)</f>
        <v>0</v>
      </c>
      <c r="M135" s="22"/>
      <c r="N135" s="23"/>
      <c r="O135" s="22">
        <f>+SUM(O133:O134)</f>
        <v>0</v>
      </c>
      <c r="P135" s="22"/>
      <c r="Q135" s="22"/>
      <c r="R135" s="22"/>
      <c r="S135" s="191">
        <f>+SUM(S133:S134)</f>
        <v>0</v>
      </c>
      <c r="T135" s="22"/>
      <c r="U135" s="66">
        <f t="shared" si="33"/>
        <v>0</v>
      </c>
      <c r="V135" s="73">
        <f t="shared" si="34"/>
        <v>0</v>
      </c>
    </row>
    <row r="136" spans="1:22">
      <c r="A136" s="69"/>
      <c r="B136" s="69"/>
      <c r="D136" s="22">
        <v>12</v>
      </c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75"/>
    </row>
    <row r="137" spans="1:22">
      <c r="A137" s="69"/>
      <c r="B137" s="69"/>
      <c r="D137" s="22">
        <v>13</v>
      </c>
      <c r="E137" s="67"/>
      <c r="F137" s="67"/>
      <c r="G137" s="67"/>
      <c r="H137" s="22"/>
      <c r="I137" s="22"/>
      <c r="J137" s="22"/>
      <c r="K137" s="22"/>
      <c r="L137" s="70"/>
      <c r="M137" s="22"/>
      <c r="N137" s="23"/>
      <c r="O137" s="22"/>
      <c r="P137" s="22"/>
      <c r="Q137" s="22"/>
      <c r="R137" s="22"/>
      <c r="S137" s="70"/>
      <c r="T137" s="22"/>
      <c r="U137" s="22"/>
      <c r="V137" s="22"/>
    </row>
    <row r="138" spans="1:22" ht="15.75" thickBot="1">
      <c r="A138" s="69"/>
      <c r="B138" s="69"/>
      <c r="D138" s="22">
        <v>14</v>
      </c>
      <c r="E138" s="67" t="s">
        <v>316</v>
      </c>
      <c r="F138" s="22"/>
      <c r="G138" s="22"/>
      <c r="H138" s="22"/>
      <c r="I138" s="22"/>
      <c r="J138" s="22"/>
      <c r="K138" s="22"/>
      <c r="L138" s="78">
        <f>+L75+L82+L89+L95+L104+L109+L130+L135</f>
        <v>16066599.458980002</v>
      </c>
      <c r="M138" s="66"/>
      <c r="N138" s="72"/>
      <c r="O138" s="66"/>
      <c r="P138" s="22"/>
      <c r="Q138" s="22"/>
      <c r="R138" s="22"/>
      <c r="S138" s="78">
        <f>+S75+S82+S89+S95+S104+S109+S130+S135</f>
        <v>20312668.411072817</v>
      </c>
      <c r="T138" s="22"/>
      <c r="U138" s="66">
        <f t="shared" ref="U138" si="35">+S138-L138</f>
        <v>4246068.9520928152</v>
      </c>
      <c r="V138" s="73">
        <f t="shared" ref="V138" si="36">+IF(U138=0,0,(S138-L138)/L138)</f>
        <v>0.26427925603881208</v>
      </c>
    </row>
    <row r="139" spans="1:22" ht="15.75" thickTop="1">
      <c r="A139" s="69"/>
      <c r="B139" s="69"/>
      <c r="D139" s="22">
        <v>15</v>
      </c>
      <c r="E139" s="67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</row>
    <row r="140" spans="1:22">
      <c r="A140" s="69"/>
      <c r="B140" s="69"/>
      <c r="D140" s="22">
        <v>16</v>
      </c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</row>
    <row r="141" spans="1:22">
      <c r="A141" s="69"/>
      <c r="B141" s="69"/>
      <c r="D141" s="22">
        <v>17</v>
      </c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</row>
    <row r="142" spans="1:22">
      <c r="A142" s="69"/>
      <c r="B142" s="69"/>
      <c r="D142" s="22">
        <v>18</v>
      </c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</row>
    <row r="143" spans="1:22">
      <c r="A143" s="69"/>
      <c r="B143" s="69"/>
      <c r="D143" s="22">
        <v>19</v>
      </c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</row>
    <row r="144" spans="1:22">
      <c r="A144" s="69"/>
      <c r="B144" s="69"/>
      <c r="D144" s="22">
        <v>20</v>
      </c>
    </row>
    <row r="145" spans="1:22">
      <c r="A145" s="69"/>
      <c r="B145" s="69"/>
      <c r="D145" s="22">
        <v>21</v>
      </c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</row>
    <row r="146" spans="1:22">
      <c r="A146" s="69"/>
      <c r="B146" s="69"/>
      <c r="D146" s="22">
        <v>22</v>
      </c>
      <c r="E146" s="22"/>
      <c r="F146" s="22"/>
      <c r="G146" s="22"/>
      <c r="H146" s="41"/>
      <c r="I146" s="22"/>
      <c r="J146" s="22"/>
      <c r="K146" s="22"/>
      <c r="L146" s="41"/>
      <c r="M146" s="22"/>
      <c r="N146" s="23"/>
      <c r="O146" s="41"/>
      <c r="P146" s="22"/>
      <c r="Q146" s="22"/>
      <c r="R146" s="22"/>
      <c r="S146" s="22"/>
      <c r="T146" s="22"/>
      <c r="U146" s="22"/>
      <c r="V146" s="75"/>
    </row>
    <row r="147" spans="1:22">
      <c r="A147" s="69"/>
      <c r="B147" s="69"/>
      <c r="D147" s="22">
        <v>23</v>
      </c>
      <c r="E147" s="22"/>
      <c r="F147" s="22"/>
      <c r="G147" s="22"/>
      <c r="H147" s="41"/>
      <c r="I147" s="22"/>
      <c r="J147" s="22"/>
      <c r="K147" s="22"/>
      <c r="L147" s="41"/>
      <c r="M147" s="22"/>
      <c r="N147" s="23"/>
      <c r="O147" s="41"/>
      <c r="P147" s="22"/>
      <c r="Q147" s="22"/>
      <c r="R147" s="22"/>
      <c r="S147" s="22"/>
      <c r="T147" s="22"/>
      <c r="U147" s="22"/>
      <c r="V147" s="75"/>
    </row>
    <row r="148" spans="1:22">
      <c r="A148" s="69"/>
      <c r="B148" s="69"/>
      <c r="D148" s="22">
        <v>24</v>
      </c>
      <c r="E148" s="22"/>
      <c r="F148" s="22"/>
      <c r="G148" s="22"/>
      <c r="H148" s="41"/>
      <c r="I148" s="22"/>
      <c r="J148" s="22"/>
      <c r="K148" s="22"/>
      <c r="L148" s="41"/>
      <c r="M148" s="22"/>
      <c r="N148" s="23"/>
      <c r="O148" s="41"/>
      <c r="P148" s="22"/>
      <c r="Q148" s="22"/>
      <c r="R148" s="22"/>
      <c r="S148" s="22"/>
      <c r="T148" s="22"/>
      <c r="U148" s="22"/>
      <c r="V148" s="75"/>
    </row>
    <row r="149" spans="1:22">
      <c r="A149" s="69"/>
      <c r="B149" s="69"/>
      <c r="D149" s="22">
        <v>25</v>
      </c>
      <c r="E149" s="22"/>
      <c r="F149" s="22"/>
      <c r="G149" s="22"/>
      <c r="H149" s="41"/>
      <c r="I149" s="22"/>
      <c r="J149" s="22"/>
      <c r="K149" s="22"/>
      <c r="L149" s="41"/>
      <c r="M149" s="22"/>
      <c r="N149" s="23"/>
      <c r="O149" s="41"/>
      <c r="P149" s="22"/>
      <c r="Q149" s="22"/>
      <c r="R149" s="22"/>
      <c r="S149" s="22"/>
      <c r="T149" s="22"/>
      <c r="U149" s="22"/>
      <c r="V149" s="75"/>
    </row>
    <row r="150" spans="1:22">
      <c r="A150" s="69"/>
      <c r="B150" s="69"/>
      <c r="D150" s="22">
        <v>26</v>
      </c>
      <c r="E150" s="22"/>
      <c r="F150" s="22"/>
      <c r="G150" s="22"/>
      <c r="H150" s="41"/>
      <c r="I150" s="22"/>
      <c r="J150" s="22"/>
      <c r="K150" s="22"/>
      <c r="L150" s="41"/>
      <c r="M150" s="22"/>
      <c r="N150" s="23"/>
      <c r="O150" s="41"/>
      <c r="P150" s="22"/>
      <c r="Q150" s="22"/>
      <c r="R150" s="22"/>
      <c r="S150" s="22"/>
      <c r="T150" s="22"/>
      <c r="U150" s="22"/>
      <c r="V150" s="75"/>
    </row>
    <row r="151" spans="1:22">
      <c r="A151" s="69"/>
      <c r="B151" s="69"/>
      <c r="D151" s="22">
        <v>27</v>
      </c>
      <c r="E151" s="22"/>
      <c r="F151" s="22"/>
      <c r="G151" s="22"/>
      <c r="H151" s="41"/>
      <c r="I151" s="22"/>
      <c r="J151" s="22"/>
      <c r="K151" s="22"/>
      <c r="L151" s="41"/>
      <c r="M151" s="22"/>
      <c r="N151" s="23"/>
      <c r="O151" s="41"/>
      <c r="P151" s="22"/>
      <c r="Q151" s="22"/>
      <c r="R151" s="22"/>
      <c r="S151" s="22"/>
      <c r="T151" s="22"/>
      <c r="U151" s="22"/>
      <c r="V151" s="75"/>
    </row>
    <row r="152" spans="1:22">
      <c r="A152" s="69"/>
      <c r="B152" s="69"/>
      <c r="D152" s="22">
        <v>28</v>
      </c>
      <c r="E152" s="22"/>
      <c r="F152" s="22"/>
      <c r="G152" s="22"/>
      <c r="H152" s="41"/>
      <c r="I152" s="22"/>
      <c r="J152" s="22"/>
      <c r="K152" s="22"/>
      <c r="L152" s="41"/>
      <c r="M152" s="22"/>
      <c r="N152" s="23"/>
      <c r="O152" s="41"/>
      <c r="P152" s="22"/>
      <c r="Q152" s="22"/>
      <c r="R152" s="22"/>
      <c r="S152" s="22"/>
      <c r="T152" s="22"/>
      <c r="U152" s="22"/>
      <c r="V152" s="75"/>
    </row>
    <row r="153" spans="1:22">
      <c r="A153" s="69"/>
      <c r="B153" s="69"/>
      <c r="D153" s="22">
        <v>29</v>
      </c>
      <c r="E153" s="22"/>
      <c r="F153" s="22"/>
      <c r="G153" s="22"/>
      <c r="H153" s="41"/>
      <c r="I153" s="22"/>
      <c r="J153" s="22"/>
      <c r="K153" s="22"/>
      <c r="L153" s="41"/>
      <c r="M153" s="22"/>
      <c r="N153" s="23"/>
      <c r="O153" s="41"/>
      <c r="P153" s="22"/>
      <c r="Q153" s="22"/>
      <c r="R153" s="22"/>
      <c r="S153" s="22"/>
      <c r="T153" s="22"/>
      <c r="U153" s="22"/>
      <c r="V153" s="75"/>
    </row>
    <row r="154" spans="1:22">
      <c r="A154" s="69"/>
      <c r="B154" s="69"/>
      <c r="D154" s="22">
        <v>30</v>
      </c>
      <c r="E154" s="22"/>
      <c r="F154" s="22"/>
      <c r="G154" s="22"/>
      <c r="H154" s="41"/>
      <c r="I154" s="22"/>
      <c r="J154" s="22"/>
      <c r="K154" s="22"/>
      <c r="L154" s="41"/>
      <c r="M154" s="22"/>
      <c r="N154" s="23"/>
      <c r="O154" s="41"/>
      <c r="P154" s="22"/>
      <c r="Q154" s="22"/>
      <c r="R154" s="22"/>
      <c r="S154" s="22"/>
      <c r="T154" s="22"/>
      <c r="U154" s="22"/>
      <c r="V154" s="75"/>
    </row>
    <row r="155" spans="1:22">
      <c r="A155" s="69"/>
      <c r="B155" s="69"/>
      <c r="D155" s="22">
        <v>31</v>
      </c>
      <c r="E155" s="22"/>
      <c r="F155" s="22"/>
      <c r="G155" s="22"/>
      <c r="H155" s="41"/>
      <c r="I155" s="22"/>
      <c r="J155" s="22"/>
      <c r="K155" s="22"/>
      <c r="L155" s="41"/>
      <c r="M155" s="22"/>
      <c r="N155" s="23"/>
      <c r="O155" s="41"/>
      <c r="P155" s="22"/>
      <c r="Q155" s="22"/>
      <c r="R155" s="22"/>
      <c r="S155" s="22"/>
      <c r="T155" s="22"/>
      <c r="U155" s="22"/>
      <c r="V155" s="75"/>
    </row>
    <row r="156" spans="1:22">
      <c r="A156" s="69"/>
      <c r="B156" s="69"/>
      <c r="D156" s="22">
        <v>32</v>
      </c>
      <c r="E156" s="22"/>
      <c r="F156" s="22"/>
      <c r="G156" s="22"/>
      <c r="H156" s="41"/>
      <c r="I156" s="22"/>
      <c r="J156" s="22"/>
      <c r="K156" s="22"/>
      <c r="L156" s="41"/>
      <c r="M156" s="22"/>
      <c r="N156" s="23"/>
      <c r="O156" s="41"/>
      <c r="P156" s="22"/>
      <c r="Q156" s="22"/>
      <c r="R156" s="22"/>
      <c r="S156" s="22"/>
      <c r="T156" s="22"/>
      <c r="U156" s="22"/>
      <c r="V156" s="75"/>
    </row>
    <row r="157" spans="1:22">
      <c r="A157" s="69"/>
      <c r="B157" s="69"/>
      <c r="D157" s="22">
        <v>33</v>
      </c>
      <c r="E157" s="22"/>
      <c r="F157" s="22"/>
      <c r="G157" s="22"/>
      <c r="H157" s="41"/>
      <c r="I157" s="22"/>
      <c r="J157" s="22"/>
      <c r="K157" s="22"/>
      <c r="L157" s="41"/>
      <c r="M157" s="22"/>
      <c r="N157" s="23"/>
      <c r="O157" s="41"/>
      <c r="P157" s="22"/>
      <c r="Q157" s="22"/>
      <c r="R157" s="22"/>
      <c r="S157" s="22"/>
      <c r="T157" s="22"/>
      <c r="U157" s="22"/>
      <c r="V157" s="75"/>
    </row>
    <row r="158" spans="1:22">
      <c r="A158" s="69"/>
      <c r="B158" s="69"/>
      <c r="D158" s="22">
        <v>34</v>
      </c>
      <c r="E158" s="22"/>
      <c r="F158" s="22"/>
      <c r="G158" s="22"/>
      <c r="H158" s="41"/>
      <c r="I158" s="22"/>
      <c r="J158" s="22"/>
      <c r="K158" s="22"/>
      <c r="L158" s="41"/>
      <c r="M158" s="22"/>
      <c r="N158" s="23"/>
      <c r="O158" s="41"/>
      <c r="P158" s="22"/>
      <c r="Q158" s="22"/>
      <c r="R158" s="22"/>
      <c r="S158" s="22"/>
      <c r="T158" s="22"/>
      <c r="U158" s="22"/>
      <c r="V158" s="75"/>
    </row>
    <row r="159" spans="1:22">
      <c r="A159" s="69"/>
      <c r="B159" s="69"/>
      <c r="D159" s="22">
        <v>35</v>
      </c>
      <c r="E159" s="22"/>
      <c r="F159" s="22"/>
      <c r="G159" s="22"/>
      <c r="H159" s="22"/>
      <c r="I159" s="22"/>
      <c r="J159" s="22"/>
      <c r="K159" s="22"/>
      <c r="L159" s="22"/>
      <c r="M159" s="22"/>
      <c r="N159" s="23"/>
      <c r="O159" s="22"/>
      <c r="P159" s="22"/>
      <c r="Q159" s="22"/>
      <c r="R159" s="22"/>
      <c r="S159" s="22"/>
      <c r="T159" s="22"/>
      <c r="U159" s="22"/>
      <c r="V159" s="22"/>
    </row>
    <row r="160" spans="1:22">
      <c r="A160" s="69"/>
      <c r="B160" s="69"/>
      <c r="D160" s="22">
        <v>36</v>
      </c>
      <c r="E160" s="22"/>
      <c r="F160" s="65"/>
      <c r="G160" s="22"/>
      <c r="H160" s="22"/>
      <c r="I160" s="66"/>
      <c r="J160" s="66"/>
      <c r="K160" s="66"/>
      <c r="L160" s="71"/>
      <c r="M160" s="66"/>
      <c r="N160" s="72"/>
      <c r="O160" s="66"/>
      <c r="P160" s="66"/>
      <c r="Q160" s="66"/>
      <c r="R160" s="66"/>
      <c r="S160" s="71"/>
      <c r="T160" s="66"/>
      <c r="U160" s="66"/>
      <c r="V160" s="85"/>
    </row>
    <row r="161" spans="1:22">
      <c r="A161" s="69"/>
      <c r="B161" s="69"/>
      <c r="D161" s="22">
        <v>37</v>
      </c>
      <c r="E161" s="22"/>
      <c r="F161" s="65"/>
      <c r="G161" s="22"/>
      <c r="H161" s="22"/>
      <c r="I161" s="66"/>
      <c r="J161" s="66"/>
      <c r="K161" s="66"/>
      <c r="L161" s="71"/>
      <c r="M161" s="66"/>
      <c r="N161" s="72"/>
      <c r="O161" s="66"/>
      <c r="P161" s="66"/>
      <c r="Q161" s="66"/>
      <c r="R161" s="66"/>
      <c r="S161" s="71"/>
      <c r="T161" s="66"/>
      <c r="U161" s="66"/>
      <c r="V161" s="85"/>
    </row>
    <row r="162" spans="1:22">
      <c r="A162" s="69"/>
      <c r="B162" s="69"/>
      <c r="D162" s="22">
        <v>38</v>
      </c>
      <c r="E162" s="22"/>
      <c r="F162" s="65"/>
      <c r="G162" s="22"/>
      <c r="H162" s="22"/>
      <c r="I162" s="66"/>
      <c r="J162" s="66"/>
      <c r="K162" s="66"/>
      <c r="L162" s="71"/>
      <c r="M162" s="66"/>
      <c r="N162" s="72"/>
      <c r="O162" s="66"/>
      <c r="P162" s="66"/>
      <c r="Q162" s="66"/>
      <c r="R162" s="66"/>
      <c r="S162" s="71"/>
      <c r="T162" s="66"/>
      <c r="U162" s="66"/>
      <c r="V162" s="85"/>
    </row>
    <row r="163" spans="1:22" ht="15.75" thickBot="1">
      <c r="A163" s="69"/>
      <c r="B163" s="69"/>
      <c r="D163" s="24">
        <v>39</v>
      </c>
      <c r="E163" s="24"/>
      <c r="F163" s="24"/>
      <c r="G163" s="24"/>
      <c r="H163" s="24"/>
      <c r="I163" s="24"/>
      <c r="J163" s="24"/>
      <c r="K163" s="24"/>
      <c r="L163" s="24"/>
      <c r="M163" s="24"/>
      <c r="N163" s="25"/>
      <c r="O163" s="24"/>
      <c r="P163" s="24"/>
      <c r="Q163" s="24"/>
      <c r="R163" s="24"/>
      <c r="S163" s="24"/>
      <c r="T163" s="24"/>
      <c r="U163" s="24"/>
      <c r="V163" s="26"/>
    </row>
    <row r="164" spans="1:22"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3"/>
      <c r="O164" s="22"/>
      <c r="P164" s="22"/>
      <c r="Q164" s="22"/>
      <c r="R164" s="22"/>
      <c r="S164" s="22"/>
      <c r="T164" s="22"/>
      <c r="U164" s="22"/>
      <c r="V164" s="22"/>
    </row>
  </sheetData>
  <mergeCells count="7">
    <mergeCell ref="E125:G125"/>
    <mergeCell ref="K3:O3"/>
    <mergeCell ref="K4:O4"/>
    <mergeCell ref="K57:O57"/>
    <mergeCell ref="K58:O58"/>
    <mergeCell ref="K111:O111"/>
    <mergeCell ref="K112:O112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77FE6-06C9-42E5-803E-3A2AAD3D45BA}">
  <dimension ref="A3:V56"/>
  <sheetViews>
    <sheetView topLeftCell="B1" workbookViewId="0">
      <selection activeCell="V56" sqref="V56"/>
    </sheetView>
  </sheetViews>
  <sheetFormatPr defaultRowHeight="15"/>
  <cols>
    <col min="1" max="1" width="38.140625" bestFit="1" customWidth="1"/>
    <col min="2" max="2" width="25.140625" bestFit="1" customWidth="1"/>
    <col min="8" max="8" width="10.5703125" customWidth="1"/>
    <col min="10" max="10" width="9.42578125" bestFit="1" customWidth="1"/>
    <col min="12" max="12" width="9.85546875" bestFit="1" customWidth="1"/>
    <col min="15" max="15" width="10.7109375" bestFit="1" customWidth="1"/>
    <col min="17" max="17" width="14.7109375" bestFit="1" customWidth="1"/>
    <col min="19" max="19" width="12.85546875" customWidth="1"/>
    <col min="21" max="21" width="10.85546875" bestFit="1" customWidth="1"/>
    <col min="22" max="22" width="18.7109375" bestFit="1" customWidth="1"/>
  </cols>
  <sheetData>
    <row r="3" spans="1:22">
      <c r="D3" s="22"/>
      <c r="E3" s="22"/>
      <c r="F3" s="22"/>
      <c r="G3" s="22"/>
      <c r="H3" s="22"/>
      <c r="I3" s="22"/>
      <c r="J3" s="22"/>
      <c r="K3" s="330"/>
      <c r="L3" s="330"/>
      <c r="M3" s="330"/>
      <c r="N3" s="330"/>
      <c r="O3" s="330"/>
      <c r="P3" s="22"/>
      <c r="Q3" s="22"/>
      <c r="R3" s="22"/>
      <c r="S3" s="22"/>
      <c r="T3" s="22"/>
      <c r="U3" s="22"/>
      <c r="V3" s="22"/>
    </row>
    <row r="4" spans="1:22" ht="15.75" thickBot="1">
      <c r="D4" s="24" t="s">
        <v>929</v>
      </c>
      <c r="E4" s="24"/>
      <c r="F4" s="24"/>
      <c r="G4" s="24"/>
      <c r="H4" s="24"/>
      <c r="I4" s="24"/>
      <c r="J4" s="24"/>
      <c r="K4" s="331" t="s">
        <v>274</v>
      </c>
      <c r="L4" s="331"/>
      <c r="M4" s="331"/>
      <c r="N4" s="331"/>
      <c r="O4" s="331"/>
      <c r="P4" s="24"/>
      <c r="Q4" s="24"/>
      <c r="R4" s="24"/>
      <c r="S4" s="24"/>
      <c r="T4" s="24"/>
      <c r="U4" s="24"/>
      <c r="V4" s="26"/>
    </row>
    <row r="5" spans="1:22">
      <c r="A5" s="27" t="s">
        <v>275</v>
      </c>
      <c r="B5" s="28">
        <f>+'Scenario Operating Revenue'!D10</f>
        <v>3573046.9034759998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9"/>
      <c r="O5" s="30"/>
      <c r="P5" s="22"/>
      <c r="Q5" s="30"/>
      <c r="R5" s="30"/>
      <c r="S5" s="30"/>
      <c r="T5" s="22"/>
      <c r="U5" s="22"/>
      <c r="V5" s="31"/>
    </row>
    <row r="6" spans="1:22">
      <c r="D6" s="22"/>
      <c r="E6" s="22"/>
      <c r="F6" s="22"/>
      <c r="G6" s="22"/>
      <c r="H6" s="22"/>
      <c r="I6" s="22"/>
      <c r="J6" s="22"/>
      <c r="K6" s="22"/>
      <c r="L6" s="22"/>
      <c r="M6" s="22"/>
      <c r="N6" s="23"/>
      <c r="O6" s="31"/>
      <c r="P6" s="22"/>
      <c r="Q6" s="22"/>
      <c r="R6" s="32"/>
      <c r="S6" s="32"/>
      <c r="T6" s="32"/>
      <c r="U6" s="31"/>
      <c r="V6" s="32"/>
    </row>
    <row r="7" spans="1:22">
      <c r="A7" s="33" t="s">
        <v>276</v>
      </c>
      <c r="B7" s="34">
        <v>0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3"/>
      <c r="O7" s="31"/>
      <c r="P7" s="32"/>
      <c r="Q7" s="22"/>
      <c r="R7" s="22"/>
      <c r="S7" s="32"/>
      <c r="T7" s="32"/>
      <c r="U7" s="31"/>
      <c r="V7" s="32"/>
    </row>
    <row r="8" spans="1:22">
      <c r="A8" s="33" t="s">
        <v>277</v>
      </c>
      <c r="B8" s="35">
        <f>+S23</f>
        <v>3573046.9034759998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3"/>
      <c r="O8" s="31"/>
      <c r="P8" s="32"/>
      <c r="Q8" s="22"/>
      <c r="R8" s="22"/>
      <c r="S8" s="32"/>
      <c r="T8" s="32"/>
      <c r="U8" s="31"/>
      <c r="V8" s="32"/>
    </row>
    <row r="9" spans="1:22">
      <c r="D9" s="22"/>
      <c r="E9" s="22"/>
      <c r="F9" s="32"/>
      <c r="G9" s="22"/>
      <c r="H9" s="22"/>
      <c r="I9" s="22"/>
      <c r="J9" s="22"/>
      <c r="K9" s="36"/>
      <c r="L9" s="36"/>
      <c r="M9" s="36"/>
      <c r="N9" s="23"/>
      <c r="O9" s="22"/>
      <c r="P9" s="22"/>
      <c r="Q9" s="22"/>
      <c r="R9" s="22"/>
      <c r="S9" s="22"/>
      <c r="T9" s="22"/>
      <c r="U9" s="22"/>
      <c r="V9" s="22"/>
    </row>
    <row r="10" spans="1:22" ht="15.75" thickBot="1">
      <c r="D10" s="24"/>
      <c r="E10" s="24"/>
      <c r="F10" s="26"/>
      <c r="G10" s="37"/>
      <c r="H10" s="37"/>
      <c r="I10" s="37"/>
      <c r="J10" s="38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</row>
    <row r="11" spans="1:22">
      <c r="D11" s="22"/>
      <c r="E11" s="22"/>
      <c r="F11" s="22"/>
      <c r="G11" s="22"/>
      <c r="H11" s="36"/>
      <c r="I11" s="22"/>
      <c r="J11" s="36"/>
      <c r="K11" s="39"/>
      <c r="L11" s="36"/>
      <c r="M11" s="22"/>
      <c r="N11" s="36"/>
      <c r="O11" s="22"/>
      <c r="P11" s="39"/>
      <c r="Q11" s="22"/>
      <c r="R11" s="22"/>
      <c r="S11" s="22"/>
      <c r="T11" s="22"/>
      <c r="U11" s="22"/>
      <c r="V11" s="22"/>
    </row>
    <row r="12" spans="1:22">
      <c r="D12" s="22"/>
      <c r="E12" s="22"/>
      <c r="F12" s="22"/>
      <c r="G12" s="22"/>
      <c r="H12" s="39"/>
      <c r="I12" s="22"/>
      <c r="J12" s="22"/>
      <c r="K12" s="39"/>
      <c r="L12" s="40"/>
      <c r="M12" s="22"/>
      <c r="N12" s="36"/>
      <c r="O12" s="22"/>
      <c r="P12" s="39"/>
      <c r="Q12" s="22"/>
      <c r="R12" s="22"/>
      <c r="S12" s="41"/>
      <c r="T12" s="22"/>
      <c r="U12" s="22"/>
      <c r="V12" s="22"/>
    </row>
    <row r="13" spans="1:22">
      <c r="D13" s="22"/>
      <c r="E13" s="22"/>
      <c r="F13" s="22"/>
      <c r="G13" s="22"/>
      <c r="H13" s="22"/>
      <c r="I13" s="39"/>
      <c r="J13" s="39"/>
      <c r="K13" s="42"/>
      <c r="L13" s="22"/>
      <c r="M13" s="43" t="s">
        <v>930</v>
      </c>
      <c r="N13" s="44" t="s">
        <v>931</v>
      </c>
      <c r="O13" s="39"/>
      <c r="P13" s="22"/>
      <c r="Q13" s="39"/>
      <c r="R13" s="39"/>
      <c r="S13" s="45"/>
      <c r="T13" s="39"/>
      <c r="U13" s="39"/>
      <c r="V13" s="22"/>
    </row>
    <row r="14" spans="1:22">
      <c r="D14" s="22"/>
      <c r="E14" s="22"/>
      <c r="F14" s="22"/>
      <c r="G14" s="22"/>
      <c r="H14" s="22"/>
      <c r="I14" s="39"/>
      <c r="J14" s="39"/>
      <c r="K14" s="39"/>
      <c r="L14" s="46"/>
      <c r="M14" s="39"/>
      <c r="N14" s="36"/>
      <c r="O14" s="39"/>
      <c r="P14" s="39"/>
      <c r="Q14" s="39"/>
      <c r="R14" s="39"/>
      <c r="S14" s="45"/>
      <c r="T14" s="39"/>
      <c r="U14" s="39"/>
      <c r="V14" s="39"/>
    </row>
    <row r="15" spans="1:22">
      <c r="D15" s="23" t="s">
        <v>55</v>
      </c>
      <c r="E15" s="47" t="s">
        <v>280</v>
      </c>
      <c r="F15" s="48"/>
      <c r="G15" s="49"/>
      <c r="H15" s="50"/>
      <c r="I15" s="50"/>
      <c r="J15" s="51" t="s">
        <v>281</v>
      </c>
      <c r="K15" s="50"/>
      <c r="L15" s="52"/>
      <c r="M15" s="48"/>
      <c r="N15" s="53"/>
      <c r="O15" s="50"/>
      <c r="P15" s="51"/>
      <c r="Q15" s="51" t="s">
        <v>282</v>
      </c>
      <c r="R15" s="50"/>
      <c r="S15" s="54"/>
      <c r="T15" s="48"/>
      <c r="U15" s="55" t="s">
        <v>283</v>
      </c>
      <c r="V15" s="55" t="s">
        <v>284</v>
      </c>
    </row>
    <row r="16" spans="1:22" ht="15.75" thickBot="1">
      <c r="A16" s="56" t="s">
        <v>285</v>
      </c>
      <c r="B16" s="56" t="s">
        <v>286</v>
      </c>
      <c r="D16" s="25" t="s">
        <v>60</v>
      </c>
      <c r="E16" s="57" t="s">
        <v>287</v>
      </c>
      <c r="F16" s="58"/>
      <c r="G16" s="24"/>
      <c r="H16" s="24" t="s">
        <v>288</v>
      </c>
      <c r="I16" s="58"/>
      <c r="J16" s="58" t="s">
        <v>289</v>
      </c>
      <c r="K16" s="58"/>
      <c r="L16" s="59" t="s">
        <v>290</v>
      </c>
      <c r="M16" s="58"/>
      <c r="N16" s="60"/>
      <c r="O16" s="58" t="s">
        <v>288</v>
      </c>
      <c r="P16" s="58"/>
      <c r="Q16" s="58" t="s">
        <v>289</v>
      </c>
      <c r="R16" s="58"/>
      <c r="S16" s="61" t="s">
        <v>290</v>
      </c>
      <c r="T16" s="58"/>
      <c r="U16" s="62" t="s">
        <v>291</v>
      </c>
      <c r="V16" s="62" t="s">
        <v>59</v>
      </c>
    </row>
    <row r="17" spans="1:22">
      <c r="D17" s="22">
        <v>1</v>
      </c>
      <c r="E17" s="63"/>
      <c r="F17" s="64"/>
      <c r="G17" s="64"/>
      <c r="H17" s="22"/>
      <c r="I17" s="65"/>
      <c r="J17" s="65"/>
      <c r="K17" s="65"/>
      <c r="L17" s="66"/>
      <c r="M17" s="67"/>
      <c r="N17" s="53"/>
      <c r="O17" s="67"/>
      <c r="P17" s="65"/>
      <c r="Q17" s="65"/>
      <c r="R17" s="65"/>
      <c r="S17" s="68"/>
      <c r="T17" s="65"/>
      <c r="U17" s="65"/>
      <c r="V17" s="65"/>
    </row>
    <row r="18" spans="1:22">
      <c r="A18" s="69" t="s">
        <v>932</v>
      </c>
      <c r="B18" s="69" t="s">
        <v>933</v>
      </c>
      <c r="D18" s="22">
        <v>2</v>
      </c>
      <c r="E18" s="67" t="s">
        <v>65</v>
      </c>
      <c r="F18" s="67"/>
      <c r="G18" s="22"/>
      <c r="H18" s="70">
        <v>86098</v>
      </c>
      <c r="I18" s="66" t="s">
        <v>294</v>
      </c>
      <c r="J18" s="71">
        <v>0.71</v>
      </c>
      <c r="K18" s="66"/>
      <c r="L18" s="66">
        <f>+H18*J18</f>
        <v>61129.579999999994</v>
      </c>
      <c r="M18" s="70"/>
      <c r="N18" s="72"/>
      <c r="O18" s="70">
        <v>86098</v>
      </c>
      <c r="P18" s="66" t="s">
        <v>294</v>
      </c>
      <c r="Q18" s="71">
        <f>+J18</f>
        <v>0.71</v>
      </c>
      <c r="R18" s="66"/>
      <c r="S18" s="66">
        <f>+O18*Q18</f>
        <v>61129.579999999994</v>
      </c>
      <c r="T18" s="66"/>
      <c r="U18" s="66">
        <f>+S18-L18</f>
        <v>0</v>
      </c>
      <c r="V18" s="73">
        <f>+IF(U18=0,0,(S18-L18)/L18)</f>
        <v>0</v>
      </c>
    </row>
    <row r="19" spans="1:22">
      <c r="A19" s="69"/>
      <c r="B19" s="69"/>
      <c r="D19" s="22">
        <v>3</v>
      </c>
      <c r="E19" s="22"/>
      <c r="F19" s="22"/>
      <c r="G19" s="22"/>
      <c r="H19" s="70"/>
      <c r="I19" s="66"/>
      <c r="J19" s="74"/>
      <c r="K19" s="22"/>
      <c r="L19" s="66"/>
      <c r="M19" s="22"/>
      <c r="N19" s="23"/>
      <c r="O19" s="70"/>
      <c r="P19" s="66"/>
      <c r="Q19" s="74"/>
      <c r="R19" s="22"/>
      <c r="S19" s="66"/>
      <c r="T19" s="22"/>
      <c r="U19" s="22"/>
      <c r="V19" s="75"/>
    </row>
    <row r="20" spans="1:22">
      <c r="A20" s="69" t="s">
        <v>934</v>
      </c>
      <c r="B20" s="69" t="s">
        <v>935</v>
      </c>
      <c r="D20" s="22">
        <v>4</v>
      </c>
      <c r="E20" s="67" t="s">
        <v>936</v>
      </c>
      <c r="F20" s="22"/>
      <c r="G20" s="22"/>
      <c r="H20" s="70">
        <v>107727525.26003531</v>
      </c>
      <c r="I20" s="66" t="s">
        <v>304</v>
      </c>
      <c r="J20" s="76">
        <v>3.2599999999999997E-2</v>
      </c>
      <c r="K20" s="22"/>
      <c r="L20" s="66">
        <f>+H20*J20</f>
        <v>3511917.3234771509</v>
      </c>
      <c r="M20" s="22"/>
      <c r="N20" s="23"/>
      <c r="O20" s="66">
        <v>107727525.26000001</v>
      </c>
      <c r="P20" s="66" t="s">
        <v>304</v>
      </c>
      <c r="Q20" s="77">
        <f>+J20</f>
        <v>3.2599999999999997E-2</v>
      </c>
      <c r="R20" s="22"/>
      <c r="S20" s="66">
        <f>+O20*Q20</f>
        <v>3511917.3234759998</v>
      </c>
      <c r="T20" s="22"/>
      <c r="U20" s="66">
        <f>+S20-L20</f>
        <v>-1.1511147022247314E-6</v>
      </c>
      <c r="V20" s="73">
        <f>+IF(U20=0,0,(S20-L20)/L20)</f>
        <v>-3.2777386145440699E-13</v>
      </c>
    </row>
    <row r="21" spans="1:22">
      <c r="A21" s="69" t="s">
        <v>937</v>
      </c>
      <c r="B21" s="69"/>
      <c r="D21" s="22">
        <v>5</v>
      </c>
      <c r="E21" s="67"/>
      <c r="F21" s="22"/>
      <c r="G21" s="22"/>
      <c r="H21" s="70"/>
      <c r="I21" s="66"/>
      <c r="J21" s="74"/>
      <c r="K21" s="22"/>
      <c r="L21" s="66"/>
      <c r="M21" s="22"/>
      <c r="N21" s="23"/>
      <c r="O21" s="70"/>
      <c r="P21" s="66"/>
      <c r="Q21" s="74"/>
      <c r="R21" s="22"/>
      <c r="S21" s="66"/>
      <c r="T21" s="22"/>
      <c r="U21" s="22"/>
      <c r="V21" s="75"/>
    </row>
    <row r="22" spans="1:22">
      <c r="A22" s="69" t="s">
        <v>938</v>
      </c>
      <c r="B22" s="69"/>
      <c r="D22" s="22">
        <v>6</v>
      </c>
      <c r="E22" s="22"/>
      <c r="F22" s="22"/>
      <c r="G22" s="22"/>
      <c r="H22" s="70"/>
      <c r="I22" s="66"/>
      <c r="J22" s="74"/>
      <c r="K22" s="22"/>
      <c r="L22" s="66"/>
      <c r="M22" s="22"/>
      <c r="N22" s="23"/>
      <c r="O22" s="70"/>
      <c r="P22" s="66"/>
      <c r="Q22" s="74"/>
      <c r="R22" s="22"/>
      <c r="S22" s="66"/>
      <c r="T22" s="22"/>
      <c r="U22" s="22"/>
      <c r="V22" s="75"/>
    </row>
    <row r="23" spans="1:22" ht="15.75" thickBot="1">
      <c r="A23" s="69" t="s">
        <v>939</v>
      </c>
      <c r="B23" s="69"/>
      <c r="D23" s="22">
        <v>7</v>
      </c>
      <c r="E23" s="67" t="s">
        <v>316</v>
      </c>
      <c r="F23" s="22"/>
      <c r="G23" s="22"/>
      <c r="H23" s="70"/>
      <c r="I23" s="66"/>
      <c r="J23" s="74"/>
      <c r="K23" s="22"/>
      <c r="L23" s="78">
        <f>+L18+L20</f>
        <v>3573046.9034771509</v>
      </c>
      <c r="M23" s="22"/>
      <c r="N23" s="23"/>
      <c r="O23" s="70"/>
      <c r="P23" s="66"/>
      <c r="Q23" s="74"/>
      <c r="R23" s="22"/>
      <c r="S23" s="78">
        <f>+S18+S20</f>
        <v>3573046.9034759998</v>
      </c>
      <c r="T23" s="22"/>
      <c r="U23" s="66">
        <f>+U18+U20</f>
        <v>-1.1511147022247314E-6</v>
      </c>
      <c r="V23" s="73">
        <f>+IF(U23=0,0,(S23-L23)/L23)</f>
        <v>-3.2216613252529967E-13</v>
      </c>
    </row>
    <row r="24" spans="1:22" ht="15.75" thickTop="1">
      <c r="D24" s="22">
        <v>8</v>
      </c>
      <c r="E24" s="22"/>
      <c r="F24" s="22"/>
      <c r="G24" s="22"/>
      <c r="H24" s="66"/>
      <c r="I24" s="66"/>
      <c r="J24" s="71"/>
      <c r="K24" s="22"/>
      <c r="L24" s="66"/>
      <c r="M24" s="22"/>
      <c r="N24" s="23"/>
      <c r="O24" s="66"/>
      <c r="P24" s="66"/>
      <c r="Q24" s="71"/>
      <c r="R24" s="22"/>
      <c r="S24" s="66"/>
      <c r="T24" s="22"/>
      <c r="U24" s="22"/>
      <c r="V24" s="75"/>
    </row>
    <row r="25" spans="1:22">
      <c r="D25" s="22">
        <v>9</v>
      </c>
      <c r="E25" s="22"/>
      <c r="F25" s="22"/>
      <c r="G25" s="22"/>
      <c r="H25" s="66"/>
      <c r="I25" s="66"/>
      <c r="J25" s="71"/>
      <c r="K25" s="22"/>
      <c r="L25" s="66"/>
      <c r="M25" s="22"/>
      <c r="N25" s="23"/>
      <c r="O25" s="66"/>
      <c r="P25" s="66"/>
      <c r="Q25" s="71"/>
      <c r="R25" s="22"/>
      <c r="S25" s="66"/>
      <c r="T25" s="22"/>
      <c r="U25" s="22"/>
      <c r="V25" s="75"/>
    </row>
    <row r="26" spans="1:22">
      <c r="D26" s="22">
        <v>10</v>
      </c>
      <c r="E26" s="22"/>
      <c r="F26" s="22"/>
      <c r="G26" s="22"/>
      <c r="H26" s="66"/>
      <c r="I26" s="66"/>
      <c r="J26" s="71"/>
      <c r="K26" s="22"/>
      <c r="L26" s="66"/>
      <c r="M26" s="22"/>
      <c r="N26" s="23"/>
      <c r="O26" s="66"/>
      <c r="P26" s="66"/>
      <c r="Q26" s="71"/>
      <c r="R26" s="22"/>
      <c r="S26" s="66"/>
      <c r="T26" s="22"/>
      <c r="U26" s="22"/>
      <c r="V26" s="75"/>
    </row>
    <row r="27" spans="1:22">
      <c r="D27" s="22">
        <v>11</v>
      </c>
      <c r="E27" s="67"/>
      <c r="F27" s="65"/>
      <c r="G27" s="22"/>
      <c r="H27" s="41"/>
      <c r="I27" s="66"/>
      <c r="J27" s="66"/>
      <c r="K27" s="66"/>
      <c r="L27" s="66"/>
      <c r="M27" s="66"/>
      <c r="N27" s="72"/>
      <c r="O27" s="66"/>
      <c r="P27" s="66"/>
      <c r="Q27" s="66"/>
      <c r="R27" s="66"/>
      <c r="S27" s="66"/>
      <c r="T27" s="22"/>
      <c r="U27" s="22"/>
      <c r="V27" s="75"/>
    </row>
    <row r="28" spans="1:22">
      <c r="D28" s="22">
        <v>12</v>
      </c>
      <c r="E28" s="22"/>
      <c r="F28" s="22"/>
      <c r="G28" s="22"/>
      <c r="H28" s="22"/>
      <c r="I28" s="22"/>
      <c r="J28" s="22"/>
      <c r="K28" s="22"/>
      <c r="L28" s="66"/>
      <c r="M28" s="22"/>
      <c r="N28" s="23"/>
      <c r="O28" s="22"/>
      <c r="P28" s="22"/>
      <c r="Q28" s="22"/>
      <c r="R28" s="22"/>
      <c r="S28" s="41"/>
      <c r="T28" s="22"/>
      <c r="U28" s="22"/>
      <c r="V28" s="22"/>
    </row>
    <row r="29" spans="1:22">
      <c r="D29" s="22">
        <v>13</v>
      </c>
      <c r="E29" s="63"/>
      <c r="F29" s="63"/>
      <c r="G29" s="63"/>
      <c r="H29" s="22"/>
      <c r="I29" s="22"/>
      <c r="J29" s="22"/>
      <c r="K29" s="22"/>
      <c r="L29" s="66"/>
      <c r="M29" s="22"/>
      <c r="N29" s="23"/>
      <c r="O29" s="22"/>
      <c r="P29" s="22"/>
      <c r="Q29" s="22"/>
      <c r="R29" s="22"/>
      <c r="S29" s="41"/>
      <c r="T29" s="22"/>
      <c r="U29" s="22"/>
      <c r="V29" s="22"/>
    </row>
    <row r="30" spans="1:22">
      <c r="D30" s="22">
        <v>14</v>
      </c>
      <c r="E30" s="67"/>
      <c r="F30" s="22"/>
      <c r="G30" s="22"/>
      <c r="H30" s="66"/>
      <c r="I30" s="66"/>
      <c r="J30" s="79"/>
      <c r="K30" s="22"/>
      <c r="L30" s="66"/>
      <c r="M30" s="22"/>
      <c r="N30" s="23"/>
      <c r="O30" s="66"/>
      <c r="P30" s="66"/>
      <c r="Q30" s="75"/>
      <c r="R30" s="22"/>
      <c r="S30" s="66"/>
      <c r="T30" s="22"/>
      <c r="U30" s="22"/>
      <c r="V30" s="75"/>
    </row>
    <row r="31" spans="1:22">
      <c r="D31" s="22">
        <v>15</v>
      </c>
      <c r="E31" s="67"/>
      <c r="F31" s="22"/>
      <c r="G31" s="22"/>
      <c r="H31" s="66"/>
      <c r="I31" s="66"/>
      <c r="J31" s="79"/>
      <c r="K31" s="22"/>
      <c r="L31" s="66"/>
      <c r="M31" s="22"/>
      <c r="N31" s="23"/>
      <c r="O31" s="66"/>
      <c r="P31" s="66"/>
      <c r="Q31" s="75"/>
      <c r="R31" s="22"/>
      <c r="S31" s="66"/>
      <c r="T31" s="22"/>
      <c r="U31" s="22"/>
      <c r="V31" s="75"/>
    </row>
    <row r="32" spans="1:22">
      <c r="D32" s="22">
        <v>16</v>
      </c>
      <c r="E32" s="22"/>
      <c r="F32" s="22"/>
      <c r="G32" s="22"/>
      <c r="H32" s="66"/>
      <c r="I32" s="66"/>
      <c r="J32" s="79"/>
      <c r="K32" s="22"/>
      <c r="L32" s="66"/>
      <c r="M32" s="22"/>
      <c r="N32" s="23"/>
      <c r="O32" s="66"/>
      <c r="P32" s="66"/>
      <c r="Q32" s="75"/>
      <c r="R32" s="22"/>
      <c r="S32" s="66"/>
      <c r="T32" s="22"/>
      <c r="U32" s="22"/>
      <c r="V32" s="75"/>
    </row>
    <row r="33" spans="4:22">
      <c r="D33" s="22">
        <v>17</v>
      </c>
      <c r="E33" s="22"/>
      <c r="F33" s="22"/>
      <c r="G33" s="22"/>
      <c r="H33" s="66"/>
      <c r="I33" s="66"/>
      <c r="J33" s="79"/>
      <c r="K33" s="22"/>
      <c r="L33" s="66"/>
      <c r="M33" s="22"/>
      <c r="N33" s="23"/>
      <c r="O33" s="66"/>
      <c r="P33" s="66"/>
      <c r="Q33" s="75"/>
      <c r="R33" s="22"/>
      <c r="S33" s="66"/>
      <c r="T33" s="22"/>
      <c r="U33" s="22"/>
      <c r="V33" s="75"/>
    </row>
    <row r="34" spans="4:22">
      <c r="D34" s="22">
        <v>18</v>
      </c>
      <c r="E34" s="63"/>
      <c r="F34" s="63"/>
      <c r="G34" s="63"/>
      <c r="H34" s="22"/>
      <c r="I34" s="22"/>
      <c r="J34" s="79"/>
      <c r="K34" s="22"/>
      <c r="L34" s="66"/>
      <c r="M34" s="22"/>
      <c r="N34" s="23"/>
      <c r="O34" s="22"/>
      <c r="P34" s="22"/>
      <c r="Q34" s="75"/>
      <c r="R34" s="22"/>
      <c r="S34" s="41"/>
      <c r="T34" s="22"/>
      <c r="U34" s="22"/>
      <c r="V34" s="22"/>
    </row>
    <row r="35" spans="4:22">
      <c r="D35" s="22">
        <v>19</v>
      </c>
      <c r="E35" s="22"/>
      <c r="F35" s="22"/>
      <c r="G35" s="22"/>
      <c r="H35" s="66"/>
      <c r="I35" s="66"/>
      <c r="J35" s="79"/>
      <c r="K35" s="66"/>
      <c r="L35" s="66"/>
      <c r="M35" s="66"/>
      <c r="N35" s="72"/>
      <c r="O35" s="66"/>
      <c r="P35" s="66"/>
      <c r="Q35" s="75"/>
      <c r="R35" s="66"/>
      <c r="S35" s="66"/>
      <c r="T35" s="66"/>
      <c r="U35" s="66"/>
      <c r="V35" s="75"/>
    </row>
    <row r="36" spans="4:22">
      <c r="D36" s="22">
        <v>20</v>
      </c>
      <c r="E36" s="22"/>
      <c r="F36" s="65"/>
      <c r="G36" s="22"/>
      <c r="H36" s="66"/>
      <c r="I36" s="66"/>
      <c r="J36" s="79"/>
      <c r="K36" s="66"/>
      <c r="L36" s="66"/>
      <c r="M36" s="66"/>
      <c r="N36" s="72"/>
      <c r="O36" s="66"/>
      <c r="P36" s="66"/>
      <c r="Q36" s="75"/>
      <c r="R36" s="66"/>
      <c r="S36" s="66"/>
      <c r="T36" s="66"/>
      <c r="U36" s="66"/>
      <c r="V36" s="75"/>
    </row>
    <row r="37" spans="4:22">
      <c r="D37" s="22">
        <v>21</v>
      </c>
      <c r="E37" s="67"/>
      <c r="F37" s="65"/>
      <c r="G37" s="22"/>
      <c r="H37" s="66"/>
      <c r="I37" s="66"/>
      <c r="J37" s="66"/>
      <c r="K37" s="66"/>
      <c r="L37" s="66"/>
      <c r="M37" s="66"/>
      <c r="N37" s="72"/>
      <c r="O37" s="66"/>
      <c r="P37" s="66"/>
      <c r="Q37" s="66"/>
      <c r="R37" s="66"/>
      <c r="S37" s="66"/>
      <c r="T37" s="22"/>
      <c r="U37" s="22"/>
      <c r="V37" s="75"/>
    </row>
    <row r="38" spans="4:22">
      <c r="D38" s="22">
        <v>22</v>
      </c>
      <c r="E38" s="22"/>
      <c r="F38" s="22"/>
      <c r="G38" s="22"/>
      <c r="H38" s="22"/>
      <c r="I38" s="22"/>
      <c r="J38" s="22"/>
      <c r="K38" s="22"/>
      <c r="L38" s="66"/>
      <c r="M38" s="22"/>
      <c r="N38" s="23"/>
      <c r="O38" s="22"/>
      <c r="P38" s="22"/>
      <c r="Q38" s="22"/>
      <c r="R38" s="22"/>
      <c r="S38" s="41"/>
      <c r="T38" s="22"/>
      <c r="U38" s="22"/>
      <c r="V38" s="22"/>
    </row>
    <row r="39" spans="4:22">
      <c r="D39" s="22">
        <v>23</v>
      </c>
      <c r="E39" s="67"/>
      <c r="F39" s="22"/>
      <c r="G39" s="22"/>
      <c r="H39" s="22"/>
      <c r="I39" s="22"/>
      <c r="J39" s="22"/>
      <c r="K39" s="22"/>
      <c r="L39" s="65"/>
      <c r="M39" s="66"/>
      <c r="N39" s="72"/>
      <c r="O39" s="66"/>
      <c r="P39" s="66"/>
      <c r="Q39" s="66"/>
      <c r="R39" s="66"/>
      <c r="S39" s="65"/>
      <c r="T39" s="66"/>
      <c r="U39" s="66"/>
      <c r="V39" s="75"/>
    </row>
    <row r="40" spans="4:22">
      <c r="D40" s="22">
        <v>24</v>
      </c>
      <c r="E40" s="65"/>
      <c r="F40" s="22"/>
      <c r="G40" s="22"/>
      <c r="H40" s="66"/>
      <c r="I40" s="66"/>
      <c r="J40" s="71"/>
      <c r="K40" s="22"/>
      <c r="L40" s="66"/>
      <c r="M40" s="22"/>
      <c r="N40" s="23"/>
      <c r="O40" s="66"/>
      <c r="P40" s="66"/>
      <c r="Q40" s="71"/>
      <c r="R40" s="22"/>
      <c r="S40" s="80"/>
      <c r="T40" s="22"/>
      <c r="U40" s="22"/>
      <c r="V40" s="75"/>
    </row>
    <row r="41" spans="4:22">
      <c r="D41" s="22">
        <v>25</v>
      </c>
      <c r="E41" s="65"/>
      <c r="F41" s="22"/>
      <c r="G41" s="22"/>
      <c r="H41" s="66"/>
      <c r="I41" s="66"/>
      <c r="J41" s="71"/>
      <c r="K41" s="22"/>
      <c r="L41" s="81"/>
      <c r="M41" s="22"/>
      <c r="N41" s="23"/>
      <c r="O41" s="66"/>
      <c r="P41" s="66"/>
      <c r="Q41" s="71"/>
      <c r="R41" s="22"/>
      <c r="S41" s="80"/>
      <c r="T41" s="22"/>
      <c r="U41" s="22"/>
      <c r="V41" s="75"/>
    </row>
    <row r="42" spans="4:22">
      <c r="D42" s="22">
        <v>26</v>
      </c>
      <c r="E42" s="22"/>
      <c r="F42" s="22"/>
      <c r="G42" s="22"/>
      <c r="H42" s="66"/>
      <c r="I42" s="66"/>
      <c r="J42" s="71"/>
      <c r="K42" s="22"/>
      <c r="L42" s="81"/>
      <c r="M42" s="22"/>
      <c r="N42" s="23"/>
      <c r="O42" s="66"/>
      <c r="P42" s="66"/>
      <c r="Q42" s="71"/>
      <c r="R42" s="22"/>
      <c r="S42" s="80"/>
      <c r="T42" s="22"/>
      <c r="U42" s="22"/>
      <c r="V42" s="75"/>
    </row>
    <row r="43" spans="4:22">
      <c r="D43" s="22">
        <v>27</v>
      </c>
      <c r="E43" s="22"/>
      <c r="F43" s="22"/>
      <c r="G43" s="22"/>
      <c r="H43" s="66"/>
      <c r="I43" s="66"/>
      <c r="J43" s="71"/>
      <c r="K43" s="22"/>
      <c r="L43" s="81"/>
      <c r="M43" s="22"/>
      <c r="N43" s="23"/>
      <c r="O43" s="66"/>
      <c r="P43" s="66"/>
      <c r="Q43" s="71"/>
      <c r="R43" s="22"/>
      <c r="S43" s="80"/>
      <c r="T43" s="22"/>
      <c r="U43" s="22"/>
      <c r="V43" s="75"/>
    </row>
    <row r="44" spans="4:22">
      <c r="D44" s="22">
        <v>28</v>
      </c>
      <c r="E44" s="65"/>
      <c r="F44" s="65"/>
      <c r="G44" s="22"/>
      <c r="H44" s="66"/>
      <c r="I44" s="66"/>
      <c r="J44" s="71"/>
      <c r="K44" s="22"/>
      <c r="L44" s="81"/>
      <c r="M44" s="22"/>
      <c r="N44" s="23"/>
      <c r="O44" s="66"/>
      <c r="P44" s="66"/>
      <c r="Q44" s="71"/>
      <c r="R44" s="22"/>
      <c r="S44" s="80"/>
      <c r="T44" s="22"/>
      <c r="U44" s="22"/>
      <c r="V44" s="75"/>
    </row>
    <row r="45" spans="4:22">
      <c r="D45" s="22">
        <v>29</v>
      </c>
      <c r="E45" s="22"/>
      <c r="F45" s="65"/>
      <c r="G45" s="22"/>
      <c r="H45" s="66"/>
      <c r="I45" s="66"/>
      <c r="J45" s="71"/>
      <c r="K45" s="22"/>
      <c r="L45" s="81"/>
      <c r="M45" s="22"/>
      <c r="N45" s="23"/>
      <c r="O45" s="66"/>
      <c r="P45" s="66"/>
      <c r="Q45" s="71"/>
      <c r="R45" s="22"/>
      <c r="S45" s="80"/>
      <c r="T45" s="22"/>
      <c r="U45" s="22"/>
      <c r="V45" s="75"/>
    </row>
    <row r="46" spans="4:22">
      <c r="D46" s="22">
        <v>30</v>
      </c>
      <c r="E46" s="22"/>
      <c r="F46" s="22"/>
      <c r="G46" s="22"/>
      <c r="H46" s="66"/>
      <c r="I46" s="66"/>
      <c r="J46" s="71"/>
      <c r="K46" s="22"/>
      <c r="L46" s="81"/>
      <c r="M46" s="22"/>
      <c r="N46" s="23"/>
      <c r="O46" s="66"/>
      <c r="P46" s="66"/>
      <c r="Q46" s="71"/>
      <c r="R46" s="22"/>
      <c r="S46" s="80"/>
      <c r="T46" s="22"/>
      <c r="U46" s="22"/>
      <c r="V46" s="75"/>
    </row>
    <row r="47" spans="4:22">
      <c r="D47" s="22">
        <v>31</v>
      </c>
      <c r="E47" s="65"/>
      <c r="F47" s="65"/>
      <c r="G47" s="22"/>
      <c r="H47" s="66"/>
      <c r="I47" s="22"/>
      <c r="J47" s="22"/>
      <c r="K47" s="22"/>
      <c r="L47" s="82"/>
      <c r="M47" s="22"/>
      <c r="N47" s="23"/>
      <c r="O47" s="66"/>
      <c r="P47" s="22"/>
      <c r="Q47" s="22"/>
      <c r="R47" s="22"/>
      <c r="S47" s="83"/>
      <c r="T47" s="22"/>
      <c r="U47" s="22"/>
      <c r="V47" s="75"/>
    </row>
    <row r="48" spans="4:22">
      <c r="D48" s="22">
        <v>32</v>
      </c>
      <c r="E48" s="22"/>
      <c r="F48" s="22"/>
      <c r="G48" s="22"/>
      <c r="H48" s="22"/>
      <c r="I48" s="22"/>
      <c r="J48" s="22"/>
      <c r="K48" s="22"/>
      <c r="L48" s="82"/>
      <c r="M48" s="22"/>
      <c r="N48" s="23"/>
      <c r="O48" s="22"/>
      <c r="P48" s="22"/>
      <c r="Q48" s="22"/>
      <c r="R48" s="22"/>
      <c r="S48" s="22"/>
      <c r="T48" s="22"/>
      <c r="U48" s="22"/>
      <c r="V48" s="22"/>
    </row>
    <row r="49" spans="4:22">
      <c r="D49" s="22">
        <v>33</v>
      </c>
      <c r="E49" s="65"/>
      <c r="F49" s="22"/>
      <c r="G49" s="22"/>
      <c r="H49" s="22"/>
      <c r="I49" s="22"/>
      <c r="J49" s="22"/>
      <c r="K49" s="22"/>
      <c r="L49" s="65"/>
      <c r="M49" s="66"/>
      <c r="N49" s="72"/>
      <c r="O49" s="66"/>
      <c r="P49" s="66"/>
      <c r="Q49" s="66"/>
      <c r="R49" s="66"/>
      <c r="S49" s="71"/>
      <c r="T49" s="66"/>
      <c r="U49" s="66"/>
      <c r="V49" s="75"/>
    </row>
    <row r="50" spans="4:22">
      <c r="D50" s="22">
        <v>34</v>
      </c>
      <c r="E50" s="84"/>
      <c r="F50" s="65"/>
      <c r="G50" s="22"/>
      <c r="H50" s="22"/>
      <c r="I50" s="66"/>
      <c r="J50" s="66"/>
      <c r="K50" s="66"/>
      <c r="L50" s="81"/>
      <c r="M50" s="66"/>
      <c r="N50" s="72"/>
      <c r="O50" s="66"/>
      <c r="P50" s="66"/>
      <c r="Q50" s="66"/>
      <c r="R50" s="66"/>
      <c r="S50" s="66"/>
      <c r="T50" s="66"/>
      <c r="U50" s="66"/>
      <c r="V50" s="66"/>
    </row>
    <row r="51" spans="4:22">
      <c r="D51" s="22">
        <v>35</v>
      </c>
      <c r="E51" s="65"/>
      <c r="F51" s="65"/>
      <c r="G51" s="22"/>
      <c r="H51" s="22"/>
      <c r="I51" s="66"/>
      <c r="J51" s="66"/>
      <c r="K51" s="66"/>
      <c r="L51" s="65"/>
      <c r="M51" s="66"/>
      <c r="N51" s="72"/>
      <c r="O51" s="66"/>
      <c r="P51" s="66"/>
      <c r="Q51" s="66"/>
      <c r="R51" s="66"/>
      <c r="S51" s="71"/>
      <c r="T51" s="66"/>
      <c r="U51" s="66"/>
      <c r="V51" s="85"/>
    </row>
    <row r="52" spans="4:22">
      <c r="D52" s="22">
        <v>36</v>
      </c>
      <c r="E52" s="65"/>
      <c r="F52" s="65"/>
      <c r="G52" s="22"/>
      <c r="H52" s="22"/>
      <c r="I52" s="66"/>
      <c r="J52" s="66"/>
      <c r="K52" s="66"/>
      <c r="L52" s="65"/>
      <c r="M52" s="66"/>
      <c r="N52" s="72"/>
      <c r="O52" s="66"/>
      <c r="P52" s="66"/>
      <c r="Q52" s="66"/>
      <c r="R52" s="66"/>
      <c r="S52" s="71"/>
      <c r="T52" s="66"/>
      <c r="U52" s="66"/>
      <c r="V52" s="85"/>
    </row>
    <row r="53" spans="4:22">
      <c r="D53" s="22">
        <v>37</v>
      </c>
      <c r="E53" s="65"/>
      <c r="F53" s="65"/>
      <c r="G53" s="22"/>
      <c r="H53" s="22"/>
      <c r="I53" s="66"/>
      <c r="J53" s="66"/>
      <c r="K53" s="66"/>
      <c r="L53" s="65"/>
      <c r="M53" s="66"/>
      <c r="N53" s="72"/>
      <c r="O53" s="66"/>
      <c r="P53" s="66"/>
      <c r="Q53" s="66"/>
      <c r="R53" s="66"/>
      <c r="S53" s="71"/>
      <c r="T53" s="66"/>
      <c r="U53" s="66"/>
      <c r="V53" s="85"/>
    </row>
    <row r="54" spans="4:22">
      <c r="D54" s="22">
        <v>38</v>
      </c>
      <c r="E54" s="65"/>
      <c r="F54" s="65"/>
      <c r="G54" s="22"/>
      <c r="H54" s="22"/>
      <c r="I54" s="66"/>
      <c r="J54" s="66"/>
      <c r="K54" s="66"/>
      <c r="L54" s="65"/>
      <c r="M54" s="66"/>
      <c r="N54" s="72"/>
      <c r="O54" s="66"/>
      <c r="P54" s="66"/>
      <c r="Q54" s="66"/>
      <c r="R54" s="66"/>
      <c r="S54" s="71"/>
      <c r="T54" s="66"/>
      <c r="U54" s="66"/>
      <c r="V54" s="85"/>
    </row>
    <row r="55" spans="4:22" ht="15.75" thickBot="1">
      <c r="D55" s="24">
        <v>39</v>
      </c>
      <c r="E55" s="24"/>
      <c r="F55" s="24"/>
      <c r="G55" s="24"/>
      <c r="H55" s="24"/>
      <c r="I55" s="24"/>
      <c r="J55" s="24"/>
      <c r="K55" s="24"/>
      <c r="L55" s="86"/>
      <c r="M55" s="24"/>
      <c r="N55" s="25"/>
      <c r="O55" s="24"/>
      <c r="P55" s="24"/>
      <c r="Q55" s="24"/>
      <c r="R55" s="24"/>
      <c r="S55" s="24"/>
      <c r="T55" s="24"/>
      <c r="U55" s="24"/>
      <c r="V55" s="24"/>
    </row>
    <row r="56" spans="4:22">
      <c r="D56" s="22"/>
      <c r="E56" s="22"/>
      <c r="F56" s="22"/>
      <c r="G56" s="22"/>
      <c r="H56" s="22"/>
      <c r="I56" s="22"/>
      <c r="J56" s="22"/>
      <c r="K56" s="22"/>
      <c r="L56" s="82"/>
      <c r="M56" s="22"/>
      <c r="N56" s="23"/>
      <c r="O56" s="22"/>
      <c r="P56" s="22"/>
      <c r="Q56" s="22"/>
      <c r="R56" s="22"/>
      <c r="S56" s="22"/>
      <c r="T56" s="22"/>
      <c r="U56" s="22"/>
      <c r="V56" s="22"/>
    </row>
  </sheetData>
  <mergeCells count="2">
    <mergeCell ref="K3:O3"/>
    <mergeCell ref="K4:O4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F8D75-515F-4146-A558-1E2AF3B870CA}">
  <dimension ref="A1:X373"/>
  <sheetViews>
    <sheetView workbookViewId="0">
      <selection activeCell="D52" sqref="D52"/>
    </sheetView>
  </sheetViews>
  <sheetFormatPr defaultRowHeight="15"/>
  <cols>
    <col min="1" max="1" width="19" bestFit="1" customWidth="1"/>
    <col min="2" max="2" width="13.28515625" bestFit="1" customWidth="1"/>
    <col min="4" max="4" width="4.140625" customWidth="1"/>
    <col min="5" max="5" width="53" customWidth="1"/>
    <col min="6" max="6" width="7.85546875" customWidth="1"/>
    <col min="7" max="7" width="17.85546875" bestFit="1" customWidth="1"/>
    <col min="9" max="9" width="11.7109375" customWidth="1"/>
    <col min="10" max="10" width="8.7109375" customWidth="1"/>
    <col min="12" max="12" width="10.5703125" customWidth="1"/>
    <col min="14" max="14" width="15" customWidth="1"/>
    <col min="15" max="15" width="16.140625" customWidth="1"/>
    <col min="16" max="16" width="13.42578125" customWidth="1"/>
    <col min="19" max="19" width="13.7109375" customWidth="1"/>
    <col min="20" max="20" width="15.5703125" bestFit="1" customWidth="1"/>
    <col min="22" max="23" width="12.140625" bestFit="1" customWidth="1"/>
  </cols>
  <sheetData>
    <row r="1" spans="1:22" ht="17.100000000000001" customHeight="1" thickBot="1">
      <c r="D1" s="24"/>
      <c r="E1" s="24"/>
      <c r="F1" s="24"/>
      <c r="G1" s="24"/>
      <c r="H1" s="24"/>
      <c r="I1" s="24" t="s">
        <v>940</v>
      </c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2" ht="17.100000000000001" customHeight="1">
      <c r="A2" s="27" t="s">
        <v>275</v>
      </c>
      <c r="B2" s="28">
        <f>+'Scenario Operating Revenue'!D11</f>
        <v>82707820.715172112</v>
      </c>
      <c r="D2" s="22"/>
      <c r="E2" s="22"/>
      <c r="F2" s="22"/>
      <c r="I2" s="87"/>
      <c r="J2" s="22"/>
      <c r="K2" s="22"/>
      <c r="L2" s="30"/>
      <c r="M2" s="30"/>
      <c r="N2" s="22"/>
      <c r="O2" s="22"/>
      <c r="P2" s="30"/>
      <c r="Q2" s="30"/>
      <c r="R2" s="22"/>
      <c r="S2" s="22"/>
      <c r="T2" s="31"/>
    </row>
    <row r="3" spans="1:22" ht="17.100000000000001" customHeight="1">
      <c r="D3" s="22"/>
      <c r="E3" s="22"/>
      <c r="F3" s="22"/>
      <c r="G3" s="22"/>
      <c r="H3" s="22"/>
      <c r="I3" s="22"/>
      <c r="J3" s="22"/>
      <c r="K3" s="22"/>
      <c r="L3" s="32"/>
      <c r="M3" s="31"/>
      <c r="N3" s="22"/>
      <c r="O3" s="22"/>
      <c r="P3" s="22"/>
      <c r="Q3" s="88"/>
      <c r="R3" s="32"/>
      <c r="S3" s="31"/>
      <c r="T3" s="32"/>
    </row>
    <row r="4" spans="1:22" ht="17.100000000000001" customHeight="1">
      <c r="A4" s="33" t="s">
        <v>276</v>
      </c>
      <c r="B4" s="34">
        <v>0</v>
      </c>
      <c r="D4" s="22"/>
      <c r="E4" s="22"/>
      <c r="F4" s="22"/>
      <c r="G4" s="22"/>
      <c r="H4" s="22"/>
      <c r="I4" s="22"/>
      <c r="J4" s="22"/>
      <c r="K4" s="22"/>
      <c r="L4" s="32"/>
      <c r="M4" s="31"/>
      <c r="N4" s="32"/>
      <c r="O4" s="32"/>
      <c r="P4" s="22"/>
      <c r="Q4" s="32"/>
      <c r="R4" s="32"/>
      <c r="S4" s="31"/>
      <c r="T4" s="32"/>
    </row>
    <row r="5" spans="1:22" ht="17.100000000000001" customHeight="1">
      <c r="A5" s="33" t="s">
        <v>277</v>
      </c>
      <c r="B5" s="35">
        <f>+S341</f>
        <v>82707820.715172112</v>
      </c>
      <c r="D5" s="22"/>
      <c r="E5" s="22"/>
      <c r="F5" s="22"/>
      <c r="G5" s="22"/>
      <c r="H5" s="22"/>
      <c r="I5" s="22"/>
      <c r="J5" s="22"/>
      <c r="K5" s="22"/>
      <c r="L5" s="32"/>
      <c r="M5" s="31"/>
      <c r="N5" s="32"/>
      <c r="O5" s="32"/>
      <c r="P5" s="22"/>
      <c r="Q5" s="32"/>
      <c r="R5" s="32"/>
      <c r="S5" s="31"/>
      <c r="T5" s="32"/>
    </row>
    <row r="6" spans="1:22" ht="17.100000000000001" customHeight="1" thickBot="1">
      <c r="D6" s="24"/>
      <c r="E6" s="24"/>
      <c r="F6" s="24"/>
      <c r="G6" s="24"/>
      <c r="H6" s="24"/>
      <c r="I6" s="24"/>
      <c r="J6" s="24"/>
      <c r="K6" s="25"/>
      <c r="L6" s="24"/>
      <c r="M6" s="24"/>
      <c r="N6" s="24"/>
      <c r="O6" s="24"/>
      <c r="P6" s="24"/>
      <c r="Q6" s="24"/>
      <c r="R6" s="22"/>
      <c r="S6" s="22"/>
      <c r="T6" s="22"/>
    </row>
    <row r="7" spans="1:22" ht="17.100000000000001" customHeight="1">
      <c r="D7" s="89"/>
      <c r="E7" s="334" t="s">
        <v>941</v>
      </c>
      <c r="F7" s="334"/>
      <c r="G7" s="334"/>
      <c r="H7" s="334"/>
      <c r="I7" s="334"/>
      <c r="J7" s="334"/>
      <c r="K7" s="334"/>
      <c r="L7" s="334"/>
      <c r="M7" s="334"/>
      <c r="N7" s="334"/>
      <c r="O7" s="334"/>
      <c r="P7" s="334"/>
      <c r="Q7" s="334"/>
      <c r="R7" s="334"/>
      <c r="S7" s="334"/>
      <c r="T7" s="334"/>
    </row>
    <row r="8" spans="1:22" ht="17.100000000000001" customHeight="1">
      <c r="D8" s="22"/>
      <c r="E8" s="23"/>
      <c r="F8" s="36"/>
      <c r="G8" s="36"/>
      <c r="H8" s="36"/>
      <c r="I8" s="36"/>
      <c r="J8" s="36"/>
      <c r="K8" s="336" t="s">
        <v>942</v>
      </c>
      <c r="L8" s="336"/>
      <c r="M8" s="336"/>
      <c r="N8" s="336"/>
      <c r="O8" s="36"/>
      <c r="P8" s="336" t="s">
        <v>943</v>
      </c>
      <c r="Q8" s="336"/>
      <c r="R8" s="336"/>
      <c r="S8" s="336"/>
      <c r="T8" s="36"/>
    </row>
    <row r="9" spans="1:22" ht="17.100000000000001" customHeight="1">
      <c r="D9" s="22"/>
      <c r="E9" s="23"/>
      <c r="F9" s="36"/>
      <c r="G9" s="23" t="s">
        <v>944</v>
      </c>
      <c r="H9" s="36" t="s">
        <v>945</v>
      </c>
      <c r="I9" s="23"/>
      <c r="J9" s="23"/>
      <c r="K9" s="23" t="s">
        <v>946</v>
      </c>
      <c r="L9" s="23" t="s">
        <v>946</v>
      </c>
      <c r="M9" s="23" t="s">
        <v>947</v>
      </c>
      <c r="N9" s="36" t="s">
        <v>464</v>
      </c>
      <c r="O9" s="36"/>
      <c r="P9" s="23" t="s">
        <v>946</v>
      </c>
      <c r="Q9" s="23" t="s">
        <v>946</v>
      </c>
      <c r="R9" s="23" t="s">
        <v>947</v>
      </c>
      <c r="S9" s="23" t="s">
        <v>464</v>
      </c>
      <c r="T9" s="23"/>
    </row>
    <row r="10" spans="1:22" ht="17.100000000000001" customHeight="1">
      <c r="D10" s="22" t="s">
        <v>55</v>
      </c>
      <c r="E10" s="330" t="s">
        <v>280</v>
      </c>
      <c r="F10" s="330"/>
      <c r="G10" s="23" t="s">
        <v>948</v>
      </c>
      <c r="H10" s="23" t="s">
        <v>946</v>
      </c>
      <c r="I10" s="36" t="s">
        <v>944</v>
      </c>
      <c r="J10" s="36"/>
      <c r="K10" s="36" t="s">
        <v>949</v>
      </c>
      <c r="L10" s="36" t="s">
        <v>950</v>
      </c>
      <c r="M10" s="36" t="s">
        <v>946</v>
      </c>
      <c r="N10" s="23" t="s">
        <v>43</v>
      </c>
      <c r="O10" s="23"/>
      <c r="P10" s="36" t="s">
        <v>949</v>
      </c>
      <c r="Q10" s="36" t="s">
        <v>950</v>
      </c>
      <c r="R10" s="36" t="s">
        <v>946</v>
      </c>
      <c r="S10" s="36" t="s">
        <v>43</v>
      </c>
      <c r="T10" s="36" t="s">
        <v>54</v>
      </c>
      <c r="V10" s="23"/>
    </row>
    <row r="11" spans="1:22" ht="17.100000000000001" customHeight="1" thickBot="1">
      <c r="D11" s="24" t="s">
        <v>60</v>
      </c>
      <c r="E11" s="331" t="s">
        <v>949</v>
      </c>
      <c r="F11" s="331"/>
      <c r="G11" s="25" t="s">
        <v>951</v>
      </c>
      <c r="H11" s="25" t="s">
        <v>304</v>
      </c>
      <c r="I11" s="37" t="s">
        <v>304</v>
      </c>
      <c r="J11" s="37"/>
      <c r="K11" s="37" t="s">
        <v>952</v>
      </c>
      <c r="L11" s="37" t="s">
        <v>952</v>
      </c>
      <c r="M11" s="37" t="s">
        <v>952</v>
      </c>
      <c r="N11" s="37" t="s">
        <v>283</v>
      </c>
      <c r="O11" s="37"/>
      <c r="P11" s="37" t="s">
        <v>952</v>
      </c>
      <c r="Q11" s="37" t="s">
        <v>952</v>
      </c>
      <c r="R11" s="37" t="s">
        <v>952</v>
      </c>
      <c r="S11" s="37" t="s">
        <v>283</v>
      </c>
      <c r="T11" s="37" t="s">
        <v>59</v>
      </c>
    </row>
    <row r="12" spans="1:22" ht="17.100000000000001" customHeight="1">
      <c r="A12" s="56" t="s">
        <v>953</v>
      </c>
      <c r="B12" s="56"/>
      <c r="D12" s="22">
        <v>1</v>
      </c>
      <c r="E12" s="337" t="s">
        <v>954</v>
      </c>
      <c r="F12" s="337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</row>
    <row r="13" spans="1:22" ht="17.100000000000001" customHeight="1">
      <c r="A13" s="91">
        <v>800</v>
      </c>
      <c r="B13" s="91"/>
      <c r="D13" s="22">
        <v>2</v>
      </c>
      <c r="E13" s="31" t="s">
        <v>955</v>
      </c>
      <c r="F13" s="32" t="s">
        <v>956</v>
      </c>
      <c r="G13" s="66">
        <v>0</v>
      </c>
      <c r="H13" s="66">
        <v>20</v>
      </c>
      <c r="I13" s="66">
        <f t="shared" ref="I13:I29" si="0">+H13*G13</f>
        <v>0</v>
      </c>
      <c r="J13" s="23"/>
      <c r="K13" s="71">
        <v>4.54</v>
      </c>
      <c r="L13" s="71">
        <v>2.48</v>
      </c>
      <c r="M13" s="71">
        <f>+K13+L13</f>
        <v>7.02</v>
      </c>
      <c r="N13" s="67">
        <f t="shared" ref="N13:N29" si="1">+M13*G13</f>
        <v>0</v>
      </c>
      <c r="O13" s="67"/>
      <c r="P13" s="74">
        <f>+K13</f>
        <v>4.54</v>
      </c>
      <c r="Q13" s="74">
        <f>+L13</f>
        <v>2.48</v>
      </c>
      <c r="R13" s="74">
        <f>+P13+Q13</f>
        <v>7.02</v>
      </c>
      <c r="S13" s="67">
        <f t="shared" ref="S13:S29" si="2">+R13*G13</f>
        <v>0</v>
      </c>
      <c r="T13" s="92">
        <f>IF(S13=0,0,(S13-N13)/N13)</f>
        <v>0</v>
      </c>
    </row>
    <row r="14" spans="1:22" ht="17.100000000000001" customHeight="1">
      <c r="A14" s="91">
        <v>802</v>
      </c>
      <c r="B14" s="91"/>
      <c r="D14" s="22">
        <v>3</v>
      </c>
      <c r="E14" s="31" t="s">
        <v>957</v>
      </c>
      <c r="F14" s="32" t="s">
        <v>958</v>
      </c>
      <c r="G14" s="66">
        <v>0</v>
      </c>
      <c r="H14" s="66">
        <v>29</v>
      </c>
      <c r="I14" s="66">
        <f t="shared" si="0"/>
        <v>0</v>
      </c>
      <c r="J14" s="23"/>
      <c r="K14" s="71">
        <v>4.6100000000000003</v>
      </c>
      <c r="L14" s="71">
        <v>2.11</v>
      </c>
      <c r="M14" s="71">
        <f t="shared" ref="M14:M25" si="3">+K14+L14</f>
        <v>6.7200000000000006</v>
      </c>
      <c r="N14" s="67">
        <f t="shared" si="1"/>
        <v>0</v>
      </c>
      <c r="O14" s="66"/>
      <c r="P14" s="74">
        <f t="shared" ref="P14:Q29" si="4">+K14</f>
        <v>4.6100000000000003</v>
      </c>
      <c r="Q14" s="74">
        <f t="shared" si="4"/>
        <v>2.11</v>
      </c>
      <c r="R14" s="74">
        <f t="shared" ref="R14:R29" si="5">+P14+Q14</f>
        <v>6.7200000000000006</v>
      </c>
      <c r="S14" s="67">
        <f t="shared" si="2"/>
        <v>0</v>
      </c>
      <c r="T14" s="92">
        <f t="shared" ref="T14:T30" si="6">IF(S14=0,0,(S14-N14)/N14)</f>
        <v>0</v>
      </c>
    </row>
    <row r="15" spans="1:22" ht="17.100000000000001" customHeight="1">
      <c r="A15" s="91">
        <v>803</v>
      </c>
      <c r="B15" s="91"/>
      <c r="D15" s="22">
        <v>4</v>
      </c>
      <c r="E15" s="31" t="s">
        <v>959</v>
      </c>
      <c r="F15" s="32" t="s">
        <v>960</v>
      </c>
      <c r="G15" s="66">
        <v>0</v>
      </c>
      <c r="H15" s="66">
        <v>44</v>
      </c>
      <c r="I15" s="66">
        <f t="shared" si="0"/>
        <v>0</v>
      </c>
      <c r="J15" s="23"/>
      <c r="K15" s="71">
        <v>5.22</v>
      </c>
      <c r="L15" s="71">
        <v>2.33</v>
      </c>
      <c r="M15" s="71">
        <f t="shared" si="3"/>
        <v>7.55</v>
      </c>
      <c r="N15" s="67">
        <f t="shared" si="1"/>
        <v>0</v>
      </c>
      <c r="O15" s="66"/>
      <c r="P15" s="74">
        <f t="shared" si="4"/>
        <v>5.22</v>
      </c>
      <c r="Q15" s="74">
        <f t="shared" si="4"/>
        <v>2.33</v>
      </c>
      <c r="R15" s="74">
        <f t="shared" si="5"/>
        <v>7.55</v>
      </c>
      <c r="S15" s="67">
        <f t="shared" si="2"/>
        <v>0</v>
      </c>
      <c r="T15" s="92">
        <f t="shared" si="6"/>
        <v>0</v>
      </c>
    </row>
    <row r="16" spans="1:22" ht="17.100000000000001" customHeight="1">
      <c r="A16" s="91">
        <v>804</v>
      </c>
      <c r="B16" s="91"/>
      <c r="D16" s="22">
        <v>5</v>
      </c>
      <c r="E16" s="31" t="s">
        <v>961</v>
      </c>
      <c r="F16" s="32" t="s">
        <v>962</v>
      </c>
      <c r="G16" s="66">
        <v>0</v>
      </c>
      <c r="H16" s="66">
        <v>66</v>
      </c>
      <c r="I16" s="66">
        <f t="shared" si="0"/>
        <v>0</v>
      </c>
      <c r="J16" s="23"/>
      <c r="K16" s="71">
        <v>6.01</v>
      </c>
      <c r="L16" s="71">
        <v>2.02</v>
      </c>
      <c r="M16" s="71">
        <f t="shared" si="3"/>
        <v>8.0299999999999994</v>
      </c>
      <c r="N16" s="67">
        <f t="shared" si="1"/>
        <v>0</v>
      </c>
      <c r="O16" s="66"/>
      <c r="P16" s="74">
        <f t="shared" si="4"/>
        <v>6.01</v>
      </c>
      <c r="Q16" s="74">
        <f t="shared" si="4"/>
        <v>2.02</v>
      </c>
      <c r="R16" s="74">
        <f t="shared" si="5"/>
        <v>8.0299999999999994</v>
      </c>
      <c r="S16" s="67">
        <f t="shared" si="2"/>
        <v>0</v>
      </c>
      <c r="T16" s="92">
        <f t="shared" si="6"/>
        <v>0</v>
      </c>
    </row>
    <row r="17" spans="1:20" ht="17.100000000000001" customHeight="1">
      <c r="A17" s="91">
        <v>805</v>
      </c>
      <c r="B17" s="91"/>
      <c r="D17" s="22">
        <v>6</v>
      </c>
      <c r="E17" s="31" t="s">
        <v>963</v>
      </c>
      <c r="F17" s="32" t="s">
        <v>964</v>
      </c>
      <c r="G17" s="66">
        <v>0</v>
      </c>
      <c r="H17" s="66">
        <v>105</v>
      </c>
      <c r="I17" s="66">
        <f t="shared" si="0"/>
        <v>0</v>
      </c>
      <c r="J17" s="23"/>
      <c r="K17" s="71">
        <v>7.01</v>
      </c>
      <c r="L17" s="71">
        <v>2.6</v>
      </c>
      <c r="M17" s="71">
        <f t="shared" si="3"/>
        <v>9.61</v>
      </c>
      <c r="N17" s="67">
        <f t="shared" si="1"/>
        <v>0</v>
      </c>
      <c r="O17" s="66"/>
      <c r="P17" s="74">
        <f t="shared" si="4"/>
        <v>7.01</v>
      </c>
      <c r="Q17" s="74">
        <f t="shared" si="4"/>
        <v>2.6</v>
      </c>
      <c r="R17" s="74">
        <f t="shared" si="5"/>
        <v>9.61</v>
      </c>
      <c r="S17" s="67">
        <f t="shared" si="2"/>
        <v>0</v>
      </c>
      <c r="T17" s="92">
        <f t="shared" si="6"/>
        <v>0</v>
      </c>
    </row>
    <row r="18" spans="1:20" ht="17.100000000000001" customHeight="1">
      <c r="A18" s="91">
        <v>806</v>
      </c>
      <c r="B18" s="91"/>
      <c r="D18" s="22">
        <v>7</v>
      </c>
      <c r="E18" s="31" t="s">
        <v>965</v>
      </c>
      <c r="F18" s="32" t="s">
        <v>966</v>
      </c>
      <c r="G18" s="66">
        <v>0</v>
      </c>
      <c r="H18" s="66">
        <v>163</v>
      </c>
      <c r="I18" s="66">
        <f t="shared" si="0"/>
        <v>0</v>
      </c>
      <c r="J18" s="23"/>
      <c r="K18" s="71">
        <v>7.32</v>
      </c>
      <c r="L18" s="71">
        <v>2.99</v>
      </c>
      <c r="M18" s="71">
        <f t="shared" si="3"/>
        <v>10.31</v>
      </c>
      <c r="N18" s="67">
        <f t="shared" si="1"/>
        <v>0</v>
      </c>
      <c r="O18" s="66"/>
      <c r="P18" s="74">
        <f t="shared" si="4"/>
        <v>7.32</v>
      </c>
      <c r="Q18" s="74">
        <f t="shared" si="4"/>
        <v>2.99</v>
      </c>
      <c r="R18" s="74">
        <f t="shared" si="5"/>
        <v>10.31</v>
      </c>
      <c r="S18" s="67">
        <f t="shared" si="2"/>
        <v>0</v>
      </c>
      <c r="T18" s="92">
        <f t="shared" si="6"/>
        <v>0</v>
      </c>
    </row>
    <row r="19" spans="1:20" ht="17.100000000000001" customHeight="1">
      <c r="A19" s="91">
        <v>468</v>
      </c>
      <c r="B19" s="91"/>
      <c r="D19" s="22">
        <v>8</v>
      </c>
      <c r="E19" s="31" t="s">
        <v>967</v>
      </c>
      <c r="F19" s="32" t="s">
        <v>964</v>
      </c>
      <c r="G19" s="66">
        <v>0</v>
      </c>
      <c r="H19" s="66">
        <v>105</v>
      </c>
      <c r="I19" s="66">
        <f t="shared" si="0"/>
        <v>0</v>
      </c>
      <c r="J19" s="23"/>
      <c r="K19" s="71">
        <v>7.72</v>
      </c>
      <c r="L19" s="71">
        <v>2.6</v>
      </c>
      <c r="M19" s="71">
        <f t="shared" si="3"/>
        <v>10.32</v>
      </c>
      <c r="N19" s="67">
        <f t="shared" si="1"/>
        <v>0</v>
      </c>
      <c r="O19" s="66"/>
      <c r="P19" s="74">
        <f t="shared" si="4"/>
        <v>7.72</v>
      </c>
      <c r="Q19" s="74">
        <f t="shared" si="4"/>
        <v>2.6</v>
      </c>
      <c r="R19" s="74">
        <f t="shared" si="5"/>
        <v>10.32</v>
      </c>
      <c r="S19" s="67">
        <f t="shared" si="2"/>
        <v>0</v>
      </c>
      <c r="T19" s="92">
        <f t="shared" si="6"/>
        <v>0</v>
      </c>
    </row>
    <row r="20" spans="1:20" ht="17.100000000000001" customHeight="1">
      <c r="A20" s="91">
        <v>478</v>
      </c>
      <c r="B20" s="91"/>
      <c r="D20" s="22">
        <v>9</v>
      </c>
      <c r="E20" s="31" t="s">
        <v>968</v>
      </c>
      <c r="F20" s="32" t="s">
        <v>966</v>
      </c>
      <c r="G20" s="66">
        <v>0</v>
      </c>
      <c r="H20" s="66">
        <v>163</v>
      </c>
      <c r="I20" s="66">
        <f t="shared" si="0"/>
        <v>0</v>
      </c>
      <c r="J20" s="23"/>
      <c r="K20" s="71">
        <v>8.2200000000000006</v>
      </c>
      <c r="L20" s="71">
        <v>3</v>
      </c>
      <c r="M20" s="71">
        <f t="shared" si="3"/>
        <v>11.22</v>
      </c>
      <c r="N20" s="67">
        <f t="shared" si="1"/>
        <v>0</v>
      </c>
      <c r="O20" s="66"/>
      <c r="P20" s="74">
        <f t="shared" si="4"/>
        <v>8.2200000000000006</v>
      </c>
      <c r="Q20" s="74">
        <f t="shared" si="4"/>
        <v>3</v>
      </c>
      <c r="R20" s="74">
        <f t="shared" si="5"/>
        <v>11.22</v>
      </c>
      <c r="S20" s="67">
        <f t="shared" si="2"/>
        <v>0</v>
      </c>
      <c r="T20" s="92">
        <f t="shared" si="6"/>
        <v>0</v>
      </c>
    </row>
    <row r="21" spans="1:20" ht="17.100000000000001" customHeight="1">
      <c r="A21" s="91">
        <v>809</v>
      </c>
      <c r="B21" s="91"/>
      <c r="D21" s="22">
        <v>10</v>
      </c>
      <c r="E21" s="31" t="s">
        <v>969</v>
      </c>
      <c r="F21" s="32" t="s">
        <v>966</v>
      </c>
      <c r="G21" s="66">
        <v>0</v>
      </c>
      <c r="H21" s="66">
        <v>163</v>
      </c>
      <c r="I21" s="66">
        <f t="shared" si="0"/>
        <v>0</v>
      </c>
      <c r="J21" s="23"/>
      <c r="K21" s="71">
        <v>9.35</v>
      </c>
      <c r="L21" s="71">
        <v>3.02</v>
      </c>
      <c r="M21" s="71">
        <f t="shared" si="3"/>
        <v>12.37</v>
      </c>
      <c r="N21" s="67">
        <f t="shared" si="1"/>
        <v>0</v>
      </c>
      <c r="O21" s="66"/>
      <c r="P21" s="74">
        <f t="shared" si="4"/>
        <v>9.35</v>
      </c>
      <c r="Q21" s="74">
        <f t="shared" si="4"/>
        <v>3.02</v>
      </c>
      <c r="R21" s="74">
        <f t="shared" si="5"/>
        <v>12.37</v>
      </c>
      <c r="S21" s="67">
        <f t="shared" si="2"/>
        <v>0</v>
      </c>
      <c r="T21" s="92">
        <f t="shared" si="6"/>
        <v>0</v>
      </c>
    </row>
    <row r="22" spans="1:20" ht="17.100000000000001" customHeight="1">
      <c r="A22" s="91">
        <v>509</v>
      </c>
      <c r="B22" s="91"/>
      <c r="D22" s="22">
        <v>11</v>
      </c>
      <c r="E22" s="31" t="s">
        <v>970</v>
      </c>
      <c r="F22" s="32" t="s">
        <v>956</v>
      </c>
      <c r="G22" s="66">
        <v>0</v>
      </c>
      <c r="H22" s="66">
        <v>20</v>
      </c>
      <c r="I22" s="93">
        <f t="shared" si="0"/>
        <v>0</v>
      </c>
      <c r="J22" s="23"/>
      <c r="K22" s="71">
        <v>4.43</v>
      </c>
      <c r="L22" s="71">
        <v>2.48</v>
      </c>
      <c r="M22" s="71">
        <f t="shared" si="3"/>
        <v>6.91</v>
      </c>
      <c r="N22" s="67">
        <f t="shared" si="1"/>
        <v>0</v>
      </c>
      <c r="O22" s="66"/>
      <c r="P22" s="74">
        <f t="shared" si="4"/>
        <v>4.43</v>
      </c>
      <c r="Q22" s="74">
        <f t="shared" si="4"/>
        <v>2.48</v>
      </c>
      <c r="R22" s="74">
        <f t="shared" si="5"/>
        <v>6.91</v>
      </c>
      <c r="S22" s="67">
        <f t="shared" si="2"/>
        <v>0</v>
      </c>
      <c r="T22" s="92">
        <f t="shared" si="6"/>
        <v>0</v>
      </c>
    </row>
    <row r="23" spans="1:20" ht="17.100000000000001" customHeight="1">
      <c r="A23" s="91">
        <v>570</v>
      </c>
      <c r="B23" s="91"/>
      <c r="D23" s="22">
        <v>12</v>
      </c>
      <c r="E23" s="31" t="s">
        <v>971</v>
      </c>
      <c r="F23" s="32" t="s">
        <v>960</v>
      </c>
      <c r="G23" s="66">
        <v>0</v>
      </c>
      <c r="H23" s="66">
        <v>44</v>
      </c>
      <c r="I23" s="66">
        <f t="shared" si="0"/>
        <v>0</v>
      </c>
      <c r="J23" s="23"/>
      <c r="K23" s="71">
        <v>17.05</v>
      </c>
      <c r="L23" s="71">
        <v>1.89</v>
      </c>
      <c r="M23" s="71">
        <f t="shared" si="3"/>
        <v>18.940000000000001</v>
      </c>
      <c r="N23" s="67">
        <f t="shared" si="1"/>
        <v>0</v>
      </c>
      <c r="O23" s="66"/>
      <c r="P23" s="74">
        <f t="shared" si="4"/>
        <v>17.05</v>
      </c>
      <c r="Q23" s="74">
        <f t="shared" si="4"/>
        <v>1.89</v>
      </c>
      <c r="R23" s="74">
        <f t="shared" si="5"/>
        <v>18.940000000000001</v>
      </c>
      <c r="S23" s="67">
        <f t="shared" si="2"/>
        <v>0</v>
      </c>
      <c r="T23" s="92">
        <f t="shared" si="6"/>
        <v>0</v>
      </c>
    </row>
    <row r="24" spans="1:20" ht="17.100000000000001" customHeight="1">
      <c r="A24" s="91">
        <v>810</v>
      </c>
      <c r="B24" s="91"/>
      <c r="D24" s="22">
        <v>13</v>
      </c>
      <c r="E24" s="31" t="s">
        <v>972</v>
      </c>
      <c r="F24" s="32" t="s">
        <v>958</v>
      </c>
      <c r="G24" s="66">
        <v>0</v>
      </c>
      <c r="H24" s="66">
        <v>29</v>
      </c>
      <c r="I24" s="66">
        <f t="shared" si="0"/>
        <v>0</v>
      </c>
      <c r="J24" s="23"/>
      <c r="K24" s="71">
        <v>6.78</v>
      </c>
      <c r="L24" s="71">
        <v>2.11</v>
      </c>
      <c r="M24" s="71">
        <f t="shared" si="3"/>
        <v>8.89</v>
      </c>
      <c r="N24" s="67">
        <f t="shared" si="1"/>
        <v>0</v>
      </c>
      <c r="O24" s="65"/>
      <c r="P24" s="74">
        <f t="shared" si="4"/>
        <v>6.78</v>
      </c>
      <c r="Q24" s="74">
        <f t="shared" si="4"/>
        <v>2.11</v>
      </c>
      <c r="R24" s="74">
        <f t="shared" si="5"/>
        <v>8.89</v>
      </c>
      <c r="S24" s="67">
        <f t="shared" si="2"/>
        <v>0</v>
      </c>
      <c r="T24" s="92">
        <f t="shared" si="6"/>
        <v>0</v>
      </c>
    </row>
    <row r="25" spans="1:20" ht="17.100000000000001" customHeight="1">
      <c r="A25" s="91">
        <v>572</v>
      </c>
      <c r="B25" s="91"/>
      <c r="D25" s="22">
        <v>14</v>
      </c>
      <c r="E25" s="31" t="s">
        <v>973</v>
      </c>
      <c r="F25" s="32" t="s">
        <v>960</v>
      </c>
      <c r="G25" s="66">
        <v>0</v>
      </c>
      <c r="H25" s="66">
        <v>44</v>
      </c>
      <c r="I25" s="93">
        <f t="shared" si="0"/>
        <v>0</v>
      </c>
      <c r="J25" s="23"/>
      <c r="K25" s="71">
        <v>13.08</v>
      </c>
      <c r="L25" s="71">
        <v>1.89</v>
      </c>
      <c r="M25" s="71">
        <f t="shared" si="3"/>
        <v>14.97</v>
      </c>
      <c r="N25" s="67">
        <f t="shared" si="1"/>
        <v>0</v>
      </c>
      <c r="O25" s="66"/>
      <c r="P25" s="74">
        <f t="shared" si="4"/>
        <v>13.08</v>
      </c>
      <c r="Q25" s="74">
        <f t="shared" si="4"/>
        <v>1.89</v>
      </c>
      <c r="R25" s="74">
        <f t="shared" si="5"/>
        <v>14.97</v>
      </c>
      <c r="S25" s="67">
        <f t="shared" si="2"/>
        <v>0</v>
      </c>
      <c r="T25" s="92">
        <f t="shared" si="6"/>
        <v>0</v>
      </c>
    </row>
    <row r="26" spans="1:20" ht="17.100000000000001" customHeight="1">
      <c r="A26" s="91">
        <v>573</v>
      </c>
      <c r="B26" s="91"/>
      <c r="D26" s="22">
        <v>15</v>
      </c>
      <c r="E26" s="31" t="s">
        <v>974</v>
      </c>
      <c r="F26" s="32" t="s">
        <v>960</v>
      </c>
      <c r="G26" s="66">
        <v>0</v>
      </c>
      <c r="H26" s="66">
        <v>44</v>
      </c>
      <c r="I26" s="66">
        <f t="shared" si="0"/>
        <v>0</v>
      </c>
      <c r="J26" s="23"/>
      <c r="K26" s="71">
        <v>12.99</v>
      </c>
      <c r="L26" s="71">
        <v>1.89</v>
      </c>
      <c r="M26" s="71">
        <f>+K26+L26</f>
        <v>14.88</v>
      </c>
      <c r="N26" s="67">
        <f t="shared" si="1"/>
        <v>0</v>
      </c>
      <c r="O26" s="66"/>
      <c r="P26" s="74">
        <f t="shared" si="4"/>
        <v>12.99</v>
      </c>
      <c r="Q26" s="74">
        <f t="shared" si="4"/>
        <v>1.89</v>
      </c>
      <c r="R26" s="74">
        <f t="shared" si="5"/>
        <v>14.88</v>
      </c>
      <c r="S26" s="67">
        <f t="shared" si="2"/>
        <v>0</v>
      </c>
      <c r="T26" s="92">
        <f t="shared" si="6"/>
        <v>0</v>
      </c>
    </row>
    <row r="27" spans="1:20" ht="17.100000000000001" customHeight="1">
      <c r="A27" s="91">
        <v>550</v>
      </c>
      <c r="B27" s="91"/>
      <c r="D27" s="22">
        <v>16</v>
      </c>
      <c r="E27" s="31" t="s">
        <v>975</v>
      </c>
      <c r="F27" s="32" t="s">
        <v>960</v>
      </c>
      <c r="G27" s="66">
        <v>0</v>
      </c>
      <c r="H27" s="66">
        <v>44</v>
      </c>
      <c r="I27" s="66">
        <f t="shared" si="0"/>
        <v>0</v>
      </c>
      <c r="J27" s="23"/>
      <c r="K27" s="71">
        <v>11.53</v>
      </c>
      <c r="L27" s="71">
        <v>1.89</v>
      </c>
      <c r="M27" s="71">
        <f>+K27+L27</f>
        <v>13.42</v>
      </c>
      <c r="N27" s="67">
        <f t="shared" si="1"/>
        <v>0</v>
      </c>
      <c r="O27" s="66"/>
      <c r="P27" s="74">
        <f t="shared" si="4"/>
        <v>11.53</v>
      </c>
      <c r="Q27" s="74">
        <f t="shared" si="4"/>
        <v>1.89</v>
      </c>
      <c r="R27" s="74">
        <f t="shared" si="5"/>
        <v>13.42</v>
      </c>
      <c r="S27" s="67">
        <f t="shared" si="2"/>
        <v>0</v>
      </c>
      <c r="T27" s="92">
        <f t="shared" si="6"/>
        <v>0</v>
      </c>
    </row>
    <row r="28" spans="1:20" ht="17.100000000000001" customHeight="1">
      <c r="A28" s="91">
        <v>566</v>
      </c>
      <c r="B28" s="91"/>
      <c r="D28" s="22">
        <v>17</v>
      </c>
      <c r="E28" s="31" t="s">
        <v>976</v>
      </c>
      <c r="F28" s="32" t="s">
        <v>964</v>
      </c>
      <c r="G28" s="66">
        <v>0</v>
      </c>
      <c r="H28" s="66">
        <v>106</v>
      </c>
      <c r="I28" s="66">
        <f t="shared" si="0"/>
        <v>0</v>
      </c>
      <c r="J28" s="23"/>
      <c r="K28" s="71">
        <v>12.5</v>
      </c>
      <c r="L28" s="71">
        <v>3.18</v>
      </c>
      <c r="M28" s="71">
        <f>+K28+L28</f>
        <v>15.68</v>
      </c>
      <c r="N28" s="67">
        <f t="shared" si="1"/>
        <v>0</v>
      </c>
      <c r="O28" s="66"/>
      <c r="P28" s="74">
        <f t="shared" si="4"/>
        <v>12.5</v>
      </c>
      <c r="Q28" s="74">
        <f t="shared" si="4"/>
        <v>3.18</v>
      </c>
      <c r="R28" s="74">
        <f t="shared" si="5"/>
        <v>15.68</v>
      </c>
      <c r="S28" s="67">
        <f t="shared" si="2"/>
        <v>0</v>
      </c>
      <c r="T28" s="92">
        <f t="shared" si="6"/>
        <v>0</v>
      </c>
    </row>
    <row r="29" spans="1:20" ht="17.100000000000001" customHeight="1">
      <c r="A29" s="91">
        <v>552</v>
      </c>
      <c r="B29" s="91"/>
      <c r="D29" s="22">
        <v>18</v>
      </c>
      <c r="E29" s="31" t="s">
        <v>977</v>
      </c>
      <c r="F29" s="32" t="s">
        <v>966</v>
      </c>
      <c r="G29" s="66">
        <v>0</v>
      </c>
      <c r="H29" s="66">
        <v>163</v>
      </c>
      <c r="I29" s="93">
        <f t="shared" si="0"/>
        <v>0</v>
      </c>
      <c r="J29" s="23"/>
      <c r="K29" s="71">
        <v>10.6</v>
      </c>
      <c r="L29" s="71">
        <v>2.44</v>
      </c>
      <c r="M29" s="71">
        <f>+K29+L29</f>
        <v>13.04</v>
      </c>
      <c r="N29" s="67">
        <f t="shared" si="1"/>
        <v>0</v>
      </c>
      <c r="O29" s="66"/>
      <c r="P29" s="74">
        <f t="shared" si="4"/>
        <v>10.6</v>
      </c>
      <c r="Q29" s="74">
        <f t="shared" si="4"/>
        <v>2.44</v>
      </c>
      <c r="R29" s="74">
        <f t="shared" si="5"/>
        <v>13.04</v>
      </c>
      <c r="S29" s="67">
        <f t="shared" si="2"/>
        <v>0</v>
      </c>
      <c r="T29" s="92">
        <f t="shared" si="6"/>
        <v>0</v>
      </c>
    </row>
    <row r="30" spans="1:20" ht="17.100000000000001" customHeight="1">
      <c r="A30" s="91"/>
      <c r="B30" s="91"/>
      <c r="D30" s="22">
        <v>19</v>
      </c>
      <c r="E30" s="31" t="s">
        <v>978</v>
      </c>
      <c r="M30" s="71"/>
      <c r="N30" s="67">
        <f>SUM(N13:N29)</f>
        <v>0</v>
      </c>
      <c r="O30" s="74"/>
      <c r="S30" s="67">
        <f>SUM(S13:S29)</f>
        <v>0</v>
      </c>
      <c r="T30" s="92">
        <f t="shared" si="6"/>
        <v>0</v>
      </c>
    </row>
    <row r="31" spans="1:20" ht="17.100000000000001" customHeight="1">
      <c r="A31" s="91"/>
      <c r="B31" s="91"/>
      <c r="D31" s="22">
        <v>20</v>
      </c>
      <c r="E31" s="22"/>
      <c r="F31" s="22"/>
      <c r="G31" s="22"/>
      <c r="H31" s="22"/>
      <c r="I31" s="22"/>
      <c r="J31" s="22"/>
      <c r="K31" s="94"/>
      <c r="L31" s="94"/>
      <c r="M31" s="22"/>
      <c r="N31" s="95"/>
      <c r="O31" s="74"/>
      <c r="P31" s="96"/>
      <c r="Q31" s="22"/>
      <c r="R31" s="22"/>
      <c r="S31" s="22"/>
      <c r="T31" s="22"/>
    </row>
    <row r="32" spans="1:20" ht="17.100000000000001" customHeight="1">
      <c r="A32" s="91"/>
      <c r="B32" s="91"/>
      <c r="D32" s="22">
        <v>21</v>
      </c>
      <c r="H32" s="66"/>
      <c r="I32" s="66"/>
      <c r="J32" s="66"/>
      <c r="K32" s="80"/>
      <c r="L32" s="80"/>
      <c r="M32" s="74"/>
      <c r="N32" s="66"/>
      <c r="O32" s="74"/>
      <c r="P32" s="71"/>
      <c r="Q32" s="71"/>
      <c r="R32" s="74"/>
      <c r="S32" s="66"/>
      <c r="T32" s="97"/>
    </row>
    <row r="33" spans="1:20" ht="17.100000000000001" customHeight="1">
      <c r="A33" s="91"/>
      <c r="B33" s="91"/>
      <c r="D33" s="22">
        <v>22</v>
      </c>
      <c r="E33" s="22" t="s">
        <v>979</v>
      </c>
      <c r="F33" s="22"/>
      <c r="G33" s="93"/>
      <c r="H33" s="93"/>
      <c r="I33" s="93"/>
      <c r="J33" s="93"/>
      <c r="K33" s="71"/>
      <c r="L33" s="71"/>
      <c r="M33" s="71"/>
      <c r="N33" s="71"/>
      <c r="O33" s="65"/>
      <c r="P33" s="65"/>
      <c r="Q33" s="65"/>
      <c r="R33" s="65"/>
      <c r="S33" s="65"/>
      <c r="T33" s="65"/>
    </row>
    <row r="34" spans="1:20" ht="17.100000000000001" customHeight="1">
      <c r="A34" s="91">
        <v>704</v>
      </c>
      <c r="B34" s="91"/>
      <c r="D34" s="22">
        <v>23</v>
      </c>
      <c r="E34" s="22" t="s">
        <v>980</v>
      </c>
      <c r="F34" s="32" t="s">
        <v>981</v>
      </c>
      <c r="G34" s="66">
        <v>0</v>
      </c>
      <c r="H34" s="93">
        <v>138</v>
      </c>
      <c r="I34" s="93">
        <f t="shared" ref="I34:I47" si="7">+H34*G34</f>
        <v>0</v>
      </c>
      <c r="J34" s="93"/>
      <c r="K34" s="71">
        <v>10.83</v>
      </c>
      <c r="L34" s="71">
        <v>4.99</v>
      </c>
      <c r="M34" s="71">
        <f t="shared" ref="M34:M47" si="8">+K34+L34</f>
        <v>15.82</v>
      </c>
      <c r="N34" s="71">
        <f t="shared" ref="N34:N47" si="9">+M34*G34</f>
        <v>0</v>
      </c>
      <c r="O34" s="65"/>
      <c r="P34" s="74">
        <f t="shared" ref="P34:Q47" si="10">+K34</f>
        <v>10.83</v>
      </c>
      <c r="Q34" s="74">
        <f t="shared" si="10"/>
        <v>4.99</v>
      </c>
      <c r="R34" s="74">
        <f t="shared" ref="R34:R47" si="11">+P34+Q34</f>
        <v>15.82</v>
      </c>
      <c r="S34" s="65">
        <f t="shared" ref="S34:S47" si="12">+R34*G34</f>
        <v>0</v>
      </c>
      <c r="T34" s="92">
        <f t="shared" ref="T34:T48" si="13">IF(S34=0,0,(S34-N34)/N34)</f>
        <v>0</v>
      </c>
    </row>
    <row r="35" spans="1:20" ht="17.100000000000001" customHeight="1">
      <c r="A35" s="91">
        <v>520</v>
      </c>
      <c r="B35" s="91"/>
      <c r="D35" s="22">
        <v>24</v>
      </c>
      <c r="E35" s="22" t="s">
        <v>982</v>
      </c>
      <c r="F35" s="32" t="s">
        <v>966</v>
      </c>
      <c r="G35" s="66">
        <v>0</v>
      </c>
      <c r="H35" s="93">
        <v>159</v>
      </c>
      <c r="I35" s="93">
        <f t="shared" si="7"/>
        <v>0</v>
      </c>
      <c r="J35" s="93"/>
      <c r="K35" s="71">
        <v>8.67</v>
      </c>
      <c r="L35" s="71">
        <v>4.01</v>
      </c>
      <c r="M35" s="71">
        <f t="shared" si="8"/>
        <v>12.68</v>
      </c>
      <c r="N35" s="98">
        <f t="shared" si="9"/>
        <v>0</v>
      </c>
      <c r="O35" s="22"/>
      <c r="P35" s="74">
        <f t="shared" si="10"/>
        <v>8.67</v>
      </c>
      <c r="Q35" s="74">
        <f t="shared" si="10"/>
        <v>4.01</v>
      </c>
      <c r="R35" s="74">
        <f t="shared" si="11"/>
        <v>12.68</v>
      </c>
      <c r="S35" s="65">
        <f t="shared" si="12"/>
        <v>0</v>
      </c>
      <c r="T35" s="92">
        <f t="shared" si="13"/>
        <v>0</v>
      </c>
    </row>
    <row r="36" spans="1:20" ht="17.100000000000001" customHeight="1">
      <c r="A36" s="91">
        <v>705</v>
      </c>
      <c r="B36" s="91"/>
      <c r="D36" s="22">
        <v>25</v>
      </c>
      <c r="E36" s="22" t="s">
        <v>983</v>
      </c>
      <c r="F36" s="32" t="s">
        <v>981</v>
      </c>
      <c r="G36" s="66">
        <v>0</v>
      </c>
      <c r="H36" s="93">
        <v>138</v>
      </c>
      <c r="I36" s="93">
        <f t="shared" si="7"/>
        <v>0</v>
      </c>
      <c r="J36" s="93"/>
      <c r="K36" s="71">
        <v>12.3</v>
      </c>
      <c r="L36" s="71">
        <v>5.04</v>
      </c>
      <c r="M36" s="71">
        <f t="shared" si="8"/>
        <v>17.34</v>
      </c>
      <c r="N36" s="98">
        <f t="shared" si="9"/>
        <v>0</v>
      </c>
      <c r="O36" s="22"/>
      <c r="P36" s="74">
        <f t="shared" si="10"/>
        <v>12.3</v>
      </c>
      <c r="Q36" s="74">
        <f t="shared" si="10"/>
        <v>5.04</v>
      </c>
      <c r="R36" s="74">
        <f t="shared" si="11"/>
        <v>17.34</v>
      </c>
      <c r="S36" s="65">
        <f t="shared" si="12"/>
        <v>0</v>
      </c>
      <c r="T36" s="92">
        <f t="shared" si="13"/>
        <v>0</v>
      </c>
    </row>
    <row r="37" spans="1:20" ht="17.100000000000001" customHeight="1">
      <c r="A37" s="91">
        <v>556</v>
      </c>
      <c r="B37" s="91"/>
      <c r="D37" s="22">
        <v>26</v>
      </c>
      <c r="E37" s="22" t="s">
        <v>984</v>
      </c>
      <c r="F37" s="32" t="s">
        <v>966</v>
      </c>
      <c r="G37" s="66">
        <v>0</v>
      </c>
      <c r="H37" s="93">
        <v>159</v>
      </c>
      <c r="I37" s="93">
        <f t="shared" si="7"/>
        <v>0</v>
      </c>
      <c r="J37" s="93"/>
      <c r="K37" s="71">
        <v>12.04</v>
      </c>
      <c r="L37" s="71">
        <v>4.0199999999999996</v>
      </c>
      <c r="M37" s="71">
        <f t="shared" si="8"/>
        <v>16.059999999999999</v>
      </c>
      <c r="N37" s="98">
        <f t="shared" si="9"/>
        <v>0</v>
      </c>
      <c r="O37" s="22"/>
      <c r="P37" s="74">
        <f t="shared" si="10"/>
        <v>12.04</v>
      </c>
      <c r="Q37" s="74">
        <f t="shared" si="10"/>
        <v>4.0199999999999996</v>
      </c>
      <c r="R37" s="74">
        <f t="shared" si="11"/>
        <v>16.059999999999999</v>
      </c>
      <c r="S37" s="65">
        <f t="shared" si="12"/>
        <v>0</v>
      </c>
      <c r="T37" s="92">
        <f t="shared" si="13"/>
        <v>0</v>
      </c>
    </row>
    <row r="38" spans="1:20" ht="17.100000000000001" customHeight="1">
      <c r="A38" s="91">
        <v>558</v>
      </c>
      <c r="B38" s="91"/>
      <c r="D38" s="22">
        <v>27</v>
      </c>
      <c r="E38" s="22" t="s">
        <v>985</v>
      </c>
      <c r="F38" s="32" t="s">
        <v>986</v>
      </c>
      <c r="G38" s="66">
        <v>0</v>
      </c>
      <c r="H38" s="93">
        <v>383</v>
      </c>
      <c r="I38" s="93">
        <f t="shared" si="7"/>
        <v>0</v>
      </c>
      <c r="J38" s="93"/>
      <c r="K38" s="71">
        <v>15.11</v>
      </c>
      <c r="L38" s="71">
        <v>8.17</v>
      </c>
      <c r="M38" s="71">
        <f t="shared" si="8"/>
        <v>23.28</v>
      </c>
      <c r="N38" s="98">
        <f t="shared" si="9"/>
        <v>0</v>
      </c>
      <c r="O38" s="22"/>
      <c r="P38" s="74">
        <f t="shared" si="10"/>
        <v>15.11</v>
      </c>
      <c r="Q38" s="74">
        <f t="shared" si="10"/>
        <v>8.17</v>
      </c>
      <c r="R38" s="74">
        <f t="shared" si="11"/>
        <v>23.28</v>
      </c>
      <c r="S38" s="65">
        <f t="shared" si="12"/>
        <v>0</v>
      </c>
      <c r="T38" s="92">
        <f t="shared" si="13"/>
        <v>0</v>
      </c>
    </row>
    <row r="39" spans="1:20" ht="17.100000000000001" customHeight="1">
      <c r="A39" s="91">
        <v>701</v>
      </c>
      <c r="B39" s="91"/>
      <c r="D39" s="22">
        <v>28</v>
      </c>
      <c r="E39" s="22" t="s">
        <v>987</v>
      </c>
      <c r="F39" s="32" t="s">
        <v>962</v>
      </c>
      <c r="G39" s="66">
        <v>0</v>
      </c>
      <c r="H39" s="93">
        <v>67</v>
      </c>
      <c r="I39" s="93">
        <f t="shared" si="7"/>
        <v>0</v>
      </c>
      <c r="J39" s="93"/>
      <c r="K39" s="71">
        <v>15.25</v>
      </c>
      <c r="L39" s="71">
        <v>3.92</v>
      </c>
      <c r="M39" s="71">
        <f t="shared" si="8"/>
        <v>19.170000000000002</v>
      </c>
      <c r="N39" s="98">
        <f t="shared" si="9"/>
        <v>0</v>
      </c>
      <c r="O39" s="22"/>
      <c r="P39" s="74">
        <f t="shared" si="10"/>
        <v>15.25</v>
      </c>
      <c r="Q39" s="74">
        <f t="shared" si="10"/>
        <v>3.92</v>
      </c>
      <c r="R39" s="74">
        <f t="shared" si="11"/>
        <v>19.170000000000002</v>
      </c>
      <c r="S39" s="65">
        <f t="shared" si="12"/>
        <v>0</v>
      </c>
      <c r="T39" s="92">
        <f t="shared" si="13"/>
        <v>0</v>
      </c>
    </row>
    <row r="40" spans="1:20" ht="17.100000000000001" customHeight="1">
      <c r="A40" s="91">
        <v>574</v>
      </c>
      <c r="B40" s="91"/>
      <c r="D40" s="22">
        <v>29</v>
      </c>
      <c r="E40" s="22" t="s">
        <v>988</v>
      </c>
      <c r="F40" s="32" t="s">
        <v>989</v>
      </c>
      <c r="G40" s="66">
        <v>0</v>
      </c>
      <c r="H40" s="93">
        <v>74</v>
      </c>
      <c r="I40" s="93">
        <f t="shared" si="7"/>
        <v>0</v>
      </c>
      <c r="J40" s="93"/>
      <c r="K40" s="71">
        <v>15.68</v>
      </c>
      <c r="L40" s="71">
        <v>3.73</v>
      </c>
      <c r="M40" s="71">
        <f t="shared" si="8"/>
        <v>19.41</v>
      </c>
      <c r="N40" s="98">
        <f t="shared" si="9"/>
        <v>0</v>
      </c>
      <c r="O40" s="22"/>
      <c r="P40" s="74">
        <f t="shared" si="10"/>
        <v>15.68</v>
      </c>
      <c r="Q40" s="74">
        <f t="shared" si="10"/>
        <v>3.73</v>
      </c>
      <c r="R40" s="74">
        <f t="shared" si="11"/>
        <v>19.41</v>
      </c>
      <c r="S40" s="65">
        <f t="shared" si="12"/>
        <v>0</v>
      </c>
      <c r="T40" s="92">
        <f t="shared" si="13"/>
        <v>0</v>
      </c>
    </row>
    <row r="41" spans="1:20" ht="17.100000000000001" customHeight="1">
      <c r="A41" s="91">
        <v>700</v>
      </c>
      <c r="B41" s="91"/>
      <c r="D41" s="22">
        <v>30</v>
      </c>
      <c r="E41" s="22" t="s">
        <v>990</v>
      </c>
      <c r="F41" s="32" t="s">
        <v>962</v>
      </c>
      <c r="G41" s="66">
        <v>0</v>
      </c>
      <c r="H41" s="93">
        <v>67</v>
      </c>
      <c r="I41" s="93">
        <f t="shared" si="7"/>
        <v>0</v>
      </c>
      <c r="J41" s="93"/>
      <c r="K41" s="71">
        <v>13.42</v>
      </c>
      <c r="L41" s="71">
        <v>3.92</v>
      </c>
      <c r="M41" s="71">
        <f t="shared" si="8"/>
        <v>17.34</v>
      </c>
      <c r="N41" s="98">
        <f t="shared" si="9"/>
        <v>0</v>
      </c>
      <c r="O41" s="22"/>
      <c r="P41" s="74">
        <f t="shared" si="10"/>
        <v>13.42</v>
      </c>
      <c r="Q41" s="74">
        <f t="shared" si="10"/>
        <v>3.92</v>
      </c>
      <c r="R41" s="74">
        <f t="shared" si="11"/>
        <v>17.34</v>
      </c>
      <c r="S41" s="65">
        <f t="shared" si="12"/>
        <v>0</v>
      </c>
      <c r="T41" s="92">
        <f t="shared" si="13"/>
        <v>0</v>
      </c>
    </row>
    <row r="42" spans="1:20" ht="17.100000000000001" customHeight="1">
      <c r="A42" s="91">
        <v>575</v>
      </c>
      <c r="B42" s="91"/>
      <c r="D42" s="22">
        <v>31</v>
      </c>
      <c r="E42" s="22" t="s">
        <v>991</v>
      </c>
      <c r="F42" s="32" t="s">
        <v>989</v>
      </c>
      <c r="G42" s="66">
        <v>0</v>
      </c>
      <c r="H42" s="93">
        <v>74</v>
      </c>
      <c r="I42" s="93">
        <f t="shared" si="7"/>
        <v>0</v>
      </c>
      <c r="J42" s="93"/>
      <c r="K42" s="71">
        <v>13.49</v>
      </c>
      <c r="L42" s="71">
        <v>3.74</v>
      </c>
      <c r="M42" s="71">
        <f t="shared" si="8"/>
        <v>17.23</v>
      </c>
      <c r="N42" s="98">
        <f t="shared" si="9"/>
        <v>0</v>
      </c>
      <c r="O42" s="22"/>
      <c r="P42" s="74">
        <f t="shared" si="10"/>
        <v>13.49</v>
      </c>
      <c r="Q42" s="74">
        <f t="shared" si="10"/>
        <v>3.74</v>
      </c>
      <c r="R42" s="74">
        <f t="shared" si="11"/>
        <v>17.23</v>
      </c>
      <c r="S42" s="65">
        <f t="shared" si="12"/>
        <v>0</v>
      </c>
      <c r="T42" s="92">
        <f t="shared" si="13"/>
        <v>0</v>
      </c>
    </row>
    <row r="43" spans="1:20" ht="17.100000000000001" customHeight="1">
      <c r="A43" s="91">
        <v>702</v>
      </c>
      <c r="B43" s="91"/>
      <c r="D43" s="22">
        <v>32</v>
      </c>
      <c r="E43" s="22" t="s">
        <v>992</v>
      </c>
      <c r="F43" s="32" t="s">
        <v>962</v>
      </c>
      <c r="G43" s="66">
        <v>0</v>
      </c>
      <c r="H43" s="93">
        <v>67</v>
      </c>
      <c r="I43" s="93">
        <f t="shared" si="7"/>
        <v>0</v>
      </c>
      <c r="J43" s="93"/>
      <c r="K43" s="71">
        <v>10.38</v>
      </c>
      <c r="L43" s="71">
        <v>3.92</v>
      </c>
      <c r="M43" s="71">
        <f t="shared" si="8"/>
        <v>14.3</v>
      </c>
      <c r="N43" s="98">
        <f t="shared" si="9"/>
        <v>0</v>
      </c>
      <c r="O43" s="22"/>
      <c r="P43" s="74">
        <f t="shared" si="10"/>
        <v>10.38</v>
      </c>
      <c r="Q43" s="74">
        <f t="shared" si="10"/>
        <v>3.92</v>
      </c>
      <c r="R43" s="74">
        <f t="shared" si="11"/>
        <v>14.3</v>
      </c>
      <c r="S43" s="65">
        <f t="shared" si="12"/>
        <v>0</v>
      </c>
      <c r="T43" s="92">
        <f t="shared" si="13"/>
        <v>0</v>
      </c>
    </row>
    <row r="44" spans="1:20" ht="17.100000000000001" customHeight="1">
      <c r="A44" s="91">
        <v>564</v>
      </c>
      <c r="B44" s="91"/>
      <c r="D44" s="22">
        <v>33</v>
      </c>
      <c r="E44" s="22" t="s">
        <v>993</v>
      </c>
      <c r="F44" s="32" t="s">
        <v>989</v>
      </c>
      <c r="G44" s="66">
        <v>0</v>
      </c>
      <c r="H44" s="93">
        <v>74</v>
      </c>
      <c r="I44" s="93">
        <f t="shared" si="7"/>
        <v>0</v>
      </c>
      <c r="J44" s="93"/>
      <c r="K44" s="71">
        <v>11.44</v>
      </c>
      <c r="L44" s="71">
        <v>3.7</v>
      </c>
      <c r="M44" s="71">
        <f t="shared" si="8"/>
        <v>15.14</v>
      </c>
      <c r="N44" s="98">
        <f t="shared" si="9"/>
        <v>0</v>
      </c>
      <c r="O44" s="22"/>
      <c r="P44" s="74">
        <f t="shared" si="10"/>
        <v>11.44</v>
      </c>
      <c r="Q44" s="74">
        <f t="shared" si="10"/>
        <v>3.7</v>
      </c>
      <c r="R44" s="74">
        <f t="shared" si="11"/>
        <v>15.14</v>
      </c>
      <c r="S44" s="65">
        <f t="shared" si="12"/>
        <v>0</v>
      </c>
      <c r="T44" s="92">
        <f t="shared" si="13"/>
        <v>0</v>
      </c>
    </row>
    <row r="45" spans="1:20" ht="17.100000000000001" customHeight="1">
      <c r="A45" s="91">
        <v>703</v>
      </c>
      <c r="B45" s="91"/>
      <c r="D45" s="22">
        <v>34</v>
      </c>
      <c r="E45" s="22" t="s">
        <v>994</v>
      </c>
      <c r="F45" s="32" t="s">
        <v>981</v>
      </c>
      <c r="G45" s="66">
        <v>0</v>
      </c>
      <c r="H45" s="93">
        <v>138</v>
      </c>
      <c r="I45" s="93">
        <f t="shared" si="7"/>
        <v>0</v>
      </c>
      <c r="J45" s="93"/>
      <c r="K45" s="71">
        <v>13.74</v>
      </c>
      <c r="L45" s="71">
        <v>4.93</v>
      </c>
      <c r="M45" s="71">
        <f t="shared" si="8"/>
        <v>18.670000000000002</v>
      </c>
      <c r="N45" s="98">
        <f t="shared" si="9"/>
        <v>0</v>
      </c>
      <c r="O45" s="22"/>
      <c r="P45" s="74">
        <f t="shared" si="10"/>
        <v>13.74</v>
      </c>
      <c r="Q45" s="74">
        <f t="shared" si="10"/>
        <v>4.93</v>
      </c>
      <c r="R45" s="74">
        <f t="shared" si="11"/>
        <v>18.670000000000002</v>
      </c>
      <c r="S45" s="65">
        <f t="shared" si="12"/>
        <v>0</v>
      </c>
      <c r="T45" s="92">
        <f t="shared" si="13"/>
        <v>0</v>
      </c>
    </row>
    <row r="46" spans="1:20" ht="17.100000000000001" customHeight="1">
      <c r="A46" s="91">
        <v>554</v>
      </c>
      <c r="B46" s="91"/>
      <c r="D46" s="22">
        <v>35</v>
      </c>
      <c r="E46" s="22" t="s">
        <v>995</v>
      </c>
      <c r="F46" s="32" t="s">
        <v>966</v>
      </c>
      <c r="G46" s="66">
        <v>0</v>
      </c>
      <c r="H46" s="93">
        <v>159</v>
      </c>
      <c r="I46" s="93">
        <f t="shared" si="7"/>
        <v>0</v>
      </c>
      <c r="J46" s="93"/>
      <c r="K46" s="71">
        <v>14.41</v>
      </c>
      <c r="L46" s="71">
        <v>3.97</v>
      </c>
      <c r="M46" s="71">
        <f t="shared" si="8"/>
        <v>18.38</v>
      </c>
      <c r="N46" s="98">
        <f t="shared" si="9"/>
        <v>0</v>
      </c>
      <c r="O46" s="22"/>
      <c r="P46" s="74">
        <f t="shared" si="10"/>
        <v>14.41</v>
      </c>
      <c r="Q46" s="74">
        <f t="shared" si="10"/>
        <v>3.97</v>
      </c>
      <c r="R46" s="74">
        <f t="shared" si="11"/>
        <v>18.38</v>
      </c>
      <c r="S46" s="65">
        <f t="shared" si="12"/>
        <v>0</v>
      </c>
      <c r="T46" s="92">
        <f t="shared" si="13"/>
        <v>0</v>
      </c>
    </row>
    <row r="47" spans="1:20" ht="17.100000000000001" customHeight="1">
      <c r="A47" s="91">
        <v>576</v>
      </c>
      <c r="B47" s="91"/>
      <c r="D47" s="22">
        <v>36</v>
      </c>
      <c r="E47" s="22" t="s">
        <v>996</v>
      </c>
      <c r="F47" s="32" t="s">
        <v>986</v>
      </c>
      <c r="G47" s="66">
        <v>0</v>
      </c>
      <c r="H47" s="93">
        <v>383</v>
      </c>
      <c r="I47" s="93">
        <f t="shared" si="7"/>
        <v>0</v>
      </c>
      <c r="J47" s="93"/>
      <c r="K47" s="71">
        <v>23.74</v>
      </c>
      <c r="L47" s="71">
        <v>8.17</v>
      </c>
      <c r="M47" s="71">
        <f t="shared" si="8"/>
        <v>31.909999999999997</v>
      </c>
      <c r="N47" s="71">
        <f t="shared" si="9"/>
        <v>0</v>
      </c>
      <c r="O47" s="22"/>
      <c r="P47" s="74">
        <f t="shared" si="10"/>
        <v>23.74</v>
      </c>
      <c r="Q47" s="74">
        <f t="shared" si="10"/>
        <v>8.17</v>
      </c>
      <c r="R47" s="74">
        <f t="shared" si="11"/>
        <v>31.909999999999997</v>
      </c>
      <c r="S47" s="65">
        <f t="shared" si="12"/>
        <v>0</v>
      </c>
      <c r="T47" s="92">
        <f t="shared" si="13"/>
        <v>0</v>
      </c>
    </row>
    <row r="48" spans="1:20" ht="17.100000000000001" customHeight="1">
      <c r="A48" s="91"/>
      <c r="B48" s="91"/>
      <c r="D48" s="22">
        <v>37</v>
      </c>
      <c r="E48" s="31" t="s">
        <v>978</v>
      </c>
      <c r="F48" s="22"/>
      <c r="H48" s="22"/>
      <c r="I48" s="22"/>
      <c r="J48" s="22"/>
      <c r="K48" s="22"/>
      <c r="L48" s="22"/>
      <c r="M48" s="22"/>
      <c r="N48" s="82">
        <f>SUM(N34:N47)</f>
        <v>0</v>
      </c>
      <c r="O48" s="82"/>
      <c r="P48" s="22"/>
      <c r="Q48" s="22"/>
      <c r="R48" s="22"/>
      <c r="S48" s="82">
        <f>SUM(S34:S47)</f>
        <v>0</v>
      </c>
      <c r="T48" s="92">
        <f t="shared" si="13"/>
        <v>0</v>
      </c>
    </row>
    <row r="49" spans="1:20" ht="17.100000000000001" customHeight="1">
      <c r="A49" s="91"/>
      <c r="B49" s="91"/>
      <c r="D49" s="22">
        <v>38</v>
      </c>
      <c r="E49" s="31"/>
      <c r="F49" s="22"/>
      <c r="H49" s="22"/>
      <c r="I49" s="22"/>
      <c r="J49" s="22"/>
      <c r="K49" s="22"/>
      <c r="L49" s="22"/>
      <c r="M49" s="22"/>
      <c r="N49" s="82"/>
      <c r="O49" s="82"/>
      <c r="P49" s="22"/>
      <c r="Q49" s="22"/>
      <c r="R49" s="22"/>
      <c r="S49" s="82"/>
      <c r="T49" s="22"/>
    </row>
    <row r="50" spans="1:20" ht="17.100000000000001" customHeight="1">
      <c r="A50" s="91"/>
      <c r="B50" s="91"/>
      <c r="D50" s="22">
        <v>39</v>
      </c>
      <c r="E50" s="31"/>
      <c r="F50" s="22"/>
      <c r="H50" s="22"/>
      <c r="I50" s="22"/>
      <c r="J50" s="22"/>
      <c r="K50" s="22"/>
      <c r="L50" s="22"/>
      <c r="M50" s="22"/>
      <c r="N50" s="82"/>
      <c r="O50" s="82"/>
      <c r="P50" s="22"/>
      <c r="Q50" s="22"/>
      <c r="R50" s="22"/>
      <c r="S50" s="82"/>
      <c r="T50" s="22"/>
    </row>
    <row r="51" spans="1:20" ht="17.100000000000001" customHeight="1" thickBot="1">
      <c r="A51" s="91"/>
      <c r="B51" s="91"/>
      <c r="D51" s="24">
        <v>40</v>
      </c>
      <c r="E51" s="24"/>
      <c r="F51" s="24"/>
      <c r="G51" s="99"/>
      <c r="H51" s="99"/>
      <c r="I51" s="99"/>
      <c r="J51" s="24"/>
      <c r="K51" s="24"/>
      <c r="L51" s="24"/>
      <c r="M51" s="24"/>
      <c r="N51" s="24"/>
      <c r="O51" s="100"/>
      <c r="P51" s="100"/>
      <c r="Q51" s="24"/>
      <c r="R51" s="24"/>
      <c r="S51" s="24"/>
      <c r="T51" s="26" t="s">
        <v>997</v>
      </c>
    </row>
    <row r="52" spans="1:20" ht="17.100000000000001" customHeight="1">
      <c r="A52" s="91"/>
      <c r="B52" s="91"/>
      <c r="D52" s="22"/>
      <c r="E52" s="22"/>
      <c r="F52" s="22"/>
      <c r="G52" s="95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</row>
    <row r="53" spans="1:20" ht="17.100000000000001" customHeight="1" thickBot="1">
      <c r="A53" s="91"/>
      <c r="B53" s="91"/>
      <c r="D53" s="24"/>
      <c r="E53" s="24"/>
      <c r="F53" s="24"/>
      <c r="G53" s="24"/>
      <c r="H53" s="24"/>
      <c r="I53" s="24" t="str">
        <f>+$I$1</f>
        <v>REVENUE BY RATE SCHEDULE - LIGHTING SCHEDULE CALCULATION</v>
      </c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</row>
    <row r="54" spans="1:20" ht="17.100000000000001" customHeight="1">
      <c r="A54" s="91"/>
      <c r="B54" s="91"/>
      <c r="D54" s="22"/>
      <c r="E54" s="22"/>
      <c r="F54" s="22"/>
      <c r="I54" s="32"/>
      <c r="J54" s="22"/>
      <c r="K54" s="22"/>
      <c r="L54" s="30"/>
      <c r="M54" s="30"/>
      <c r="N54" s="22"/>
      <c r="O54" s="22"/>
      <c r="P54" s="30"/>
      <c r="Q54" s="30"/>
      <c r="R54" s="22"/>
      <c r="S54" s="22"/>
      <c r="T54" s="31"/>
    </row>
    <row r="55" spans="1:20" ht="17.100000000000001" customHeight="1">
      <c r="A55" s="91"/>
      <c r="B55" s="91"/>
      <c r="D55" s="22"/>
      <c r="E55" s="22"/>
      <c r="F55" s="22"/>
      <c r="G55" s="22"/>
      <c r="H55" s="22"/>
      <c r="I55" s="22"/>
      <c r="J55" s="22"/>
      <c r="K55" s="22"/>
      <c r="L55" s="32"/>
      <c r="M55" s="31"/>
      <c r="N55" s="22"/>
      <c r="O55" s="22"/>
      <c r="P55" s="22"/>
      <c r="Q55" s="88"/>
      <c r="R55" s="32"/>
      <c r="S55" s="31"/>
      <c r="T55" s="32"/>
    </row>
    <row r="56" spans="1:20" ht="17.100000000000001" customHeight="1">
      <c r="A56" s="91"/>
      <c r="B56" s="91"/>
      <c r="D56" s="22"/>
      <c r="E56" s="22"/>
      <c r="F56" s="22"/>
      <c r="G56" s="22"/>
      <c r="H56" s="22"/>
      <c r="I56" s="22"/>
      <c r="J56" s="22"/>
      <c r="K56" s="22"/>
      <c r="L56" s="32"/>
      <c r="M56" s="31"/>
      <c r="N56" s="32"/>
      <c r="O56" s="32"/>
      <c r="P56" s="22"/>
      <c r="Q56" s="32"/>
      <c r="R56" s="32"/>
      <c r="S56" s="31"/>
      <c r="T56" s="32"/>
    </row>
    <row r="57" spans="1:20" ht="17.100000000000001" customHeight="1">
      <c r="A57" s="91"/>
      <c r="B57" s="91"/>
      <c r="D57" s="22"/>
      <c r="E57" s="22"/>
      <c r="F57" s="22"/>
      <c r="G57" s="22"/>
      <c r="H57" s="22"/>
      <c r="I57" s="22"/>
      <c r="J57" s="22"/>
      <c r="K57" s="22"/>
      <c r="L57" s="32"/>
      <c r="M57" s="31"/>
      <c r="N57" s="32"/>
      <c r="O57" s="32"/>
      <c r="P57" s="22"/>
      <c r="Q57" s="32"/>
      <c r="R57" s="32"/>
      <c r="S57" s="31"/>
      <c r="T57" s="32"/>
    </row>
    <row r="58" spans="1:20" ht="17.100000000000001" customHeight="1" thickBot="1">
      <c r="A58" s="91"/>
      <c r="B58" s="91"/>
      <c r="D58" s="24"/>
      <c r="E58" s="24"/>
      <c r="F58" s="24"/>
      <c r="G58" s="24"/>
      <c r="H58" s="24"/>
      <c r="I58" s="24"/>
      <c r="J58" s="24"/>
      <c r="K58" s="25"/>
      <c r="L58" s="24"/>
      <c r="M58" s="24"/>
      <c r="N58" s="24"/>
      <c r="O58" s="24"/>
      <c r="P58" s="24"/>
      <c r="Q58" s="24"/>
      <c r="R58" s="22"/>
      <c r="S58" s="22"/>
      <c r="T58" s="24"/>
    </row>
    <row r="59" spans="1:20" ht="17.100000000000001" customHeight="1">
      <c r="A59" s="91"/>
      <c r="B59" s="91"/>
      <c r="D59" s="89"/>
      <c r="E59" s="334" t="s">
        <v>941</v>
      </c>
      <c r="F59" s="334"/>
      <c r="G59" s="334"/>
      <c r="H59" s="334"/>
      <c r="I59" s="334"/>
      <c r="J59" s="334"/>
      <c r="K59" s="334"/>
      <c r="L59" s="334"/>
      <c r="M59" s="334"/>
      <c r="N59" s="334"/>
      <c r="O59" s="334"/>
      <c r="P59" s="334"/>
      <c r="Q59" s="334"/>
      <c r="R59" s="334"/>
      <c r="S59" s="334"/>
      <c r="T59" s="334"/>
    </row>
    <row r="60" spans="1:20" ht="17.100000000000001" customHeight="1">
      <c r="A60" s="91"/>
      <c r="B60" s="91"/>
      <c r="D60" s="22"/>
      <c r="E60" s="23"/>
      <c r="F60" s="36"/>
      <c r="G60" s="36"/>
      <c r="H60" s="36"/>
      <c r="I60" s="36"/>
      <c r="J60" s="36"/>
      <c r="K60" s="336" t="s">
        <v>942</v>
      </c>
      <c r="L60" s="336"/>
      <c r="M60" s="336"/>
      <c r="N60" s="336"/>
      <c r="O60" s="36"/>
      <c r="P60" s="336" t="s">
        <v>943</v>
      </c>
      <c r="Q60" s="336"/>
      <c r="R60" s="336"/>
      <c r="S60" s="336"/>
      <c r="T60" s="36"/>
    </row>
    <row r="61" spans="1:20" ht="17.100000000000001" customHeight="1">
      <c r="A61" s="91"/>
      <c r="B61" s="91"/>
      <c r="D61" s="22"/>
      <c r="E61" s="23"/>
      <c r="F61" s="36"/>
      <c r="G61" s="23" t="s">
        <v>944</v>
      </c>
      <c r="H61" s="36" t="s">
        <v>945</v>
      </c>
      <c r="I61" s="23"/>
      <c r="J61" s="23"/>
      <c r="K61" s="23" t="s">
        <v>946</v>
      </c>
      <c r="L61" s="23" t="s">
        <v>946</v>
      </c>
      <c r="M61" s="23" t="s">
        <v>947</v>
      </c>
      <c r="N61" s="36" t="s">
        <v>464</v>
      </c>
      <c r="O61" s="36"/>
      <c r="P61" s="23" t="s">
        <v>946</v>
      </c>
      <c r="Q61" s="23" t="s">
        <v>946</v>
      </c>
      <c r="R61" s="23" t="s">
        <v>947</v>
      </c>
      <c r="S61" s="23" t="s">
        <v>464</v>
      </c>
      <c r="T61" s="23"/>
    </row>
    <row r="62" spans="1:20" ht="17.100000000000001" customHeight="1">
      <c r="A62" s="91"/>
      <c r="B62" s="91"/>
      <c r="D62" s="22" t="s">
        <v>55</v>
      </c>
      <c r="E62" s="23" t="s">
        <v>280</v>
      </c>
      <c r="F62" s="23"/>
      <c r="G62" s="23" t="s">
        <v>948</v>
      </c>
      <c r="H62" s="23" t="s">
        <v>946</v>
      </c>
      <c r="I62" s="36" t="s">
        <v>944</v>
      </c>
      <c r="J62" s="36"/>
      <c r="K62" s="36" t="s">
        <v>949</v>
      </c>
      <c r="L62" s="36" t="s">
        <v>950</v>
      </c>
      <c r="M62" s="36" t="s">
        <v>946</v>
      </c>
      <c r="N62" s="23" t="s">
        <v>43</v>
      </c>
      <c r="O62" s="23"/>
      <c r="P62" s="36" t="s">
        <v>949</v>
      </c>
      <c r="Q62" s="36" t="s">
        <v>950</v>
      </c>
      <c r="R62" s="36" t="s">
        <v>946</v>
      </c>
      <c r="S62" s="36" t="s">
        <v>43</v>
      </c>
      <c r="T62" s="36" t="s">
        <v>54</v>
      </c>
    </row>
    <row r="63" spans="1:20" ht="17.100000000000001" customHeight="1" thickBot="1">
      <c r="A63" s="91"/>
      <c r="B63" s="91"/>
      <c r="D63" s="24" t="s">
        <v>60</v>
      </c>
      <c r="E63" s="25" t="s">
        <v>949</v>
      </c>
      <c r="F63" s="25"/>
      <c r="G63" s="25" t="s">
        <v>951</v>
      </c>
      <c r="H63" s="25" t="s">
        <v>304</v>
      </c>
      <c r="I63" s="37" t="s">
        <v>304</v>
      </c>
      <c r="J63" s="37"/>
      <c r="K63" s="37" t="s">
        <v>952</v>
      </c>
      <c r="L63" s="37" t="s">
        <v>952</v>
      </c>
      <c r="M63" s="37" t="s">
        <v>952</v>
      </c>
      <c r="N63" s="37" t="s">
        <v>283</v>
      </c>
      <c r="O63" s="37"/>
      <c r="P63" s="37" t="s">
        <v>952</v>
      </c>
      <c r="Q63" s="37" t="s">
        <v>952</v>
      </c>
      <c r="R63" s="37" t="s">
        <v>952</v>
      </c>
      <c r="S63" s="37" t="s">
        <v>283</v>
      </c>
      <c r="T63" s="37" t="s">
        <v>59</v>
      </c>
    </row>
    <row r="64" spans="1:20" ht="17.100000000000001" customHeight="1">
      <c r="A64" s="91"/>
      <c r="B64" s="91"/>
      <c r="D64" s="22">
        <v>1</v>
      </c>
      <c r="E64" s="64" t="s">
        <v>998</v>
      </c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</row>
    <row r="65" spans="1:20" ht="17.100000000000001" customHeight="1">
      <c r="A65" s="91"/>
      <c r="B65" s="91"/>
      <c r="D65" s="22">
        <v>2</v>
      </c>
      <c r="E65" s="335" t="s">
        <v>999</v>
      </c>
      <c r="F65" s="335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</row>
    <row r="66" spans="1:20" ht="17.100000000000001" customHeight="1">
      <c r="A66" s="91">
        <v>860</v>
      </c>
      <c r="B66" s="91"/>
      <c r="D66" s="22">
        <v>3</v>
      </c>
      <c r="E66" s="22" t="s">
        <v>1000</v>
      </c>
      <c r="F66" s="32" t="s">
        <v>956</v>
      </c>
      <c r="G66" s="66">
        <v>0</v>
      </c>
      <c r="H66" s="66">
        <v>10</v>
      </c>
      <c r="I66" s="93">
        <f t="shared" ref="I66:I82" si="14">+H66*G66</f>
        <v>0</v>
      </c>
      <c r="J66" s="70"/>
      <c r="K66" s="71">
        <v>4.54</v>
      </c>
      <c r="L66" s="71">
        <v>2.48</v>
      </c>
      <c r="M66" s="74">
        <f t="shared" ref="M66:M78" si="15">+K66+L66</f>
        <v>7.02</v>
      </c>
      <c r="N66" s="67">
        <f t="shared" ref="N66:N82" si="16">+M66*G66</f>
        <v>0</v>
      </c>
      <c r="O66" s="65"/>
      <c r="P66" s="74">
        <f t="shared" ref="P66:Q82" si="17">+K66</f>
        <v>4.54</v>
      </c>
      <c r="Q66" s="74">
        <f t="shared" si="17"/>
        <v>2.48</v>
      </c>
      <c r="R66" s="74">
        <f t="shared" ref="R66:R82" si="18">+P66+Q66</f>
        <v>7.02</v>
      </c>
      <c r="S66" s="67">
        <f t="shared" ref="S66:S82" si="19">+R66*G66</f>
        <v>0</v>
      </c>
      <c r="T66" s="92">
        <f t="shared" ref="T66:T83" si="20">IF(S66=0,0,(S66-N66)/N66)</f>
        <v>0</v>
      </c>
    </row>
    <row r="67" spans="1:20" ht="17.100000000000001" customHeight="1">
      <c r="A67" s="91">
        <v>862</v>
      </c>
      <c r="B67" s="91"/>
      <c r="D67" s="22">
        <v>4</v>
      </c>
      <c r="E67" s="22" t="s">
        <v>1001</v>
      </c>
      <c r="F67" s="32" t="s">
        <v>958</v>
      </c>
      <c r="G67" s="66">
        <v>0</v>
      </c>
      <c r="H67" s="66">
        <v>14</v>
      </c>
      <c r="I67" s="93">
        <f t="shared" si="14"/>
        <v>0</v>
      </c>
      <c r="J67" s="70"/>
      <c r="K67" s="71">
        <v>4.6100000000000003</v>
      </c>
      <c r="L67" s="71">
        <v>2.11</v>
      </c>
      <c r="M67" s="74">
        <f t="shared" si="15"/>
        <v>6.7200000000000006</v>
      </c>
      <c r="N67" s="67">
        <f t="shared" si="16"/>
        <v>0</v>
      </c>
      <c r="O67" s="66"/>
      <c r="P67" s="74">
        <f t="shared" si="17"/>
        <v>4.6100000000000003</v>
      </c>
      <c r="Q67" s="74">
        <f t="shared" si="17"/>
        <v>2.11</v>
      </c>
      <c r="R67" s="74">
        <f t="shared" si="18"/>
        <v>6.7200000000000006</v>
      </c>
      <c r="S67" s="67">
        <f t="shared" si="19"/>
        <v>0</v>
      </c>
      <c r="T67" s="92">
        <f t="shared" si="20"/>
        <v>0</v>
      </c>
    </row>
    <row r="68" spans="1:20" ht="17.100000000000001" customHeight="1">
      <c r="A68" s="91">
        <v>863</v>
      </c>
      <c r="B68" s="91"/>
      <c r="D68" s="22">
        <v>5</v>
      </c>
      <c r="E68" s="22" t="s">
        <v>1002</v>
      </c>
      <c r="F68" s="32" t="s">
        <v>960</v>
      </c>
      <c r="G68" s="66">
        <v>0</v>
      </c>
      <c r="H68" s="66">
        <v>22</v>
      </c>
      <c r="I68" s="93">
        <f t="shared" si="14"/>
        <v>0</v>
      </c>
      <c r="J68" s="70"/>
      <c r="K68" s="71">
        <v>5.22</v>
      </c>
      <c r="L68" s="71">
        <v>2.33</v>
      </c>
      <c r="M68" s="74">
        <f t="shared" si="15"/>
        <v>7.55</v>
      </c>
      <c r="N68" s="67">
        <f t="shared" si="16"/>
        <v>0</v>
      </c>
      <c r="O68" s="66"/>
      <c r="P68" s="74">
        <f t="shared" si="17"/>
        <v>5.22</v>
      </c>
      <c r="Q68" s="74">
        <f t="shared" si="17"/>
        <v>2.33</v>
      </c>
      <c r="R68" s="74">
        <f t="shared" si="18"/>
        <v>7.55</v>
      </c>
      <c r="S68" s="67">
        <f t="shared" si="19"/>
        <v>0</v>
      </c>
      <c r="T68" s="92">
        <f t="shared" si="20"/>
        <v>0</v>
      </c>
    </row>
    <row r="69" spans="1:20" ht="17.100000000000001" customHeight="1">
      <c r="A69" s="91">
        <v>864</v>
      </c>
      <c r="B69" s="91"/>
      <c r="D69" s="22">
        <v>6</v>
      </c>
      <c r="E69" s="22" t="s">
        <v>1003</v>
      </c>
      <c r="F69" s="32" t="s">
        <v>962</v>
      </c>
      <c r="G69" s="66">
        <v>0</v>
      </c>
      <c r="H69" s="66">
        <v>33</v>
      </c>
      <c r="I69" s="102">
        <f t="shared" si="14"/>
        <v>0</v>
      </c>
      <c r="J69" s="70"/>
      <c r="K69" s="71">
        <v>6.01</v>
      </c>
      <c r="L69" s="71">
        <v>2.02</v>
      </c>
      <c r="M69" s="74">
        <f t="shared" si="15"/>
        <v>8.0299999999999994</v>
      </c>
      <c r="N69" s="67">
        <f t="shared" si="16"/>
        <v>0</v>
      </c>
      <c r="O69" s="66"/>
      <c r="P69" s="74">
        <f t="shared" si="17"/>
        <v>6.01</v>
      </c>
      <c r="Q69" s="74">
        <f t="shared" si="17"/>
        <v>2.02</v>
      </c>
      <c r="R69" s="74">
        <f t="shared" si="18"/>
        <v>8.0299999999999994</v>
      </c>
      <c r="S69" s="67">
        <f t="shared" si="19"/>
        <v>0</v>
      </c>
      <c r="T69" s="92">
        <f t="shared" si="20"/>
        <v>0</v>
      </c>
    </row>
    <row r="70" spans="1:20" ht="17.100000000000001" customHeight="1">
      <c r="A70" s="91">
        <v>865</v>
      </c>
      <c r="B70" s="91"/>
      <c r="D70" s="22">
        <v>7</v>
      </c>
      <c r="E70" s="22" t="s">
        <v>1004</v>
      </c>
      <c r="F70" s="32" t="s">
        <v>964</v>
      </c>
      <c r="G70" s="66">
        <v>0</v>
      </c>
      <c r="H70" s="66">
        <v>52</v>
      </c>
      <c r="I70" s="93">
        <f t="shared" si="14"/>
        <v>0</v>
      </c>
      <c r="J70" s="70"/>
      <c r="K70" s="71">
        <v>7.01</v>
      </c>
      <c r="L70" s="71">
        <v>2.6</v>
      </c>
      <c r="M70" s="74">
        <f t="shared" si="15"/>
        <v>9.61</v>
      </c>
      <c r="N70" s="67">
        <f t="shared" si="16"/>
        <v>0</v>
      </c>
      <c r="O70" s="66"/>
      <c r="P70" s="74">
        <f t="shared" si="17"/>
        <v>7.01</v>
      </c>
      <c r="Q70" s="74">
        <f t="shared" si="17"/>
        <v>2.6</v>
      </c>
      <c r="R70" s="74">
        <f t="shared" si="18"/>
        <v>9.61</v>
      </c>
      <c r="S70" s="67">
        <f t="shared" si="19"/>
        <v>0</v>
      </c>
      <c r="T70" s="92">
        <f t="shared" si="20"/>
        <v>0</v>
      </c>
    </row>
    <row r="71" spans="1:20" ht="17.100000000000001" customHeight="1">
      <c r="A71" s="91">
        <v>866</v>
      </c>
      <c r="B71" s="91"/>
      <c r="D71" s="22">
        <v>8</v>
      </c>
      <c r="E71" s="22" t="s">
        <v>1005</v>
      </c>
      <c r="F71" s="32" t="s">
        <v>966</v>
      </c>
      <c r="G71" s="66">
        <v>0</v>
      </c>
      <c r="H71" s="66">
        <v>81</v>
      </c>
      <c r="I71" s="102">
        <f t="shared" si="14"/>
        <v>0</v>
      </c>
      <c r="J71" s="70"/>
      <c r="K71" s="71">
        <v>7.32</v>
      </c>
      <c r="L71" s="71">
        <v>2.99</v>
      </c>
      <c r="M71" s="74">
        <f t="shared" si="15"/>
        <v>10.31</v>
      </c>
      <c r="N71" s="67">
        <f t="shared" si="16"/>
        <v>0</v>
      </c>
      <c r="O71" s="66"/>
      <c r="P71" s="74">
        <f t="shared" si="17"/>
        <v>7.32</v>
      </c>
      <c r="Q71" s="74">
        <f t="shared" si="17"/>
        <v>2.99</v>
      </c>
      <c r="R71" s="74">
        <f t="shared" si="18"/>
        <v>10.31</v>
      </c>
      <c r="S71" s="67">
        <f t="shared" si="19"/>
        <v>0</v>
      </c>
      <c r="T71" s="92">
        <f t="shared" si="20"/>
        <v>0</v>
      </c>
    </row>
    <row r="72" spans="1:20" ht="17.100000000000001" customHeight="1">
      <c r="A72" s="91">
        <v>454</v>
      </c>
      <c r="B72" s="91"/>
      <c r="D72" s="22">
        <v>9</v>
      </c>
      <c r="E72" s="22" t="s">
        <v>1006</v>
      </c>
      <c r="F72" s="32" t="s">
        <v>964</v>
      </c>
      <c r="G72" s="66">
        <v>0</v>
      </c>
      <c r="H72" s="66">
        <v>52</v>
      </c>
      <c r="I72" s="93">
        <f t="shared" si="14"/>
        <v>0</v>
      </c>
      <c r="J72" s="70"/>
      <c r="K72" s="71">
        <v>7.72</v>
      </c>
      <c r="L72" s="71">
        <v>2.6</v>
      </c>
      <c r="M72" s="74">
        <f t="shared" si="15"/>
        <v>10.32</v>
      </c>
      <c r="N72" s="67">
        <f t="shared" si="16"/>
        <v>0</v>
      </c>
      <c r="O72" s="66"/>
      <c r="P72" s="74">
        <f t="shared" si="17"/>
        <v>7.72</v>
      </c>
      <c r="Q72" s="74">
        <f t="shared" si="17"/>
        <v>2.6</v>
      </c>
      <c r="R72" s="74">
        <f t="shared" si="18"/>
        <v>10.32</v>
      </c>
      <c r="S72" s="67">
        <f t="shared" si="19"/>
        <v>0</v>
      </c>
      <c r="T72" s="92">
        <f t="shared" si="20"/>
        <v>0</v>
      </c>
    </row>
    <row r="73" spans="1:20" ht="17.100000000000001" customHeight="1">
      <c r="A73" s="91">
        <v>484</v>
      </c>
      <c r="B73" s="91"/>
      <c r="D73" s="22">
        <v>10</v>
      </c>
      <c r="E73" s="22" t="s">
        <v>1007</v>
      </c>
      <c r="F73" s="32" t="s">
        <v>966</v>
      </c>
      <c r="G73" s="66">
        <v>0</v>
      </c>
      <c r="H73" s="66">
        <v>81</v>
      </c>
      <c r="I73" s="93">
        <f t="shared" si="14"/>
        <v>0</v>
      </c>
      <c r="J73" s="70"/>
      <c r="K73" s="71">
        <v>8.2200000000000006</v>
      </c>
      <c r="L73" s="71">
        <v>3</v>
      </c>
      <c r="M73" s="74">
        <f t="shared" si="15"/>
        <v>11.22</v>
      </c>
      <c r="N73" s="67">
        <f t="shared" si="16"/>
        <v>0</v>
      </c>
      <c r="O73" s="66"/>
      <c r="P73" s="74">
        <f t="shared" si="17"/>
        <v>8.2200000000000006</v>
      </c>
      <c r="Q73" s="74">
        <f t="shared" si="17"/>
        <v>3</v>
      </c>
      <c r="R73" s="74">
        <f t="shared" si="18"/>
        <v>11.22</v>
      </c>
      <c r="S73" s="67">
        <f t="shared" si="19"/>
        <v>0</v>
      </c>
      <c r="T73" s="92">
        <f t="shared" si="20"/>
        <v>0</v>
      </c>
    </row>
    <row r="74" spans="1:20" ht="17.100000000000001" customHeight="1">
      <c r="A74" s="91">
        <v>869</v>
      </c>
      <c r="B74" s="91"/>
      <c r="D74" s="22">
        <v>11</v>
      </c>
      <c r="E74" s="22" t="s">
        <v>1008</v>
      </c>
      <c r="F74" s="32" t="s">
        <v>966</v>
      </c>
      <c r="G74" s="66">
        <v>0</v>
      </c>
      <c r="H74" s="66">
        <v>81</v>
      </c>
      <c r="I74" s="66">
        <f>+H74*G74</f>
        <v>0</v>
      </c>
      <c r="J74" s="70"/>
      <c r="K74" s="71">
        <v>9.35</v>
      </c>
      <c r="L74" s="71">
        <v>3.02</v>
      </c>
      <c r="M74" s="74">
        <f t="shared" si="15"/>
        <v>12.37</v>
      </c>
      <c r="N74" s="67">
        <f t="shared" si="16"/>
        <v>0</v>
      </c>
      <c r="O74" s="66"/>
      <c r="P74" s="74">
        <f t="shared" si="17"/>
        <v>9.35</v>
      </c>
      <c r="Q74" s="74">
        <f t="shared" si="17"/>
        <v>3.02</v>
      </c>
      <c r="R74" s="74">
        <f t="shared" si="18"/>
        <v>12.37</v>
      </c>
      <c r="S74" s="67">
        <f t="shared" si="19"/>
        <v>0</v>
      </c>
      <c r="T74" s="92">
        <f t="shared" si="20"/>
        <v>0</v>
      </c>
    </row>
    <row r="75" spans="1:20" ht="17.100000000000001" customHeight="1">
      <c r="A75" s="91">
        <v>508</v>
      </c>
      <c r="B75" s="91"/>
      <c r="D75" s="22">
        <v>12</v>
      </c>
      <c r="E75" s="22" t="s">
        <v>1009</v>
      </c>
      <c r="F75" s="32" t="s">
        <v>956</v>
      </c>
      <c r="G75" s="66">
        <v>0</v>
      </c>
      <c r="H75" s="66">
        <v>10</v>
      </c>
      <c r="I75" s="93">
        <f t="shared" si="14"/>
        <v>0</v>
      </c>
      <c r="J75" s="70"/>
      <c r="K75" s="71">
        <v>4.43</v>
      </c>
      <c r="L75" s="71">
        <v>2.48</v>
      </c>
      <c r="M75" s="74">
        <f t="shared" si="15"/>
        <v>6.91</v>
      </c>
      <c r="N75" s="67">
        <f t="shared" si="16"/>
        <v>0</v>
      </c>
      <c r="O75" s="66"/>
      <c r="P75" s="74">
        <f t="shared" si="17"/>
        <v>4.43</v>
      </c>
      <c r="Q75" s="74">
        <f t="shared" si="17"/>
        <v>2.48</v>
      </c>
      <c r="R75" s="74">
        <f t="shared" si="18"/>
        <v>6.91</v>
      </c>
      <c r="S75" s="67">
        <f t="shared" si="19"/>
        <v>0</v>
      </c>
      <c r="T75" s="92">
        <f t="shared" si="20"/>
        <v>0</v>
      </c>
    </row>
    <row r="76" spans="1:20" ht="17.100000000000001" customHeight="1">
      <c r="A76" s="91">
        <v>530</v>
      </c>
      <c r="B76" s="91"/>
      <c r="D76" s="22">
        <v>13</v>
      </c>
      <c r="E76" s="22" t="s">
        <v>1010</v>
      </c>
      <c r="F76" s="32" t="s">
        <v>960</v>
      </c>
      <c r="G76" s="66">
        <v>0</v>
      </c>
      <c r="H76" s="66">
        <v>22</v>
      </c>
      <c r="I76" s="93">
        <f t="shared" si="14"/>
        <v>0</v>
      </c>
      <c r="J76" s="70"/>
      <c r="K76" s="71">
        <v>17.05</v>
      </c>
      <c r="L76" s="71">
        <v>1.89</v>
      </c>
      <c r="M76" s="74">
        <f t="shared" si="15"/>
        <v>18.940000000000001</v>
      </c>
      <c r="N76" s="67">
        <f t="shared" si="16"/>
        <v>0</v>
      </c>
      <c r="O76" s="66"/>
      <c r="P76" s="74">
        <f t="shared" si="17"/>
        <v>17.05</v>
      </c>
      <c r="Q76" s="74">
        <f t="shared" si="17"/>
        <v>1.89</v>
      </c>
      <c r="R76" s="74">
        <f t="shared" si="18"/>
        <v>18.940000000000001</v>
      </c>
      <c r="S76" s="67">
        <f t="shared" si="19"/>
        <v>0</v>
      </c>
      <c r="T76" s="92">
        <f t="shared" si="20"/>
        <v>0</v>
      </c>
    </row>
    <row r="77" spans="1:20" ht="17.100000000000001" customHeight="1">
      <c r="A77" s="91">
        <v>870</v>
      </c>
      <c r="B77" s="91"/>
      <c r="D77" s="22">
        <v>14</v>
      </c>
      <c r="E77" s="22" t="s">
        <v>1011</v>
      </c>
      <c r="F77" s="32" t="s">
        <v>958</v>
      </c>
      <c r="G77" s="66">
        <v>0</v>
      </c>
      <c r="H77" s="66">
        <v>14</v>
      </c>
      <c r="I77" s="93">
        <f t="shared" si="14"/>
        <v>0</v>
      </c>
      <c r="J77" s="22"/>
      <c r="K77" s="71">
        <v>6.78</v>
      </c>
      <c r="L77" s="71">
        <v>2.11</v>
      </c>
      <c r="M77" s="74">
        <f t="shared" si="15"/>
        <v>8.89</v>
      </c>
      <c r="N77" s="67">
        <f t="shared" si="16"/>
        <v>0</v>
      </c>
      <c r="O77" s="22"/>
      <c r="P77" s="74">
        <f t="shared" si="17"/>
        <v>6.78</v>
      </c>
      <c r="Q77" s="74">
        <f t="shared" si="17"/>
        <v>2.11</v>
      </c>
      <c r="R77" s="74">
        <f t="shared" si="18"/>
        <v>8.89</v>
      </c>
      <c r="S77" s="67">
        <f t="shared" si="19"/>
        <v>0</v>
      </c>
      <c r="T77" s="92">
        <f t="shared" si="20"/>
        <v>0</v>
      </c>
    </row>
    <row r="78" spans="1:20" ht="17.100000000000001" customHeight="1">
      <c r="A78" s="91">
        <v>532</v>
      </c>
      <c r="B78" s="91"/>
      <c r="D78" s="22">
        <v>15</v>
      </c>
      <c r="E78" s="22" t="s">
        <v>1012</v>
      </c>
      <c r="F78" s="32" t="s">
        <v>960</v>
      </c>
      <c r="G78" s="66">
        <v>0</v>
      </c>
      <c r="H78" s="66">
        <v>22</v>
      </c>
      <c r="I78" s="93">
        <f t="shared" si="14"/>
        <v>0</v>
      </c>
      <c r="J78" s="22"/>
      <c r="K78" s="71">
        <v>13.08</v>
      </c>
      <c r="L78" s="71">
        <v>1.89</v>
      </c>
      <c r="M78" s="74">
        <f t="shared" si="15"/>
        <v>14.97</v>
      </c>
      <c r="N78" s="67">
        <f t="shared" si="16"/>
        <v>0</v>
      </c>
      <c r="O78" s="22"/>
      <c r="P78" s="74">
        <f t="shared" si="17"/>
        <v>13.08</v>
      </c>
      <c r="Q78" s="74">
        <f t="shared" si="17"/>
        <v>1.89</v>
      </c>
      <c r="R78" s="74">
        <f t="shared" si="18"/>
        <v>14.97</v>
      </c>
      <c r="S78" s="67">
        <f t="shared" si="19"/>
        <v>0</v>
      </c>
      <c r="T78" s="92">
        <f t="shared" si="20"/>
        <v>0</v>
      </c>
    </row>
    <row r="79" spans="1:20" ht="17.100000000000001" customHeight="1">
      <c r="A79" s="91">
        <v>533</v>
      </c>
      <c r="B79" s="91"/>
      <c r="D79" s="22">
        <v>16</v>
      </c>
      <c r="E79" s="22" t="s">
        <v>1013</v>
      </c>
      <c r="F79" s="32" t="s">
        <v>960</v>
      </c>
      <c r="G79" s="66">
        <v>0</v>
      </c>
      <c r="H79" s="66">
        <v>22</v>
      </c>
      <c r="I79" s="93">
        <f t="shared" si="14"/>
        <v>0</v>
      </c>
      <c r="J79" s="66"/>
      <c r="K79" s="71">
        <v>12.99</v>
      </c>
      <c r="L79" s="71">
        <v>1.89</v>
      </c>
      <c r="M79" s="74">
        <f>+K79+L79</f>
        <v>14.88</v>
      </c>
      <c r="N79" s="67">
        <f t="shared" si="16"/>
        <v>0</v>
      </c>
      <c r="O79" s="66"/>
      <c r="P79" s="74">
        <f t="shared" si="17"/>
        <v>12.99</v>
      </c>
      <c r="Q79" s="74">
        <f t="shared" si="17"/>
        <v>1.89</v>
      </c>
      <c r="R79" s="74">
        <f t="shared" si="18"/>
        <v>14.88</v>
      </c>
      <c r="S79" s="67">
        <f t="shared" si="19"/>
        <v>0</v>
      </c>
      <c r="T79" s="92">
        <f t="shared" si="20"/>
        <v>0</v>
      </c>
    </row>
    <row r="80" spans="1:20" ht="17.100000000000001" customHeight="1">
      <c r="A80" s="91">
        <v>534</v>
      </c>
      <c r="B80" s="91"/>
      <c r="D80" s="22">
        <v>17</v>
      </c>
      <c r="E80" s="22" t="s">
        <v>1014</v>
      </c>
      <c r="F80" s="32" t="s">
        <v>960</v>
      </c>
      <c r="G80" s="66">
        <v>0</v>
      </c>
      <c r="H80" s="66">
        <v>22</v>
      </c>
      <c r="I80" s="93">
        <f t="shared" si="14"/>
        <v>0</v>
      </c>
      <c r="J80" s="66"/>
      <c r="K80" s="71">
        <v>11.53</v>
      </c>
      <c r="L80" s="71">
        <v>1.89</v>
      </c>
      <c r="M80" s="74">
        <f>+K80+L80</f>
        <v>13.42</v>
      </c>
      <c r="N80" s="67">
        <f t="shared" si="16"/>
        <v>0</v>
      </c>
      <c r="O80" s="66"/>
      <c r="P80" s="74">
        <f t="shared" si="17"/>
        <v>11.53</v>
      </c>
      <c r="Q80" s="74">
        <f t="shared" si="17"/>
        <v>1.89</v>
      </c>
      <c r="R80" s="74">
        <f t="shared" si="18"/>
        <v>13.42</v>
      </c>
      <c r="S80" s="67">
        <f t="shared" si="19"/>
        <v>0</v>
      </c>
      <c r="T80" s="92">
        <f t="shared" si="20"/>
        <v>0</v>
      </c>
    </row>
    <row r="81" spans="1:20" ht="17.100000000000001" customHeight="1">
      <c r="A81" s="91">
        <v>536</v>
      </c>
      <c r="B81" s="91"/>
      <c r="D81" s="22">
        <v>18</v>
      </c>
      <c r="E81" s="22" t="s">
        <v>1015</v>
      </c>
      <c r="F81" s="32" t="s">
        <v>964</v>
      </c>
      <c r="G81" s="66">
        <v>0</v>
      </c>
      <c r="H81" s="66">
        <v>52</v>
      </c>
      <c r="I81" s="93">
        <f t="shared" si="14"/>
        <v>0</v>
      </c>
      <c r="J81" s="66"/>
      <c r="K81" s="71">
        <v>12.5</v>
      </c>
      <c r="L81" s="71">
        <v>3.18</v>
      </c>
      <c r="M81" s="74">
        <f>+K81+L81</f>
        <v>15.68</v>
      </c>
      <c r="N81" s="67">
        <f t="shared" si="16"/>
        <v>0</v>
      </c>
      <c r="O81" s="66"/>
      <c r="P81" s="74">
        <f t="shared" si="17"/>
        <v>12.5</v>
      </c>
      <c r="Q81" s="74">
        <f t="shared" si="17"/>
        <v>3.18</v>
      </c>
      <c r="R81" s="74">
        <f t="shared" si="18"/>
        <v>15.68</v>
      </c>
      <c r="S81" s="67">
        <f t="shared" si="19"/>
        <v>0</v>
      </c>
      <c r="T81" s="92">
        <f t="shared" si="20"/>
        <v>0</v>
      </c>
    </row>
    <row r="82" spans="1:20" ht="17.100000000000001" customHeight="1">
      <c r="A82" s="91">
        <v>538</v>
      </c>
      <c r="B82" s="91"/>
      <c r="D82" s="22">
        <v>19</v>
      </c>
      <c r="E82" s="22" t="s">
        <v>1016</v>
      </c>
      <c r="F82" s="32" t="s">
        <v>966</v>
      </c>
      <c r="G82" s="66">
        <v>0</v>
      </c>
      <c r="H82" s="66">
        <v>81</v>
      </c>
      <c r="I82" s="93">
        <f t="shared" si="14"/>
        <v>0</v>
      </c>
      <c r="J82" s="66"/>
      <c r="K82" s="71">
        <v>10.6</v>
      </c>
      <c r="L82" s="71">
        <v>2.44</v>
      </c>
      <c r="M82" s="74">
        <f>+K82+L82</f>
        <v>13.04</v>
      </c>
      <c r="N82" s="67">
        <f t="shared" si="16"/>
        <v>0</v>
      </c>
      <c r="O82" s="66"/>
      <c r="P82" s="74">
        <f t="shared" si="17"/>
        <v>10.6</v>
      </c>
      <c r="Q82" s="74">
        <f t="shared" si="17"/>
        <v>2.44</v>
      </c>
      <c r="R82" s="74">
        <f t="shared" si="18"/>
        <v>13.04</v>
      </c>
      <c r="S82" s="67">
        <f t="shared" si="19"/>
        <v>0</v>
      </c>
      <c r="T82" s="92">
        <f t="shared" si="20"/>
        <v>0</v>
      </c>
    </row>
    <row r="83" spans="1:20" ht="17.100000000000001" customHeight="1">
      <c r="A83" s="91"/>
      <c r="B83" s="91"/>
      <c r="D83" s="22">
        <v>20</v>
      </c>
      <c r="E83" s="31" t="s">
        <v>978</v>
      </c>
      <c r="N83" s="67">
        <f>SUM(N66:N82)</f>
        <v>0</v>
      </c>
      <c r="O83" s="66"/>
      <c r="S83" s="67">
        <f>SUM(S66:S82)</f>
        <v>0</v>
      </c>
      <c r="T83" s="92">
        <f t="shared" si="20"/>
        <v>0</v>
      </c>
    </row>
    <row r="84" spans="1:20" ht="17.100000000000001" customHeight="1">
      <c r="A84" s="91"/>
      <c r="B84" s="91"/>
      <c r="D84" s="22">
        <v>21</v>
      </c>
      <c r="E84" s="22"/>
      <c r="F84" s="22"/>
      <c r="G84" s="66"/>
      <c r="H84" s="66"/>
      <c r="I84" s="70"/>
      <c r="J84" s="70"/>
      <c r="K84" s="94"/>
      <c r="L84" s="94"/>
      <c r="M84" s="71"/>
      <c r="N84" s="80"/>
      <c r="O84" s="66"/>
      <c r="P84" s="71"/>
      <c r="Q84" s="71"/>
      <c r="R84" s="71"/>
      <c r="S84" s="80"/>
      <c r="T84" s="97"/>
    </row>
    <row r="85" spans="1:20" ht="17.100000000000001" customHeight="1">
      <c r="A85" s="91"/>
      <c r="B85" s="91"/>
      <c r="D85" s="22">
        <v>22</v>
      </c>
      <c r="E85" s="335" t="s">
        <v>1017</v>
      </c>
      <c r="F85" s="335"/>
      <c r="G85" s="66"/>
      <c r="H85" s="66"/>
      <c r="I85" s="70"/>
      <c r="J85" s="70"/>
      <c r="K85" s="94"/>
      <c r="L85" s="94"/>
      <c r="M85" s="71"/>
      <c r="N85" s="80"/>
      <c r="O85" s="102"/>
      <c r="P85" s="103"/>
      <c r="Q85" s="71"/>
      <c r="R85" s="71"/>
      <c r="S85" s="80"/>
      <c r="T85" s="97"/>
    </row>
    <row r="86" spans="1:20" ht="17.100000000000001" customHeight="1">
      <c r="A86" s="91">
        <v>724</v>
      </c>
      <c r="B86" s="91"/>
      <c r="D86" s="22">
        <v>23</v>
      </c>
      <c r="E86" s="63" t="s">
        <v>1018</v>
      </c>
      <c r="F86" s="32" t="s">
        <v>981</v>
      </c>
      <c r="G86" s="66">
        <v>0</v>
      </c>
      <c r="H86" s="66">
        <v>69</v>
      </c>
      <c r="I86" s="93">
        <f t="shared" ref="I86:I99" si="21">+H86*G86</f>
        <v>0</v>
      </c>
      <c r="J86" s="70"/>
      <c r="K86" s="71">
        <v>10.83</v>
      </c>
      <c r="L86" s="71">
        <v>4.99</v>
      </c>
      <c r="M86" s="74">
        <f t="shared" ref="M86:M99" si="22">+K86+L86</f>
        <v>15.82</v>
      </c>
      <c r="N86" s="67">
        <f t="shared" ref="N86:N99" si="23">+M86*G86</f>
        <v>0</v>
      </c>
      <c r="O86" s="66"/>
      <c r="P86" s="74">
        <f t="shared" ref="P86:Q99" si="24">+K86</f>
        <v>10.83</v>
      </c>
      <c r="Q86" s="74">
        <f t="shared" si="24"/>
        <v>4.99</v>
      </c>
      <c r="R86" s="74">
        <f t="shared" ref="R86:R99" si="25">+P86+Q86</f>
        <v>15.82</v>
      </c>
      <c r="S86" s="71">
        <f t="shared" ref="S86:S99" si="26">+R86*G86</f>
        <v>0</v>
      </c>
      <c r="T86" s="92">
        <f t="shared" ref="T86:T100" si="27">IF(S86=0,0,(S86-N86)/N86)</f>
        <v>0</v>
      </c>
    </row>
    <row r="87" spans="1:20" ht="17.100000000000001" customHeight="1">
      <c r="A87" s="91">
        <v>522</v>
      </c>
      <c r="B87" s="91"/>
      <c r="D87" s="22">
        <v>24</v>
      </c>
      <c r="E87" s="63" t="s">
        <v>1019</v>
      </c>
      <c r="F87" s="32" t="s">
        <v>966</v>
      </c>
      <c r="G87" s="66">
        <v>0</v>
      </c>
      <c r="H87" s="66">
        <v>79</v>
      </c>
      <c r="I87" s="93">
        <f t="shared" si="21"/>
        <v>0</v>
      </c>
      <c r="J87" s="70"/>
      <c r="K87" s="71">
        <v>8.67</v>
      </c>
      <c r="L87" s="71">
        <v>4.01</v>
      </c>
      <c r="M87" s="74">
        <f t="shared" si="22"/>
        <v>12.68</v>
      </c>
      <c r="N87" s="67">
        <f t="shared" si="23"/>
        <v>0</v>
      </c>
      <c r="O87" s="66"/>
      <c r="P87" s="74">
        <f t="shared" si="24"/>
        <v>8.67</v>
      </c>
      <c r="Q87" s="74">
        <f t="shared" si="24"/>
        <v>4.01</v>
      </c>
      <c r="R87" s="74">
        <f t="shared" si="25"/>
        <v>12.68</v>
      </c>
      <c r="S87" s="71">
        <f t="shared" si="26"/>
        <v>0</v>
      </c>
      <c r="T87" s="92">
        <f t="shared" si="27"/>
        <v>0</v>
      </c>
    </row>
    <row r="88" spans="1:20" ht="17.100000000000001" customHeight="1">
      <c r="A88" s="91">
        <v>725</v>
      </c>
      <c r="B88" s="91"/>
      <c r="D88" s="22">
        <v>25</v>
      </c>
      <c r="E88" s="63" t="s">
        <v>1020</v>
      </c>
      <c r="F88" s="32" t="s">
        <v>981</v>
      </c>
      <c r="G88" s="66">
        <v>0</v>
      </c>
      <c r="H88" s="66">
        <v>69</v>
      </c>
      <c r="I88" s="93">
        <f t="shared" si="21"/>
        <v>0</v>
      </c>
      <c r="J88" s="70"/>
      <c r="K88" s="71">
        <v>12.3</v>
      </c>
      <c r="L88" s="71">
        <v>5.04</v>
      </c>
      <c r="M88" s="74">
        <f t="shared" si="22"/>
        <v>17.34</v>
      </c>
      <c r="N88" s="67">
        <f t="shared" si="23"/>
        <v>0</v>
      </c>
      <c r="O88" s="66"/>
      <c r="P88" s="74">
        <f t="shared" si="24"/>
        <v>12.3</v>
      </c>
      <c r="Q88" s="74">
        <f t="shared" si="24"/>
        <v>5.04</v>
      </c>
      <c r="R88" s="74">
        <f t="shared" si="25"/>
        <v>17.34</v>
      </c>
      <c r="S88" s="71">
        <f t="shared" si="26"/>
        <v>0</v>
      </c>
      <c r="T88" s="92">
        <f t="shared" si="27"/>
        <v>0</v>
      </c>
    </row>
    <row r="89" spans="1:20" ht="17.100000000000001" customHeight="1">
      <c r="A89" s="91">
        <v>541</v>
      </c>
      <c r="B89" s="91"/>
      <c r="D89" s="22">
        <v>26</v>
      </c>
      <c r="E89" s="63" t="s">
        <v>1021</v>
      </c>
      <c r="F89" s="32" t="s">
        <v>966</v>
      </c>
      <c r="G89" s="66">
        <v>0</v>
      </c>
      <c r="H89" s="66">
        <v>79</v>
      </c>
      <c r="I89" s="93">
        <f t="shared" si="21"/>
        <v>0</v>
      </c>
      <c r="J89" s="22"/>
      <c r="K89" s="71">
        <v>12.04</v>
      </c>
      <c r="L89" s="71">
        <v>4.0199999999999996</v>
      </c>
      <c r="M89" s="74">
        <f t="shared" si="22"/>
        <v>16.059999999999999</v>
      </c>
      <c r="N89" s="67">
        <f t="shared" si="23"/>
        <v>0</v>
      </c>
      <c r="O89" s="22"/>
      <c r="P89" s="74">
        <f t="shared" si="24"/>
        <v>12.04</v>
      </c>
      <c r="Q89" s="74">
        <f t="shared" si="24"/>
        <v>4.0199999999999996</v>
      </c>
      <c r="R89" s="74">
        <f t="shared" si="25"/>
        <v>16.059999999999999</v>
      </c>
      <c r="S89" s="71">
        <f t="shared" si="26"/>
        <v>0</v>
      </c>
      <c r="T89" s="92">
        <f t="shared" si="27"/>
        <v>0</v>
      </c>
    </row>
    <row r="90" spans="1:20" ht="17.100000000000001" customHeight="1">
      <c r="A90" s="91">
        <v>578</v>
      </c>
      <c r="B90" s="91"/>
      <c r="D90" s="22">
        <v>27</v>
      </c>
      <c r="E90" s="63" t="s">
        <v>1022</v>
      </c>
      <c r="F90" s="32" t="s">
        <v>986</v>
      </c>
      <c r="G90" s="66">
        <v>0</v>
      </c>
      <c r="H90" s="66">
        <v>191</v>
      </c>
      <c r="I90" s="66">
        <f t="shared" si="21"/>
        <v>0</v>
      </c>
      <c r="J90" s="66"/>
      <c r="K90" s="71">
        <v>15.11</v>
      </c>
      <c r="L90" s="71">
        <v>8.17</v>
      </c>
      <c r="M90" s="74">
        <f t="shared" si="22"/>
        <v>23.28</v>
      </c>
      <c r="N90" s="67">
        <f t="shared" si="23"/>
        <v>0</v>
      </c>
      <c r="O90" s="66"/>
      <c r="P90" s="74">
        <f t="shared" si="24"/>
        <v>15.11</v>
      </c>
      <c r="Q90" s="74">
        <f t="shared" si="24"/>
        <v>8.17</v>
      </c>
      <c r="R90" s="74">
        <f t="shared" si="25"/>
        <v>23.28</v>
      </c>
      <c r="S90" s="98">
        <f t="shared" si="26"/>
        <v>0</v>
      </c>
      <c r="T90" s="92">
        <f t="shared" si="27"/>
        <v>0</v>
      </c>
    </row>
    <row r="91" spans="1:20" ht="17.100000000000001" customHeight="1">
      <c r="A91" s="91">
        <v>721</v>
      </c>
      <c r="B91" s="91"/>
      <c r="D91" s="22">
        <v>28</v>
      </c>
      <c r="E91" s="63" t="s">
        <v>1023</v>
      </c>
      <c r="F91" s="32" t="s">
        <v>962</v>
      </c>
      <c r="G91" s="66">
        <v>0</v>
      </c>
      <c r="H91" s="66">
        <v>34</v>
      </c>
      <c r="I91" s="93">
        <f t="shared" si="21"/>
        <v>0</v>
      </c>
      <c r="J91" s="66"/>
      <c r="K91" s="71">
        <v>15.25</v>
      </c>
      <c r="L91" s="71">
        <v>3.92</v>
      </c>
      <c r="M91" s="74">
        <f t="shared" si="22"/>
        <v>19.170000000000002</v>
      </c>
      <c r="N91" s="67">
        <f t="shared" si="23"/>
        <v>0</v>
      </c>
      <c r="O91" s="66"/>
      <c r="P91" s="74">
        <f t="shared" si="24"/>
        <v>15.25</v>
      </c>
      <c r="Q91" s="74">
        <f t="shared" si="24"/>
        <v>3.92</v>
      </c>
      <c r="R91" s="74">
        <f t="shared" si="25"/>
        <v>19.170000000000002</v>
      </c>
      <c r="S91" s="98">
        <f t="shared" si="26"/>
        <v>0</v>
      </c>
      <c r="T91" s="92">
        <f t="shared" si="27"/>
        <v>0</v>
      </c>
    </row>
    <row r="92" spans="1:20" ht="17.100000000000001" customHeight="1">
      <c r="A92" s="91">
        <v>548</v>
      </c>
      <c r="B92" s="91"/>
      <c r="D92" s="22">
        <v>29</v>
      </c>
      <c r="E92" s="63" t="s">
        <v>1024</v>
      </c>
      <c r="F92" s="32" t="s">
        <v>989</v>
      </c>
      <c r="G92" s="66">
        <v>0</v>
      </c>
      <c r="H92" s="66">
        <v>37</v>
      </c>
      <c r="I92" s="66">
        <f t="shared" si="21"/>
        <v>0</v>
      </c>
      <c r="J92" s="66"/>
      <c r="K92" s="71">
        <v>15.68</v>
      </c>
      <c r="L92" s="71">
        <v>3.73</v>
      </c>
      <c r="M92" s="71">
        <f t="shared" si="22"/>
        <v>19.41</v>
      </c>
      <c r="N92" s="67">
        <f t="shared" si="23"/>
        <v>0</v>
      </c>
      <c r="O92" s="66"/>
      <c r="P92" s="74">
        <f t="shared" si="24"/>
        <v>15.68</v>
      </c>
      <c r="Q92" s="74">
        <f t="shared" si="24"/>
        <v>3.73</v>
      </c>
      <c r="R92" s="74">
        <f t="shared" si="25"/>
        <v>19.41</v>
      </c>
      <c r="S92" s="98">
        <f t="shared" si="26"/>
        <v>0</v>
      </c>
      <c r="T92" s="92">
        <f t="shared" si="27"/>
        <v>0</v>
      </c>
    </row>
    <row r="93" spans="1:20" ht="17.100000000000001" customHeight="1">
      <c r="A93" s="91">
        <v>720</v>
      </c>
      <c r="B93" s="91"/>
      <c r="D93" s="22">
        <v>30</v>
      </c>
      <c r="E93" s="63" t="s">
        <v>1025</v>
      </c>
      <c r="F93" s="32" t="s">
        <v>962</v>
      </c>
      <c r="G93" s="66">
        <v>0</v>
      </c>
      <c r="H93" s="66">
        <v>34</v>
      </c>
      <c r="I93" s="93">
        <f t="shared" si="21"/>
        <v>0</v>
      </c>
      <c r="J93" s="66"/>
      <c r="K93" s="71">
        <v>13.42</v>
      </c>
      <c r="L93" s="71">
        <v>3.92</v>
      </c>
      <c r="M93" s="74">
        <f t="shared" si="22"/>
        <v>17.34</v>
      </c>
      <c r="N93" s="67">
        <f t="shared" si="23"/>
        <v>0</v>
      </c>
      <c r="O93" s="66"/>
      <c r="P93" s="74">
        <f t="shared" si="24"/>
        <v>13.42</v>
      </c>
      <c r="Q93" s="74">
        <f t="shared" si="24"/>
        <v>3.92</v>
      </c>
      <c r="R93" s="74">
        <f t="shared" si="25"/>
        <v>17.34</v>
      </c>
      <c r="S93" s="71">
        <f t="shared" si="26"/>
        <v>0</v>
      </c>
      <c r="T93" s="92">
        <f t="shared" si="27"/>
        <v>0</v>
      </c>
    </row>
    <row r="94" spans="1:20" ht="17.100000000000001" customHeight="1">
      <c r="A94" s="91">
        <v>568</v>
      </c>
      <c r="B94" s="91"/>
      <c r="D94" s="22">
        <v>31</v>
      </c>
      <c r="E94" s="63" t="s">
        <v>1026</v>
      </c>
      <c r="F94" s="32" t="s">
        <v>989</v>
      </c>
      <c r="G94" s="66">
        <v>0</v>
      </c>
      <c r="H94" s="66">
        <v>37</v>
      </c>
      <c r="I94" s="93">
        <f t="shared" si="21"/>
        <v>0</v>
      </c>
      <c r="J94" s="66"/>
      <c r="K94" s="71">
        <v>13.49</v>
      </c>
      <c r="L94" s="71">
        <v>3.74</v>
      </c>
      <c r="M94" s="74">
        <f t="shared" si="22"/>
        <v>17.23</v>
      </c>
      <c r="N94" s="67">
        <f t="shared" si="23"/>
        <v>0</v>
      </c>
      <c r="O94" s="66"/>
      <c r="P94" s="74">
        <f t="shared" si="24"/>
        <v>13.49</v>
      </c>
      <c r="Q94" s="74">
        <f t="shared" si="24"/>
        <v>3.74</v>
      </c>
      <c r="R94" s="74">
        <f t="shared" si="25"/>
        <v>17.23</v>
      </c>
      <c r="S94" s="71">
        <f t="shared" si="26"/>
        <v>0</v>
      </c>
      <c r="T94" s="92">
        <f t="shared" si="27"/>
        <v>0</v>
      </c>
    </row>
    <row r="95" spans="1:20" ht="17.100000000000001" customHeight="1">
      <c r="A95" s="91">
        <v>722</v>
      </c>
      <c r="B95" s="91"/>
      <c r="D95" s="22">
        <v>32</v>
      </c>
      <c r="E95" s="104" t="s">
        <v>1027</v>
      </c>
      <c r="F95" s="32" t="s">
        <v>962</v>
      </c>
      <c r="G95" s="66">
        <v>0</v>
      </c>
      <c r="H95" s="66">
        <v>34</v>
      </c>
      <c r="I95" s="93">
        <f t="shared" si="21"/>
        <v>0</v>
      </c>
      <c r="J95" s="66"/>
      <c r="K95" s="71">
        <v>10.38</v>
      </c>
      <c r="L95" s="71">
        <v>3.92</v>
      </c>
      <c r="M95" s="74">
        <f t="shared" si="22"/>
        <v>14.3</v>
      </c>
      <c r="N95" s="67">
        <f t="shared" si="23"/>
        <v>0</v>
      </c>
      <c r="O95" s="66"/>
      <c r="P95" s="74">
        <f t="shared" si="24"/>
        <v>10.38</v>
      </c>
      <c r="Q95" s="74">
        <f t="shared" si="24"/>
        <v>3.92</v>
      </c>
      <c r="R95" s="74">
        <f t="shared" si="25"/>
        <v>14.3</v>
      </c>
      <c r="S95" s="71">
        <f t="shared" si="26"/>
        <v>0</v>
      </c>
      <c r="T95" s="92">
        <f t="shared" si="27"/>
        <v>0</v>
      </c>
    </row>
    <row r="96" spans="1:20" ht="17.100000000000001" customHeight="1">
      <c r="A96" s="91">
        <v>549</v>
      </c>
      <c r="B96" s="91"/>
      <c r="D96" s="22">
        <v>33</v>
      </c>
      <c r="E96" s="63" t="s">
        <v>1028</v>
      </c>
      <c r="F96" s="32" t="s">
        <v>989</v>
      </c>
      <c r="G96" s="66">
        <v>0</v>
      </c>
      <c r="H96" s="66">
        <v>37</v>
      </c>
      <c r="I96" s="93">
        <f t="shared" si="21"/>
        <v>0</v>
      </c>
      <c r="J96" s="66"/>
      <c r="K96" s="71">
        <v>11.44</v>
      </c>
      <c r="L96" s="71">
        <v>3.7</v>
      </c>
      <c r="M96" s="74">
        <f t="shared" si="22"/>
        <v>15.14</v>
      </c>
      <c r="N96" s="67">
        <f t="shared" si="23"/>
        <v>0</v>
      </c>
      <c r="O96" s="66"/>
      <c r="P96" s="74">
        <f t="shared" si="24"/>
        <v>11.44</v>
      </c>
      <c r="Q96" s="74">
        <f t="shared" si="24"/>
        <v>3.7</v>
      </c>
      <c r="R96" s="74">
        <f t="shared" si="25"/>
        <v>15.14</v>
      </c>
      <c r="S96" s="71">
        <f t="shared" si="26"/>
        <v>0</v>
      </c>
      <c r="T96" s="92">
        <f t="shared" si="27"/>
        <v>0</v>
      </c>
    </row>
    <row r="97" spans="1:20" ht="17.100000000000001" customHeight="1">
      <c r="A97" s="91">
        <v>723</v>
      </c>
      <c r="B97" s="91"/>
      <c r="D97" s="22">
        <v>34</v>
      </c>
      <c r="E97" s="63" t="s">
        <v>1029</v>
      </c>
      <c r="F97" s="32" t="s">
        <v>981</v>
      </c>
      <c r="G97" s="66">
        <v>0</v>
      </c>
      <c r="H97" s="66">
        <v>69</v>
      </c>
      <c r="I97" s="93">
        <f t="shared" si="21"/>
        <v>0</v>
      </c>
      <c r="J97" s="66"/>
      <c r="K97" s="71">
        <v>13.74</v>
      </c>
      <c r="L97" s="71">
        <v>4.93</v>
      </c>
      <c r="M97" s="74">
        <f t="shared" si="22"/>
        <v>18.670000000000002</v>
      </c>
      <c r="N97" s="67">
        <f t="shared" si="23"/>
        <v>0</v>
      </c>
      <c r="O97" s="66"/>
      <c r="P97" s="74">
        <f t="shared" si="24"/>
        <v>13.74</v>
      </c>
      <c r="Q97" s="74">
        <f t="shared" si="24"/>
        <v>4.93</v>
      </c>
      <c r="R97" s="74">
        <f t="shared" si="25"/>
        <v>18.670000000000002</v>
      </c>
      <c r="S97" s="71">
        <f t="shared" si="26"/>
        <v>0</v>
      </c>
      <c r="T97" s="92">
        <f t="shared" si="27"/>
        <v>0</v>
      </c>
    </row>
    <row r="98" spans="1:20" ht="17.100000000000001" customHeight="1">
      <c r="A98" s="91">
        <v>540</v>
      </c>
      <c r="B98" s="91"/>
      <c r="D98" s="22">
        <v>35</v>
      </c>
      <c r="E98" s="63" t="s">
        <v>1030</v>
      </c>
      <c r="F98" s="32" t="s">
        <v>966</v>
      </c>
      <c r="G98" s="66">
        <v>0</v>
      </c>
      <c r="H98" s="66">
        <v>79</v>
      </c>
      <c r="I98" s="93">
        <f t="shared" si="21"/>
        <v>0</v>
      </c>
      <c r="J98" s="66"/>
      <c r="K98" s="71">
        <v>14.41</v>
      </c>
      <c r="L98" s="71">
        <v>3.97</v>
      </c>
      <c r="M98" s="74">
        <f t="shared" si="22"/>
        <v>18.38</v>
      </c>
      <c r="N98" s="67">
        <f t="shared" si="23"/>
        <v>0</v>
      </c>
      <c r="O98" s="66"/>
      <c r="P98" s="74">
        <f t="shared" si="24"/>
        <v>14.41</v>
      </c>
      <c r="Q98" s="74">
        <f t="shared" si="24"/>
        <v>3.97</v>
      </c>
      <c r="R98" s="74">
        <f t="shared" si="25"/>
        <v>18.38</v>
      </c>
      <c r="S98" s="71">
        <f t="shared" si="26"/>
        <v>0</v>
      </c>
      <c r="T98" s="92">
        <f t="shared" si="27"/>
        <v>0</v>
      </c>
    </row>
    <row r="99" spans="1:20" ht="17.100000000000001" customHeight="1">
      <c r="A99" s="91">
        <v>577</v>
      </c>
      <c r="B99" s="91"/>
      <c r="D99" s="22">
        <v>36</v>
      </c>
      <c r="E99" s="63" t="s">
        <v>1031</v>
      </c>
      <c r="F99" s="32" t="s">
        <v>986</v>
      </c>
      <c r="G99" s="66">
        <v>0</v>
      </c>
      <c r="H99" s="66">
        <v>191</v>
      </c>
      <c r="I99" s="93">
        <f t="shared" si="21"/>
        <v>0</v>
      </c>
      <c r="J99" s="66"/>
      <c r="K99" s="71">
        <v>23.74</v>
      </c>
      <c r="L99" s="71">
        <v>8.17</v>
      </c>
      <c r="M99" s="74">
        <f t="shared" si="22"/>
        <v>31.909999999999997</v>
      </c>
      <c r="N99" s="67">
        <f t="shared" si="23"/>
        <v>0</v>
      </c>
      <c r="O99" s="66"/>
      <c r="P99" s="74">
        <f t="shared" si="24"/>
        <v>23.74</v>
      </c>
      <c r="Q99" s="74">
        <f t="shared" si="24"/>
        <v>8.17</v>
      </c>
      <c r="R99" s="74">
        <f t="shared" si="25"/>
        <v>31.909999999999997</v>
      </c>
      <c r="S99" s="71">
        <f t="shared" si="26"/>
        <v>0</v>
      </c>
      <c r="T99" s="92">
        <f t="shared" si="27"/>
        <v>0</v>
      </c>
    </row>
    <row r="100" spans="1:20" ht="17.100000000000001" customHeight="1">
      <c r="A100" s="91"/>
      <c r="B100" s="91"/>
      <c r="D100" s="22">
        <v>37</v>
      </c>
      <c r="E100" s="31" t="s">
        <v>978</v>
      </c>
      <c r="F100" s="22"/>
      <c r="G100" s="22"/>
      <c r="H100" s="22"/>
      <c r="I100" s="66"/>
      <c r="J100" s="66"/>
      <c r="K100" s="66"/>
      <c r="L100" s="66"/>
      <c r="M100" s="66"/>
      <c r="N100" s="66">
        <f>SUM(N86:N99)</f>
        <v>0</v>
      </c>
      <c r="O100" s="105"/>
      <c r="P100" s="66"/>
      <c r="Q100" s="66"/>
      <c r="R100" s="66"/>
      <c r="S100" s="66">
        <f>SUM(S86:S99)</f>
        <v>0</v>
      </c>
      <c r="T100" s="92">
        <f t="shared" si="27"/>
        <v>0</v>
      </c>
    </row>
    <row r="101" spans="1:20" ht="17.100000000000001" customHeight="1">
      <c r="A101" s="91"/>
      <c r="B101" s="91"/>
      <c r="D101" s="22">
        <v>38</v>
      </c>
      <c r="E101" s="31"/>
      <c r="F101" s="22"/>
      <c r="G101" s="22"/>
      <c r="H101" s="22"/>
      <c r="I101" s="66"/>
      <c r="J101" s="66"/>
      <c r="K101" s="66"/>
      <c r="L101" s="66"/>
      <c r="M101" s="66"/>
      <c r="N101" s="66"/>
      <c r="O101" s="105"/>
      <c r="P101" s="66"/>
      <c r="Q101" s="66"/>
      <c r="R101" s="66"/>
      <c r="S101" s="66"/>
      <c r="T101" s="66"/>
    </row>
    <row r="102" spans="1:20" ht="17.100000000000001" customHeight="1">
      <c r="A102" s="91"/>
      <c r="B102" s="91"/>
      <c r="D102" s="22">
        <v>39</v>
      </c>
      <c r="E102" s="31"/>
      <c r="F102" s="22"/>
      <c r="G102" s="22"/>
      <c r="H102" s="22"/>
      <c r="I102" s="66"/>
      <c r="J102" s="66"/>
      <c r="K102" s="66"/>
      <c r="L102" s="66"/>
      <c r="M102" s="66"/>
      <c r="N102" s="66"/>
      <c r="O102" s="105"/>
      <c r="P102" s="66"/>
      <c r="Q102" s="66"/>
      <c r="R102" s="66"/>
      <c r="S102" s="66"/>
      <c r="T102" s="66"/>
    </row>
    <row r="103" spans="1:20" ht="17.100000000000001" customHeight="1" thickBot="1">
      <c r="A103" s="91"/>
      <c r="B103" s="91"/>
      <c r="D103" s="24">
        <v>40</v>
      </c>
      <c r="E103" s="106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99">
        <f>O103-O100</f>
        <v>0</v>
      </c>
      <c r="Q103" s="24"/>
      <c r="R103" s="24"/>
      <c r="S103" s="24"/>
      <c r="T103" s="26" t="s">
        <v>1032</v>
      </c>
    </row>
    <row r="104" spans="1:20" ht="17.100000000000001" customHeight="1">
      <c r="A104" s="91"/>
      <c r="B104" s="91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</row>
    <row r="105" spans="1:20" ht="17.100000000000001" customHeight="1" thickBot="1">
      <c r="A105" s="91"/>
      <c r="B105" s="91"/>
      <c r="D105" s="24"/>
      <c r="E105" s="24"/>
      <c r="F105" s="24"/>
      <c r="G105" s="24"/>
      <c r="H105" s="24"/>
      <c r="I105" s="24" t="str">
        <f>+$I$1</f>
        <v>REVENUE BY RATE SCHEDULE - LIGHTING SCHEDULE CALCULATION</v>
      </c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</row>
    <row r="106" spans="1:20" ht="17.100000000000001" customHeight="1">
      <c r="A106" s="91"/>
      <c r="B106" s="91"/>
      <c r="D106" s="22"/>
      <c r="E106" s="22"/>
      <c r="F106" s="22"/>
      <c r="I106" s="32"/>
      <c r="J106" s="22"/>
      <c r="K106" s="22"/>
      <c r="L106" s="30"/>
      <c r="M106" s="30"/>
      <c r="N106" s="22"/>
      <c r="O106" s="22"/>
      <c r="P106" s="30"/>
      <c r="Q106" s="30"/>
      <c r="R106" s="22"/>
      <c r="S106" s="22"/>
      <c r="T106" s="31"/>
    </row>
    <row r="107" spans="1:20" ht="17.100000000000001" customHeight="1">
      <c r="A107" s="91"/>
      <c r="B107" s="91"/>
      <c r="D107" s="22"/>
      <c r="E107" s="22"/>
      <c r="F107" s="22"/>
      <c r="G107" s="22"/>
      <c r="H107" s="22"/>
      <c r="I107" s="22"/>
      <c r="J107" s="22"/>
      <c r="K107" s="22"/>
      <c r="L107" s="32"/>
      <c r="M107" s="31"/>
      <c r="N107" s="22"/>
      <c r="O107" s="22"/>
      <c r="P107" s="22"/>
      <c r="Q107" s="88"/>
      <c r="R107" s="32"/>
      <c r="S107" s="31"/>
      <c r="T107" s="32"/>
    </row>
    <row r="108" spans="1:20" ht="17.100000000000001" customHeight="1">
      <c r="A108" s="91"/>
      <c r="B108" s="91"/>
      <c r="D108" s="22"/>
      <c r="E108" s="22"/>
      <c r="F108" s="22"/>
      <c r="G108" s="22"/>
      <c r="H108" s="22"/>
      <c r="I108" s="22"/>
      <c r="J108" s="22"/>
      <c r="K108" s="22"/>
      <c r="L108" s="32"/>
      <c r="M108" s="31"/>
      <c r="N108" s="32"/>
      <c r="O108" s="32"/>
      <c r="P108" s="22"/>
      <c r="Q108" s="32"/>
      <c r="R108" s="32"/>
      <c r="S108" s="31"/>
      <c r="T108" s="32"/>
    </row>
    <row r="109" spans="1:20" ht="17.100000000000001" customHeight="1">
      <c r="A109" s="91"/>
      <c r="B109" s="91"/>
      <c r="D109" s="22"/>
      <c r="E109" s="22"/>
      <c r="F109" s="22"/>
      <c r="G109" s="22"/>
      <c r="H109" s="22"/>
      <c r="I109" s="22"/>
      <c r="J109" s="22"/>
      <c r="K109" s="22"/>
      <c r="L109" s="32"/>
      <c r="M109" s="31"/>
      <c r="N109" s="32"/>
      <c r="O109" s="32"/>
      <c r="P109" s="22"/>
      <c r="Q109" s="32"/>
      <c r="R109" s="32"/>
      <c r="S109" s="31"/>
      <c r="T109" s="32"/>
    </row>
    <row r="110" spans="1:20" ht="17.100000000000001" customHeight="1" thickBot="1">
      <c r="A110" s="91"/>
      <c r="B110" s="91"/>
      <c r="D110" s="24"/>
      <c r="E110" s="24"/>
      <c r="F110" s="24"/>
      <c r="G110" s="24"/>
      <c r="H110" s="24"/>
      <c r="I110" s="24"/>
      <c r="J110" s="24"/>
      <c r="K110" s="25"/>
      <c r="L110" s="24"/>
      <c r="M110" s="24"/>
      <c r="N110" s="24"/>
      <c r="O110" s="24"/>
      <c r="P110" s="24"/>
      <c r="Q110" s="24"/>
      <c r="R110" s="22"/>
      <c r="S110" s="22"/>
      <c r="T110" s="24"/>
    </row>
    <row r="111" spans="1:20" ht="17.100000000000001" customHeight="1">
      <c r="A111" s="91"/>
      <c r="B111" s="91"/>
      <c r="D111" s="89"/>
      <c r="E111" s="334" t="s">
        <v>941</v>
      </c>
      <c r="F111" s="334"/>
      <c r="G111" s="334"/>
      <c r="H111" s="334"/>
      <c r="I111" s="334"/>
      <c r="J111" s="334"/>
      <c r="K111" s="334"/>
      <c r="L111" s="334"/>
      <c r="M111" s="334"/>
      <c r="N111" s="334"/>
      <c r="O111" s="334"/>
      <c r="P111" s="334"/>
      <c r="Q111" s="334"/>
      <c r="R111" s="334"/>
      <c r="S111" s="334"/>
      <c r="T111" s="334"/>
    </row>
    <row r="112" spans="1:20" ht="17.100000000000001" customHeight="1">
      <c r="A112" s="91"/>
      <c r="B112" s="91"/>
      <c r="D112" s="22"/>
      <c r="E112" s="23"/>
      <c r="F112" s="36"/>
      <c r="G112" s="36"/>
      <c r="H112" s="36"/>
      <c r="I112" s="36"/>
      <c r="J112" s="36"/>
      <c r="K112" s="336" t="s">
        <v>942</v>
      </c>
      <c r="L112" s="336"/>
      <c r="M112" s="336"/>
      <c r="N112" s="336"/>
      <c r="O112" s="36"/>
      <c r="P112" s="336" t="s">
        <v>943</v>
      </c>
      <c r="Q112" s="336"/>
      <c r="R112" s="336"/>
      <c r="S112" s="336"/>
      <c r="T112" s="36"/>
    </row>
    <row r="113" spans="1:20" ht="17.100000000000001" customHeight="1">
      <c r="A113" s="91"/>
      <c r="B113" s="91"/>
      <c r="D113" s="22"/>
      <c r="E113" s="23"/>
      <c r="F113" s="36"/>
      <c r="G113" s="23" t="s">
        <v>944</v>
      </c>
      <c r="H113" s="36" t="s">
        <v>945</v>
      </c>
      <c r="I113" s="23"/>
      <c r="J113" s="23"/>
      <c r="K113" s="23" t="s">
        <v>946</v>
      </c>
      <c r="L113" s="23" t="s">
        <v>946</v>
      </c>
      <c r="M113" s="23" t="s">
        <v>947</v>
      </c>
      <c r="N113" s="36" t="s">
        <v>464</v>
      </c>
      <c r="O113" s="36"/>
      <c r="P113" s="23" t="s">
        <v>946</v>
      </c>
      <c r="Q113" s="23" t="s">
        <v>946</v>
      </c>
      <c r="R113" s="23" t="s">
        <v>947</v>
      </c>
      <c r="S113" s="23" t="s">
        <v>464</v>
      </c>
      <c r="T113" s="23"/>
    </row>
    <row r="114" spans="1:20" ht="17.100000000000001" customHeight="1">
      <c r="A114" s="91"/>
      <c r="B114" s="91"/>
      <c r="D114" s="22" t="s">
        <v>55</v>
      </c>
      <c r="E114" s="23" t="s">
        <v>280</v>
      </c>
      <c r="F114" s="23"/>
      <c r="G114" s="23" t="s">
        <v>948</v>
      </c>
      <c r="H114" s="23" t="s">
        <v>946</v>
      </c>
      <c r="I114" s="36" t="s">
        <v>944</v>
      </c>
      <c r="J114" s="36"/>
      <c r="K114" s="36" t="s">
        <v>949</v>
      </c>
      <c r="L114" s="36" t="s">
        <v>950</v>
      </c>
      <c r="M114" s="36" t="s">
        <v>946</v>
      </c>
      <c r="N114" s="23" t="s">
        <v>43</v>
      </c>
      <c r="O114" s="23"/>
      <c r="P114" s="36" t="s">
        <v>949</v>
      </c>
      <c r="Q114" s="36" t="s">
        <v>950</v>
      </c>
      <c r="R114" s="36" t="s">
        <v>946</v>
      </c>
      <c r="S114" s="36" t="s">
        <v>43</v>
      </c>
      <c r="T114" s="36" t="s">
        <v>54</v>
      </c>
    </row>
    <row r="115" spans="1:20" ht="17.100000000000001" customHeight="1" thickBot="1">
      <c r="A115" s="91"/>
      <c r="B115" s="91"/>
      <c r="D115" s="24" t="s">
        <v>60</v>
      </c>
      <c r="E115" s="25" t="s">
        <v>949</v>
      </c>
      <c r="F115" s="25"/>
      <c r="G115" s="25" t="s">
        <v>951</v>
      </c>
      <c r="H115" s="25" t="s">
        <v>304</v>
      </c>
      <c r="I115" s="37" t="s">
        <v>304</v>
      </c>
      <c r="J115" s="37"/>
      <c r="K115" s="37" t="s">
        <v>952</v>
      </c>
      <c r="L115" s="37" t="s">
        <v>952</v>
      </c>
      <c r="M115" s="37" t="s">
        <v>952</v>
      </c>
      <c r="N115" s="37" t="s">
        <v>283</v>
      </c>
      <c r="O115" s="37"/>
      <c r="P115" s="37" t="s">
        <v>952</v>
      </c>
      <c r="Q115" s="37" t="s">
        <v>952</v>
      </c>
      <c r="R115" s="37" t="s">
        <v>952</v>
      </c>
      <c r="S115" s="37" t="s">
        <v>283</v>
      </c>
      <c r="T115" s="37" t="s">
        <v>59</v>
      </c>
    </row>
    <row r="116" spans="1:20" ht="17.100000000000001" customHeight="1">
      <c r="A116" s="91"/>
      <c r="B116" s="91"/>
      <c r="D116" s="22">
        <v>1</v>
      </c>
      <c r="E116" s="64" t="s">
        <v>1033</v>
      </c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</row>
    <row r="117" spans="1:20" ht="17.100000000000001" customHeight="1">
      <c r="A117" s="91"/>
      <c r="B117" s="91"/>
      <c r="D117" s="22">
        <v>2</v>
      </c>
      <c r="E117" s="335" t="s">
        <v>1034</v>
      </c>
      <c r="F117" s="335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</row>
    <row r="118" spans="1:20" ht="17.100000000000001" customHeight="1">
      <c r="A118" s="91">
        <v>828</v>
      </c>
      <c r="B118" s="91"/>
      <c r="D118" s="22">
        <v>3</v>
      </c>
      <c r="E118" s="107" t="s">
        <v>1035</v>
      </c>
      <c r="F118" s="32" t="s">
        <v>1036</v>
      </c>
      <c r="G118" s="66">
        <v>18438</v>
      </c>
      <c r="H118" s="66">
        <v>20</v>
      </c>
      <c r="I118" s="66">
        <f t="shared" ref="I118:I134" si="28">+H118*G118</f>
        <v>368760</v>
      </c>
      <c r="J118" s="70"/>
      <c r="K118" s="71">
        <v>11.03</v>
      </c>
      <c r="L118" s="71">
        <v>1.74</v>
      </c>
      <c r="M118" s="74">
        <f t="shared" ref="M118:M134" si="29">+K118+L118</f>
        <v>12.77</v>
      </c>
      <c r="N118" s="67">
        <f t="shared" ref="N118:N134" si="30">+M118*G118</f>
        <v>235453.25999999998</v>
      </c>
      <c r="O118" s="65"/>
      <c r="P118" s="74">
        <f t="shared" ref="P118:Q134" si="31">+K118</f>
        <v>11.03</v>
      </c>
      <c r="Q118" s="74">
        <f t="shared" si="31"/>
        <v>1.74</v>
      </c>
      <c r="R118" s="74">
        <f t="shared" ref="R118:R134" si="32">+P118+Q118</f>
        <v>12.77</v>
      </c>
      <c r="S118" s="98">
        <f t="shared" ref="S118:S134" si="33">+R118*G118</f>
        <v>235453.25999999998</v>
      </c>
      <c r="T118" s="92">
        <f t="shared" ref="T118:T135" si="34">IF(S118=0,0,(S118-N118)/N118)</f>
        <v>0</v>
      </c>
    </row>
    <row r="119" spans="1:20" ht="17.100000000000001" customHeight="1">
      <c r="A119" s="91">
        <v>820</v>
      </c>
      <c r="B119" s="91"/>
      <c r="D119" s="22">
        <v>4</v>
      </c>
      <c r="E119" s="108" t="s">
        <v>1037</v>
      </c>
      <c r="F119" s="32" t="s">
        <v>1038</v>
      </c>
      <c r="G119" s="66">
        <v>27841</v>
      </c>
      <c r="H119" s="66">
        <v>36</v>
      </c>
      <c r="I119" s="66">
        <f t="shared" si="28"/>
        <v>1002276</v>
      </c>
      <c r="J119" s="70"/>
      <c r="K119" s="71">
        <v>16.59</v>
      </c>
      <c r="L119" s="71">
        <v>1.19</v>
      </c>
      <c r="M119" s="74">
        <f t="shared" si="29"/>
        <v>17.78</v>
      </c>
      <c r="N119" s="67">
        <f t="shared" si="30"/>
        <v>495012.98000000004</v>
      </c>
      <c r="O119" s="66"/>
      <c r="P119" s="74">
        <f t="shared" si="31"/>
        <v>16.59</v>
      </c>
      <c r="Q119" s="74">
        <f t="shared" si="31"/>
        <v>1.19</v>
      </c>
      <c r="R119" s="74">
        <f t="shared" si="32"/>
        <v>17.78</v>
      </c>
      <c r="S119" s="98">
        <f t="shared" si="33"/>
        <v>495012.98000000004</v>
      </c>
      <c r="T119" s="92">
        <f t="shared" si="34"/>
        <v>0</v>
      </c>
    </row>
    <row r="120" spans="1:20" ht="17.100000000000001" customHeight="1">
      <c r="A120" s="91">
        <v>821</v>
      </c>
      <c r="B120" s="91"/>
      <c r="D120" s="22">
        <v>5</v>
      </c>
      <c r="E120" s="108" t="s">
        <v>1039</v>
      </c>
      <c r="F120" s="32" t="s">
        <v>1040</v>
      </c>
      <c r="G120" s="66">
        <v>284</v>
      </c>
      <c r="H120" s="66">
        <v>37</v>
      </c>
      <c r="I120" s="66">
        <f t="shared" si="28"/>
        <v>10508</v>
      </c>
      <c r="J120" s="70"/>
      <c r="K120" s="71">
        <v>16.59</v>
      </c>
      <c r="L120" s="71">
        <v>1.2</v>
      </c>
      <c r="M120" s="74">
        <f t="shared" si="29"/>
        <v>17.79</v>
      </c>
      <c r="N120" s="67">
        <f t="shared" si="30"/>
        <v>5052.3599999999997</v>
      </c>
      <c r="O120" s="66"/>
      <c r="P120" s="74">
        <f t="shared" si="31"/>
        <v>16.59</v>
      </c>
      <c r="Q120" s="74">
        <f t="shared" si="31"/>
        <v>1.2</v>
      </c>
      <c r="R120" s="74">
        <f t="shared" si="32"/>
        <v>17.79</v>
      </c>
      <c r="S120" s="98">
        <f t="shared" si="33"/>
        <v>5052.3599999999997</v>
      </c>
      <c r="T120" s="92">
        <f t="shared" si="34"/>
        <v>0</v>
      </c>
    </row>
    <row r="121" spans="1:20" ht="17.100000000000001" customHeight="1">
      <c r="A121" s="91">
        <v>829</v>
      </c>
      <c r="B121" s="91"/>
      <c r="D121" s="22">
        <v>6</v>
      </c>
      <c r="E121" s="108" t="s">
        <v>1041</v>
      </c>
      <c r="F121" s="32" t="s">
        <v>1042</v>
      </c>
      <c r="G121" s="66">
        <v>5139</v>
      </c>
      <c r="H121" s="66">
        <v>55</v>
      </c>
      <c r="I121" s="66">
        <f t="shared" si="28"/>
        <v>282645</v>
      </c>
      <c r="J121" s="70"/>
      <c r="K121" s="71">
        <v>16.53</v>
      </c>
      <c r="L121" s="71">
        <v>2.2599999999999998</v>
      </c>
      <c r="M121" s="74">
        <f t="shared" si="29"/>
        <v>18.79</v>
      </c>
      <c r="N121" s="67">
        <f t="shared" si="30"/>
        <v>96561.81</v>
      </c>
      <c r="O121" s="66"/>
      <c r="P121" s="74">
        <f t="shared" si="31"/>
        <v>16.53</v>
      </c>
      <c r="Q121" s="74">
        <f t="shared" si="31"/>
        <v>2.2599999999999998</v>
      </c>
      <c r="R121" s="74">
        <f t="shared" si="32"/>
        <v>18.79</v>
      </c>
      <c r="S121" s="98">
        <f t="shared" si="33"/>
        <v>96561.81</v>
      </c>
      <c r="T121" s="92">
        <f t="shared" si="34"/>
        <v>0</v>
      </c>
    </row>
    <row r="122" spans="1:20" ht="17.100000000000001" customHeight="1">
      <c r="A122" s="91">
        <v>822</v>
      </c>
      <c r="B122" s="91"/>
      <c r="D122" s="22">
        <v>7</v>
      </c>
      <c r="E122" s="108" t="s">
        <v>1043</v>
      </c>
      <c r="F122" s="32" t="s">
        <v>1044</v>
      </c>
      <c r="G122" s="66">
        <v>391</v>
      </c>
      <c r="H122" s="66">
        <v>69</v>
      </c>
      <c r="I122" s="66">
        <f t="shared" si="28"/>
        <v>26979</v>
      </c>
      <c r="J122" s="70"/>
      <c r="K122" s="71">
        <v>20.97</v>
      </c>
      <c r="L122" s="71">
        <v>1.26</v>
      </c>
      <c r="M122" s="74">
        <f t="shared" si="29"/>
        <v>22.23</v>
      </c>
      <c r="N122" s="67">
        <f t="shared" si="30"/>
        <v>8691.93</v>
      </c>
      <c r="O122" s="66"/>
      <c r="P122" s="74">
        <f t="shared" si="31"/>
        <v>20.97</v>
      </c>
      <c r="Q122" s="74">
        <f t="shared" si="31"/>
        <v>1.26</v>
      </c>
      <c r="R122" s="74">
        <f t="shared" si="32"/>
        <v>22.23</v>
      </c>
      <c r="S122" s="98">
        <f t="shared" si="33"/>
        <v>8691.93</v>
      </c>
      <c r="T122" s="92">
        <f t="shared" si="34"/>
        <v>0</v>
      </c>
    </row>
    <row r="123" spans="1:20" ht="17.100000000000001" customHeight="1">
      <c r="A123" s="91">
        <v>823</v>
      </c>
      <c r="B123" s="91"/>
      <c r="D123" s="22">
        <v>8</v>
      </c>
      <c r="E123" s="108" t="s">
        <v>1045</v>
      </c>
      <c r="F123" s="32" t="s">
        <v>1046</v>
      </c>
      <c r="G123" s="66">
        <v>24904</v>
      </c>
      <c r="H123" s="66">
        <v>72</v>
      </c>
      <c r="I123" s="66">
        <f t="shared" si="28"/>
        <v>1793088</v>
      </c>
      <c r="J123" s="70"/>
      <c r="K123" s="71">
        <v>24.17</v>
      </c>
      <c r="L123" s="71">
        <v>1.38</v>
      </c>
      <c r="M123" s="74">
        <f t="shared" si="29"/>
        <v>25.55</v>
      </c>
      <c r="N123" s="67">
        <f t="shared" si="30"/>
        <v>636297.20000000007</v>
      </c>
      <c r="O123" s="66"/>
      <c r="P123" s="74">
        <f t="shared" si="31"/>
        <v>24.17</v>
      </c>
      <c r="Q123" s="74">
        <f t="shared" si="31"/>
        <v>1.38</v>
      </c>
      <c r="R123" s="74">
        <f t="shared" si="32"/>
        <v>25.55</v>
      </c>
      <c r="S123" s="98">
        <f t="shared" si="33"/>
        <v>636297.20000000007</v>
      </c>
      <c r="T123" s="92">
        <f t="shared" si="34"/>
        <v>0</v>
      </c>
    </row>
    <row r="124" spans="1:20" ht="17.100000000000001" customHeight="1">
      <c r="A124" s="91">
        <v>835</v>
      </c>
      <c r="B124" s="91"/>
      <c r="D124" s="22">
        <v>9</v>
      </c>
      <c r="E124" s="108" t="s">
        <v>1047</v>
      </c>
      <c r="F124" s="32" t="s">
        <v>1048</v>
      </c>
      <c r="G124" s="66">
        <v>7792</v>
      </c>
      <c r="H124" s="66">
        <v>21</v>
      </c>
      <c r="I124" s="66">
        <f t="shared" si="28"/>
        <v>163632</v>
      </c>
      <c r="J124" s="70"/>
      <c r="K124" s="71">
        <v>23.77</v>
      </c>
      <c r="L124" s="71">
        <v>2.2799999999999998</v>
      </c>
      <c r="M124" s="74">
        <f t="shared" si="29"/>
        <v>26.05</v>
      </c>
      <c r="N124" s="67">
        <f t="shared" si="30"/>
        <v>202981.6</v>
      </c>
      <c r="O124" s="66"/>
      <c r="P124" s="74">
        <f t="shared" si="31"/>
        <v>23.77</v>
      </c>
      <c r="Q124" s="74">
        <f t="shared" si="31"/>
        <v>2.2799999999999998</v>
      </c>
      <c r="R124" s="74">
        <f t="shared" si="32"/>
        <v>26.05</v>
      </c>
      <c r="S124" s="98">
        <f t="shared" si="33"/>
        <v>202981.6</v>
      </c>
      <c r="T124" s="92">
        <f t="shared" si="34"/>
        <v>0</v>
      </c>
    </row>
    <row r="125" spans="1:20" ht="17.100000000000001" customHeight="1">
      <c r="A125" s="91">
        <v>824</v>
      </c>
      <c r="B125" s="91"/>
      <c r="D125" s="22">
        <v>10</v>
      </c>
      <c r="E125" s="108" t="s">
        <v>1049</v>
      </c>
      <c r="F125" s="32" t="s">
        <v>1050</v>
      </c>
      <c r="G125" s="66">
        <v>38356</v>
      </c>
      <c r="H125" s="66">
        <v>24</v>
      </c>
      <c r="I125" s="66">
        <f t="shared" si="28"/>
        <v>920544</v>
      </c>
      <c r="J125" s="70"/>
      <c r="K125" s="71">
        <v>28.02</v>
      </c>
      <c r="L125" s="71">
        <v>1.54</v>
      </c>
      <c r="M125" s="74">
        <f t="shared" si="29"/>
        <v>29.56</v>
      </c>
      <c r="N125" s="67">
        <f t="shared" si="30"/>
        <v>1133803.3599999999</v>
      </c>
      <c r="O125" s="66"/>
      <c r="P125" s="74">
        <f t="shared" si="31"/>
        <v>28.02</v>
      </c>
      <c r="Q125" s="74">
        <f t="shared" si="31"/>
        <v>1.54</v>
      </c>
      <c r="R125" s="74">
        <f t="shared" si="32"/>
        <v>29.56</v>
      </c>
      <c r="S125" s="98">
        <f t="shared" si="33"/>
        <v>1133803.3599999999</v>
      </c>
      <c r="T125" s="92">
        <f t="shared" si="34"/>
        <v>0</v>
      </c>
    </row>
    <row r="126" spans="1:20" ht="17.100000000000001" customHeight="1">
      <c r="A126" s="91">
        <v>825</v>
      </c>
      <c r="B126" s="91"/>
      <c r="D126" s="22">
        <v>11</v>
      </c>
      <c r="E126" s="108" t="s">
        <v>1051</v>
      </c>
      <c r="F126" s="32" t="s">
        <v>1052</v>
      </c>
      <c r="G126" s="66">
        <v>13109</v>
      </c>
      <c r="H126" s="66">
        <v>35</v>
      </c>
      <c r="I126" s="66">
        <f t="shared" si="28"/>
        <v>458815</v>
      </c>
      <c r="J126" s="70"/>
      <c r="K126" s="71">
        <v>29.51</v>
      </c>
      <c r="L126" s="71">
        <v>1.56</v>
      </c>
      <c r="M126" s="74">
        <f t="shared" si="29"/>
        <v>31.07</v>
      </c>
      <c r="N126" s="67">
        <f t="shared" si="30"/>
        <v>407296.63</v>
      </c>
      <c r="O126" s="66"/>
      <c r="P126" s="74">
        <f t="shared" si="31"/>
        <v>29.51</v>
      </c>
      <c r="Q126" s="74">
        <f t="shared" si="31"/>
        <v>1.56</v>
      </c>
      <c r="R126" s="74">
        <f t="shared" si="32"/>
        <v>31.07</v>
      </c>
      <c r="S126" s="98">
        <f t="shared" si="33"/>
        <v>407296.63</v>
      </c>
      <c r="T126" s="92">
        <f t="shared" si="34"/>
        <v>0</v>
      </c>
    </row>
    <row r="127" spans="1:20" ht="17.100000000000001" customHeight="1">
      <c r="A127" s="91">
        <v>836</v>
      </c>
      <c r="B127" s="91"/>
      <c r="D127" s="22">
        <v>12</v>
      </c>
      <c r="E127" s="108" t="s">
        <v>1053</v>
      </c>
      <c r="F127" s="32" t="s">
        <v>960</v>
      </c>
      <c r="G127" s="66">
        <v>2049</v>
      </c>
      <c r="H127" s="66">
        <v>35</v>
      </c>
      <c r="I127" s="66">
        <f t="shared" si="28"/>
        <v>71715</v>
      </c>
      <c r="J127" s="70"/>
      <c r="K127" s="71">
        <v>24.02</v>
      </c>
      <c r="L127" s="71">
        <v>2.2799999999999998</v>
      </c>
      <c r="M127" s="74">
        <f t="shared" si="29"/>
        <v>26.3</v>
      </c>
      <c r="N127" s="67">
        <f t="shared" si="30"/>
        <v>53888.700000000004</v>
      </c>
      <c r="O127" s="66"/>
      <c r="P127" s="74">
        <f t="shared" si="31"/>
        <v>24.02</v>
      </c>
      <c r="Q127" s="74">
        <f t="shared" si="31"/>
        <v>2.2799999999999998</v>
      </c>
      <c r="R127" s="74">
        <f t="shared" si="32"/>
        <v>26.3</v>
      </c>
      <c r="S127" s="98">
        <f t="shared" si="33"/>
        <v>53888.700000000004</v>
      </c>
      <c r="T127" s="92">
        <f t="shared" si="34"/>
        <v>0</v>
      </c>
    </row>
    <row r="128" spans="1:20" ht="17.100000000000001" customHeight="1">
      <c r="A128" s="91">
        <v>830</v>
      </c>
      <c r="B128" s="91"/>
      <c r="D128" s="22">
        <v>13</v>
      </c>
      <c r="E128" s="108" t="s">
        <v>1054</v>
      </c>
      <c r="F128" s="32" t="s">
        <v>1055</v>
      </c>
      <c r="G128" s="66">
        <v>2013</v>
      </c>
      <c r="H128" s="66">
        <v>53</v>
      </c>
      <c r="I128" s="66">
        <f t="shared" si="28"/>
        <v>106689</v>
      </c>
      <c r="J128" s="70"/>
      <c r="K128" s="71">
        <v>21.37</v>
      </c>
      <c r="L128" s="71">
        <v>2.5099999999999998</v>
      </c>
      <c r="M128" s="74">
        <f t="shared" si="29"/>
        <v>23.880000000000003</v>
      </c>
      <c r="N128" s="67">
        <f t="shared" si="30"/>
        <v>48070.44</v>
      </c>
      <c r="O128" s="66"/>
      <c r="P128" s="74">
        <f t="shared" si="31"/>
        <v>21.37</v>
      </c>
      <c r="Q128" s="74">
        <f t="shared" si="31"/>
        <v>2.5099999999999998</v>
      </c>
      <c r="R128" s="74">
        <f t="shared" si="32"/>
        <v>23.880000000000003</v>
      </c>
      <c r="S128" s="98">
        <f t="shared" si="33"/>
        <v>48070.44</v>
      </c>
      <c r="T128" s="92">
        <f t="shared" si="34"/>
        <v>0</v>
      </c>
    </row>
    <row r="129" spans="1:20" ht="17.100000000000001" customHeight="1">
      <c r="A129" s="91">
        <v>826</v>
      </c>
      <c r="B129" s="91"/>
      <c r="D129" s="22">
        <v>14</v>
      </c>
      <c r="E129" s="108" t="s">
        <v>1056</v>
      </c>
      <c r="F129" s="32" t="s">
        <v>1057</v>
      </c>
      <c r="G129" s="66">
        <v>8301</v>
      </c>
      <c r="H129" s="66">
        <v>71</v>
      </c>
      <c r="I129" s="66">
        <f t="shared" si="28"/>
        <v>589371</v>
      </c>
      <c r="J129" s="22"/>
      <c r="K129" s="71">
        <v>27.49</v>
      </c>
      <c r="L129" s="71">
        <v>1.41</v>
      </c>
      <c r="M129" s="74">
        <f t="shared" si="29"/>
        <v>28.9</v>
      </c>
      <c r="N129" s="67">
        <f t="shared" si="30"/>
        <v>239898.9</v>
      </c>
      <c r="O129" s="22"/>
      <c r="P129" s="74">
        <f t="shared" si="31"/>
        <v>27.49</v>
      </c>
      <c r="Q129" s="74">
        <f t="shared" si="31"/>
        <v>1.41</v>
      </c>
      <c r="R129" s="74">
        <f t="shared" si="32"/>
        <v>28.9</v>
      </c>
      <c r="S129" s="98">
        <f t="shared" si="33"/>
        <v>239898.9</v>
      </c>
      <c r="T129" s="92">
        <f t="shared" si="34"/>
        <v>0</v>
      </c>
    </row>
    <row r="130" spans="1:20" ht="17.100000000000001" customHeight="1">
      <c r="A130" s="91">
        <v>827</v>
      </c>
      <c r="B130" s="91"/>
      <c r="D130" s="22">
        <v>15</v>
      </c>
      <c r="E130" s="108" t="s">
        <v>1058</v>
      </c>
      <c r="F130" s="32" t="s">
        <v>1059</v>
      </c>
      <c r="G130" s="66">
        <v>67227</v>
      </c>
      <c r="H130" s="66">
        <v>108</v>
      </c>
      <c r="I130" s="66">
        <f t="shared" si="28"/>
        <v>7260516</v>
      </c>
      <c r="J130" s="22"/>
      <c r="K130" s="71">
        <v>29.65</v>
      </c>
      <c r="L130" s="71">
        <v>1.55</v>
      </c>
      <c r="M130" s="74">
        <f t="shared" si="29"/>
        <v>31.2</v>
      </c>
      <c r="N130" s="67">
        <f t="shared" si="30"/>
        <v>2097482.4</v>
      </c>
      <c r="O130" s="22"/>
      <c r="P130" s="74">
        <f t="shared" si="31"/>
        <v>29.65</v>
      </c>
      <c r="Q130" s="74">
        <f t="shared" si="31"/>
        <v>1.55</v>
      </c>
      <c r="R130" s="74">
        <f t="shared" si="32"/>
        <v>31.2</v>
      </c>
      <c r="S130" s="98">
        <f t="shared" si="33"/>
        <v>2097482.4</v>
      </c>
      <c r="T130" s="92">
        <f t="shared" si="34"/>
        <v>0</v>
      </c>
    </row>
    <row r="131" spans="1:20" ht="17.100000000000001" customHeight="1">
      <c r="A131" s="91">
        <v>831</v>
      </c>
      <c r="B131" s="91"/>
      <c r="D131" s="22">
        <v>16</v>
      </c>
      <c r="E131" s="108" t="s">
        <v>1060</v>
      </c>
      <c r="F131" s="32" t="s">
        <v>1061</v>
      </c>
      <c r="G131" s="66">
        <v>2511</v>
      </c>
      <c r="H131" s="66">
        <v>83</v>
      </c>
      <c r="I131" s="66">
        <f t="shared" si="28"/>
        <v>208413</v>
      </c>
      <c r="J131" s="66"/>
      <c r="K131" s="71">
        <v>22.88</v>
      </c>
      <c r="L131" s="71">
        <v>3.45</v>
      </c>
      <c r="M131" s="74">
        <f t="shared" si="29"/>
        <v>26.33</v>
      </c>
      <c r="N131" s="67">
        <f t="shared" si="30"/>
        <v>66114.62999999999</v>
      </c>
      <c r="O131" s="66"/>
      <c r="P131" s="74">
        <f t="shared" si="31"/>
        <v>22.88</v>
      </c>
      <c r="Q131" s="74">
        <f t="shared" si="31"/>
        <v>3.45</v>
      </c>
      <c r="R131" s="74">
        <f t="shared" si="32"/>
        <v>26.33</v>
      </c>
      <c r="S131" s="98">
        <f t="shared" si="33"/>
        <v>66114.62999999999</v>
      </c>
      <c r="T131" s="92">
        <f t="shared" si="34"/>
        <v>0</v>
      </c>
    </row>
    <row r="132" spans="1:20" ht="17.100000000000001" customHeight="1">
      <c r="A132" s="91">
        <v>832</v>
      </c>
      <c r="B132" s="91"/>
      <c r="D132" s="22">
        <v>17</v>
      </c>
      <c r="E132" s="108" t="s">
        <v>1062</v>
      </c>
      <c r="F132" s="32" t="s">
        <v>1063</v>
      </c>
      <c r="G132" s="66">
        <v>15193</v>
      </c>
      <c r="H132" s="66">
        <v>126</v>
      </c>
      <c r="I132" s="66">
        <f t="shared" si="28"/>
        <v>1914318</v>
      </c>
      <c r="J132" s="66"/>
      <c r="K132" s="71">
        <v>27.56</v>
      </c>
      <c r="L132" s="71">
        <v>4.0999999999999996</v>
      </c>
      <c r="M132" s="74">
        <f t="shared" si="29"/>
        <v>31.659999999999997</v>
      </c>
      <c r="N132" s="67">
        <f t="shared" si="30"/>
        <v>481010.37999999995</v>
      </c>
      <c r="O132" s="66"/>
      <c r="P132" s="74">
        <f t="shared" si="31"/>
        <v>27.56</v>
      </c>
      <c r="Q132" s="74">
        <f t="shared" si="31"/>
        <v>4.0999999999999996</v>
      </c>
      <c r="R132" s="74">
        <f t="shared" si="32"/>
        <v>31.659999999999997</v>
      </c>
      <c r="S132" s="98">
        <f t="shared" si="33"/>
        <v>481010.37999999995</v>
      </c>
      <c r="T132" s="92">
        <f t="shared" si="34"/>
        <v>0</v>
      </c>
    </row>
    <row r="133" spans="1:20" ht="17.100000000000001" customHeight="1">
      <c r="A133" s="91">
        <v>833</v>
      </c>
      <c r="B133" s="91"/>
      <c r="D133" s="22">
        <v>18</v>
      </c>
      <c r="E133" s="108" t="s">
        <v>1064</v>
      </c>
      <c r="F133" s="32" t="s">
        <v>1065</v>
      </c>
      <c r="G133" s="66">
        <v>663</v>
      </c>
      <c r="H133" s="66">
        <v>86</v>
      </c>
      <c r="I133" s="66">
        <f t="shared" si="28"/>
        <v>57018</v>
      </c>
      <c r="J133" s="66"/>
      <c r="K133" s="71">
        <v>21.16</v>
      </c>
      <c r="L133" s="71">
        <v>3.04</v>
      </c>
      <c r="M133" s="74">
        <f t="shared" si="29"/>
        <v>24.2</v>
      </c>
      <c r="N133" s="67">
        <f t="shared" si="30"/>
        <v>16044.6</v>
      </c>
      <c r="O133" s="66"/>
      <c r="P133" s="74">
        <f t="shared" si="31"/>
        <v>21.16</v>
      </c>
      <c r="Q133" s="74">
        <f t="shared" si="31"/>
        <v>3.04</v>
      </c>
      <c r="R133" s="74">
        <f t="shared" si="32"/>
        <v>24.2</v>
      </c>
      <c r="S133" s="98">
        <f t="shared" si="33"/>
        <v>16044.6</v>
      </c>
      <c r="T133" s="92">
        <f t="shared" si="34"/>
        <v>0</v>
      </c>
    </row>
    <row r="134" spans="1:20" ht="17.100000000000001" customHeight="1">
      <c r="A134" s="91">
        <v>834</v>
      </c>
      <c r="B134" s="91"/>
      <c r="D134" s="22">
        <v>19</v>
      </c>
      <c r="E134" s="108" t="s">
        <v>1066</v>
      </c>
      <c r="F134" s="32" t="s">
        <v>1067</v>
      </c>
      <c r="G134" s="66">
        <v>225</v>
      </c>
      <c r="H134" s="66">
        <v>115</v>
      </c>
      <c r="I134" s="66">
        <f t="shared" si="28"/>
        <v>25875</v>
      </c>
      <c r="J134" s="66"/>
      <c r="K134" s="71">
        <v>23.47</v>
      </c>
      <c r="L134" s="71">
        <v>3.6</v>
      </c>
      <c r="M134" s="74">
        <f t="shared" si="29"/>
        <v>27.07</v>
      </c>
      <c r="N134" s="67">
        <f t="shared" si="30"/>
        <v>6090.75</v>
      </c>
      <c r="O134" s="66"/>
      <c r="P134" s="74">
        <f t="shared" si="31"/>
        <v>23.47</v>
      </c>
      <c r="Q134" s="74">
        <f t="shared" si="31"/>
        <v>3.6</v>
      </c>
      <c r="R134" s="74">
        <f t="shared" si="32"/>
        <v>27.07</v>
      </c>
      <c r="S134" s="98">
        <f t="shared" si="33"/>
        <v>6090.75</v>
      </c>
      <c r="T134" s="92">
        <f t="shared" si="34"/>
        <v>0</v>
      </c>
    </row>
    <row r="135" spans="1:20" ht="17.100000000000001" customHeight="1">
      <c r="A135" s="91"/>
      <c r="B135" s="91"/>
      <c r="D135" s="22">
        <v>20</v>
      </c>
      <c r="E135" s="31" t="s">
        <v>978</v>
      </c>
      <c r="F135" s="22"/>
      <c r="G135" s="66"/>
      <c r="H135" s="66"/>
      <c r="I135" s="70"/>
      <c r="J135" s="70"/>
      <c r="K135" s="94"/>
      <c r="L135" s="94"/>
      <c r="M135" s="71"/>
      <c r="N135" s="67">
        <f>SUM(N118:N134)</f>
        <v>6229751.9299999997</v>
      </c>
      <c r="O135" s="66"/>
      <c r="P135" s="71"/>
      <c r="Q135" s="71"/>
      <c r="R135" s="71"/>
      <c r="S135" s="67">
        <f>SUM(S118:S134)</f>
        <v>6229751.9299999997</v>
      </c>
      <c r="T135" s="92">
        <f t="shared" si="34"/>
        <v>0</v>
      </c>
    </row>
    <row r="136" spans="1:20" ht="17.100000000000001" customHeight="1">
      <c r="A136" s="91"/>
      <c r="B136" s="91"/>
      <c r="D136" s="22">
        <v>21</v>
      </c>
      <c r="E136" s="335" t="s">
        <v>1068</v>
      </c>
      <c r="F136" s="335"/>
      <c r="G136" s="66"/>
      <c r="H136" s="66"/>
      <c r="I136" s="70"/>
      <c r="J136" s="70"/>
      <c r="K136" s="94"/>
      <c r="L136" s="94"/>
      <c r="M136" s="71"/>
      <c r="N136" s="80"/>
      <c r="O136" s="66"/>
      <c r="P136" s="71"/>
      <c r="Q136" s="71"/>
      <c r="R136" s="71"/>
      <c r="S136" s="80"/>
      <c r="T136" s="109"/>
    </row>
    <row r="137" spans="1:20" ht="17.100000000000001" customHeight="1">
      <c r="A137" s="91">
        <v>848</v>
      </c>
      <c r="B137" s="91"/>
      <c r="D137" s="22">
        <v>22</v>
      </c>
      <c r="E137" s="107" t="s">
        <v>1069</v>
      </c>
      <c r="F137" s="32" t="s">
        <v>1036</v>
      </c>
      <c r="G137" s="66">
        <v>12</v>
      </c>
      <c r="H137" s="66">
        <v>10</v>
      </c>
      <c r="I137" s="66">
        <f t="shared" ref="I137:I153" si="35">+H137*G137</f>
        <v>120</v>
      </c>
      <c r="K137" s="71">
        <v>11.03</v>
      </c>
      <c r="L137" s="71">
        <v>1.74</v>
      </c>
      <c r="M137" s="74">
        <f t="shared" ref="M137:M152" si="36">+K137+L137</f>
        <v>12.77</v>
      </c>
      <c r="N137" s="67">
        <f t="shared" ref="N137:N153" si="37">+M137*G137</f>
        <v>153.24</v>
      </c>
      <c r="P137" s="74">
        <f t="shared" ref="P137:Q153" si="38">+K137</f>
        <v>11.03</v>
      </c>
      <c r="Q137" s="74">
        <f t="shared" si="38"/>
        <v>1.74</v>
      </c>
      <c r="R137" s="74">
        <f t="shared" ref="R137:R153" si="39">+P137+Q137</f>
        <v>12.77</v>
      </c>
      <c r="S137" s="98">
        <f t="shared" ref="S137:S153" si="40">+R137*G137</f>
        <v>153.24</v>
      </c>
      <c r="T137" s="92">
        <f t="shared" ref="T137:T154" si="41">IF(S137=0,0,(S137-N137)/N137)</f>
        <v>0</v>
      </c>
    </row>
    <row r="138" spans="1:20" ht="17.100000000000001" customHeight="1">
      <c r="A138" s="91">
        <v>840</v>
      </c>
      <c r="B138" s="91"/>
      <c r="D138" s="22">
        <v>23</v>
      </c>
      <c r="E138" s="108" t="s">
        <v>1070</v>
      </c>
      <c r="F138" s="32" t="s">
        <v>1038</v>
      </c>
      <c r="G138" s="66">
        <v>0</v>
      </c>
      <c r="H138" s="66">
        <v>18</v>
      </c>
      <c r="I138" s="93">
        <f t="shared" si="35"/>
        <v>0</v>
      </c>
      <c r="J138" s="70"/>
      <c r="K138" s="71">
        <v>16.59</v>
      </c>
      <c r="L138" s="71">
        <v>1.19</v>
      </c>
      <c r="M138" s="74">
        <f t="shared" si="36"/>
        <v>17.78</v>
      </c>
      <c r="N138" s="67">
        <f t="shared" si="37"/>
        <v>0</v>
      </c>
      <c r="O138" s="66"/>
      <c r="P138" s="74">
        <f t="shared" si="38"/>
        <v>16.59</v>
      </c>
      <c r="Q138" s="74">
        <f t="shared" si="38"/>
        <v>1.19</v>
      </c>
      <c r="R138" s="74">
        <f t="shared" si="39"/>
        <v>17.78</v>
      </c>
      <c r="S138" s="98">
        <f t="shared" si="40"/>
        <v>0</v>
      </c>
      <c r="T138" s="92">
        <f t="shared" si="41"/>
        <v>0</v>
      </c>
    </row>
    <row r="139" spans="1:20" ht="17.100000000000001" customHeight="1">
      <c r="A139" s="91">
        <v>841</v>
      </c>
      <c r="B139" s="91"/>
      <c r="D139" s="22">
        <v>24</v>
      </c>
      <c r="E139" s="108" t="s">
        <v>1071</v>
      </c>
      <c r="F139" s="32" t="s">
        <v>1040</v>
      </c>
      <c r="G139" s="66">
        <v>47</v>
      </c>
      <c r="H139" s="66">
        <v>19</v>
      </c>
      <c r="I139" s="66">
        <f t="shared" si="35"/>
        <v>893</v>
      </c>
      <c r="J139" s="70"/>
      <c r="K139" s="71">
        <v>16.59</v>
      </c>
      <c r="L139" s="71">
        <v>1.2</v>
      </c>
      <c r="M139" s="74">
        <f t="shared" si="36"/>
        <v>17.79</v>
      </c>
      <c r="N139" s="67">
        <f t="shared" si="37"/>
        <v>836.13</v>
      </c>
      <c r="O139" s="66"/>
      <c r="P139" s="74">
        <f t="shared" si="38"/>
        <v>16.59</v>
      </c>
      <c r="Q139" s="74">
        <f t="shared" si="38"/>
        <v>1.2</v>
      </c>
      <c r="R139" s="74">
        <f t="shared" si="39"/>
        <v>17.79</v>
      </c>
      <c r="S139" s="98">
        <f t="shared" si="40"/>
        <v>836.13</v>
      </c>
      <c r="T139" s="92">
        <f t="shared" si="41"/>
        <v>0</v>
      </c>
    </row>
    <row r="140" spans="1:20" ht="17.100000000000001" customHeight="1">
      <c r="A140" s="91">
        <v>849</v>
      </c>
      <c r="B140" s="91"/>
      <c r="D140" s="22">
        <v>25</v>
      </c>
      <c r="E140" s="108" t="s">
        <v>1072</v>
      </c>
      <c r="F140" s="32" t="s">
        <v>1042</v>
      </c>
      <c r="G140" s="66">
        <v>0</v>
      </c>
      <c r="H140" s="66">
        <v>27</v>
      </c>
      <c r="I140" s="93">
        <f t="shared" si="35"/>
        <v>0</v>
      </c>
      <c r="J140" s="70"/>
      <c r="K140" s="71">
        <v>16.53</v>
      </c>
      <c r="L140" s="71">
        <v>2.2599999999999998</v>
      </c>
      <c r="M140" s="74">
        <f t="shared" si="36"/>
        <v>18.79</v>
      </c>
      <c r="N140" s="67">
        <f t="shared" si="37"/>
        <v>0</v>
      </c>
      <c r="O140" s="66"/>
      <c r="P140" s="74">
        <f t="shared" si="38"/>
        <v>16.53</v>
      </c>
      <c r="Q140" s="74">
        <f t="shared" si="38"/>
        <v>2.2599999999999998</v>
      </c>
      <c r="R140" s="74">
        <f t="shared" si="39"/>
        <v>18.79</v>
      </c>
      <c r="S140" s="98">
        <f t="shared" si="40"/>
        <v>0</v>
      </c>
      <c r="T140" s="92">
        <f t="shared" si="41"/>
        <v>0</v>
      </c>
    </row>
    <row r="141" spans="1:20" ht="17.100000000000001" customHeight="1">
      <c r="A141" s="91">
        <v>842</v>
      </c>
      <c r="B141" s="91"/>
      <c r="D141" s="22">
        <v>26</v>
      </c>
      <c r="E141" s="108" t="s">
        <v>1073</v>
      </c>
      <c r="F141" s="32" t="s">
        <v>1044</v>
      </c>
      <c r="G141" s="66">
        <v>0</v>
      </c>
      <c r="H141" s="66">
        <v>34</v>
      </c>
      <c r="I141" s="93">
        <f t="shared" si="35"/>
        <v>0</v>
      </c>
      <c r="J141" s="22"/>
      <c r="K141" s="71">
        <v>20.97</v>
      </c>
      <c r="L141" s="71">
        <v>1.26</v>
      </c>
      <c r="M141" s="74">
        <f t="shared" si="36"/>
        <v>22.23</v>
      </c>
      <c r="N141" s="67">
        <f t="shared" si="37"/>
        <v>0</v>
      </c>
      <c r="O141" s="22"/>
      <c r="P141" s="74">
        <f t="shared" si="38"/>
        <v>20.97</v>
      </c>
      <c r="Q141" s="74">
        <f t="shared" si="38"/>
        <v>1.26</v>
      </c>
      <c r="R141" s="74">
        <f t="shared" si="39"/>
        <v>22.23</v>
      </c>
      <c r="S141" s="98">
        <f t="shared" si="40"/>
        <v>0</v>
      </c>
      <c r="T141" s="92">
        <f t="shared" si="41"/>
        <v>0</v>
      </c>
    </row>
    <row r="142" spans="1:20" ht="17.100000000000001" customHeight="1">
      <c r="A142" s="91">
        <v>843</v>
      </c>
      <c r="B142" s="91"/>
      <c r="D142" s="22">
        <v>27</v>
      </c>
      <c r="E142" s="108" t="s">
        <v>1074</v>
      </c>
      <c r="F142" s="32" t="s">
        <v>1046</v>
      </c>
      <c r="G142" s="66">
        <v>0</v>
      </c>
      <c r="H142" s="66">
        <v>36</v>
      </c>
      <c r="I142" s="93">
        <f t="shared" si="35"/>
        <v>0</v>
      </c>
      <c r="J142" s="66"/>
      <c r="K142" s="71">
        <v>24.17</v>
      </c>
      <c r="L142" s="71">
        <v>1.38</v>
      </c>
      <c r="M142" s="74">
        <f t="shared" si="36"/>
        <v>25.55</v>
      </c>
      <c r="N142" s="67">
        <f t="shared" si="37"/>
        <v>0</v>
      </c>
      <c r="O142" s="66"/>
      <c r="P142" s="74">
        <f t="shared" si="38"/>
        <v>24.17</v>
      </c>
      <c r="Q142" s="74">
        <f t="shared" si="38"/>
        <v>1.38</v>
      </c>
      <c r="R142" s="74">
        <f t="shared" si="39"/>
        <v>25.55</v>
      </c>
      <c r="S142" s="98">
        <f t="shared" si="40"/>
        <v>0</v>
      </c>
      <c r="T142" s="92">
        <f t="shared" si="41"/>
        <v>0</v>
      </c>
    </row>
    <row r="143" spans="1:20" ht="17.100000000000001" customHeight="1">
      <c r="A143" s="91">
        <v>855</v>
      </c>
      <c r="B143" s="91"/>
      <c r="D143" s="22">
        <v>28</v>
      </c>
      <c r="E143" s="108" t="s">
        <v>1075</v>
      </c>
      <c r="F143" s="32" t="s">
        <v>1048</v>
      </c>
      <c r="G143" s="66">
        <v>0</v>
      </c>
      <c r="H143" s="66">
        <v>11</v>
      </c>
      <c r="I143" s="93">
        <f t="shared" si="35"/>
        <v>0</v>
      </c>
      <c r="J143" s="66"/>
      <c r="K143" s="71">
        <v>23.77</v>
      </c>
      <c r="L143" s="71">
        <v>2.2799999999999998</v>
      </c>
      <c r="M143" s="74">
        <f t="shared" si="36"/>
        <v>26.05</v>
      </c>
      <c r="N143" s="67">
        <f t="shared" si="37"/>
        <v>0</v>
      </c>
      <c r="O143" s="66"/>
      <c r="P143" s="74">
        <f t="shared" si="38"/>
        <v>23.77</v>
      </c>
      <c r="Q143" s="74">
        <f t="shared" si="38"/>
        <v>2.2799999999999998</v>
      </c>
      <c r="R143" s="74">
        <f t="shared" si="39"/>
        <v>26.05</v>
      </c>
      <c r="S143" s="98">
        <f t="shared" si="40"/>
        <v>0</v>
      </c>
      <c r="T143" s="92">
        <f t="shared" si="41"/>
        <v>0</v>
      </c>
    </row>
    <row r="144" spans="1:20" ht="17.100000000000001" customHeight="1">
      <c r="A144" s="91">
        <v>844</v>
      </c>
      <c r="B144" s="91"/>
      <c r="D144" s="22">
        <v>29</v>
      </c>
      <c r="E144" s="108" t="s">
        <v>1076</v>
      </c>
      <c r="F144" s="32" t="s">
        <v>1050</v>
      </c>
      <c r="G144" s="66">
        <v>47</v>
      </c>
      <c r="H144" s="66">
        <v>12</v>
      </c>
      <c r="I144" s="66">
        <f t="shared" si="35"/>
        <v>564</v>
      </c>
      <c r="J144" s="66"/>
      <c r="K144" s="71">
        <v>28.02</v>
      </c>
      <c r="L144" s="71">
        <v>1.54</v>
      </c>
      <c r="M144" s="74">
        <f t="shared" si="36"/>
        <v>29.56</v>
      </c>
      <c r="N144" s="67">
        <f t="shared" si="37"/>
        <v>1389.32</v>
      </c>
      <c r="O144" s="66"/>
      <c r="P144" s="74">
        <f t="shared" si="38"/>
        <v>28.02</v>
      </c>
      <c r="Q144" s="74">
        <f t="shared" si="38"/>
        <v>1.54</v>
      </c>
      <c r="R144" s="74">
        <f t="shared" si="39"/>
        <v>29.56</v>
      </c>
      <c r="S144" s="98">
        <f t="shared" si="40"/>
        <v>1389.32</v>
      </c>
      <c r="T144" s="92">
        <f t="shared" si="41"/>
        <v>0</v>
      </c>
    </row>
    <row r="145" spans="1:20" ht="17.100000000000001" customHeight="1">
      <c r="A145" s="91">
        <v>845</v>
      </c>
      <c r="B145" s="91"/>
      <c r="D145" s="22">
        <v>30</v>
      </c>
      <c r="E145" s="108" t="s">
        <v>1077</v>
      </c>
      <c r="F145" s="32" t="s">
        <v>1052</v>
      </c>
      <c r="G145" s="66">
        <v>0</v>
      </c>
      <c r="H145" s="66">
        <v>17</v>
      </c>
      <c r="I145" s="93">
        <f t="shared" si="35"/>
        <v>0</v>
      </c>
      <c r="J145" s="66"/>
      <c r="K145" s="71">
        <v>29.51</v>
      </c>
      <c r="L145" s="71">
        <v>1.56</v>
      </c>
      <c r="M145" s="74">
        <f t="shared" si="36"/>
        <v>31.07</v>
      </c>
      <c r="N145" s="67">
        <f t="shared" si="37"/>
        <v>0</v>
      </c>
      <c r="O145" s="66"/>
      <c r="P145" s="74">
        <f t="shared" si="38"/>
        <v>29.51</v>
      </c>
      <c r="Q145" s="74">
        <f t="shared" si="38"/>
        <v>1.56</v>
      </c>
      <c r="R145" s="74">
        <f t="shared" si="39"/>
        <v>31.07</v>
      </c>
      <c r="S145" s="98">
        <f t="shared" si="40"/>
        <v>0</v>
      </c>
      <c r="T145" s="92">
        <f t="shared" si="41"/>
        <v>0</v>
      </c>
    </row>
    <row r="146" spans="1:20" ht="17.100000000000001" customHeight="1">
      <c r="A146" s="91">
        <v>856</v>
      </c>
      <c r="B146" s="91"/>
      <c r="D146" s="22">
        <v>31</v>
      </c>
      <c r="E146" s="108" t="s">
        <v>1078</v>
      </c>
      <c r="F146" s="32" t="s">
        <v>960</v>
      </c>
      <c r="G146" s="66">
        <v>0</v>
      </c>
      <c r="H146" s="66">
        <v>18</v>
      </c>
      <c r="I146" s="93">
        <f t="shared" si="35"/>
        <v>0</v>
      </c>
      <c r="J146" s="66"/>
      <c r="K146" s="71">
        <v>24.02</v>
      </c>
      <c r="L146" s="71">
        <v>2.2799999999999998</v>
      </c>
      <c r="M146" s="74">
        <f t="shared" si="36"/>
        <v>26.3</v>
      </c>
      <c r="N146" s="67">
        <f t="shared" si="37"/>
        <v>0</v>
      </c>
      <c r="O146" s="66"/>
      <c r="P146" s="74">
        <f t="shared" si="38"/>
        <v>24.02</v>
      </c>
      <c r="Q146" s="74">
        <f t="shared" si="38"/>
        <v>2.2799999999999998</v>
      </c>
      <c r="R146" s="74">
        <f t="shared" si="39"/>
        <v>26.3</v>
      </c>
      <c r="S146" s="98">
        <f t="shared" si="40"/>
        <v>0</v>
      </c>
      <c r="T146" s="92">
        <f t="shared" si="41"/>
        <v>0</v>
      </c>
    </row>
    <row r="147" spans="1:20" ht="17.100000000000001" customHeight="1">
      <c r="A147" s="91">
        <v>850</v>
      </c>
      <c r="B147" s="91"/>
      <c r="D147" s="22">
        <v>32</v>
      </c>
      <c r="E147" s="108" t="s">
        <v>1079</v>
      </c>
      <c r="F147" s="32" t="s">
        <v>1055</v>
      </c>
      <c r="G147" s="66">
        <v>0</v>
      </c>
      <c r="H147" s="66">
        <v>27</v>
      </c>
      <c r="I147" s="93">
        <f t="shared" si="35"/>
        <v>0</v>
      </c>
      <c r="J147" s="66"/>
      <c r="K147" s="71">
        <v>21.37</v>
      </c>
      <c r="L147" s="71">
        <v>2.5099999999999998</v>
      </c>
      <c r="M147" s="74">
        <f t="shared" si="36"/>
        <v>23.880000000000003</v>
      </c>
      <c r="N147" s="67">
        <f t="shared" si="37"/>
        <v>0</v>
      </c>
      <c r="O147" s="66"/>
      <c r="P147" s="74">
        <f t="shared" si="38"/>
        <v>21.37</v>
      </c>
      <c r="Q147" s="74">
        <f t="shared" si="38"/>
        <v>2.5099999999999998</v>
      </c>
      <c r="R147" s="74">
        <f t="shared" si="39"/>
        <v>23.880000000000003</v>
      </c>
      <c r="S147" s="98">
        <f t="shared" si="40"/>
        <v>0</v>
      </c>
      <c r="T147" s="92">
        <f t="shared" si="41"/>
        <v>0</v>
      </c>
    </row>
    <row r="148" spans="1:20" ht="17.100000000000001" customHeight="1">
      <c r="A148" s="91">
        <v>846</v>
      </c>
      <c r="B148" s="91"/>
      <c r="D148" s="22">
        <v>33</v>
      </c>
      <c r="E148" s="108" t="s">
        <v>1080</v>
      </c>
      <c r="F148" s="32" t="s">
        <v>1057</v>
      </c>
      <c r="G148" s="66">
        <v>154</v>
      </c>
      <c r="H148" s="66">
        <v>35</v>
      </c>
      <c r="I148" s="66">
        <f t="shared" si="35"/>
        <v>5390</v>
      </c>
      <c r="J148" s="66"/>
      <c r="K148" s="71">
        <v>27.49</v>
      </c>
      <c r="L148" s="71">
        <v>1.41</v>
      </c>
      <c r="M148" s="74">
        <f t="shared" si="36"/>
        <v>28.9</v>
      </c>
      <c r="N148" s="67">
        <f t="shared" si="37"/>
        <v>4450.5999999999995</v>
      </c>
      <c r="O148" s="66"/>
      <c r="P148" s="74">
        <f t="shared" si="38"/>
        <v>27.49</v>
      </c>
      <c r="Q148" s="74">
        <f t="shared" si="38"/>
        <v>1.41</v>
      </c>
      <c r="R148" s="74">
        <f t="shared" si="39"/>
        <v>28.9</v>
      </c>
      <c r="S148" s="98">
        <f t="shared" si="40"/>
        <v>4450.5999999999995</v>
      </c>
      <c r="T148" s="92">
        <f t="shared" si="41"/>
        <v>0</v>
      </c>
    </row>
    <row r="149" spans="1:20" ht="17.100000000000001" customHeight="1">
      <c r="A149" s="91">
        <v>847</v>
      </c>
      <c r="B149" s="91"/>
      <c r="D149" s="22">
        <v>34</v>
      </c>
      <c r="E149" s="108" t="s">
        <v>1081</v>
      </c>
      <c r="F149" s="32" t="s">
        <v>1059</v>
      </c>
      <c r="G149" s="66">
        <v>12</v>
      </c>
      <c r="H149" s="66">
        <v>54</v>
      </c>
      <c r="I149" s="66">
        <f t="shared" si="35"/>
        <v>648</v>
      </c>
      <c r="J149" s="66"/>
      <c r="K149" s="71">
        <v>29.65</v>
      </c>
      <c r="L149" s="71">
        <v>1.55</v>
      </c>
      <c r="M149" s="74">
        <f t="shared" si="36"/>
        <v>31.2</v>
      </c>
      <c r="N149" s="67">
        <f t="shared" si="37"/>
        <v>374.4</v>
      </c>
      <c r="O149" s="66"/>
      <c r="P149" s="74">
        <f t="shared" si="38"/>
        <v>29.65</v>
      </c>
      <c r="Q149" s="74">
        <f t="shared" si="38"/>
        <v>1.55</v>
      </c>
      <c r="R149" s="74">
        <f t="shared" si="39"/>
        <v>31.2</v>
      </c>
      <c r="S149" s="98">
        <f t="shared" si="40"/>
        <v>374.4</v>
      </c>
      <c r="T149" s="92">
        <f t="shared" si="41"/>
        <v>0</v>
      </c>
    </row>
    <row r="150" spans="1:20" ht="17.100000000000001" customHeight="1">
      <c r="A150" s="91">
        <v>851</v>
      </c>
      <c r="B150" s="91"/>
      <c r="D150" s="22">
        <v>35</v>
      </c>
      <c r="E150" s="108" t="s">
        <v>1082</v>
      </c>
      <c r="F150" s="32" t="s">
        <v>1061</v>
      </c>
      <c r="G150" s="66">
        <v>0</v>
      </c>
      <c r="H150" s="66">
        <v>42</v>
      </c>
      <c r="I150" s="93">
        <f t="shared" si="35"/>
        <v>0</v>
      </c>
      <c r="J150" s="66"/>
      <c r="K150" s="71">
        <v>22.88</v>
      </c>
      <c r="L150" s="71">
        <v>3.45</v>
      </c>
      <c r="M150" s="74">
        <f t="shared" si="36"/>
        <v>26.33</v>
      </c>
      <c r="N150" s="67">
        <f t="shared" si="37"/>
        <v>0</v>
      </c>
      <c r="O150" s="66"/>
      <c r="P150" s="74">
        <f t="shared" si="38"/>
        <v>22.88</v>
      </c>
      <c r="Q150" s="74">
        <f t="shared" si="38"/>
        <v>3.45</v>
      </c>
      <c r="R150" s="74">
        <f t="shared" si="39"/>
        <v>26.33</v>
      </c>
      <c r="S150" s="98">
        <f t="shared" si="40"/>
        <v>0</v>
      </c>
      <c r="T150" s="92">
        <f t="shared" si="41"/>
        <v>0</v>
      </c>
    </row>
    <row r="151" spans="1:20" ht="17.100000000000001" customHeight="1">
      <c r="A151" s="91">
        <v>852</v>
      </c>
      <c r="B151" s="91"/>
      <c r="D151" s="22">
        <v>36</v>
      </c>
      <c r="E151" s="108" t="s">
        <v>1083</v>
      </c>
      <c r="F151" s="32" t="s">
        <v>1063</v>
      </c>
      <c r="G151" s="66">
        <v>0</v>
      </c>
      <c r="H151" s="66">
        <v>63</v>
      </c>
      <c r="I151" s="93">
        <f t="shared" si="35"/>
        <v>0</v>
      </c>
      <c r="J151" s="66"/>
      <c r="K151" s="71">
        <v>27.56</v>
      </c>
      <c r="L151" s="71">
        <v>4.0999999999999996</v>
      </c>
      <c r="M151" s="74">
        <f t="shared" si="36"/>
        <v>31.659999999999997</v>
      </c>
      <c r="N151" s="67">
        <f t="shared" si="37"/>
        <v>0</v>
      </c>
      <c r="O151" s="66"/>
      <c r="P151" s="74">
        <f t="shared" si="38"/>
        <v>27.56</v>
      </c>
      <c r="Q151" s="74">
        <f t="shared" si="38"/>
        <v>4.0999999999999996</v>
      </c>
      <c r="R151" s="74">
        <f t="shared" si="39"/>
        <v>31.659999999999997</v>
      </c>
      <c r="S151" s="98">
        <f t="shared" si="40"/>
        <v>0</v>
      </c>
      <c r="T151" s="92">
        <f t="shared" si="41"/>
        <v>0</v>
      </c>
    </row>
    <row r="152" spans="1:20" ht="17.100000000000001" customHeight="1">
      <c r="A152" s="91">
        <v>853</v>
      </c>
      <c r="B152" s="91"/>
      <c r="D152" s="22">
        <v>37</v>
      </c>
      <c r="E152" s="108" t="s">
        <v>1084</v>
      </c>
      <c r="F152" s="32" t="s">
        <v>1065</v>
      </c>
      <c r="G152" s="66">
        <v>0</v>
      </c>
      <c r="H152" s="66">
        <v>43</v>
      </c>
      <c r="I152" s="93">
        <f t="shared" si="35"/>
        <v>0</v>
      </c>
      <c r="J152" s="66"/>
      <c r="K152" s="71">
        <v>21.16</v>
      </c>
      <c r="L152" s="71">
        <v>3.04</v>
      </c>
      <c r="M152" s="74">
        <f t="shared" si="36"/>
        <v>24.2</v>
      </c>
      <c r="N152" s="67">
        <f t="shared" si="37"/>
        <v>0</v>
      </c>
      <c r="O152" s="66"/>
      <c r="P152" s="74">
        <f t="shared" si="38"/>
        <v>21.16</v>
      </c>
      <c r="Q152" s="74">
        <f t="shared" si="38"/>
        <v>3.04</v>
      </c>
      <c r="R152" s="74">
        <f t="shared" si="39"/>
        <v>24.2</v>
      </c>
      <c r="S152" s="98">
        <f t="shared" si="40"/>
        <v>0</v>
      </c>
      <c r="T152" s="92">
        <f t="shared" si="41"/>
        <v>0</v>
      </c>
    </row>
    <row r="153" spans="1:20" ht="17.100000000000001" customHeight="1">
      <c r="A153" s="91">
        <v>854</v>
      </c>
      <c r="B153" s="91"/>
      <c r="D153" s="22">
        <v>38</v>
      </c>
      <c r="E153" s="108" t="s">
        <v>1085</v>
      </c>
      <c r="F153" s="32" t="s">
        <v>1067</v>
      </c>
      <c r="G153" s="66">
        <v>0</v>
      </c>
      <c r="H153" s="66">
        <v>57</v>
      </c>
      <c r="I153" s="93">
        <f t="shared" si="35"/>
        <v>0</v>
      </c>
      <c r="J153" s="66"/>
      <c r="K153" s="71">
        <v>23.47</v>
      </c>
      <c r="L153" s="71">
        <v>3.6</v>
      </c>
      <c r="M153" s="110">
        <f t="shared" ref="M153" si="42">M134</f>
        <v>27.07</v>
      </c>
      <c r="N153" s="67">
        <f t="shared" si="37"/>
        <v>0</v>
      </c>
      <c r="O153" s="66"/>
      <c r="P153" s="74">
        <f t="shared" si="38"/>
        <v>23.47</v>
      </c>
      <c r="Q153" s="74">
        <f t="shared" si="38"/>
        <v>3.6</v>
      </c>
      <c r="R153" s="74">
        <f t="shared" si="39"/>
        <v>27.07</v>
      </c>
      <c r="S153" s="98">
        <f t="shared" si="40"/>
        <v>0</v>
      </c>
      <c r="T153" s="92">
        <f t="shared" si="41"/>
        <v>0</v>
      </c>
    </row>
    <row r="154" spans="1:20" ht="17.100000000000001" customHeight="1">
      <c r="A154" s="91"/>
      <c r="B154" s="91"/>
      <c r="D154" s="22">
        <v>39</v>
      </c>
      <c r="E154" s="108"/>
      <c r="F154" s="32"/>
      <c r="G154" s="111"/>
      <c r="H154" s="66"/>
      <c r="I154" s="93"/>
      <c r="J154" s="66"/>
      <c r="K154" s="71"/>
      <c r="L154" s="71"/>
      <c r="M154" s="110"/>
      <c r="N154" s="82">
        <f>SUM(N137:N153)</f>
        <v>7203.6899999999987</v>
      </c>
      <c r="O154" s="66"/>
      <c r="P154" s="74"/>
      <c r="Q154" s="74"/>
      <c r="R154" s="74"/>
      <c r="S154" s="82">
        <f>SUM(S137:S153)</f>
        <v>7203.6899999999987</v>
      </c>
      <c r="T154" s="92">
        <f t="shared" si="41"/>
        <v>0</v>
      </c>
    </row>
    <row r="155" spans="1:20" ht="17.100000000000001" customHeight="1" thickBot="1">
      <c r="A155" s="91"/>
      <c r="B155" s="91"/>
      <c r="D155" s="24">
        <v>40</v>
      </c>
      <c r="E155" s="112"/>
      <c r="F155" s="26"/>
      <c r="G155" s="113"/>
      <c r="H155" s="114"/>
      <c r="I155" s="115"/>
      <c r="J155" s="114"/>
      <c r="K155" s="116"/>
      <c r="L155" s="116"/>
      <c r="M155" s="117"/>
      <c r="N155" s="86"/>
      <c r="O155" s="114"/>
      <c r="P155" s="116"/>
      <c r="Q155" s="116"/>
      <c r="R155" s="116"/>
      <c r="S155" s="86"/>
      <c r="T155" s="26" t="s">
        <v>1086</v>
      </c>
    </row>
    <row r="156" spans="1:20" ht="17.100000000000001" customHeight="1">
      <c r="A156" s="91"/>
      <c r="B156" s="91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82"/>
      <c r="O156" s="67"/>
      <c r="P156" s="22"/>
      <c r="Q156" s="22"/>
      <c r="R156" s="22"/>
      <c r="S156" s="82"/>
      <c r="T156" s="32"/>
    </row>
    <row r="157" spans="1:20" ht="17.100000000000001" customHeight="1" thickBot="1">
      <c r="A157" s="91"/>
      <c r="B157" s="91"/>
      <c r="D157" s="24"/>
      <c r="E157" s="24"/>
      <c r="F157" s="24"/>
      <c r="G157" s="24"/>
      <c r="H157" s="24"/>
      <c r="I157" s="24" t="s">
        <v>940</v>
      </c>
      <c r="J157" s="24"/>
      <c r="K157" s="24"/>
      <c r="L157" s="24"/>
      <c r="M157" s="24"/>
      <c r="N157" s="24"/>
      <c r="O157" s="118"/>
      <c r="P157" s="86"/>
      <c r="Q157" s="24"/>
      <c r="R157" s="24"/>
      <c r="S157" s="24"/>
      <c r="T157" s="24"/>
    </row>
    <row r="158" spans="1:20" ht="17.100000000000001" customHeight="1">
      <c r="A158" s="91"/>
      <c r="B158" s="91"/>
      <c r="D158" s="22"/>
      <c r="E158" s="22"/>
      <c r="F158" s="22"/>
      <c r="G158" s="32"/>
      <c r="H158" s="22"/>
      <c r="I158" s="32"/>
      <c r="J158" s="22"/>
      <c r="K158" s="22"/>
      <c r="L158" s="30"/>
      <c r="M158" s="30"/>
      <c r="N158" s="22"/>
      <c r="O158" s="22"/>
      <c r="P158" s="30"/>
      <c r="Q158" s="30"/>
      <c r="R158" s="22"/>
      <c r="S158" s="22"/>
      <c r="T158" s="31"/>
    </row>
    <row r="159" spans="1:20" ht="17.100000000000001" customHeight="1">
      <c r="A159" s="91"/>
      <c r="B159" s="91"/>
      <c r="D159" s="22"/>
      <c r="E159" s="22"/>
      <c r="F159" s="22"/>
      <c r="G159" s="22"/>
      <c r="H159" s="22"/>
      <c r="I159" s="22"/>
      <c r="J159" s="22"/>
      <c r="K159" s="22"/>
      <c r="L159" s="32"/>
      <c r="M159" s="31"/>
      <c r="N159" s="22"/>
      <c r="O159" s="22"/>
      <c r="P159" s="22"/>
      <c r="Q159" s="88"/>
      <c r="R159" s="32"/>
      <c r="S159" s="31"/>
      <c r="T159" s="32"/>
    </row>
    <row r="160" spans="1:20" ht="17.100000000000001" customHeight="1">
      <c r="A160" s="91"/>
      <c r="B160" s="91"/>
      <c r="D160" s="22"/>
      <c r="E160" s="22"/>
      <c r="F160" s="22"/>
      <c r="G160" s="22"/>
      <c r="H160" s="22"/>
      <c r="I160" s="22"/>
      <c r="J160" s="22"/>
      <c r="K160" s="22"/>
      <c r="L160" s="32"/>
      <c r="M160" s="31"/>
      <c r="N160" s="32"/>
      <c r="O160" s="32"/>
      <c r="P160" s="22"/>
      <c r="Q160" s="32"/>
      <c r="R160" s="32"/>
      <c r="S160" s="31"/>
      <c r="T160" s="32"/>
    </row>
    <row r="161" spans="1:20" ht="17.100000000000001" customHeight="1">
      <c r="A161" s="91"/>
      <c r="B161" s="91"/>
      <c r="D161" s="22"/>
      <c r="E161" s="22"/>
      <c r="F161" s="22"/>
      <c r="G161" s="22"/>
      <c r="H161" s="22"/>
      <c r="I161" s="22"/>
      <c r="J161" s="22"/>
      <c r="K161" s="22"/>
      <c r="L161" s="32"/>
      <c r="M161" s="31"/>
      <c r="N161" s="32"/>
      <c r="O161" s="32"/>
      <c r="P161" s="22"/>
      <c r="Q161" s="32"/>
      <c r="R161" s="32"/>
      <c r="S161" s="31"/>
      <c r="T161" s="32"/>
    </row>
    <row r="162" spans="1:20" ht="17.100000000000001" customHeight="1" thickBot="1">
      <c r="A162" s="91"/>
      <c r="B162" s="91"/>
      <c r="D162" s="24"/>
      <c r="E162" s="24"/>
      <c r="F162" s="24"/>
      <c r="G162" s="24"/>
      <c r="H162" s="24"/>
      <c r="I162" s="24"/>
      <c r="J162" s="24"/>
      <c r="K162" s="25"/>
      <c r="L162" s="24"/>
      <c r="M162" s="24"/>
      <c r="N162" s="24"/>
      <c r="O162" s="24"/>
      <c r="P162" s="24"/>
      <c r="Q162" s="24"/>
      <c r="R162" s="22"/>
      <c r="S162" s="22"/>
      <c r="T162" s="24"/>
    </row>
    <row r="163" spans="1:20" ht="17.100000000000001" customHeight="1">
      <c r="A163" s="91"/>
      <c r="B163" s="91"/>
      <c r="D163" s="89"/>
      <c r="E163" s="334" t="s">
        <v>941</v>
      </c>
      <c r="F163" s="334"/>
      <c r="G163" s="334"/>
      <c r="H163" s="334"/>
      <c r="I163" s="334"/>
      <c r="J163" s="334"/>
      <c r="K163" s="334"/>
      <c r="L163" s="334"/>
      <c r="M163" s="334"/>
      <c r="N163" s="334"/>
      <c r="O163" s="334"/>
      <c r="P163" s="334"/>
      <c r="Q163" s="334"/>
      <c r="R163" s="334"/>
      <c r="S163" s="334"/>
      <c r="T163" s="334"/>
    </row>
    <row r="164" spans="1:20" ht="17.100000000000001" customHeight="1">
      <c r="A164" s="91"/>
      <c r="B164" s="91"/>
      <c r="D164" s="22"/>
      <c r="E164" s="23"/>
      <c r="F164" s="36"/>
      <c r="G164" s="36"/>
      <c r="H164" s="36"/>
      <c r="I164" s="36"/>
      <c r="J164" s="36"/>
      <c r="K164" s="336" t="s">
        <v>942</v>
      </c>
      <c r="L164" s="336"/>
      <c r="M164" s="336"/>
      <c r="N164" s="336"/>
      <c r="O164" s="36"/>
      <c r="P164" s="336" t="s">
        <v>943</v>
      </c>
      <c r="Q164" s="336"/>
      <c r="R164" s="336"/>
      <c r="S164" s="336"/>
      <c r="T164" s="36"/>
    </row>
    <row r="165" spans="1:20" ht="17.100000000000001" customHeight="1">
      <c r="A165" s="91"/>
      <c r="B165" s="91"/>
      <c r="D165" s="22"/>
      <c r="E165" s="23"/>
      <c r="F165" s="36"/>
      <c r="G165" s="23" t="s">
        <v>944</v>
      </c>
      <c r="H165" s="36" t="s">
        <v>945</v>
      </c>
      <c r="I165" s="23"/>
      <c r="J165" s="23"/>
      <c r="K165" s="23" t="s">
        <v>946</v>
      </c>
      <c r="L165" s="23" t="s">
        <v>946</v>
      </c>
      <c r="M165" s="23" t="s">
        <v>947</v>
      </c>
      <c r="N165" s="36" t="s">
        <v>464</v>
      </c>
      <c r="O165" s="36"/>
      <c r="P165" s="23" t="s">
        <v>946</v>
      </c>
      <c r="Q165" s="23" t="s">
        <v>946</v>
      </c>
      <c r="R165" s="23" t="s">
        <v>947</v>
      </c>
      <c r="S165" s="23" t="s">
        <v>464</v>
      </c>
      <c r="T165" s="23"/>
    </row>
    <row r="166" spans="1:20" ht="17.100000000000001" customHeight="1">
      <c r="A166" s="91"/>
      <c r="B166" s="91"/>
      <c r="D166" s="22" t="s">
        <v>55</v>
      </c>
      <c r="E166" s="23" t="s">
        <v>280</v>
      </c>
      <c r="F166" s="23"/>
      <c r="G166" s="23" t="s">
        <v>948</v>
      </c>
      <c r="H166" s="23" t="s">
        <v>946</v>
      </c>
      <c r="I166" s="36" t="s">
        <v>944</v>
      </c>
      <c r="J166" s="36"/>
      <c r="K166" s="36" t="s">
        <v>949</v>
      </c>
      <c r="L166" s="36" t="s">
        <v>950</v>
      </c>
      <c r="M166" s="36" t="s">
        <v>946</v>
      </c>
      <c r="N166" s="23" t="s">
        <v>43</v>
      </c>
      <c r="O166" s="23"/>
      <c r="P166" s="36" t="s">
        <v>949</v>
      </c>
      <c r="Q166" s="36" t="s">
        <v>950</v>
      </c>
      <c r="R166" s="36" t="s">
        <v>946</v>
      </c>
      <c r="S166" s="36" t="s">
        <v>43</v>
      </c>
      <c r="T166" s="36" t="s">
        <v>54</v>
      </c>
    </row>
    <row r="167" spans="1:20" ht="17.100000000000001" customHeight="1" thickBot="1">
      <c r="A167" s="91"/>
      <c r="B167" s="91"/>
      <c r="D167" s="24" t="s">
        <v>60</v>
      </c>
      <c r="E167" s="25" t="s">
        <v>949</v>
      </c>
      <c r="F167" s="25"/>
      <c r="G167" s="25" t="s">
        <v>951</v>
      </c>
      <c r="H167" s="25" t="s">
        <v>304</v>
      </c>
      <c r="I167" s="37" t="s">
        <v>304</v>
      </c>
      <c r="J167" s="37"/>
      <c r="K167" s="37" t="s">
        <v>952</v>
      </c>
      <c r="L167" s="37" t="s">
        <v>952</v>
      </c>
      <c r="M167" s="37" t="s">
        <v>952</v>
      </c>
      <c r="N167" s="37" t="s">
        <v>283</v>
      </c>
      <c r="O167" s="37"/>
      <c r="P167" s="37" t="s">
        <v>952</v>
      </c>
      <c r="Q167" s="37" t="s">
        <v>952</v>
      </c>
      <c r="R167" s="37" t="s">
        <v>952</v>
      </c>
      <c r="S167" s="37" t="s">
        <v>283</v>
      </c>
      <c r="T167" s="37" t="s">
        <v>59</v>
      </c>
    </row>
    <row r="168" spans="1:20" ht="17.100000000000001" customHeight="1">
      <c r="A168" s="91"/>
      <c r="B168" s="91"/>
      <c r="D168" s="22">
        <v>1</v>
      </c>
      <c r="E168" s="89" t="s">
        <v>1087</v>
      </c>
      <c r="F168" s="89"/>
      <c r="G168" s="22"/>
      <c r="H168" s="22"/>
      <c r="I168" s="22"/>
      <c r="J168" s="22"/>
      <c r="K168" s="22"/>
      <c r="L168" s="22"/>
      <c r="M168" s="22"/>
      <c r="N168" s="22"/>
      <c r="O168" s="65"/>
      <c r="P168" s="65"/>
      <c r="Q168" s="65"/>
      <c r="R168" s="65"/>
      <c r="S168" s="65"/>
      <c r="T168" s="65"/>
    </row>
    <row r="169" spans="1:20" ht="17.100000000000001" customHeight="1">
      <c r="A169" s="91"/>
      <c r="B169" s="91"/>
      <c r="D169" s="22">
        <v>2</v>
      </c>
      <c r="E169" s="335" t="s">
        <v>1088</v>
      </c>
      <c r="F169" s="335"/>
    </row>
    <row r="170" spans="1:20" ht="17.100000000000001" customHeight="1">
      <c r="A170" s="91">
        <v>912</v>
      </c>
      <c r="B170" s="91"/>
      <c r="D170" s="22">
        <v>3</v>
      </c>
      <c r="E170" s="107" t="s">
        <v>1089</v>
      </c>
      <c r="F170" s="119" t="s">
        <v>1090</v>
      </c>
      <c r="G170" s="66">
        <v>193669</v>
      </c>
      <c r="H170" s="66">
        <v>9</v>
      </c>
      <c r="I170" s="66">
        <f t="shared" ref="I170:I190" si="43">+H170*G170</f>
        <v>1743021</v>
      </c>
      <c r="J170" s="22"/>
      <c r="K170" s="71">
        <v>7.72</v>
      </c>
      <c r="L170" s="71">
        <v>1.74</v>
      </c>
      <c r="M170" s="74">
        <f t="shared" ref="M170:M190" si="44">+K170+L170</f>
        <v>9.4599999999999991</v>
      </c>
      <c r="N170" s="67">
        <f t="shared" ref="N170:N190" si="45">+M170*G170</f>
        <v>1832108.7399999998</v>
      </c>
      <c r="O170" s="22"/>
      <c r="P170" s="74">
        <f t="shared" ref="P170:Q190" si="46">+K170</f>
        <v>7.72</v>
      </c>
      <c r="Q170" s="74">
        <f t="shared" si="46"/>
        <v>1.74</v>
      </c>
      <c r="R170" s="74">
        <f t="shared" ref="R170:R190" si="47">+P170+Q170</f>
        <v>9.4599999999999991</v>
      </c>
      <c r="S170" s="98">
        <f t="shared" ref="S170:S190" si="48">+R170*G170</f>
        <v>1832108.7399999998</v>
      </c>
      <c r="T170" s="92">
        <f t="shared" ref="T170:T191" si="49">IF(S170=0,0,(S170-N170)/N170)</f>
        <v>0</v>
      </c>
    </row>
    <row r="171" spans="1:20" ht="17.100000000000001" customHeight="1">
      <c r="A171" s="91">
        <v>914</v>
      </c>
      <c r="B171" s="91"/>
      <c r="D171" s="22">
        <v>4</v>
      </c>
      <c r="E171" s="108" t="s">
        <v>1091</v>
      </c>
      <c r="F171" s="119" t="s">
        <v>1092</v>
      </c>
      <c r="G171" s="66">
        <v>1161670</v>
      </c>
      <c r="H171" s="66">
        <v>16</v>
      </c>
      <c r="I171" s="66">
        <f t="shared" si="43"/>
        <v>18586720</v>
      </c>
      <c r="J171" s="22"/>
      <c r="K171" s="71">
        <v>7.64</v>
      </c>
      <c r="L171" s="71">
        <v>1.74</v>
      </c>
      <c r="M171" s="74">
        <f t="shared" si="44"/>
        <v>9.379999999999999</v>
      </c>
      <c r="N171" s="67">
        <f t="shared" si="45"/>
        <v>10896464.6</v>
      </c>
      <c r="O171" s="22"/>
      <c r="P171" s="74">
        <f t="shared" si="46"/>
        <v>7.64</v>
      </c>
      <c r="Q171" s="74">
        <f t="shared" si="46"/>
        <v>1.74</v>
      </c>
      <c r="R171" s="74">
        <f t="shared" si="47"/>
        <v>9.379999999999999</v>
      </c>
      <c r="S171" s="98">
        <f t="shared" si="48"/>
        <v>10896464.6</v>
      </c>
      <c r="T171" s="92">
        <f t="shared" si="49"/>
        <v>0</v>
      </c>
    </row>
    <row r="172" spans="1:20" ht="17.100000000000001" customHeight="1">
      <c r="A172" s="91">
        <v>921</v>
      </c>
      <c r="B172" s="91"/>
      <c r="D172" s="22">
        <v>5</v>
      </c>
      <c r="E172" s="108" t="s">
        <v>1093</v>
      </c>
      <c r="F172" s="119" t="s">
        <v>1094</v>
      </c>
      <c r="G172" s="66">
        <v>28917</v>
      </c>
      <c r="H172" s="66">
        <v>31</v>
      </c>
      <c r="I172" s="66">
        <f t="shared" si="43"/>
        <v>896427</v>
      </c>
      <c r="J172" s="22"/>
      <c r="K172" s="71">
        <v>11.82</v>
      </c>
      <c r="L172" s="71">
        <v>1.74</v>
      </c>
      <c r="M172" s="74">
        <f t="shared" si="44"/>
        <v>13.56</v>
      </c>
      <c r="N172" s="67">
        <f t="shared" si="45"/>
        <v>392114.52</v>
      </c>
      <c r="O172" s="22"/>
      <c r="P172" s="74">
        <f t="shared" si="46"/>
        <v>11.82</v>
      </c>
      <c r="Q172" s="74">
        <f t="shared" si="46"/>
        <v>1.74</v>
      </c>
      <c r="R172" s="74">
        <f t="shared" si="47"/>
        <v>13.56</v>
      </c>
      <c r="S172" s="98">
        <f t="shared" si="48"/>
        <v>392114.52</v>
      </c>
      <c r="T172" s="92">
        <f t="shared" si="49"/>
        <v>0</v>
      </c>
    </row>
    <row r="173" spans="1:20" ht="17.100000000000001" customHeight="1">
      <c r="A173" s="91">
        <v>926</v>
      </c>
      <c r="B173" s="91"/>
      <c r="D173" s="22">
        <v>6</v>
      </c>
      <c r="E173" s="108" t="s">
        <v>1095</v>
      </c>
      <c r="F173" s="119" t="s">
        <v>1096</v>
      </c>
      <c r="G173" s="66">
        <v>195343</v>
      </c>
      <c r="H173" s="66">
        <v>37</v>
      </c>
      <c r="I173" s="66">
        <f t="shared" si="43"/>
        <v>7227691</v>
      </c>
      <c r="K173" s="71">
        <v>10.85</v>
      </c>
      <c r="L173" s="71">
        <v>1.19</v>
      </c>
      <c r="M173" s="74">
        <f t="shared" si="44"/>
        <v>12.04</v>
      </c>
      <c r="N173" s="67">
        <f t="shared" si="45"/>
        <v>2351929.7199999997</v>
      </c>
      <c r="P173" s="74">
        <f t="shared" si="46"/>
        <v>10.85</v>
      </c>
      <c r="Q173" s="74">
        <f t="shared" si="46"/>
        <v>1.19</v>
      </c>
      <c r="R173" s="74">
        <f t="shared" si="47"/>
        <v>12.04</v>
      </c>
      <c r="S173" s="98">
        <f t="shared" si="48"/>
        <v>2351929.7199999997</v>
      </c>
      <c r="T173" s="92">
        <f t="shared" si="49"/>
        <v>0</v>
      </c>
    </row>
    <row r="174" spans="1:20" ht="17.100000000000001" customHeight="1">
      <c r="A174" s="91">
        <v>932</v>
      </c>
      <c r="B174" s="91"/>
      <c r="D174" s="22">
        <v>7</v>
      </c>
      <c r="E174" s="108" t="s">
        <v>1097</v>
      </c>
      <c r="F174" s="119" t="s">
        <v>1098</v>
      </c>
      <c r="G174" s="66">
        <v>27969</v>
      </c>
      <c r="H174" s="66">
        <v>47</v>
      </c>
      <c r="I174" s="66">
        <f t="shared" si="43"/>
        <v>1314543</v>
      </c>
      <c r="K174" s="71">
        <v>20.41</v>
      </c>
      <c r="L174" s="71">
        <v>1.38</v>
      </c>
      <c r="M174" s="74">
        <f t="shared" si="44"/>
        <v>21.79</v>
      </c>
      <c r="N174" s="67">
        <f t="shared" si="45"/>
        <v>609444.51</v>
      </c>
      <c r="P174" s="74">
        <f t="shared" si="46"/>
        <v>20.41</v>
      </c>
      <c r="Q174" s="74">
        <f t="shared" si="46"/>
        <v>1.38</v>
      </c>
      <c r="R174" s="74">
        <f t="shared" si="47"/>
        <v>21.79</v>
      </c>
      <c r="S174" s="98">
        <f t="shared" si="48"/>
        <v>609444.51</v>
      </c>
      <c r="T174" s="92">
        <f t="shared" si="49"/>
        <v>0</v>
      </c>
    </row>
    <row r="175" spans="1:20" ht="17.100000000000001" customHeight="1">
      <c r="A175" s="91">
        <v>935</v>
      </c>
      <c r="B175" s="91"/>
      <c r="D175" s="22">
        <v>8</v>
      </c>
      <c r="E175" s="108" t="s">
        <v>1099</v>
      </c>
      <c r="F175" s="119" t="s">
        <v>1100</v>
      </c>
      <c r="G175" s="66">
        <v>1372</v>
      </c>
      <c r="H175" s="66">
        <v>50</v>
      </c>
      <c r="I175" s="66">
        <f t="shared" si="43"/>
        <v>68600</v>
      </c>
      <c r="K175" s="71">
        <v>15.21</v>
      </c>
      <c r="L175" s="71">
        <v>1.41</v>
      </c>
      <c r="M175" s="74">
        <f t="shared" si="44"/>
        <v>16.62</v>
      </c>
      <c r="N175" s="67">
        <f t="shared" si="45"/>
        <v>22802.640000000003</v>
      </c>
      <c r="O175" s="105"/>
      <c r="P175" s="74">
        <f t="shared" si="46"/>
        <v>15.21</v>
      </c>
      <c r="Q175" s="74">
        <f t="shared" si="46"/>
        <v>1.41</v>
      </c>
      <c r="R175" s="74">
        <f t="shared" si="47"/>
        <v>16.62</v>
      </c>
      <c r="S175" s="98">
        <f t="shared" si="48"/>
        <v>22802.640000000003</v>
      </c>
      <c r="T175" s="92">
        <f t="shared" si="49"/>
        <v>0</v>
      </c>
    </row>
    <row r="176" spans="1:20" ht="17.100000000000001" customHeight="1">
      <c r="A176" s="91">
        <v>937</v>
      </c>
      <c r="B176" s="91"/>
      <c r="D176" s="22">
        <v>9</v>
      </c>
      <c r="E176" s="108" t="s">
        <v>1101</v>
      </c>
      <c r="F176" s="119" t="s">
        <v>1102</v>
      </c>
      <c r="G176" s="66">
        <v>223725</v>
      </c>
      <c r="H176" s="66">
        <v>51</v>
      </c>
      <c r="I176" s="66">
        <f t="shared" si="43"/>
        <v>11409975</v>
      </c>
      <c r="K176" s="71">
        <v>11.57</v>
      </c>
      <c r="L176" s="71">
        <v>2.2599999999999998</v>
      </c>
      <c r="M176" s="74">
        <f t="shared" si="44"/>
        <v>13.83</v>
      </c>
      <c r="N176" s="67">
        <f t="shared" si="45"/>
        <v>3094116.75</v>
      </c>
      <c r="P176" s="74">
        <f t="shared" si="46"/>
        <v>11.57</v>
      </c>
      <c r="Q176" s="74">
        <f t="shared" si="46"/>
        <v>2.2599999999999998</v>
      </c>
      <c r="R176" s="74">
        <f t="shared" si="47"/>
        <v>13.83</v>
      </c>
      <c r="S176" s="98">
        <f t="shared" si="48"/>
        <v>3094116.75</v>
      </c>
      <c r="T176" s="92">
        <f t="shared" si="49"/>
        <v>0</v>
      </c>
    </row>
    <row r="177" spans="1:23" ht="17.100000000000001" customHeight="1">
      <c r="A177" s="91">
        <v>941</v>
      </c>
      <c r="B177" s="91"/>
      <c r="D177" s="22">
        <v>10</v>
      </c>
      <c r="E177" s="108" t="s">
        <v>1103</v>
      </c>
      <c r="F177" s="119" t="s">
        <v>1104</v>
      </c>
      <c r="G177" s="66">
        <v>184781</v>
      </c>
      <c r="H177" s="66">
        <v>64</v>
      </c>
      <c r="I177" s="66">
        <f t="shared" si="43"/>
        <v>11825984</v>
      </c>
      <c r="K177" s="71">
        <v>14.74</v>
      </c>
      <c r="L177" s="71">
        <v>2.5099999999999998</v>
      </c>
      <c r="M177" s="74">
        <f t="shared" si="44"/>
        <v>17.25</v>
      </c>
      <c r="N177" s="67">
        <f t="shared" si="45"/>
        <v>3187472.25</v>
      </c>
      <c r="P177" s="74">
        <f t="shared" si="46"/>
        <v>14.74</v>
      </c>
      <c r="Q177" s="74">
        <f t="shared" si="46"/>
        <v>2.5099999999999998</v>
      </c>
      <c r="R177" s="74">
        <f t="shared" si="47"/>
        <v>17.25</v>
      </c>
      <c r="S177" s="98">
        <f t="shared" si="48"/>
        <v>3187472.25</v>
      </c>
      <c r="T177" s="92">
        <f t="shared" si="49"/>
        <v>0</v>
      </c>
    </row>
    <row r="178" spans="1:23" ht="17.100000000000001" customHeight="1">
      <c r="A178" s="91">
        <v>945</v>
      </c>
      <c r="B178" s="91"/>
      <c r="D178" s="22">
        <v>11</v>
      </c>
      <c r="E178" s="120" t="s">
        <v>1105</v>
      </c>
      <c r="F178" s="119" t="s">
        <v>1106</v>
      </c>
      <c r="G178" s="66">
        <v>55509</v>
      </c>
      <c r="H178" s="66">
        <v>86</v>
      </c>
      <c r="I178" s="66">
        <f t="shared" si="43"/>
        <v>4773774</v>
      </c>
      <c r="K178" s="71">
        <v>21.2</v>
      </c>
      <c r="L178" s="71">
        <v>2.5099999999999998</v>
      </c>
      <c r="M178" s="74">
        <f t="shared" si="44"/>
        <v>23.71</v>
      </c>
      <c r="N178" s="67">
        <f t="shared" si="45"/>
        <v>1316118.3900000001</v>
      </c>
      <c r="P178" s="74">
        <f t="shared" si="46"/>
        <v>21.2</v>
      </c>
      <c r="Q178" s="74">
        <f t="shared" si="46"/>
        <v>2.5099999999999998</v>
      </c>
      <c r="R178" s="74">
        <f t="shared" si="47"/>
        <v>23.71</v>
      </c>
      <c r="S178" s="98">
        <f t="shared" si="48"/>
        <v>1316118.3900000001</v>
      </c>
      <c r="T178" s="92">
        <f t="shared" si="49"/>
        <v>0</v>
      </c>
    </row>
    <row r="179" spans="1:23" ht="17.100000000000001" customHeight="1">
      <c r="A179" s="91">
        <v>947</v>
      </c>
      <c r="B179" s="91"/>
      <c r="D179" s="22">
        <v>12</v>
      </c>
      <c r="E179" s="120" t="s">
        <v>1107</v>
      </c>
      <c r="F179" s="119" t="s">
        <v>1108</v>
      </c>
      <c r="G179" s="66">
        <v>31222</v>
      </c>
      <c r="H179" s="66">
        <v>116</v>
      </c>
      <c r="I179" s="66">
        <f t="shared" si="43"/>
        <v>3621752</v>
      </c>
      <c r="K179" s="71">
        <v>26.6</v>
      </c>
      <c r="L179" s="71">
        <v>1.55</v>
      </c>
      <c r="M179" s="74">
        <f t="shared" si="44"/>
        <v>28.150000000000002</v>
      </c>
      <c r="N179" s="67">
        <f t="shared" si="45"/>
        <v>878899.3</v>
      </c>
      <c r="P179" s="74">
        <f t="shared" si="46"/>
        <v>26.6</v>
      </c>
      <c r="Q179" s="74">
        <f t="shared" si="46"/>
        <v>1.55</v>
      </c>
      <c r="R179" s="74">
        <f t="shared" si="47"/>
        <v>28.150000000000002</v>
      </c>
      <c r="S179" s="98">
        <f t="shared" si="48"/>
        <v>878899.3</v>
      </c>
      <c r="T179" s="92">
        <f t="shared" si="49"/>
        <v>0</v>
      </c>
    </row>
    <row r="180" spans="1:23" ht="17.100000000000001" customHeight="1">
      <c r="A180" s="91">
        <v>951</v>
      </c>
      <c r="B180" s="91"/>
      <c r="D180" s="22">
        <v>13</v>
      </c>
      <c r="E180" s="120" t="s">
        <v>1109</v>
      </c>
      <c r="F180" s="119" t="s">
        <v>1110</v>
      </c>
      <c r="G180" s="66">
        <v>41702</v>
      </c>
      <c r="H180" s="66">
        <v>70</v>
      </c>
      <c r="I180" s="66">
        <f t="shared" si="43"/>
        <v>2919140</v>
      </c>
      <c r="K180" s="71">
        <v>16.510000000000002</v>
      </c>
      <c r="L180" s="71">
        <v>3.45</v>
      </c>
      <c r="M180" s="74">
        <f t="shared" si="44"/>
        <v>19.96</v>
      </c>
      <c r="N180" s="67">
        <f t="shared" si="45"/>
        <v>832371.92</v>
      </c>
      <c r="P180" s="74">
        <f t="shared" si="46"/>
        <v>16.510000000000002</v>
      </c>
      <c r="Q180" s="74">
        <f t="shared" si="46"/>
        <v>3.45</v>
      </c>
      <c r="R180" s="74">
        <f t="shared" si="47"/>
        <v>19.96</v>
      </c>
      <c r="S180" s="98">
        <f t="shared" si="48"/>
        <v>832371.92</v>
      </c>
      <c r="T180" s="92">
        <f t="shared" si="49"/>
        <v>0</v>
      </c>
    </row>
    <row r="181" spans="1:23" ht="17.100000000000001" customHeight="1">
      <c r="A181" s="91">
        <v>953</v>
      </c>
      <c r="B181" s="91"/>
      <c r="D181" s="22">
        <v>14</v>
      </c>
      <c r="E181" s="120" t="s">
        <v>1111</v>
      </c>
      <c r="F181" s="119" t="s">
        <v>1112</v>
      </c>
      <c r="G181" s="66">
        <v>16111</v>
      </c>
      <c r="H181" s="66">
        <v>89</v>
      </c>
      <c r="I181" s="66">
        <f t="shared" si="43"/>
        <v>1433879</v>
      </c>
      <c r="K181" s="71">
        <v>27.78</v>
      </c>
      <c r="L181" s="71">
        <v>4.0999999999999996</v>
      </c>
      <c r="M181" s="74">
        <f t="shared" si="44"/>
        <v>31.880000000000003</v>
      </c>
      <c r="N181" s="67">
        <f t="shared" si="45"/>
        <v>513618.68000000005</v>
      </c>
      <c r="P181" s="74">
        <f t="shared" si="46"/>
        <v>27.78</v>
      </c>
      <c r="Q181" s="74">
        <f t="shared" si="46"/>
        <v>4.0999999999999996</v>
      </c>
      <c r="R181" s="74">
        <f t="shared" si="47"/>
        <v>31.880000000000003</v>
      </c>
      <c r="S181" s="98">
        <f t="shared" si="48"/>
        <v>513618.68000000005</v>
      </c>
      <c r="T181" s="92">
        <f t="shared" si="49"/>
        <v>0</v>
      </c>
    </row>
    <row r="182" spans="1:23" ht="17.100000000000001" customHeight="1">
      <c r="A182" s="91">
        <v>956</v>
      </c>
      <c r="B182" s="91"/>
      <c r="D182" s="22">
        <v>15</v>
      </c>
      <c r="E182" s="120" t="s">
        <v>1113</v>
      </c>
      <c r="F182" s="119" t="s">
        <v>1114</v>
      </c>
      <c r="G182" s="66">
        <v>7911</v>
      </c>
      <c r="H182" s="66">
        <v>79</v>
      </c>
      <c r="I182" s="66">
        <f t="shared" si="43"/>
        <v>624969</v>
      </c>
      <c r="K182" s="71">
        <v>17.77</v>
      </c>
      <c r="L182" s="71">
        <v>3.04</v>
      </c>
      <c r="M182" s="74">
        <f t="shared" si="44"/>
        <v>20.81</v>
      </c>
      <c r="N182" s="67">
        <f t="shared" si="45"/>
        <v>164627.91</v>
      </c>
      <c r="P182" s="74">
        <f t="shared" si="46"/>
        <v>17.77</v>
      </c>
      <c r="Q182" s="74">
        <f t="shared" si="46"/>
        <v>3.04</v>
      </c>
      <c r="R182" s="74">
        <f t="shared" si="47"/>
        <v>20.81</v>
      </c>
      <c r="S182" s="98">
        <f t="shared" si="48"/>
        <v>164627.91</v>
      </c>
      <c r="T182" s="92">
        <f t="shared" si="49"/>
        <v>0</v>
      </c>
    </row>
    <row r="183" spans="1:23" ht="17.100000000000001" customHeight="1">
      <c r="A183" s="91">
        <v>958</v>
      </c>
      <c r="B183" s="91"/>
      <c r="D183" s="22">
        <v>16</v>
      </c>
      <c r="E183" s="120" t="s">
        <v>1115</v>
      </c>
      <c r="F183" s="119" t="s">
        <v>1116</v>
      </c>
      <c r="G183" s="66">
        <v>653</v>
      </c>
      <c r="H183" s="66">
        <v>117</v>
      </c>
      <c r="I183" s="66">
        <f t="shared" si="43"/>
        <v>76401</v>
      </c>
      <c r="K183" s="71">
        <v>22.22</v>
      </c>
      <c r="L183" s="71">
        <v>3.6</v>
      </c>
      <c r="M183" s="74">
        <f t="shared" si="44"/>
        <v>25.82</v>
      </c>
      <c r="N183" s="67">
        <f t="shared" si="45"/>
        <v>16860.46</v>
      </c>
      <c r="P183" s="74">
        <f t="shared" si="46"/>
        <v>22.22</v>
      </c>
      <c r="Q183" s="74">
        <f t="shared" si="46"/>
        <v>3.6</v>
      </c>
      <c r="R183" s="74">
        <f t="shared" si="47"/>
        <v>25.82</v>
      </c>
      <c r="S183" s="98">
        <f t="shared" si="48"/>
        <v>16860.46</v>
      </c>
      <c r="T183" s="92">
        <f t="shared" si="49"/>
        <v>0</v>
      </c>
    </row>
    <row r="184" spans="1:23" ht="17.100000000000001" customHeight="1">
      <c r="A184" s="91">
        <v>965</v>
      </c>
      <c r="B184" s="91"/>
      <c r="D184" s="22">
        <v>17</v>
      </c>
      <c r="E184" s="120" t="s">
        <v>1117</v>
      </c>
      <c r="F184" s="119" t="s">
        <v>1118</v>
      </c>
      <c r="G184" s="66">
        <v>55535</v>
      </c>
      <c r="H184" s="66">
        <v>9</v>
      </c>
      <c r="I184" s="66">
        <f t="shared" si="43"/>
        <v>499815</v>
      </c>
      <c r="K184" s="71">
        <v>8.4700000000000006</v>
      </c>
      <c r="L184" s="71">
        <v>2.2799999999999998</v>
      </c>
      <c r="M184" s="74">
        <f t="shared" si="44"/>
        <v>10.75</v>
      </c>
      <c r="N184" s="67">
        <f t="shared" si="45"/>
        <v>597001.25</v>
      </c>
      <c r="P184" s="74">
        <f t="shared" si="46"/>
        <v>8.4700000000000006</v>
      </c>
      <c r="Q184" s="74">
        <f t="shared" si="46"/>
        <v>2.2799999999999998</v>
      </c>
      <c r="R184" s="74">
        <f t="shared" si="47"/>
        <v>10.75</v>
      </c>
      <c r="S184" s="98">
        <f t="shared" si="48"/>
        <v>597001.25</v>
      </c>
      <c r="T184" s="92">
        <f t="shared" si="49"/>
        <v>0</v>
      </c>
    </row>
    <row r="185" spans="1:23" ht="17.100000000000001" customHeight="1">
      <c r="A185" s="91">
        <v>967</v>
      </c>
      <c r="B185" s="91"/>
      <c r="D185" s="22">
        <v>18</v>
      </c>
      <c r="E185" s="120" t="s">
        <v>1119</v>
      </c>
      <c r="F185" s="119" t="s">
        <v>1120</v>
      </c>
      <c r="G185" s="66">
        <v>86866</v>
      </c>
      <c r="H185" s="66">
        <v>14</v>
      </c>
      <c r="I185" s="66">
        <f t="shared" si="43"/>
        <v>1216124</v>
      </c>
      <c r="K185" s="71">
        <v>18.5</v>
      </c>
      <c r="L185" s="71">
        <v>2.2799999999999998</v>
      </c>
      <c r="M185" s="74">
        <f t="shared" si="44"/>
        <v>20.78</v>
      </c>
      <c r="N185" s="67">
        <f t="shared" si="45"/>
        <v>1805075.4800000002</v>
      </c>
      <c r="P185" s="74">
        <f t="shared" si="46"/>
        <v>18.5</v>
      </c>
      <c r="Q185" s="74">
        <f t="shared" si="46"/>
        <v>2.2799999999999998</v>
      </c>
      <c r="R185" s="74">
        <f t="shared" si="47"/>
        <v>20.78</v>
      </c>
      <c r="S185" s="98">
        <f t="shared" si="48"/>
        <v>1805075.4800000002</v>
      </c>
      <c r="T185" s="92">
        <f t="shared" si="49"/>
        <v>0</v>
      </c>
    </row>
    <row r="186" spans="1:23" ht="17.100000000000001" customHeight="1">
      <c r="A186" s="91">
        <v>968</v>
      </c>
      <c r="B186" s="91"/>
      <c r="D186" s="22">
        <v>19</v>
      </c>
      <c r="E186" s="120" t="s">
        <v>1121</v>
      </c>
      <c r="F186" s="119" t="s">
        <v>1120</v>
      </c>
      <c r="G186" s="66">
        <v>22465</v>
      </c>
      <c r="H186" s="66">
        <v>14</v>
      </c>
      <c r="I186" s="66">
        <f t="shared" si="43"/>
        <v>314510</v>
      </c>
      <c r="K186" s="71">
        <v>22.1</v>
      </c>
      <c r="L186" s="71">
        <v>2.2799999999999998</v>
      </c>
      <c r="M186" s="74">
        <f t="shared" si="44"/>
        <v>24.380000000000003</v>
      </c>
      <c r="N186" s="67">
        <f t="shared" si="45"/>
        <v>547696.70000000007</v>
      </c>
      <c r="P186" s="74">
        <f t="shared" si="46"/>
        <v>22.1</v>
      </c>
      <c r="Q186" s="74">
        <f t="shared" si="46"/>
        <v>2.2799999999999998</v>
      </c>
      <c r="R186" s="74">
        <f t="shared" si="47"/>
        <v>24.380000000000003</v>
      </c>
      <c r="S186" s="98">
        <f t="shared" si="48"/>
        <v>547696.70000000007</v>
      </c>
      <c r="T186" s="92">
        <f t="shared" si="49"/>
        <v>0</v>
      </c>
    </row>
    <row r="187" spans="1:23" ht="17.100000000000001" customHeight="1">
      <c r="A187" s="91">
        <v>971</v>
      </c>
      <c r="B187" s="91"/>
      <c r="D187" s="22">
        <v>20</v>
      </c>
      <c r="E187" s="120" t="s">
        <v>1122</v>
      </c>
      <c r="F187" s="119" t="s">
        <v>1123</v>
      </c>
      <c r="G187" s="66">
        <v>292404</v>
      </c>
      <c r="H187" s="66">
        <v>19</v>
      </c>
      <c r="I187" s="66">
        <f t="shared" si="43"/>
        <v>5555676</v>
      </c>
      <c r="K187" s="71">
        <v>15.07</v>
      </c>
      <c r="L187" s="71">
        <v>1.54</v>
      </c>
      <c r="M187" s="74">
        <f t="shared" si="44"/>
        <v>16.61</v>
      </c>
      <c r="N187" s="67">
        <f t="shared" si="45"/>
        <v>4856830.4399999995</v>
      </c>
      <c r="P187" s="74">
        <f t="shared" si="46"/>
        <v>15.07</v>
      </c>
      <c r="Q187" s="74">
        <f t="shared" si="46"/>
        <v>1.54</v>
      </c>
      <c r="R187" s="74">
        <f t="shared" si="47"/>
        <v>16.61</v>
      </c>
      <c r="S187" s="98">
        <f t="shared" si="48"/>
        <v>4856830.4399999995</v>
      </c>
      <c r="T187" s="92">
        <f t="shared" si="49"/>
        <v>0</v>
      </c>
    </row>
    <row r="188" spans="1:23" ht="17.100000000000001" customHeight="1">
      <c r="A188" s="91">
        <v>972</v>
      </c>
      <c r="B188" s="91"/>
      <c r="D188" s="22">
        <v>21</v>
      </c>
      <c r="E188" s="120" t="s">
        <v>1124</v>
      </c>
      <c r="F188" s="119" t="s">
        <v>1048</v>
      </c>
      <c r="G188" s="66">
        <v>4071</v>
      </c>
      <c r="H188" s="66">
        <v>21</v>
      </c>
      <c r="I188" s="66">
        <f t="shared" si="43"/>
        <v>85491</v>
      </c>
      <c r="K188" s="71">
        <v>20.239999999999998</v>
      </c>
      <c r="L188" s="71">
        <v>2.2799999999999998</v>
      </c>
      <c r="M188" s="74">
        <f t="shared" si="44"/>
        <v>22.52</v>
      </c>
      <c r="N188" s="67">
        <f t="shared" si="45"/>
        <v>91678.92</v>
      </c>
      <c r="P188" s="74">
        <f t="shared" si="46"/>
        <v>20.239999999999998</v>
      </c>
      <c r="Q188" s="74">
        <f t="shared" si="46"/>
        <v>2.2799999999999998</v>
      </c>
      <c r="R188" s="74">
        <f t="shared" si="47"/>
        <v>22.52</v>
      </c>
      <c r="S188" s="98">
        <f t="shared" si="48"/>
        <v>91678.92</v>
      </c>
      <c r="T188" s="92">
        <f t="shared" si="49"/>
        <v>0</v>
      </c>
    </row>
    <row r="189" spans="1:23" ht="17.100000000000001" customHeight="1">
      <c r="A189" s="91">
        <v>973</v>
      </c>
      <c r="B189" s="91"/>
      <c r="D189" s="22">
        <v>22</v>
      </c>
      <c r="E189" s="120" t="s">
        <v>1125</v>
      </c>
      <c r="F189" s="119" t="s">
        <v>1048</v>
      </c>
      <c r="G189" s="66">
        <v>757</v>
      </c>
      <c r="H189" s="66">
        <v>21</v>
      </c>
      <c r="I189" s="66">
        <f t="shared" si="43"/>
        <v>15897</v>
      </c>
      <c r="K189" s="71">
        <v>23.76</v>
      </c>
      <c r="L189" s="71">
        <v>2.2799999999999998</v>
      </c>
      <c r="M189" s="74">
        <f t="shared" si="44"/>
        <v>26.040000000000003</v>
      </c>
      <c r="N189" s="67">
        <f t="shared" si="45"/>
        <v>19712.280000000002</v>
      </c>
      <c r="P189" s="74">
        <f t="shared" si="46"/>
        <v>23.76</v>
      </c>
      <c r="Q189" s="74">
        <f t="shared" si="46"/>
        <v>2.2799999999999998</v>
      </c>
      <c r="R189" s="74">
        <f t="shared" si="47"/>
        <v>26.040000000000003</v>
      </c>
      <c r="S189" s="98">
        <f t="shared" si="48"/>
        <v>19712.280000000002</v>
      </c>
      <c r="T189" s="92">
        <f t="shared" si="49"/>
        <v>0</v>
      </c>
    </row>
    <row r="190" spans="1:23" ht="17.100000000000001" customHeight="1">
      <c r="A190" s="91">
        <v>975</v>
      </c>
      <c r="B190" s="91"/>
      <c r="D190" s="22">
        <v>23</v>
      </c>
      <c r="E190" s="120" t="s">
        <v>1126</v>
      </c>
      <c r="F190" s="119" t="s">
        <v>1127</v>
      </c>
      <c r="G190" s="66">
        <v>52903</v>
      </c>
      <c r="H190" s="66">
        <v>27</v>
      </c>
      <c r="I190" s="66">
        <f t="shared" si="43"/>
        <v>1428381</v>
      </c>
      <c r="K190" s="71">
        <v>19.57</v>
      </c>
      <c r="L190" s="71">
        <v>1.54</v>
      </c>
      <c r="M190" s="74">
        <f t="shared" si="44"/>
        <v>21.11</v>
      </c>
      <c r="N190" s="67">
        <f t="shared" si="45"/>
        <v>1116782.33</v>
      </c>
      <c r="P190" s="74">
        <f t="shared" si="46"/>
        <v>19.57</v>
      </c>
      <c r="Q190" s="74">
        <f t="shared" si="46"/>
        <v>1.54</v>
      </c>
      <c r="R190" s="74">
        <f t="shared" si="47"/>
        <v>21.11</v>
      </c>
      <c r="S190" s="98">
        <f t="shared" si="48"/>
        <v>1116782.33</v>
      </c>
      <c r="T190" s="92">
        <f t="shared" si="49"/>
        <v>0</v>
      </c>
    </row>
    <row r="191" spans="1:23" ht="17.100000000000001" customHeight="1">
      <c r="A191" s="91"/>
      <c r="B191" s="91"/>
      <c r="D191" s="22">
        <v>24</v>
      </c>
      <c r="E191" s="31" t="s">
        <v>978</v>
      </c>
      <c r="G191" s="111"/>
      <c r="N191" s="67">
        <f>SUM(N170:N190)</f>
        <v>35143727.789999999</v>
      </c>
      <c r="O191" s="121"/>
      <c r="P191" s="105"/>
      <c r="S191" s="67">
        <f>SUM(S170:S190)</f>
        <v>35143727.789999999</v>
      </c>
      <c r="T191" s="92">
        <f t="shared" si="49"/>
        <v>0</v>
      </c>
    </row>
    <row r="192" spans="1:23" ht="17.100000000000001" customHeight="1">
      <c r="A192" s="91"/>
      <c r="B192" s="91"/>
      <c r="D192" s="22">
        <v>25</v>
      </c>
      <c r="W192" s="105"/>
    </row>
    <row r="193" spans="1:22" ht="17.100000000000001" customHeight="1">
      <c r="A193" s="91"/>
      <c r="B193" s="91"/>
      <c r="D193" s="22">
        <v>26</v>
      </c>
    </row>
    <row r="194" spans="1:22" ht="17.100000000000001" customHeight="1">
      <c r="A194" s="91"/>
      <c r="B194" s="91"/>
      <c r="D194" s="22">
        <v>27</v>
      </c>
    </row>
    <row r="195" spans="1:22" ht="17.100000000000001" customHeight="1">
      <c r="A195" s="91"/>
      <c r="B195" s="91"/>
      <c r="D195" s="22">
        <v>28</v>
      </c>
    </row>
    <row r="196" spans="1:22" ht="17.100000000000001" customHeight="1">
      <c r="A196" s="91"/>
      <c r="B196" s="91"/>
      <c r="D196" s="22">
        <v>29</v>
      </c>
    </row>
    <row r="197" spans="1:22" ht="17.100000000000001" customHeight="1">
      <c r="A197" s="91"/>
      <c r="B197" s="91"/>
      <c r="D197" s="22">
        <v>30</v>
      </c>
    </row>
    <row r="198" spans="1:22" ht="17.100000000000001" customHeight="1">
      <c r="A198" s="91"/>
      <c r="B198" s="91"/>
      <c r="D198" s="22">
        <v>31</v>
      </c>
    </row>
    <row r="199" spans="1:22" ht="17.100000000000001" customHeight="1">
      <c r="A199" s="91"/>
      <c r="B199" s="91"/>
      <c r="D199" s="22">
        <v>32</v>
      </c>
      <c r="V199" s="105"/>
    </row>
    <row r="200" spans="1:22" ht="17.100000000000001" customHeight="1">
      <c r="A200" s="91"/>
      <c r="B200" s="91"/>
      <c r="D200" s="22">
        <v>33</v>
      </c>
    </row>
    <row r="201" spans="1:22" ht="17.100000000000001" customHeight="1">
      <c r="A201" s="91"/>
      <c r="B201" s="91"/>
      <c r="D201" s="22">
        <v>34</v>
      </c>
    </row>
    <row r="202" spans="1:22" ht="17.100000000000001" customHeight="1">
      <c r="A202" s="91"/>
      <c r="B202" s="91"/>
      <c r="D202" s="22">
        <v>35</v>
      </c>
    </row>
    <row r="203" spans="1:22" ht="17.100000000000001" customHeight="1">
      <c r="A203" s="91"/>
      <c r="B203" s="91"/>
      <c r="D203" s="22">
        <v>36</v>
      </c>
    </row>
    <row r="204" spans="1:22" ht="17.100000000000001" customHeight="1">
      <c r="A204" s="91"/>
      <c r="B204" s="91"/>
      <c r="D204" s="22">
        <v>37</v>
      </c>
    </row>
    <row r="205" spans="1:22" ht="17.100000000000001" customHeight="1">
      <c r="A205" s="91"/>
      <c r="B205" s="91"/>
      <c r="D205" s="22">
        <v>38</v>
      </c>
      <c r="E205" s="108"/>
      <c r="F205" s="32"/>
      <c r="G205" s="66"/>
      <c r="H205" s="66"/>
      <c r="I205" s="66"/>
      <c r="J205" s="22"/>
      <c r="K205" s="22"/>
      <c r="L205" s="22"/>
      <c r="M205" s="22"/>
      <c r="N205" s="122"/>
      <c r="O205" s="1"/>
      <c r="P205" s="123"/>
      <c r="Q205" s="22"/>
      <c r="R205" s="22"/>
      <c r="S205" s="122"/>
      <c r="T205" s="75"/>
    </row>
    <row r="206" spans="1:22" ht="17.100000000000001" customHeight="1">
      <c r="A206" s="91"/>
      <c r="B206" s="91"/>
      <c r="D206" s="22">
        <v>39</v>
      </c>
      <c r="E206" s="108"/>
      <c r="F206" s="32"/>
      <c r="G206" s="66"/>
      <c r="H206" s="66"/>
      <c r="I206" s="66"/>
      <c r="J206" s="22"/>
      <c r="K206" s="22"/>
      <c r="L206" s="22"/>
      <c r="M206" s="22"/>
      <c r="N206" s="122"/>
      <c r="O206" s="1"/>
      <c r="P206" s="123"/>
      <c r="Q206" s="22"/>
      <c r="R206" s="22"/>
      <c r="S206" s="122"/>
      <c r="T206" s="75"/>
    </row>
    <row r="207" spans="1:22" ht="17.100000000000001" customHeight="1" thickBot="1">
      <c r="A207" s="91"/>
      <c r="B207" s="91"/>
      <c r="D207" s="24">
        <v>40</v>
      </c>
      <c r="E207" s="106"/>
      <c r="F207" s="24"/>
      <c r="G207" s="24"/>
      <c r="H207" s="24"/>
      <c r="I207" s="24"/>
      <c r="J207" s="24"/>
      <c r="K207" s="24"/>
      <c r="L207" s="24"/>
      <c r="M207" s="24"/>
      <c r="N207" s="24"/>
      <c r="O207" s="124"/>
      <c r="P207" s="24"/>
      <c r="Q207" s="24"/>
      <c r="R207" s="24"/>
      <c r="S207" s="24"/>
      <c r="T207" s="26" t="s">
        <v>110</v>
      </c>
    </row>
    <row r="208" spans="1:22" ht="17.100000000000001" customHeight="1">
      <c r="A208" s="91"/>
      <c r="B208" s="91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</row>
    <row r="209" spans="1:20" ht="17.100000000000001" customHeight="1" thickBot="1">
      <c r="A209" s="91"/>
      <c r="B209" s="91"/>
      <c r="D209" s="24"/>
      <c r="E209" s="24"/>
      <c r="F209" s="24"/>
      <c r="G209" s="24"/>
      <c r="H209" s="24"/>
      <c r="I209" s="24" t="s">
        <v>940</v>
      </c>
      <c r="J209" s="24"/>
      <c r="K209" s="24"/>
      <c r="L209" s="24"/>
      <c r="M209" s="24"/>
      <c r="N209" s="24"/>
      <c r="O209" s="118"/>
      <c r="P209" s="86"/>
      <c r="Q209" s="24"/>
      <c r="R209" s="24"/>
      <c r="S209" s="24"/>
      <c r="T209" s="24"/>
    </row>
    <row r="210" spans="1:20" ht="17.100000000000001" customHeight="1">
      <c r="A210" s="91"/>
      <c r="B210" s="91"/>
      <c r="D210" s="22"/>
      <c r="E210" s="22"/>
      <c r="F210" s="22"/>
      <c r="G210" s="32"/>
      <c r="H210" s="22"/>
      <c r="I210" s="32"/>
      <c r="J210" s="22"/>
      <c r="K210" s="22"/>
      <c r="L210" s="30"/>
      <c r="M210" s="30"/>
      <c r="N210" s="22"/>
      <c r="O210" s="22"/>
      <c r="P210" s="30"/>
      <c r="Q210" s="30"/>
      <c r="R210" s="22"/>
      <c r="S210" s="22"/>
      <c r="T210" s="31"/>
    </row>
    <row r="211" spans="1:20" ht="17.100000000000001" customHeight="1">
      <c r="A211" s="91"/>
      <c r="B211" s="91"/>
      <c r="D211" s="22"/>
      <c r="E211" s="22"/>
      <c r="F211" s="22"/>
      <c r="G211" s="22"/>
      <c r="H211" s="22"/>
      <c r="I211" s="22"/>
      <c r="J211" s="22"/>
      <c r="K211" s="22"/>
      <c r="L211" s="32"/>
      <c r="M211" s="31"/>
      <c r="N211" s="22"/>
      <c r="O211" s="22"/>
      <c r="P211" s="22"/>
      <c r="Q211" s="88"/>
      <c r="R211" s="32"/>
      <c r="S211" s="31"/>
      <c r="T211" s="32"/>
    </row>
    <row r="212" spans="1:20" ht="17.100000000000001" customHeight="1">
      <c r="A212" s="91"/>
      <c r="B212" s="91"/>
      <c r="D212" s="22"/>
      <c r="E212" s="22"/>
      <c r="F212" s="22"/>
      <c r="G212" s="22"/>
      <c r="H212" s="22"/>
      <c r="I212" s="22"/>
      <c r="J212" s="22"/>
      <c r="K212" s="22"/>
      <c r="L212" s="32"/>
      <c r="M212" s="31"/>
      <c r="N212" s="32"/>
      <c r="O212" s="32"/>
      <c r="P212" s="22"/>
      <c r="Q212" s="32"/>
      <c r="R212" s="32"/>
      <c r="S212" s="31"/>
      <c r="T212" s="32"/>
    </row>
    <row r="213" spans="1:20" ht="17.100000000000001" customHeight="1">
      <c r="A213" s="91"/>
      <c r="B213" s="91"/>
      <c r="D213" s="22"/>
      <c r="E213" s="22"/>
      <c r="F213" s="22"/>
      <c r="G213" s="22"/>
      <c r="H213" s="22"/>
      <c r="I213" s="22"/>
      <c r="J213" s="22"/>
      <c r="K213" s="22"/>
      <c r="L213" s="32"/>
      <c r="M213" s="31"/>
      <c r="N213" s="32"/>
      <c r="O213" s="32"/>
      <c r="P213" s="22"/>
      <c r="Q213" s="32"/>
      <c r="R213" s="32"/>
      <c r="S213" s="31"/>
      <c r="T213" s="32"/>
    </row>
    <row r="214" spans="1:20" ht="17.100000000000001" customHeight="1" thickBot="1">
      <c r="A214" s="91"/>
      <c r="B214" s="91"/>
      <c r="D214" s="24"/>
      <c r="E214" s="24"/>
      <c r="F214" s="24"/>
      <c r="G214" s="24"/>
      <c r="H214" s="24"/>
      <c r="I214" s="24"/>
      <c r="J214" s="24"/>
      <c r="K214" s="25"/>
      <c r="L214" s="24"/>
      <c r="M214" s="24"/>
      <c r="N214" s="24"/>
      <c r="O214" s="24"/>
      <c r="P214" s="24"/>
      <c r="Q214" s="24"/>
      <c r="R214" s="22"/>
      <c r="S214" s="22"/>
      <c r="T214" s="24"/>
    </row>
    <row r="215" spans="1:20" ht="17.100000000000001" customHeight="1">
      <c r="A215" s="91"/>
      <c r="B215" s="91"/>
      <c r="D215" s="89"/>
      <c r="E215" s="334" t="s">
        <v>941</v>
      </c>
      <c r="F215" s="334"/>
      <c r="G215" s="334"/>
      <c r="H215" s="334"/>
      <c r="I215" s="334"/>
      <c r="J215" s="334"/>
      <c r="K215" s="334"/>
      <c r="L215" s="334"/>
      <c r="M215" s="334"/>
      <c r="N215" s="334"/>
      <c r="O215" s="334"/>
      <c r="P215" s="334"/>
      <c r="Q215" s="334"/>
      <c r="R215" s="334"/>
      <c r="S215" s="334"/>
      <c r="T215" s="334"/>
    </row>
    <row r="216" spans="1:20" ht="17.100000000000001" customHeight="1">
      <c r="A216" s="91"/>
      <c r="B216" s="91"/>
      <c r="D216" s="22"/>
      <c r="E216" s="23"/>
      <c r="F216" s="36"/>
      <c r="G216" s="36"/>
      <c r="H216" s="36"/>
      <c r="I216" s="36"/>
      <c r="J216" s="36"/>
      <c r="K216" s="336" t="s">
        <v>942</v>
      </c>
      <c r="L216" s="336"/>
      <c r="M216" s="336"/>
      <c r="N216" s="336"/>
      <c r="O216" s="36"/>
      <c r="P216" s="336" t="s">
        <v>943</v>
      </c>
      <c r="Q216" s="336"/>
      <c r="R216" s="336"/>
      <c r="S216" s="336"/>
      <c r="T216" s="36"/>
    </row>
    <row r="217" spans="1:20" ht="17.100000000000001" customHeight="1">
      <c r="A217" s="91"/>
      <c r="B217" s="91"/>
      <c r="D217" s="22"/>
      <c r="E217" s="23"/>
      <c r="F217" s="36"/>
      <c r="G217" s="23" t="s">
        <v>944</v>
      </c>
      <c r="H217" s="36" t="s">
        <v>945</v>
      </c>
      <c r="I217" s="23"/>
      <c r="J217" s="23"/>
      <c r="K217" s="23" t="s">
        <v>946</v>
      </c>
      <c r="L217" s="23" t="s">
        <v>946</v>
      </c>
      <c r="M217" s="23" t="s">
        <v>947</v>
      </c>
      <c r="N217" s="36" t="s">
        <v>464</v>
      </c>
      <c r="O217" s="36"/>
      <c r="P217" s="23" t="s">
        <v>946</v>
      </c>
      <c r="Q217" s="23" t="s">
        <v>946</v>
      </c>
      <c r="R217" s="23" t="s">
        <v>947</v>
      </c>
      <c r="S217" s="23" t="s">
        <v>464</v>
      </c>
      <c r="T217" s="23"/>
    </row>
    <row r="218" spans="1:20" ht="17.100000000000001" customHeight="1">
      <c r="A218" s="91"/>
      <c r="B218" s="91"/>
      <c r="D218" s="22" t="s">
        <v>55</v>
      </c>
      <c r="E218" s="23" t="s">
        <v>280</v>
      </c>
      <c r="F218" s="23"/>
      <c r="G218" s="23" t="s">
        <v>948</v>
      </c>
      <c r="H218" s="23" t="s">
        <v>946</v>
      </c>
      <c r="I218" s="36" t="s">
        <v>944</v>
      </c>
      <c r="J218" s="36"/>
      <c r="K218" s="36" t="s">
        <v>949</v>
      </c>
      <c r="L218" s="36" t="s">
        <v>950</v>
      </c>
      <c r="M218" s="36" t="s">
        <v>946</v>
      </c>
      <c r="N218" s="23" t="s">
        <v>43</v>
      </c>
      <c r="O218" s="23"/>
      <c r="P218" s="36" t="s">
        <v>949</v>
      </c>
      <c r="Q218" s="36" t="s">
        <v>950</v>
      </c>
      <c r="R218" s="36" t="s">
        <v>946</v>
      </c>
      <c r="S218" s="36" t="s">
        <v>43</v>
      </c>
      <c r="T218" s="36" t="s">
        <v>54</v>
      </c>
    </row>
    <row r="219" spans="1:20" ht="17.100000000000001" customHeight="1" thickBot="1">
      <c r="A219" s="91"/>
      <c r="B219" s="91"/>
      <c r="D219" s="24" t="s">
        <v>60</v>
      </c>
      <c r="E219" s="25" t="s">
        <v>949</v>
      </c>
      <c r="F219" s="25"/>
      <c r="G219" s="25" t="s">
        <v>951</v>
      </c>
      <c r="H219" s="25" t="s">
        <v>304</v>
      </c>
      <c r="I219" s="37" t="s">
        <v>304</v>
      </c>
      <c r="J219" s="37"/>
      <c r="K219" s="37" t="s">
        <v>952</v>
      </c>
      <c r="L219" s="37" t="s">
        <v>952</v>
      </c>
      <c r="M219" s="37" t="s">
        <v>952</v>
      </c>
      <c r="N219" s="37" t="s">
        <v>283</v>
      </c>
      <c r="O219" s="37"/>
      <c r="P219" s="37" t="s">
        <v>952</v>
      </c>
      <c r="Q219" s="37" t="s">
        <v>952</v>
      </c>
      <c r="R219" s="37" t="s">
        <v>952</v>
      </c>
      <c r="S219" s="37" t="s">
        <v>283</v>
      </c>
      <c r="T219" s="37" t="s">
        <v>59</v>
      </c>
    </row>
    <row r="220" spans="1:20" ht="17.100000000000001" customHeight="1">
      <c r="A220" s="91"/>
      <c r="B220" s="91"/>
      <c r="D220" s="22">
        <v>1</v>
      </c>
      <c r="E220" s="89" t="s">
        <v>111</v>
      </c>
      <c r="F220" s="89"/>
      <c r="G220" s="22"/>
      <c r="H220" s="22"/>
      <c r="I220" s="22"/>
      <c r="J220" s="22"/>
      <c r="K220" s="22"/>
      <c r="L220" s="22"/>
      <c r="M220" s="22"/>
      <c r="N220" s="22"/>
      <c r="O220" s="65"/>
      <c r="P220" s="65"/>
      <c r="Q220" s="65"/>
      <c r="R220" s="65"/>
      <c r="S220" s="65"/>
      <c r="T220" s="65"/>
    </row>
    <row r="221" spans="1:20" ht="17.100000000000001" customHeight="1">
      <c r="A221" s="91"/>
      <c r="B221" s="91"/>
      <c r="D221" s="22">
        <v>2</v>
      </c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</row>
    <row r="222" spans="1:20" ht="17.100000000000001" customHeight="1">
      <c r="A222" s="91"/>
      <c r="B222" s="91"/>
      <c r="D222" s="22">
        <v>3</v>
      </c>
      <c r="E222" s="335" t="s">
        <v>1128</v>
      </c>
      <c r="F222" s="335"/>
      <c r="O222" s="105"/>
      <c r="P222" s="105"/>
    </row>
    <row r="223" spans="1:20" ht="17.100000000000001" customHeight="1">
      <c r="A223" s="91">
        <v>901</v>
      </c>
      <c r="B223" s="91"/>
      <c r="D223" s="22">
        <v>4</v>
      </c>
      <c r="E223" s="63" t="s">
        <v>1129</v>
      </c>
      <c r="F223" s="119" t="s">
        <v>1092</v>
      </c>
      <c r="G223" s="66">
        <v>0</v>
      </c>
      <c r="H223" s="66">
        <v>8</v>
      </c>
      <c r="I223" s="93">
        <f t="shared" ref="I223:I243" si="50">+H223*G223</f>
        <v>0</v>
      </c>
      <c r="K223" s="71">
        <v>7.64</v>
      </c>
      <c r="L223" s="71">
        <v>1.74</v>
      </c>
      <c r="M223" s="74">
        <f t="shared" ref="M223:M243" si="51">+K223+L223</f>
        <v>9.379999999999999</v>
      </c>
      <c r="N223" s="67">
        <f t="shared" ref="N223:N243" si="52">+M223*G223</f>
        <v>0</v>
      </c>
      <c r="O223" s="105"/>
      <c r="P223" s="74">
        <f t="shared" ref="P223:Q243" si="53">+K223</f>
        <v>7.64</v>
      </c>
      <c r="Q223" s="74">
        <f t="shared" si="53"/>
        <v>1.74</v>
      </c>
      <c r="R223" s="74">
        <f>+P223+Q223</f>
        <v>9.379999999999999</v>
      </c>
      <c r="S223" s="67">
        <f t="shared" ref="S223:S243" si="54">+R223*G223</f>
        <v>0</v>
      </c>
      <c r="T223" s="92">
        <f t="shared" ref="T223:T243" si="55">IF(S223=0,0,(S223-N223)/N223)</f>
        <v>0</v>
      </c>
    </row>
    <row r="224" spans="1:20" ht="17.100000000000001" customHeight="1">
      <c r="A224" s="91">
        <v>902</v>
      </c>
      <c r="B224" s="91"/>
      <c r="D224" s="22">
        <v>5</v>
      </c>
      <c r="E224" s="63" t="s">
        <v>1130</v>
      </c>
      <c r="F224" s="119" t="s">
        <v>1094</v>
      </c>
      <c r="G224" s="66">
        <v>0</v>
      </c>
      <c r="H224" s="66">
        <v>15</v>
      </c>
      <c r="I224" s="93">
        <f t="shared" si="50"/>
        <v>0</v>
      </c>
      <c r="K224" s="71">
        <v>11.82</v>
      </c>
      <c r="L224" s="71">
        <v>1.74</v>
      </c>
      <c r="M224" s="74">
        <f t="shared" si="51"/>
        <v>13.56</v>
      </c>
      <c r="N224" s="67">
        <f t="shared" si="52"/>
        <v>0</v>
      </c>
      <c r="O224" s="105"/>
      <c r="P224" s="74">
        <f t="shared" si="53"/>
        <v>11.82</v>
      </c>
      <c r="Q224" s="74">
        <f t="shared" si="53"/>
        <v>1.74</v>
      </c>
      <c r="R224" s="74">
        <f t="shared" ref="R224:R243" si="56">+P224+Q224</f>
        <v>13.56</v>
      </c>
      <c r="S224" s="67">
        <f t="shared" si="54"/>
        <v>0</v>
      </c>
      <c r="T224" s="92">
        <f t="shared" si="55"/>
        <v>0</v>
      </c>
    </row>
    <row r="225" spans="1:20" ht="17.100000000000001" customHeight="1">
      <c r="A225" s="91">
        <v>903</v>
      </c>
      <c r="B225" s="91"/>
      <c r="D225" s="22">
        <v>6</v>
      </c>
      <c r="E225" s="63" t="s">
        <v>1131</v>
      </c>
      <c r="F225" s="119" t="s">
        <v>1098</v>
      </c>
      <c r="G225" s="66">
        <v>12</v>
      </c>
      <c r="H225" s="66">
        <v>23</v>
      </c>
      <c r="I225" s="93">
        <f t="shared" si="50"/>
        <v>276</v>
      </c>
      <c r="K225" s="71">
        <v>20.41</v>
      </c>
      <c r="L225" s="71">
        <v>1.38</v>
      </c>
      <c r="M225" s="74">
        <f t="shared" si="51"/>
        <v>21.79</v>
      </c>
      <c r="N225" s="67">
        <f t="shared" si="52"/>
        <v>261.48</v>
      </c>
      <c r="O225" s="105"/>
      <c r="P225" s="74">
        <f t="shared" si="53"/>
        <v>20.41</v>
      </c>
      <c r="Q225" s="74">
        <f t="shared" si="53"/>
        <v>1.38</v>
      </c>
      <c r="R225" s="74">
        <f t="shared" si="56"/>
        <v>21.79</v>
      </c>
      <c r="S225" s="67">
        <f t="shared" si="54"/>
        <v>261.48</v>
      </c>
      <c r="T225" s="92">
        <f t="shared" si="55"/>
        <v>0</v>
      </c>
    </row>
    <row r="226" spans="1:20" ht="17.100000000000001" customHeight="1">
      <c r="A226" s="91">
        <v>904</v>
      </c>
      <c r="B226" s="91"/>
      <c r="D226" s="22">
        <v>7</v>
      </c>
      <c r="E226" s="63" t="s">
        <v>1132</v>
      </c>
      <c r="F226" s="119" t="s">
        <v>1100</v>
      </c>
      <c r="G226" s="66">
        <v>0</v>
      </c>
      <c r="H226" s="66">
        <v>25</v>
      </c>
      <c r="I226" s="93">
        <f t="shared" si="50"/>
        <v>0</v>
      </c>
      <c r="K226" s="71">
        <v>15.21</v>
      </c>
      <c r="L226" s="71">
        <v>1.41</v>
      </c>
      <c r="M226" s="74">
        <f t="shared" si="51"/>
        <v>16.62</v>
      </c>
      <c r="N226" s="67">
        <f t="shared" si="52"/>
        <v>0</v>
      </c>
      <c r="O226" s="105"/>
      <c r="P226" s="74">
        <f t="shared" si="53"/>
        <v>15.21</v>
      </c>
      <c r="Q226" s="74">
        <f t="shared" si="53"/>
        <v>1.41</v>
      </c>
      <c r="R226" s="74">
        <f t="shared" si="56"/>
        <v>16.62</v>
      </c>
      <c r="S226" s="67">
        <f t="shared" si="54"/>
        <v>0</v>
      </c>
      <c r="T226" s="92">
        <f t="shared" si="55"/>
        <v>0</v>
      </c>
    </row>
    <row r="227" spans="1:20" ht="17.100000000000001" customHeight="1">
      <c r="A227" s="91">
        <v>905</v>
      </c>
      <c r="B227" s="91"/>
      <c r="D227" s="22">
        <v>8</v>
      </c>
      <c r="E227" s="63" t="s">
        <v>1133</v>
      </c>
      <c r="F227" s="119" t="s">
        <v>1102</v>
      </c>
      <c r="G227" s="66">
        <v>0</v>
      </c>
      <c r="H227" s="66">
        <v>26</v>
      </c>
      <c r="I227" s="93">
        <f t="shared" si="50"/>
        <v>0</v>
      </c>
      <c r="K227" s="71">
        <v>11.57</v>
      </c>
      <c r="L227" s="71">
        <v>2.2599999999999998</v>
      </c>
      <c r="M227" s="74">
        <f t="shared" si="51"/>
        <v>13.83</v>
      </c>
      <c r="N227" s="67">
        <f t="shared" si="52"/>
        <v>0</v>
      </c>
      <c r="O227" s="105"/>
      <c r="P227" s="74">
        <f t="shared" si="53"/>
        <v>11.57</v>
      </c>
      <c r="Q227" s="74">
        <f t="shared" si="53"/>
        <v>2.2599999999999998</v>
      </c>
      <c r="R227" s="74">
        <f t="shared" si="56"/>
        <v>13.83</v>
      </c>
      <c r="S227" s="67">
        <f t="shared" si="54"/>
        <v>0</v>
      </c>
      <c r="T227" s="92">
        <f t="shared" si="55"/>
        <v>0</v>
      </c>
    </row>
    <row r="228" spans="1:20" ht="17.100000000000001" customHeight="1">
      <c r="A228" s="91">
        <v>906</v>
      </c>
      <c r="B228" s="91"/>
      <c r="D228" s="22">
        <v>9</v>
      </c>
      <c r="E228" s="63" t="s">
        <v>1134</v>
      </c>
      <c r="F228" s="119" t="s">
        <v>1106</v>
      </c>
      <c r="G228" s="66">
        <v>0</v>
      </c>
      <c r="H228" s="66">
        <v>43</v>
      </c>
      <c r="I228" s="93">
        <f t="shared" si="50"/>
        <v>0</v>
      </c>
      <c r="K228" s="71">
        <v>21.2</v>
      </c>
      <c r="L228" s="71">
        <v>2.5099999999999998</v>
      </c>
      <c r="M228" s="74">
        <f t="shared" si="51"/>
        <v>23.71</v>
      </c>
      <c r="N228" s="67">
        <f t="shared" si="52"/>
        <v>0</v>
      </c>
      <c r="O228" s="105"/>
      <c r="P228" s="74">
        <f t="shared" si="53"/>
        <v>21.2</v>
      </c>
      <c r="Q228" s="74">
        <f t="shared" si="53"/>
        <v>2.5099999999999998</v>
      </c>
      <c r="R228" s="74">
        <f t="shared" si="56"/>
        <v>23.71</v>
      </c>
      <c r="S228" s="67">
        <f t="shared" si="54"/>
        <v>0</v>
      </c>
      <c r="T228" s="92">
        <f t="shared" si="55"/>
        <v>0</v>
      </c>
    </row>
    <row r="229" spans="1:20" ht="17.100000000000001" customHeight="1">
      <c r="A229" s="91">
        <v>907</v>
      </c>
      <c r="B229" s="91"/>
      <c r="D229" s="22">
        <v>10</v>
      </c>
      <c r="E229" s="63" t="s">
        <v>1135</v>
      </c>
      <c r="F229" s="119" t="s">
        <v>1116</v>
      </c>
      <c r="G229" s="66">
        <v>0</v>
      </c>
      <c r="H229" s="66">
        <v>58</v>
      </c>
      <c r="I229" s="93">
        <f t="shared" si="50"/>
        <v>0</v>
      </c>
      <c r="K229" s="71">
        <v>22.22</v>
      </c>
      <c r="L229" s="71">
        <v>3.6</v>
      </c>
      <c r="M229" s="74">
        <f t="shared" si="51"/>
        <v>25.82</v>
      </c>
      <c r="N229" s="67">
        <f t="shared" si="52"/>
        <v>0</v>
      </c>
      <c r="O229" s="105"/>
      <c r="P229" s="74">
        <f t="shared" si="53"/>
        <v>22.22</v>
      </c>
      <c r="Q229" s="74">
        <f t="shared" si="53"/>
        <v>3.6</v>
      </c>
      <c r="R229" s="74">
        <f t="shared" si="56"/>
        <v>25.82</v>
      </c>
      <c r="S229" s="67">
        <f t="shared" si="54"/>
        <v>0</v>
      </c>
      <c r="T229" s="92">
        <f t="shared" si="55"/>
        <v>0</v>
      </c>
    </row>
    <row r="230" spans="1:20" ht="17.100000000000001" customHeight="1">
      <c r="A230" s="91">
        <v>981</v>
      </c>
      <c r="B230" s="91"/>
      <c r="D230" s="22">
        <v>11</v>
      </c>
      <c r="E230" s="108" t="s">
        <v>1136</v>
      </c>
      <c r="F230" s="119" t="s">
        <v>1090</v>
      </c>
      <c r="G230" s="66">
        <v>156</v>
      </c>
      <c r="H230" s="66">
        <v>5</v>
      </c>
      <c r="I230" s="66">
        <f t="shared" si="50"/>
        <v>780</v>
      </c>
      <c r="J230" s="22"/>
      <c r="K230" s="71">
        <v>7.72</v>
      </c>
      <c r="L230" s="71">
        <v>1.74</v>
      </c>
      <c r="M230" s="74">
        <f t="shared" si="51"/>
        <v>9.4599999999999991</v>
      </c>
      <c r="N230" s="67">
        <f t="shared" si="52"/>
        <v>1475.7599999999998</v>
      </c>
      <c r="O230" s="22"/>
      <c r="P230" s="74">
        <f t="shared" si="53"/>
        <v>7.72</v>
      </c>
      <c r="Q230" s="74">
        <f t="shared" si="53"/>
        <v>1.74</v>
      </c>
      <c r="R230" s="74">
        <f t="shared" si="56"/>
        <v>9.4599999999999991</v>
      </c>
      <c r="S230" s="67">
        <f t="shared" si="54"/>
        <v>1475.7599999999998</v>
      </c>
      <c r="T230" s="92">
        <f t="shared" si="55"/>
        <v>0</v>
      </c>
    </row>
    <row r="231" spans="1:20" ht="17.100000000000001" customHeight="1">
      <c r="A231" s="91">
        <v>982</v>
      </c>
      <c r="B231" s="91"/>
      <c r="D231" s="22">
        <v>12</v>
      </c>
      <c r="E231" s="108" t="s">
        <v>1137</v>
      </c>
      <c r="F231" s="119" t="s">
        <v>1096</v>
      </c>
      <c r="G231" s="66">
        <v>317</v>
      </c>
      <c r="H231" s="66">
        <v>18</v>
      </c>
      <c r="I231" s="66">
        <f t="shared" si="50"/>
        <v>5706</v>
      </c>
      <c r="J231" s="22"/>
      <c r="K231" s="71">
        <v>10.85</v>
      </c>
      <c r="L231" s="71">
        <v>1.19</v>
      </c>
      <c r="M231" s="74">
        <f t="shared" si="51"/>
        <v>12.04</v>
      </c>
      <c r="N231" s="67">
        <f t="shared" si="52"/>
        <v>3816.68</v>
      </c>
      <c r="O231" s="22"/>
      <c r="P231" s="74">
        <f t="shared" si="53"/>
        <v>10.85</v>
      </c>
      <c r="Q231" s="74">
        <f t="shared" si="53"/>
        <v>1.19</v>
      </c>
      <c r="R231" s="74">
        <f t="shared" si="56"/>
        <v>12.04</v>
      </c>
      <c r="S231" s="67">
        <f t="shared" si="54"/>
        <v>3816.68</v>
      </c>
      <c r="T231" s="92">
        <f t="shared" si="55"/>
        <v>0</v>
      </c>
    </row>
    <row r="232" spans="1:20" ht="17.100000000000001" customHeight="1">
      <c r="A232" s="91">
        <v>983</v>
      </c>
      <c r="B232" s="91"/>
      <c r="D232" s="22">
        <v>13</v>
      </c>
      <c r="E232" s="108" t="s">
        <v>1138</v>
      </c>
      <c r="F232" s="119" t="s">
        <v>1104</v>
      </c>
      <c r="G232" s="66">
        <v>449</v>
      </c>
      <c r="H232" s="66">
        <v>32</v>
      </c>
      <c r="I232" s="66">
        <f t="shared" si="50"/>
        <v>14368</v>
      </c>
      <c r="J232" s="22"/>
      <c r="K232" s="71">
        <v>14.74</v>
      </c>
      <c r="L232" s="71">
        <v>2.5099999999999998</v>
      </c>
      <c r="M232" s="74">
        <f t="shared" si="51"/>
        <v>17.25</v>
      </c>
      <c r="N232" s="67">
        <f t="shared" si="52"/>
        <v>7745.25</v>
      </c>
      <c r="O232" s="22"/>
      <c r="P232" s="74">
        <f t="shared" si="53"/>
        <v>14.74</v>
      </c>
      <c r="Q232" s="74">
        <f t="shared" si="53"/>
        <v>2.5099999999999998</v>
      </c>
      <c r="R232" s="74">
        <f t="shared" si="56"/>
        <v>17.25</v>
      </c>
      <c r="S232" s="67">
        <f t="shared" si="54"/>
        <v>7745.25</v>
      </c>
      <c r="T232" s="92">
        <f t="shared" si="55"/>
        <v>0</v>
      </c>
    </row>
    <row r="233" spans="1:20" ht="17.100000000000001" customHeight="1">
      <c r="A233" s="91">
        <v>984</v>
      </c>
      <c r="B233" s="91"/>
      <c r="D233" s="22">
        <v>14</v>
      </c>
      <c r="E233" s="108" t="s">
        <v>1139</v>
      </c>
      <c r="F233" s="119" t="s">
        <v>1108</v>
      </c>
      <c r="G233" s="66">
        <v>593</v>
      </c>
      <c r="H233" s="66">
        <v>58</v>
      </c>
      <c r="I233" s="66">
        <f t="shared" si="50"/>
        <v>34394</v>
      </c>
      <c r="K233" s="71">
        <v>26.6</v>
      </c>
      <c r="L233" s="71">
        <v>1.55</v>
      </c>
      <c r="M233" s="74">
        <f t="shared" si="51"/>
        <v>28.150000000000002</v>
      </c>
      <c r="N233" s="67">
        <f t="shared" si="52"/>
        <v>16692.95</v>
      </c>
      <c r="P233" s="74">
        <f t="shared" si="53"/>
        <v>26.6</v>
      </c>
      <c r="Q233" s="74">
        <f t="shared" si="53"/>
        <v>1.55</v>
      </c>
      <c r="R233" s="74">
        <f t="shared" si="56"/>
        <v>28.150000000000002</v>
      </c>
      <c r="S233" s="67">
        <f t="shared" si="54"/>
        <v>16692.95</v>
      </c>
      <c r="T233" s="92">
        <f t="shared" si="55"/>
        <v>0</v>
      </c>
    </row>
    <row r="234" spans="1:20" ht="17.100000000000001" customHeight="1">
      <c r="A234" s="91">
        <v>985</v>
      </c>
      <c r="B234" s="91"/>
      <c r="D234" s="22">
        <v>15</v>
      </c>
      <c r="E234" s="108" t="s">
        <v>1140</v>
      </c>
      <c r="F234" s="119" t="s">
        <v>1110</v>
      </c>
      <c r="G234" s="66">
        <v>96</v>
      </c>
      <c r="H234" s="66">
        <v>35</v>
      </c>
      <c r="I234" s="66">
        <f t="shared" si="50"/>
        <v>3360</v>
      </c>
      <c r="K234" s="71">
        <v>16.510000000000002</v>
      </c>
      <c r="L234" s="71">
        <v>3.45</v>
      </c>
      <c r="M234" s="74">
        <f t="shared" si="51"/>
        <v>19.96</v>
      </c>
      <c r="N234" s="67">
        <f t="shared" si="52"/>
        <v>1916.16</v>
      </c>
      <c r="P234" s="74">
        <f t="shared" si="53"/>
        <v>16.510000000000002</v>
      </c>
      <c r="Q234" s="74">
        <f t="shared" si="53"/>
        <v>3.45</v>
      </c>
      <c r="R234" s="74">
        <f t="shared" si="56"/>
        <v>19.96</v>
      </c>
      <c r="S234" s="67">
        <f t="shared" si="54"/>
        <v>1916.16</v>
      </c>
      <c r="T234" s="92">
        <f t="shared" si="55"/>
        <v>0</v>
      </c>
    </row>
    <row r="235" spans="1:20" ht="17.100000000000001" customHeight="1">
      <c r="A235" s="91">
        <v>986</v>
      </c>
      <c r="B235" s="91"/>
      <c r="D235" s="22">
        <v>16</v>
      </c>
      <c r="E235" s="108" t="s">
        <v>1141</v>
      </c>
      <c r="F235" s="119" t="s">
        <v>1112</v>
      </c>
      <c r="G235" s="66">
        <v>60</v>
      </c>
      <c r="H235" s="66">
        <v>45</v>
      </c>
      <c r="I235" s="66">
        <f t="shared" si="50"/>
        <v>2700</v>
      </c>
      <c r="K235" s="71">
        <v>27.78</v>
      </c>
      <c r="L235" s="71">
        <v>4.0999999999999996</v>
      </c>
      <c r="M235" s="74">
        <f t="shared" si="51"/>
        <v>31.880000000000003</v>
      </c>
      <c r="N235" s="67">
        <f t="shared" si="52"/>
        <v>1912.8000000000002</v>
      </c>
      <c r="P235" s="74">
        <f t="shared" si="53"/>
        <v>27.78</v>
      </c>
      <c r="Q235" s="74">
        <f t="shared" si="53"/>
        <v>4.0999999999999996</v>
      </c>
      <c r="R235" s="74">
        <f t="shared" si="56"/>
        <v>31.880000000000003</v>
      </c>
      <c r="S235" s="67">
        <f t="shared" si="54"/>
        <v>1912.8000000000002</v>
      </c>
      <c r="T235" s="92">
        <f t="shared" si="55"/>
        <v>0</v>
      </c>
    </row>
    <row r="236" spans="1:20" ht="17.100000000000001" customHeight="1">
      <c r="A236" s="91">
        <v>987</v>
      </c>
      <c r="B236" s="91"/>
      <c r="D236" s="22">
        <v>17</v>
      </c>
      <c r="E236" s="108" t="s">
        <v>1142</v>
      </c>
      <c r="F236" s="119" t="s">
        <v>1114</v>
      </c>
      <c r="G236" s="66">
        <v>12</v>
      </c>
      <c r="H236" s="66">
        <v>39</v>
      </c>
      <c r="I236" s="66">
        <f t="shared" si="50"/>
        <v>468</v>
      </c>
      <c r="K236" s="71">
        <v>17.77</v>
      </c>
      <c r="L236" s="71">
        <v>3.04</v>
      </c>
      <c r="M236" s="74">
        <f t="shared" si="51"/>
        <v>20.81</v>
      </c>
      <c r="N236" s="67">
        <f t="shared" si="52"/>
        <v>249.71999999999997</v>
      </c>
      <c r="P236" s="74">
        <f t="shared" si="53"/>
        <v>17.77</v>
      </c>
      <c r="Q236" s="74">
        <f t="shared" si="53"/>
        <v>3.04</v>
      </c>
      <c r="R236" s="74">
        <f t="shared" si="56"/>
        <v>20.81</v>
      </c>
      <c r="S236" s="67">
        <f t="shared" si="54"/>
        <v>249.71999999999997</v>
      </c>
      <c r="T236" s="92">
        <f t="shared" si="55"/>
        <v>0</v>
      </c>
    </row>
    <row r="237" spans="1:20" ht="17.100000000000001" customHeight="1">
      <c r="A237" s="91">
        <v>988</v>
      </c>
      <c r="B237" s="91"/>
      <c r="D237" s="22">
        <v>18</v>
      </c>
      <c r="E237" s="108" t="s">
        <v>1143</v>
      </c>
      <c r="F237" s="119" t="s">
        <v>1120</v>
      </c>
      <c r="G237" s="66">
        <v>0</v>
      </c>
      <c r="H237" s="66">
        <v>7</v>
      </c>
      <c r="I237" s="66">
        <f t="shared" si="50"/>
        <v>0</v>
      </c>
      <c r="K237" s="71">
        <v>18.5</v>
      </c>
      <c r="L237" s="71">
        <v>2.2799999999999998</v>
      </c>
      <c r="M237" s="74">
        <f t="shared" si="51"/>
        <v>20.78</v>
      </c>
      <c r="N237" s="67">
        <f t="shared" si="52"/>
        <v>0</v>
      </c>
      <c r="P237" s="74">
        <f t="shared" si="53"/>
        <v>18.5</v>
      </c>
      <c r="Q237" s="74">
        <f t="shared" si="53"/>
        <v>2.2799999999999998</v>
      </c>
      <c r="R237" s="74">
        <f t="shared" si="56"/>
        <v>20.78</v>
      </c>
      <c r="S237" s="67">
        <f t="shared" si="54"/>
        <v>0</v>
      </c>
      <c r="T237" s="92">
        <f t="shared" si="55"/>
        <v>0</v>
      </c>
    </row>
    <row r="238" spans="1:20" ht="17.100000000000001" customHeight="1">
      <c r="A238" s="91">
        <v>989</v>
      </c>
      <c r="B238" s="91"/>
      <c r="D238" s="22">
        <v>19</v>
      </c>
      <c r="E238" s="120" t="s">
        <v>1144</v>
      </c>
      <c r="F238" s="119" t="s">
        <v>1120</v>
      </c>
      <c r="G238" s="66">
        <v>0</v>
      </c>
      <c r="H238" s="66">
        <v>7</v>
      </c>
      <c r="I238" s="66">
        <f t="shared" si="50"/>
        <v>0</v>
      </c>
      <c r="K238" s="71">
        <v>22.1</v>
      </c>
      <c r="L238" s="71">
        <v>2.2799999999999998</v>
      </c>
      <c r="M238" s="74">
        <f t="shared" si="51"/>
        <v>24.380000000000003</v>
      </c>
      <c r="N238" s="67">
        <f t="shared" si="52"/>
        <v>0</v>
      </c>
      <c r="P238" s="74">
        <f t="shared" si="53"/>
        <v>22.1</v>
      </c>
      <c r="Q238" s="74">
        <f t="shared" si="53"/>
        <v>2.2799999999999998</v>
      </c>
      <c r="R238" s="74">
        <f t="shared" si="56"/>
        <v>24.380000000000003</v>
      </c>
      <c r="S238" s="67">
        <f t="shared" si="54"/>
        <v>0</v>
      </c>
      <c r="T238" s="92">
        <f t="shared" si="55"/>
        <v>0</v>
      </c>
    </row>
    <row r="239" spans="1:20" ht="17.100000000000001" customHeight="1">
      <c r="A239" s="91">
        <v>990</v>
      </c>
      <c r="B239" s="91"/>
      <c r="D239" s="22">
        <v>20</v>
      </c>
      <c r="E239" s="108" t="s">
        <v>1145</v>
      </c>
      <c r="F239" s="119" t="s">
        <v>1127</v>
      </c>
      <c r="G239" s="66">
        <v>473</v>
      </c>
      <c r="H239" s="66">
        <v>13</v>
      </c>
      <c r="I239" s="66">
        <f t="shared" si="50"/>
        <v>6149</v>
      </c>
      <c r="K239" s="71">
        <v>19.57</v>
      </c>
      <c r="L239" s="71">
        <v>1.54</v>
      </c>
      <c r="M239" s="74">
        <f t="shared" si="51"/>
        <v>21.11</v>
      </c>
      <c r="N239" s="67">
        <f t="shared" si="52"/>
        <v>9985.0299999999988</v>
      </c>
      <c r="P239" s="74">
        <f t="shared" si="53"/>
        <v>19.57</v>
      </c>
      <c r="Q239" s="74">
        <f t="shared" si="53"/>
        <v>1.54</v>
      </c>
      <c r="R239" s="74">
        <f t="shared" si="56"/>
        <v>21.11</v>
      </c>
      <c r="S239" s="67">
        <f t="shared" si="54"/>
        <v>9985.0299999999988</v>
      </c>
      <c r="T239" s="92">
        <f t="shared" si="55"/>
        <v>0</v>
      </c>
    </row>
    <row r="240" spans="1:20" ht="17.100000000000001" customHeight="1">
      <c r="A240" s="91">
        <v>991</v>
      </c>
      <c r="B240" s="91"/>
      <c r="D240" s="22">
        <v>21</v>
      </c>
      <c r="E240" s="108" t="s">
        <v>1146</v>
      </c>
      <c r="F240" s="119" t="s">
        <v>1118</v>
      </c>
      <c r="G240" s="66">
        <v>0</v>
      </c>
      <c r="H240" s="66">
        <v>4</v>
      </c>
      <c r="I240" s="93">
        <f t="shared" si="50"/>
        <v>0</v>
      </c>
      <c r="K240" s="71">
        <v>8.4700000000000006</v>
      </c>
      <c r="L240" s="71">
        <v>2.2799999999999998</v>
      </c>
      <c r="M240" s="74">
        <f t="shared" si="51"/>
        <v>10.75</v>
      </c>
      <c r="N240" s="125">
        <f t="shared" si="52"/>
        <v>0</v>
      </c>
      <c r="P240" s="74">
        <f t="shared" si="53"/>
        <v>8.4700000000000006</v>
      </c>
      <c r="Q240" s="74">
        <f t="shared" si="53"/>
        <v>2.2799999999999998</v>
      </c>
      <c r="R240" s="74">
        <f t="shared" si="56"/>
        <v>10.75</v>
      </c>
      <c r="S240" s="125">
        <f t="shared" si="54"/>
        <v>0</v>
      </c>
      <c r="T240" s="92">
        <f t="shared" si="55"/>
        <v>0</v>
      </c>
    </row>
    <row r="241" spans="1:20" ht="17.100000000000001" customHeight="1">
      <c r="A241" s="91">
        <v>992</v>
      </c>
      <c r="B241" s="91"/>
      <c r="D241" s="22">
        <v>22</v>
      </c>
      <c r="E241" s="108" t="s">
        <v>1147</v>
      </c>
      <c r="F241" s="119" t="s">
        <v>1123</v>
      </c>
      <c r="G241" s="66">
        <v>12</v>
      </c>
      <c r="H241" s="66">
        <v>9</v>
      </c>
      <c r="I241" s="93">
        <f t="shared" si="50"/>
        <v>108</v>
      </c>
      <c r="K241" s="71">
        <v>15.07</v>
      </c>
      <c r="L241" s="71">
        <v>1.54</v>
      </c>
      <c r="M241" s="74">
        <f t="shared" si="51"/>
        <v>16.61</v>
      </c>
      <c r="N241" s="125">
        <f t="shared" si="52"/>
        <v>199.32</v>
      </c>
      <c r="P241" s="74">
        <f t="shared" si="53"/>
        <v>15.07</v>
      </c>
      <c r="Q241" s="74">
        <f t="shared" si="53"/>
        <v>1.54</v>
      </c>
      <c r="R241" s="74">
        <f t="shared" si="56"/>
        <v>16.61</v>
      </c>
      <c r="S241" s="125">
        <f t="shared" si="54"/>
        <v>199.32</v>
      </c>
      <c r="T241" s="92">
        <f t="shared" si="55"/>
        <v>0</v>
      </c>
    </row>
    <row r="242" spans="1:20" ht="17.100000000000001" customHeight="1">
      <c r="A242" s="91">
        <v>993</v>
      </c>
      <c r="B242" s="91"/>
      <c r="D242" s="22">
        <v>23</v>
      </c>
      <c r="E242" s="108" t="s">
        <v>1148</v>
      </c>
      <c r="F242" s="119" t="s">
        <v>1048</v>
      </c>
      <c r="G242" s="66">
        <v>0</v>
      </c>
      <c r="H242" s="66">
        <v>10</v>
      </c>
      <c r="I242" s="93">
        <f t="shared" si="50"/>
        <v>0</v>
      </c>
      <c r="K242" s="71">
        <v>20.239999999999998</v>
      </c>
      <c r="L242" s="71">
        <v>2.2799999999999998</v>
      </c>
      <c r="M242" s="74">
        <f t="shared" si="51"/>
        <v>22.52</v>
      </c>
      <c r="N242" s="125">
        <f t="shared" si="52"/>
        <v>0</v>
      </c>
      <c r="P242" s="74">
        <f t="shared" si="53"/>
        <v>20.239999999999998</v>
      </c>
      <c r="Q242" s="74">
        <f t="shared" si="53"/>
        <v>2.2799999999999998</v>
      </c>
      <c r="R242" s="74">
        <f t="shared" si="56"/>
        <v>22.52</v>
      </c>
      <c r="S242" s="125">
        <f t="shared" si="54"/>
        <v>0</v>
      </c>
      <c r="T242" s="92">
        <f t="shared" si="55"/>
        <v>0</v>
      </c>
    </row>
    <row r="243" spans="1:20" ht="17.100000000000001" customHeight="1">
      <c r="A243" s="91">
        <v>994</v>
      </c>
      <c r="B243" s="91"/>
      <c r="D243" s="22">
        <v>24</v>
      </c>
      <c r="E243" s="108" t="s">
        <v>1149</v>
      </c>
      <c r="F243" s="119" t="s">
        <v>1048</v>
      </c>
      <c r="G243" s="66">
        <v>0</v>
      </c>
      <c r="H243" s="66">
        <v>10</v>
      </c>
      <c r="I243" s="93">
        <f t="shared" si="50"/>
        <v>0</v>
      </c>
      <c r="K243" s="71">
        <v>23.76</v>
      </c>
      <c r="L243" s="71">
        <v>2.2799999999999998</v>
      </c>
      <c r="M243" s="74">
        <f t="shared" si="51"/>
        <v>26.040000000000003</v>
      </c>
      <c r="N243" s="125">
        <f t="shared" si="52"/>
        <v>0</v>
      </c>
      <c r="P243" s="74">
        <f t="shared" si="53"/>
        <v>23.76</v>
      </c>
      <c r="Q243" s="74">
        <f t="shared" si="53"/>
        <v>2.2799999999999998</v>
      </c>
      <c r="R243" s="74">
        <f t="shared" si="56"/>
        <v>26.040000000000003</v>
      </c>
      <c r="S243" s="125">
        <f t="shared" si="54"/>
        <v>0</v>
      </c>
      <c r="T243" s="92">
        <f t="shared" si="55"/>
        <v>0</v>
      </c>
    </row>
    <row r="244" spans="1:20" ht="17.100000000000001" customHeight="1">
      <c r="A244" s="91"/>
      <c r="B244" s="91"/>
      <c r="D244" s="22">
        <v>25</v>
      </c>
      <c r="E244" s="107" t="s">
        <v>978</v>
      </c>
      <c r="F244" s="108"/>
      <c r="G244" s="108"/>
      <c r="H244" s="108"/>
      <c r="I244" s="70"/>
      <c r="J244" s="70"/>
      <c r="K244" s="108"/>
      <c r="L244" s="108"/>
      <c r="M244" s="108"/>
      <c r="N244" s="126">
        <f>SUM(N223:N243)</f>
        <v>44255.15</v>
      </c>
      <c r="P244" s="108"/>
      <c r="Q244" s="108"/>
      <c r="R244" s="108"/>
      <c r="S244" s="126">
        <f>SUM(S223:S243)</f>
        <v>44255.15</v>
      </c>
      <c r="T244" s="127"/>
    </row>
    <row r="245" spans="1:20" ht="17.100000000000001" customHeight="1">
      <c r="A245" s="91"/>
      <c r="B245" s="91"/>
      <c r="D245" s="22">
        <v>26</v>
      </c>
      <c r="T245" s="128"/>
    </row>
    <row r="246" spans="1:20" ht="17.100000000000001" customHeight="1">
      <c r="A246" s="91"/>
      <c r="B246" s="91"/>
      <c r="D246" s="22">
        <v>27</v>
      </c>
      <c r="E246" s="108" t="s">
        <v>1150</v>
      </c>
      <c r="F246" s="32"/>
      <c r="G246" s="129">
        <f>SUM(G13:G47)+SUM(G66:G99)+SUM(G118:G153)+SUM(G170:G239)</f>
        <v>2922431</v>
      </c>
      <c r="H246" s="66"/>
      <c r="I246" s="129">
        <f>SUM(I13:I47)+SUM(I66:I99)+SUM(I118:I153)+SUM(I170:I239)</f>
        <v>90975748</v>
      </c>
      <c r="J246" s="22"/>
      <c r="K246" s="22"/>
      <c r="L246" s="22"/>
      <c r="M246" s="22"/>
      <c r="N246" s="130">
        <f>N30+N48+N83+N100+N135+N154+N191+N244</f>
        <v>41424938.559999995</v>
      </c>
      <c r="O246" s="123"/>
      <c r="P246" s="123"/>
      <c r="Q246" s="22"/>
      <c r="R246" s="22"/>
      <c r="S246" s="130">
        <f>S30+S48+S83+S100+S135+S154+S191+S244</f>
        <v>41424938.559999995</v>
      </c>
      <c r="T246" s="92">
        <f>IF(S246=0,0,(S246-N246)/N246)</f>
        <v>0</v>
      </c>
    </row>
    <row r="247" spans="1:20" ht="17.100000000000001" customHeight="1">
      <c r="A247" s="91"/>
      <c r="B247" s="91"/>
      <c r="D247" s="22">
        <v>28</v>
      </c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</row>
    <row r="248" spans="1:20" ht="17.100000000000001" customHeight="1">
      <c r="A248" s="91"/>
      <c r="B248" s="91"/>
      <c r="D248" s="22">
        <v>29</v>
      </c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</row>
    <row r="249" spans="1:20" ht="17.100000000000001" customHeight="1">
      <c r="A249" s="91"/>
      <c r="B249" s="91"/>
      <c r="D249" s="22">
        <v>30</v>
      </c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</row>
    <row r="250" spans="1:20" ht="17.100000000000001" customHeight="1">
      <c r="A250" s="91"/>
      <c r="B250" s="91"/>
      <c r="D250" s="22">
        <v>31</v>
      </c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</row>
    <row r="251" spans="1:20" ht="17.100000000000001" customHeight="1">
      <c r="A251" s="91"/>
      <c r="B251" s="91"/>
      <c r="D251" s="22">
        <v>32</v>
      </c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</row>
    <row r="252" spans="1:20" ht="17.100000000000001" customHeight="1">
      <c r="A252" s="91"/>
      <c r="B252" s="91"/>
      <c r="D252" s="22">
        <v>33</v>
      </c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</row>
    <row r="253" spans="1:20" ht="17.100000000000001" customHeight="1">
      <c r="A253" s="91"/>
      <c r="B253" s="91"/>
      <c r="D253" s="22">
        <v>34</v>
      </c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</row>
    <row r="254" spans="1:20" ht="17.100000000000001" customHeight="1">
      <c r="A254" s="91"/>
      <c r="B254" s="91"/>
      <c r="D254" s="22">
        <v>35</v>
      </c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</row>
    <row r="255" spans="1:20" ht="17.100000000000001" customHeight="1">
      <c r="A255" s="91"/>
      <c r="B255" s="91"/>
      <c r="D255" s="22">
        <v>36</v>
      </c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</row>
    <row r="256" spans="1:20" ht="17.100000000000001" customHeight="1">
      <c r="A256" s="91"/>
      <c r="B256" s="91"/>
      <c r="D256" s="22">
        <v>37</v>
      </c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</row>
    <row r="257" spans="1:20" ht="17.100000000000001" customHeight="1">
      <c r="A257" s="91"/>
      <c r="B257" s="91"/>
      <c r="D257" s="22">
        <v>38</v>
      </c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</row>
    <row r="258" spans="1:20" ht="17.100000000000001" customHeight="1">
      <c r="A258" s="91"/>
      <c r="B258" s="91"/>
      <c r="D258" s="22">
        <v>39</v>
      </c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</row>
    <row r="259" spans="1:20" ht="17.100000000000001" customHeight="1" thickBot="1">
      <c r="A259" s="91"/>
      <c r="B259" s="91"/>
      <c r="D259" s="106">
        <v>40</v>
      </c>
      <c r="E259" s="106"/>
      <c r="F259" s="24"/>
      <c r="G259" s="24"/>
      <c r="H259" s="24"/>
      <c r="I259" s="24"/>
      <c r="J259" s="24"/>
      <c r="K259" s="24"/>
      <c r="L259" s="24"/>
      <c r="M259" s="24"/>
      <c r="N259" s="24"/>
      <c r="O259" s="124"/>
      <c r="P259" s="24"/>
      <c r="Q259" s="24"/>
      <c r="R259" s="24"/>
      <c r="S259" s="24"/>
      <c r="T259" s="26" t="s">
        <v>1151</v>
      </c>
    </row>
    <row r="260" spans="1:20" ht="17.100000000000001" customHeight="1">
      <c r="A260" s="91"/>
      <c r="B260" s="91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</row>
    <row r="261" spans="1:20" ht="17.100000000000001" customHeight="1" thickBot="1">
      <c r="A261" s="91"/>
      <c r="B261" s="91"/>
      <c r="D261" s="24"/>
      <c r="E261" s="24"/>
      <c r="F261" s="24"/>
      <c r="G261" s="24"/>
      <c r="H261" s="24"/>
      <c r="I261" s="24" t="str">
        <f>+$I$1</f>
        <v>REVENUE BY RATE SCHEDULE - LIGHTING SCHEDULE CALCULATION</v>
      </c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</row>
    <row r="262" spans="1:20" ht="17.100000000000001" customHeight="1">
      <c r="A262" s="91"/>
      <c r="B262" s="91"/>
      <c r="D262" s="22"/>
      <c r="E262" s="22"/>
      <c r="F262" s="22"/>
      <c r="G262" s="32"/>
      <c r="H262" s="22"/>
      <c r="I262" s="32"/>
      <c r="J262" s="22"/>
      <c r="K262" s="22"/>
      <c r="L262" s="30"/>
      <c r="M262" s="30"/>
      <c r="N262" s="22"/>
      <c r="O262" s="22"/>
      <c r="P262" s="30"/>
      <c r="Q262" s="30"/>
      <c r="R262" s="22"/>
      <c r="S262" s="22"/>
      <c r="T262" s="31"/>
    </row>
    <row r="263" spans="1:20" ht="17.100000000000001" customHeight="1">
      <c r="A263" s="91"/>
      <c r="B263" s="91"/>
      <c r="D263" s="22"/>
      <c r="E263" s="22"/>
      <c r="F263" s="22"/>
      <c r="G263" s="22"/>
      <c r="H263" s="22"/>
      <c r="I263" s="22"/>
      <c r="J263" s="22"/>
      <c r="K263" s="22"/>
      <c r="L263" s="32"/>
      <c r="M263" s="31"/>
      <c r="N263" s="22"/>
      <c r="O263" s="22"/>
      <c r="P263" s="22"/>
      <c r="Q263" s="88"/>
      <c r="R263" s="32"/>
      <c r="S263" s="31"/>
      <c r="T263" s="32"/>
    </row>
    <row r="264" spans="1:20" ht="17.100000000000001" customHeight="1">
      <c r="A264" s="91"/>
      <c r="B264" s="91"/>
      <c r="D264" s="22"/>
      <c r="E264" s="22"/>
      <c r="F264" s="22"/>
      <c r="G264" s="22"/>
      <c r="H264" s="22"/>
      <c r="I264" s="22"/>
      <c r="J264" s="22"/>
      <c r="K264" s="22"/>
      <c r="L264" s="32"/>
      <c r="M264" s="31"/>
      <c r="N264" s="32"/>
      <c r="O264" s="32"/>
      <c r="P264" s="22"/>
      <c r="Q264" s="32"/>
      <c r="R264" s="32"/>
      <c r="S264" s="31"/>
      <c r="T264" s="32"/>
    </row>
    <row r="265" spans="1:20" ht="17.100000000000001" customHeight="1">
      <c r="A265" s="91"/>
      <c r="B265" s="91"/>
      <c r="D265" s="22"/>
      <c r="E265" s="22"/>
      <c r="F265" s="22"/>
      <c r="G265" s="22"/>
      <c r="H265" s="22"/>
      <c r="I265" s="22"/>
      <c r="J265" s="22"/>
      <c r="K265" s="22"/>
      <c r="L265" s="32"/>
      <c r="M265" s="31"/>
      <c r="N265" s="32"/>
      <c r="O265" s="32"/>
      <c r="P265" s="22"/>
      <c r="Q265" s="32"/>
      <c r="R265" s="32"/>
      <c r="S265" s="31"/>
      <c r="T265" s="32"/>
    </row>
    <row r="266" spans="1:20" ht="17.100000000000001" customHeight="1" thickBot="1">
      <c r="A266" s="91"/>
      <c r="B266" s="91"/>
      <c r="D266" s="24"/>
      <c r="E266" s="24"/>
      <c r="F266" s="24"/>
      <c r="G266" s="24"/>
      <c r="H266" s="24"/>
      <c r="I266" s="24"/>
      <c r="J266" s="24"/>
      <c r="K266" s="25"/>
      <c r="L266" s="24"/>
      <c r="M266" s="24"/>
      <c r="N266" s="24"/>
      <c r="O266" s="24"/>
      <c r="P266" s="24"/>
      <c r="Q266" s="24"/>
      <c r="R266" s="22"/>
      <c r="S266" s="22"/>
      <c r="T266" s="24"/>
    </row>
    <row r="267" spans="1:20" ht="17.100000000000001" customHeight="1">
      <c r="A267" s="91"/>
      <c r="B267" s="91"/>
      <c r="D267" s="89"/>
      <c r="E267" s="334" t="s">
        <v>941</v>
      </c>
      <c r="F267" s="334"/>
      <c r="G267" s="334"/>
      <c r="H267" s="334"/>
      <c r="I267" s="334"/>
      <c r="J267" s="334"/>
      <c r="K267" s="334"/>
      <c r="L267" s="334"/>
      <c r="M267" s="334"/>
      <c r="N267" s="334"/>
      <c r="O267" s="334"/>
      <c r="P267" s="334"/>
      <c r="Q267" s="334"/>
      <c r="R267" s="334"/>
      <c r="S267" s="334"/>
      <c r="T267" s="334"/>
    </row>
    <row r="268" spans="1:20" ht="17.100000000000001" customHeight="1">
      <c r="A268" s="91"/>
      <c r="B268" s="91"/>
      <c r="D268" s="22"/>
      <c r="E268" s="23"/>
      <c r="F268" s="36"/>
      <c r="G268" s="36"/>
      <c r="H268" s="36"/>
      <c r="I268" s="36"/>
      <c r="J268" s="36"/>
      <c r="K268" s="90"/>
      <c r="L268" s="131" t="s">
        <v>942</v>
      </c>
      <c r="M268" s="90"/>
      <c r="N268" s="90"/>
      <c r="O268" s="90"/>
      <c r="P268" s="90"/>
      <c r="Q268" s="131" t="s">
        <v>943</v>
      </c>
      <c r="R268" s="90"/>
      <c r="S268" s="90"/>
      <c r="T268" s="36"/>
    </row>
    <row r="269" spans="1:20" ht="17.100000000000001" customHeight="1">
      <c r="A269" s="91"/>
      <c r="B269" s="91"/>
      <c r="D269" s="22"/>
      <c r="E269" s="23"/>
      <c r="F269" s="36"/>
      <c r="G269" s="23" t="s">
        <v>944</v>
      </c>
      <c r="H269" s="36" t="s">
        <v>945</v>
      </c>
      <c r="I269" s="23"/>
      <c r="J269" s="23"/>
      <c r="K269" s="23" t="s">
        <v>946</v>
      </c>
      <c r="L269" s="23" t="s">
        <v>946</v>
      </c>
      <c r="M269" s="23" t="s">
        <v>947</v>
      </c>
      <c r="N269" s="36" t="s">
        <v>464</v>
      </c>
      <c r="O269" s="36"/>
      <c r="P269" s="23" t="s">
        <v>946</v>
      </c>
      <c r="Q269" s="23" t="s">
        <v>946</v>
      </c>
      <c r="R269" s="23" t="s">
        <v>947</v>
      </c>
      <c r="S269" s="23" t="s">
        <v>464</v>
      </c>
      <c r="T269" s="23"/>
    </row>
    <row r="270" spans="1:20" ht="17.100000000000001" customHeight="1">
      <c r="A270" s="91"/>
      <c r="B270" s="91"/>
      <c r="D270" s="22" t="s">
        <v>55</v>
      </c>
      <c r="E270" s="23" t="s">
        <v>280</v>
      </c>
      <c r="F270" s="23"/>
      <c r="G270" s="23" t="s">
        <v>948</v>
      </c>
      <c r="H270" s="23" t="s">
        <v>946</v>
      </c>
      <c r="I270" s="36" t="s">
        <v>944</v>
      </c>
      <c r="J270" s="36"/>
      <c r="K270" s="36" t="s">
        <v>949</v>
      </c>
      <c r="L270" s="36" t="s">
        <v>950</v>
      </c>
      <c r="M270" s="36" t="s">
        <v>946</v>
      </c>
      <c r="N270" s="23" t="s">
        <v>43</v>
      </c>
      <c r="O270" s="23"/>
      <c r="P270" s="36" t="s">
        <v>949</v>
      </c>
      <c r="Q270" s="36" t="s">
        <v>950</v>
      </c>
      <c r="R270" s="36" t="s">
        <v>946</v>
      </c>
      <c r="S270" s="36" t="s">
        <v>43</v>
      </c>
      <c r="T270" s="36" t="s">
        <v>54</v>
      </c>
    </row>
    <row r="271" spans="1:20" ht="17.100000000000001" customHeight="1" thickBot="1">
      <c r="A271" s="91"/>
      <c r="B271" s="91"/>
      <c r="D271" s="24" t="s">
        <v>60</v>
      </c>
      <c r="E271" s="25" t="s">
        <v>949</v>
      </c>
      <c r="F271" s="25"/>
      <c r="G271" s="25" t="s">
        <v>951</v>
      </c>
      <c r="H271" s="25" t="s">
        <v>304</v>
      </c>
      <c r="I271" s="37" t="s">
        <v>304</v>
      </c>
      <c r="J271" s="37"/>
      <c r="K271" s="37" t="s">
        <v>952</v>
      </c>
      <c r="L271" s="37" t="s">
        <v>952</v>
      </c>
      <c r="M271" s="37" t="s">
        <v>952</v>
      </c>
      <c r="N271" s="37" t="s">
        <v>283</v>
      </c>
      <c r="O271" s="37"/>
      <c r="P271" s="37" t="s">
        <v>952</v>
      </c>
      <c r="Q271" s="37" t="s">
        <v>952</v>
      </c>
      <c r="R271" s="37" t="s">
        <v>952</v>
      </c>
      <c r="S271" s="37" t="s">
        <v>283</v>
      </c>
      <c r="T271" s="37" t="s">
        <v>59</v>
      </c>
    </row>
    <row r="272" spans="1:20" ht="17.100000000000001" customHeight="1">
      <c r="A272" s="91"/>
      <c r="B272" s="91"/>
      <c r="D272" s="22">
        <v>1</v>
      </c>
      <c r="E272" s="64" t="s">
        <v>437</v>
      </c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65"/>
    </row>
    <row r="273" spans="1:22" ht="17.100000000000001" customHeight="1">
      <c r="A273" s="91"/>
      <c r="B273" s="91"/>
      <c r="D273" s="22">
        <v>2</v>
      </c>
      <c r="E273" s="132" t="s">
        <v>1152</v>
      </c>
      <c r="F273" s="65"/>
      <c r="G273" s="65"/>
      <c r="H273" s="65"/>
      <c r="I273" s="65"/>
      <c r="J273" s="22"/>
      <c r="K273" s="65"/>
      <c r="L273" s="65"/>
      <c r="M273" s="65"/>
      <c r="N273" s="65"/>
      <c r="O273" s="65"/>
      <c r="P273" s="65"/>
      <c r="Q273" s="65"/>
      <c r="R273" s="65"/>
      <c r="S273" s="65"/>
      <c r="T273" s="65"/>
    </row>
    <row r="274" spans="1:22" ht="17.100000000000001" customHeight="1">
      <c r="A274" s="91">
        <v>425</v>
      </c>
      <c r="B274" s="91"/>
      <c r="D274" s="22">
        <v>3</v>
      </c>
      <c r="E274" s="63" t="s">
        <v>1153</v>
      </c>
      <c r="F274" s="32" t="s">
        <v>1154</v>
      </c>
      <c r="G274" s="66">
        <v>287</v>
      </c>
      <c r="H274" s="66"/>
      <c r="I274" s="71"/>
      <c r="J274" s="22"/>
      <c r="K274" s="71">
        <v>7.83</v>
      </c>
      <c r="L274" s="71">
        <v>0.17</v>
      </c>
      <c r="M274" s="74">
        <f>+K274+L274</f>
        <v>8</v>
      </c>
      <c r="N274" s="65">
        <f t="shared" ref="N274:N306" si="57">+M274*G274</f>
        <v>2296</v>
      </c>
      <c r="O274" s="66"/>
      <c r="P274" s="74">
        <f t="shared" ref="P274:Q306" si="58">+K274</f>
        <v>7.83</v>
      </c>
      <c r="Q274" s="74">
        <f t="shared" si="58"/>
        <v>0.17</v>
      </c>
      <c r="R274" s="74">
        <f t="shared" ref="R274:R306" si="59">+P274+Q274</f>
        <v>8</v>
      </c>
      <c r="S274" s="98">
        <f t="shared" ref="S274:S306" si="60">+R274*G274</f>
        <v>2296</v>
      </c>
      <c r="T274" s="92">
        <f t="shared" ref="T274:T306" si="61">IF(S274=0,0,(S274-N274)/N274)</f>
        <v>0</v>
      </c>
      <c r="U274" s="19"/>
      <c r="V274" s="19"/>
    </row>
    <row r="275" spans="1:22" ht="17.100000000000001" customHeight="1">
      <c r="A275" s="91">
        <v>626</v>
      </c>
      <c r="B275" s="91"/>
      <c r="D275" s="22">
        <v>4</v>
      </c>
      <c r="E275" s="63" t="s">
        <v>1155</v>
      </c>
      <c r="F275" s="32" t="s">
        <v>1154</v>
      </c>
      <c r="G275" s="66">
        <v>199058</v>
      </c>
      <c r="H275" s="66"/>
      <c r="I275" s="71"/>
      <c r="J275" s="22"/>
      <c r="K275" s="71">
        <v>3.87</v>
      </c>
      <c r="L275" s="71">
        <v>0.17</v>
      </c>
      <c r="M275" s="74">
        <f t="shared" ref="M275:M306" si="62">+K275+L275</f>
        <v>4.04</v>
      </c>
      <c r="N275" s="65">
        <f t="shared" si="57"/>
        <v>804194.32000000007</v>
      </c>
      <c r="O275" s="66"/>
      <c r="P275" s="74">
        <f t="shared" si="58"/>
        <v>3.87</v>
      </c>
      <c r="Q275" s="74">
        <f t="shared" si="58"/>
        <v>0.17</v>
      </c>
      <c r="R275" s="74">
        <f t="shared" si="59"/>
        <v>4.04</v>
      </c>
      <c r="S275" s="98">
        <f t="shared" si="60"/>
        <v>804194.32000000007</v>
      </c>
      <c r="T275" s="92">
        <f t="shared" si="61"/>
        <v>0</v>
      </c>
      <c r="U275" s="19"/>
    </row>
    <row r="276" spans="1:22" ht="17.100000000000001" customHeight="1">
      <c r="A276" s="91">
        <v>627</v>
      </c>
      <c r="B276" s="91"/>
      <c r="D276" s="22">
        <v>5</v>
      </c>
      <c r="E276" s="63" t="s">
        <v>1156</v>
      </c>
      <c r="F276" s="32" t="s">
        <v>1154</v>
      </c>
      <c r="G276" s="66">
        <v>233468</v>
      </c>
      <c r="H276" s="66"/>
      <c r="I276" s="71"/>
      <c r="J276" s="22"/>
      <c r="K276" s="71">
        <v>4.58</v>
      </c>
      <c r="L276" s="71">
        <v>0.17</v>
      </c>
      <c r="M276" s="74">
        <f t="shared" si="62"/>
        <v>4.75</v>
      </c>
      <c r="N276" s="65">
        <f t="shared" si="57"/>
        <v>1108973</v>
      </c>
      <c r="O276" s="66"/>
      <c r="P276" s="74">
        <f t="shared" si="58"/>
        <v>4.58</v>
      </c>
      <c r="Q276" s="74">
        <f t="shared" si="58"/>
        <v>0.17</v>
      </c>
      <c r="R276" s="74">
        <f t="shared" si="59"/>
        <v>4.75</v>
      </c>
      <c r="S276" s="98">
        <f t="shared" si="60"/>
        <v>1108973</v>
      </c>
      <c r="T276" s="92">
        <f t="shared" si="61"/>
        <v>0</v>
      </c>
      <c r="U276" s="19"/>
    </row>
    <row r="277" spans="1:22" ht="17.100000000000001" customHeight="1">
      <c r="A277" s="91">
        <v>597</v>
      </c>
      <c r="B277" s="91"/>
      <c r="D277" s="22">
        <v>6</v>
      </c>
      <c r="E277" s="133" t="s">
        <v>1157</v>
      </c>
      <c r="F277" s="32" t="s">
        <v>1154</v>
      </c>
      <c r="G277" s="66">
        <v>20808</v>
      </c>
      <c r="H277" s="66"/>
      <c r="I277" s="71"/>
      <c r="J277" s="22"/>
      <c r="K277" s="71">
        <v>9.7799999999999994</v>
      </c>
      <c r="L277" s="71">
        <v>0.31</v>
      </c>
      <c r="M277" s="74">
        <f t="shared" si="62"/>
        <v>10.09</v>
      </c>
      <c r="N277" s="65">
        <f t="shared" si="57"/>
        <v>209952.72</v>
      </c>
      <c r="O277" s="66"/>
      <c r="P277" s="74">
        <f t="shared" si="58"/>
        <v>9.7799999999999994</v>
      </c>
      <c r="Q277" s="74">
        <f t="shared" si="58"/>
        <v>0.31</v>
      </c>
      <c r="R277" s="74">
        <f t="shared" si="59"/>
        <v>10.09</v>
      </c>
      <c r="S277" s="98">
        <f t="shared" si="60"/>
        <v>209952.72</v>
      </c>
      <c r="T277" s="92">
        <f t="shared" si="61"/>
        <v>0</v>
      </c>
      <c r="U277" s="19"/>
    </row>
    <row r="278" spans="1:22" ht="17.100000000000001" customHeight="1">
      <c r="A278" s="91">
        <v>637</v>
      </c>
      <c r="B278" s="91"/>
      <c r="D278" s="22">
        <v>7</v>
      </c>
      <c r="E278" s="31" t="s">
        <v>1158</v>
      </c>
      <c r="F278" s="32" t="s">
        <v>1154</v>
      </c>
      <c r="G278" s="66">
        <v>55862</v>
      </c>
      <c r="H278" s="66"/>
      <c r="I278" s="71"/>
      <c r="J278" s="22"/>
      <c r="K278" s="71">
        <v>8.19</v>
      </c>
      <c r="L278" s="71">
        <v>0.17</v>
      </c>
      <c r="M278" s="74">
        <f t="shared" si="62"/>
        <v>8.36</v>
      </c>
      <c r="N278" s="65">
        <f t="shared" si="57"/>
        <v>467006.31999999995</v>
      </c>
      <c r="O278" s="66"/>
      <c r="P278" s="74">
        <f t="shared" si="58"/>
        <v>8.19</v>
      </c>
      <c r="Q278" s="74">
        <f t="shared" si="58"/>
        <v>0.17</v>
      </c>
      <c r="R278" s="74">
        <f t="shared" si="59"/>
        <v>8.36</v>
      </c>
      <c r="S278" s="98">
        <f t="shared" si="60"/>
        <v>467006.31999999995</v>
      </c>
      <c r="T278" s="92">
        <f t="shared" si="61"/>
        <v>0</v>
      </c>
      <c r="U278" s="19"/>
    </row>
    <row r="279" spans="1:22" ht="17.100000000000001" customHeight="1">
      <c r="A279" s="91">
        <v>594</v>
      </c>
      <c r="B279" s="91"/>
      <c r="D279" s="22">
        <v>8</v>
      </c>
      <c r="E279" s="134" t="s">
        <v>1159</v>
      </c>
      <c r="F279" s="32" t="s">
        <v>1154</v>
      </c>
      <c r="G279" s="66">
        <v>13487</v>
      </c>
      <c r="H279" s="135"/>
      <c r="J279" s="22"/>
      <c r="K279" s="71">
        <v>15.68</v>
      </c>
      <c r="L279" s="71">
        <v>0.31</v>
      </c>
      <c r="M279" s="74">
        <f t="shared" si="62"/>
        <v>15.99</v>
      </c>
      <c r="N279" s="65">
        <f t="shared" si="57"/>
        <v>215657.13</v>
      </c>
      <c r="O279" s="66"/>
      <c r="P279" s="74">
        <f t="shared" si="58"/>
        <v>15.68</v>
      </c>
      <c r="Q279" s="74">
        <f t="shared" si="58"/>
        <v>0.31</v>
      </c>
      <c r="R279" s="74">
        <f t="shared" si="59"/>
        <v>15.99</v>
      </c>
      <c r="S279" s="98">
        <f t="shared" si="60"/>
        <v>215657.13</v>
      </c>
      <c r="T279" s="92">
        <f t="shared" si="61"/>
        <v>0</v>
      </c>
      <c r="U279" s="19"/>
    </row>
    <row r="280" spans="1:22" ht="17.100000000000001" customHeight="1">
      <c r="A280" s="91">
        <v>599</v>
      </c>
      <c r="B280" s="91"/>
      <c r="D280" s="22">
        <v>9</v>
      </c>
      <c r="E280" s="63" t="s">
        <v>1160</v>
      </c>
      <c r="F280" s="32" t="s">
        <v>1161</v>
      </c>
      <c r="G280" s="66">
        <v>593</v>
      </c>
      <c r="H280" s="66"/>
      <c r="I280" s="71"/>
      <c r="J280" s="22"/>
      <c r="K280" s="71">
        <v>22.6</v>
      </c>
      <c r="L280" s="71">
        <v>0.14000000000000001</v>
      </c>
      <c r="M280" s="74">
        <f t="shared" si="62"/>
        <v>22.740000000000002</v>
      </c>
      <c r="N280" s="65">
        <f t="shared" si="57"/>
        <v>13484.820000000002</v>
      </c>
      <c r="O280" s="66"/>
      <c r="P280" s="74">
        <f t="shared" si="58"/>
        <v>22.6</v>
      </c>
      <c r="Q280" s="74">
        <f t="shared" si="58"/>
        <v>0.14000000000000001</v>
      </c>
      <c r="R280" s="74">
        <f t="shared" si="59"/>
        <v>22.740000000000002</v>
      </c>
      <c r="S280" s="98">
        <f t="shared" si="60"/>
        <v>13484.820000000002</v>
      </c>
      <c r="T280" s="92">
        <f t="shared" si="61"/>
        <v>0</v>
      </c>
    </row>
    <row r="281" spans="1:22" ht="17.100000000000001" customHeight="1">
      <c r="A281" s="91">
        <v>595</v>
      </c>
      <c r="B281" s="91"/>
      <c r="D281" s="22">
        <v>10</v>
      </c>
      <c r="E281" s="63" t="s">
        <v>1162</v>
      </c>
      <c r="F281" s="32" t="s">
        <v>1161</v>
      </c>
      <c r="G281" s="66">
        <v>4867</v>
      </c>
      <c r="H281" s="66"/>
      <c r="I281" s="71"/>
      <c r="J281" s="22"/>
      <c r="K281" s="71">
        <v>31.03</v>
      </c>
      <c r="L281" s="71">
        <v>0.14000000000000001</v>
      </c>
      <c r="M281" s="74">
        <f t="shared" si="62"/>
        <v>31.17</v>
      </c>
      <c r="N281" s="65">
        <f t="shared" si="57"/>
        <v>151704.39000000001</v>
      </c>
      <c r="O281" s="66"/>
      <c r="P281" s="74">
        <f t="shared" si="58"/>
        <v>31.03</v>
      </c>
      <c r="Q281" s="74">
        <f t="shared" si="58"/>
        <v>0.14000000000000001</v>
      </c>
      <c r="R281" s="74">
        <f t="shared" si="59"/>
        <v>31.17</v>
      </c>
      <c r="S281" s="98">
        <f t="shared" si="60"/>
        <v>151704.39000000001</v>
      </c>
      <c r="T281" s="92">
        <f t="shared" si="61"/>
        <v>0</v>
      </c>
    </row>
    <row r="282" spans="1:22" ht="17.100000000000001" customHeight="1">
      <c r="A282" s="91">
        <v>588</v>
      </c>
      <c r="B282" s="91"/>
      <c r="D282" s="22">
        <v>11</v>
      </c>
      <c r="E282" s="63" t="s">
        <v>1163</v>
      </c>
      <c r="F282" s="32" t="s">
        <v>1161</v>
      </c>
      <c r="G282" s="66">
        <v>178974</v>
      </c>
      <c r="H282" s="66"/>
      <c r="I282" s="71"/>
      <c r="J282" s="22"/>
      <c r="K282" s="71">
        <v>32.53</v>
      </c>
      <c r="L282" s="71">
        <v>0.34</v>
      </c>
      <c r="M282" s="74">
        <f t="shared" si="62"/>
        <v>32.870000000000005</v>
      </c>
      <c r="N282" s="65">
        <f t="shared" si="57"/>
        <v>5882875.3800000008</v>
      </c>
      <c r="O282" s="66"/>
      <c r="P282" s="74">
        <f t="shared" si="58"/>
        <v>32.53</v>
      </c>
      <c r="Q282" s="74">
        <f t="shared" si="58"/>
        <v>0.34</v>
      </c>
      <c r="R282" s="74">
        <f t="shared" si="59"/>
        <v>32.870000000000005</v>
      </c>
      <c r="S282" s="98">
        <f t="shared" si="60"/>
        <v>5882875.3800000008</v>
      </c>
      <c r="T282" s="92">
        <f t="shared" si="61"/>
        <v>0</v>
      </c>
    </row>
    <row r="283" spans="1:22" ht="17.100000000000001" customHeight="1">
      <c r="A283" s="91">
        <v>607</v>
      </c>
      <c r="B283" s="91"/>
      <c r="D283" s="22">
        <v>12</v>
      </c>
      <c r="E283" s="63" t="s">
        <v>1164</v>
      </c>
      <c r="F283" s="32" t="s">
        <v>1161</v>
      </c>
      <c r="G283" s="66">
        <v>362275</v>
      </c>
      <c r="H283" s="66"/>
      <c r="I283" s="71"/>
      <c r="J283" s="22"/>
      <c r="K283" s="71">
        <v>16.63</v>
      </c>
      <c r="L283" s="71">
        <v>0.34</v>
      </c>
      <c r="M283" s="74">
        <f t="shared" si="62"/>
        <v>16.97</v>
      </c>
      <c r="N283" s="65">
        <f t="shared" si="57"/>
        <v>6147806.75</v>
      </c>
      <c r="O283" s="66"/>
      <c r="P283" s="74">
        <f t="shared" si="58"/>
        <v>16.63</v>
      </c>
      <c r="Q283" s="74">
        <f t="shared" si="58"/>
        <v>0.34</v>
      </c>
      <c r="R283" s="74">
        <f t="shared" si="59"/>
        <v>16.97</v>
      </c>
      <c r="S283" s="98">
        <f t="shared" si="60"/>
        <v>6147806.75</v>
      </c>
      <c r="T283" s="92">
        <f t="shared" si="61"/>
        <v>0</v>
      </c>
    </row>
    <row r="284" spans="1:22" ht="17.100000000000001" customHeight="1">
      <c r="A284" s="91">
        <v>612</v>
      </c>
      <c r="B284" s="91"/>
      <c r="D284" s="22">
        <v>13</v>
      </c>
      <c r="E284" s="63" t="s">
        <v>1165</v>
      </c>
      <c r="F284" s="32" t="s">
        <v>1161</v>
      </c>
      <c r="G284" s="66">
        <v>48585</v>
      </c>
      <c r="H284" s="66"/>
      <c r="I284" s="71"/>
      <c r="J284" s="22"/>
      <c r="K284" s="71">
        <v>22.29</v>
      </c>
      <c r="L284" s="71">
        <v>0.34</v>
      </c>
      <c r="M284" s="74">
        <f t="shared" si="62"/>
        <v>22.63</v>
      </c>
      <c r="N284" s="65">
        <f t="shared" si="57"/>
        <v>1099478.55</v>
      </c>
      <c r="O284" s="66"/>
      <c r="P284" s="74">
        <f t="shared" si="58"/>
        <v>22.29</v>
      </c>
      <c r="Q284" s="74">
        <f t="shared" si="58"/>
        <v>0.34</v>
      </c>
      <c r="R284" s="74">
        <f t="shared" si="59"/>
        <v>22.63</v>
      </c>
      <c r="S284" s="98">
        <f t="shared" si="60"/>
        <v>1099478.55</v>
      </c>
      <c r="T284" s="92">
        <f t="shared" si="61"/>
        <v>0</v>
      </c>
    </row>
    <row r="285" spans="1:22" ht="17.100000000000001" customHeight="1">
      <c r="A285" s="91">
        <v>614</v>
      </c>
      <c r="B285" s="91"/>
      <c r="D285" s="22">
        <v>14</v>
      </c>
      <c r="E285" s="63" t="s">
        <v>1166</v>
      </c>
      <c r="F285" s="32" t="s">
        <v>1161</v>
      </c>
      <c r="G285" s="66">
        <v>43498</v>
      </c>
      <c r="H285" s="66"/>
      <c r="I285" s="71"/>
      <c r="J285" s="22"/>
      <c r="K285" s="71">
        <v>33.64</v>
      </c>
      <c r="L285" s="71">
        <v>0.34</v>
      </c>
      <c r="M285" s="74">
        <f t="shared" si="62"/>
        <v>33.980000000000004</v>
      </c>
      <c r="N285" s="65">
        <f t="shared" si="57"/>
        <v>1478062.0400000003</v>
      </c>
      <c r="O285" s="66"/>
      <c r="P285" s="74">
        <f t="shared" si="58"/>
        <v>33.64</v>
      </c>
      <c r="Q285" s="74">
        <f t="shared" si="58"/>
        <v>0.34</v>
      </c>
      <c r="R285" s="74">
        <f t="shared" si="59"/>
        <v>33.980000000000004</v>
      </c>
      <c r="S285" s="98">
        <f t="shared" si="60"/>
        <v>1478062.0400000003</v>
      </c>
      <c r="T285" s="92">
        <f t="shared" si="61"/>
        <v>0</v>
      </c>
    </row>
    <row r="286" spans="1:22" ht="17.100000000000001" customHeight="1">
      <c r="A286" s="91">
        <v>596</v>
      </c>
      <c r="B286" s="91"/>
      <c r="D286" s="22">
        <v>15</v>
      </c>
      <c r="E286" s="63" t="s">
        <v>1167</v>
      </c>
      <c r="F286" s="32" t="s">
        <v>1161</v>
      </c>
      <c r="G286" s="66">
        <v>19521</v>
      </c>
      <c r="H286" s="66"/>
      <c r="I286" s="66"/>
      <c r="J286" s="22"/>
      <c r="K286" s="71">
        <v>37.9</v>
      </c>
      <c r="L286" s="71">
        <v>0.14000000000000001</v>
      </c>
      <c r="M286" s="74">
        <f t="shared" si="62"/>
        <v>38.04</v>
      </c>
      <c r="N286" s="65">
        <f t="shared" si="57"/>
        <v>742578.84</v>
      </c>
      <c r="O286" s="66"/>
      <c r="P286" s="74">
        <f t="shared" si="58"/>
        <v>37.9</v>
      </c>
      <c r="Q286" s="74">
        <f t="shared" si="58"/>
        <v>0.14000000000000001</v>
      </c>
      <c r="R286" s="74">
        <f t="shared" si="59"/>
        <v>38.04</v>
      </c>
      <c r="S286" s="98">
        <f t="shared" si="60"/>
        <v>742578.84</v>
      </c>
      <c r="T286" s="92">
        <f t="shared" si="61"/>
        <v>0</v>
      </c>
    </row>
    <row r="287" spans="1:22" ht="17.100000000000001" customHeight="1">
      <c r="A287" s="91">
        <v>523</v>
      </c>
      <c r="B287" s="91"/>
      <c r="D287" s="22">
        <v>16</v>
      </c>
      <c r="E287" s="63" t="s">
        <v>1168</v>
      </c>
      <c r="F287" s="32" t="s">
        <v>1161</v>
      </c>
      <c r="G287" s="66">
        <v>1376</v>
      </c>
      <c r="H287" s="66"/>
      <c r="I287" s="66"/>
      <c r="J287" s="22"/>
      <c r="K287" s="71">
        <v>30.45</v>
      </c>
      <c r="L287" s="71">
        <v>0.14000000000000001</v>
      </c>
      <c r="M287" s="74">
        <f t="shared" si="62"/>
        <v>30.59</v>
      </c>
      <c r="N287" s="65">
        <f t="shared" si="57"/>
        <v>42091.839999999997</v>
      </c>
      <c r="O287" s="66"/>
      <c r="P287" s="74">
        <f t="shared" si="58"/>
        <v>30.45</v>
      </c>
      <c r="Q287" s="74">
        <f t="shared" si="58"/>
        <v>0.14000000000000001</v>
      </c>
      <c r="R287" s="74">
        <f t="shared" si="59"/>
        <v>30.59</v>
      </c>
      <c r="S287" s="98">
        <f t="shared" si="60"/>
        <v>42091.839999999997</v>
      </c>
      <c r="T287" s="92">
        <f t="shared" si="61"/>
        <v>0</v>
      </c>
    </row>
    <row r="288" spans="1:22" ht="17.100000000000001" customHeight="1">
      <c r="A288" s="91">
        <v>591</v>
      </c>
      <c r="B288" s="91"/>
      <c r="D288" s="22">
        <v>17</v>
      </c>
      <c r="E288" s="63" t="s">
        <v>1169</v>
      </c>
      <c r="F288" s="32" t="s">
        <v>1161</v>
      </c>
      <c r="G288" s="66">
        <v>17924</v>
      </c>
      <c r="H288" s="66"/>
      <c r="I288" s="66"/>
      <c r="J288" s="22"/>
      <c r="K288" s="71">
        <v>41.94</v>
      </c>
      <c r="L288" s="71">
        <v>0.14000000000000001</v>
      </c>
      <c r="M288" s="74">
        <f t="shared" si="62"/>
        <v>42.08</v>
      </c>
      <c r="N288" s="65">
        <f t="shared" si="57"/>
        <v>754241.91999999993</v>
      </c>
      <c r="O288" s="66"/>
      <c r="P288" s="74">
        <f t="shared" si="58"/>
        <v>41.94</v>
      </c>
      <c r="Q288" s="74">
        <f t="shared" si="58"/>
        <v>0.14000000000000001</v>
      </c>
      <c r="R288" s="74">
        <f t="shared" si="59"/>
        <v>42.08</v>
      </c>
      <c r="S288" s="98">
        <f t="shared" si="60"/>
        <v>754241.91999999993</v>
      </c>
      <c r="T288" s="92">
        <f t="shared" si="61"/>
        <v>0</v>
      </c>
    </row>
    <row r="289" spans="1:21" ht="17.100000000000001" customHeight="1">
      <c r="A289" s="91">
        <v>592</v>
      </c>
      <c r="B289" s="91"/>
      <c r="D289" s="22">
        <v>18</v>
      </c>
      <c r="E289" s="63" t="s">
        <v>1170</v>
      </c>
      <c r="F289" s="32" t="s">
        <v>1161</v>
      </c>
      <c r="G289" s="66">
        <v>11419</v>
      </c>
      <c r="H289" s="66"/>
      <c r="I289" s="66"/>
      <c r="J289" s="22"/>
      <c r="K289" s="71">
        <v>36.01</v>
      </c>
      <c r="L289" s="71">
        <v>0.14000000000000001</v>
      </c>
      <c r="M289" s="74">
        <f t="shared" si="62"/>
        <v>36.15</v>
      </c>
      <c r="N289" s="65">
        <f t="shared" si="57"/>
        <v>412796.85</v>
      </c>
      <c r="O289" s="66"/>
      <c r="P289" s="74">
        <f t="shared" si="58"/>
        <v>36.01</v>
      </c>
      <c r="Q289" s="74">
        <f t="shared" si="58"/>
        <v>0.14000000000000001</v>
      </c>
      <c r="R289" s="74">
        <f t="shared" si="59"/>
        <v>36.15</v>
      </c>
      <c r="S289" s="98">
        <f t="shared" si="60"/>
        <v>412796.85</v>
      </c>
      <c r="T289" s="92">
        <f t="shared" si="61"/>
        <v>0</v>
      </c>
    </row>
    <row r="290" spans="1:21" ht="17.100000000000001" customHeight="1">
      <c r="A290" s="91">
        <v>593</v>
      </c>
      <c r="B290" s="91"/>
      <c r="D290" s="22">
        <v>19</v>
      </c>
      <c r="E290" s="120" t="s">
        <v>1171</v>
      </c>
      <c r="F290" s="32" t="s">
        <v>1161</v>
      </c>
      <c r="G290" s="66">
        <v>92326</v>
      </c>
      <c r="H290" s="66"/>
      <c r="I290" s="22"/>
      <c r="J290" s="22"/>
      <c r="K290" s="71">
        <v>20.260000000000002</v>
      </c>
      <c r="L290" s="71">
        <v>1.1000000000000001</v>
      </c>
      <c r="M290" s="74">
        <f t="shared" si="62"/>
        <v>21.360000000000003</v>
      </c>
      <c r="N290" s="65">
        <f t="shared" si="57"/>
        <v>1972083.3600000003</v>
      </c>
      <c r="O290" s="66"/>
      <c r="P290" s="74">
        <f t="shared" si="58"/>
        <v>20.260000000000002</v>
      </c>
      <c r="Q290" s="74">
        <f t="shared" si="58"/>
        <v>1.1000000000000001</v>
      </c>
      <c r="R290" s="74">
        <f t="shared" si="59"/>
        <v>21.360000000000003</v>
      </c>
      <c r="S290" s="98">
        <f t="shared" si="60"/>
        <v>1972083.3600000003</v>
      </c>
      <c r="T290" s="92">
        <f t="shared" si="61"/>
        <v>0</v>
      </c>
      <c r="U290" s="136"/>
    </row>
    <row r="291" spans="1:21" ht="17.100000000000001" customHeight="1">
      <c r="A291" s="91">
        <v>583</v>
      </c>
      <c r="B291" s="91"/>
      <c r="D291" s="22">
        <v>20</v>
      </c>
      <c r="E291" s="22" t="s">
        <v>1172</v>
      </c>
      <c r="F291" s="32" t="s">
        <v>1161</v>
      </c>
      <c r="G291" s="66">
        <v>6517</v>
      </c>
      <c r="H291" s="66"/>
      <c r="I291" s="22"/>
      <c r="J291" s="22"/>
      <c r="K291" s="71">
        <v>30.44</v>
      </c>
      <c r="L291" s="71">
        <v>0.14000000000000001</v>
      </c>
      <c r="M291" s="74">
        <f t="shared" si="62"/>
        <v>30.580000000000002</v>
      </c>
      <c r="N291" s="65">
        <f t="shared" si="57"/>
        <v>199289.86000000002</v>
      </c>
      <c r="O291" s="66"/>
      <c r="P291" s="74">
        <f t="shared" si="58"/>
        <v>30.44</v>
      </c>
      <c r="Q291" s="74">
        <f t="shared" si="58"/>
        <v>0.14000000000000001</v>
      </c>
      <c r="R291" s="74">
        <f t="shared" si="59"/>
        <v>30.580000000000002</v>
      </c>
      <c r="S291" s="98">
        <f t="shared" si="60"/>
        <v>199289.86000000002</v>
      </c>
      <c r="T291" s="92">
        <f t="shared" si="61"/>
        <v>0</v>
      </c>
    </row>
    <row r="292" spans="1:21" ht="17.100000000000001" customHeight="1">
      <c r="A292" s="91">
        <v>422</v>
      </c>
      <c r="B292" s="91"/>
      <c r="D292" s="22">
        <v>21</v>
      </c>
      <c r="E292" s="63" t="s">
        <v>1173</v>
      </c>
      <c r="F292" s="32" t="s">
        <v>1161</v>
      </c>
      <c r="G292" s="66">
        <v>896</v>
      </c>
      <c r="H292" s="22"/>
      <c r="I292" s="22"/>
      <c r="J292" s="22"/>
      <c r="K292" s="71">
        <v>12.46</v>
      </c>
      <c r="L292" s="71">
        <v>1.3</v>
      </c>
      <c r="M292" s="74">
        <f t="shared" si="62"/>
        <v>13.760000000000002</v>
      </c>
      <c r="N292" s="65">
        <f t="shared" si="57"/>
        <v>12328.960000000001</v>
      </c>
      <c r="O292" s="137"/>
      <c r="P292" s="74">
        <f t="shared" si="58"/>
        <v>12.46</v>
      </c>
      <c r="Q292" s="74">
        <f t="shared" si="58"/>
        <v>1.3</v>
      </c>
      <c r="R292" s="74">
        <f t="shared" si="59"/>
        <v>13.760000000000002</v>
      </c>
      <c r="S292" s="138">
        <f t="shared" si="60"/>
        <v>12328.960000000001</v>
      </c>
      <c r="T292" s="92">
        <f t="shared" si="61"/>
        <v>0</v>
      </c>
    </row>
    <row r="293" spans="1:21" ht="17.100000000000001" customHeight="1">
      <c r="A293" s="91">
        <v>616</v>
      </c>
      <c r="B293" s="91"/>
      <c r="D293" s="22">
        <v>22</v>
      </c>
      <c r="E293" s="63" t="s">
        <v>1174</v>
      </c>
      <c r="F293" s="32" t="s">
        <v>1161</v>
      </c>
      <c r="G293" s="66">
        <v>8599</v>
      </c>
      <c r="H293" s="66"/>
      <c r="I293" s="84"/>
      <c r="J293" s="22"/>
      <c r="K293" s="71">
        <v>41.39</v>
      </c>
      <c r="L293" s="71">
        <v>0.34</v>
      </c>
      <c r="M293" s="74">
        <f t="shared" si="62"/>
        <v>41.730000000000004</v>
      </c>
      <c r="N293" s="65">
        <f t="shared" si="57"/>
        <v>358836.27</v>
      </c>
      <c r="O293" s="65"/>
      <c r="P293" s="74">
        <f t="shared" si="58"/>
        <v>41.39</v>
      </c>
      <c r="Q293" s="74">
        <f t="shared" si="58"/>
        <v>0.34</v>
      </c>
      <c r="R293" s="74">
        <f t="shared" si="59"/>
        <v>41.730000000000004</v>
      </c>
      <c r="S293" s="98">
        <f t="shared" si="60"/>
        <v>358836.27</v>
      </c>
      <c r="T293" s="92">
        <f t="shared" si="61"/>
        <v>0</v>
      </c>
    </row>
    <row r="294" spans="1:21" ht="17.100000000000001" customHeight="1">
      <c r="A294" s="91">
        <v>615</v>
      </c>
      <c r="B294" s="91"/>
      <c r="D294" s="22">
        <v>23</v>
      </c>
      <c r="E294" s="63" t="s">
        <v>1175</v>
      </c>
      <c r="F294" s="32" t="s">
        <v>1161</v>
      </c>
      <c r="G294" s="66">
        <v>30346</v>
      </c>
      <c r="H294" s="66"/>
      <c r="I294" s="22"/>
      <c r="J294" s="22"/>
      <c r="K294" s="71">
        <v>17.78</v>
      </c>
      <c r="L294" s="71">
        <v>0.34</v>
      </c>
      <c r="M294" s="74">
        <f t="shared" si="62"/>
        <v>18.12</v>
      </c>
      <c r="N294" s="65">
        <f t="shared" si="57"/>
        <v>549869.52</v>
      </c>
      <c r="O294" s="66"/>
      <c r="P294" s="74">
        <f t="shared" si="58"/>
        <v>17.78</v>
      </c>
      <c r="Q294" s="74">
        <f t="shared" si="58"/>
        <v>0.34</v>
      </c>
      <c r="R294" s="74">
        <f t="shared" si="59"/>
        <v>18.12</v>
      </c>
      <c r="S294" s="98">
        <f t="shared" si="60"/>
        <v>549869.52</v>
      </c>
      <c r="T294" s="92">
        <f t="shared" si="61"/>
        <v>0</v>
      </c>
    </row>
    <row r="295" spans="1:21" ht="17.100000000000001" customHeight="1">
      <c r="A295" s="91">
        <v>622</v>
      </c>
      <c r="B295" s="91"/>
      <c r="D295" s="22">
        <v>24</v>
      </c>
      <c r="E295" s="63" t="s">
        <v>1176</v>
      </c>
      <c r="F295" s="32" t="s">
        <v>1161</v>
      </c>
      <c r="G295" s="66">
        <v>4223</v>
      </c>
      <c r="H295" s="66"/>
      <c r="I295" s="84"/>
      <c r="J295" s="22"/>
      <c r="K295" s="71">
        <v>56.67</v>
      </c>
      <c r="L295" s="71">
        <v>0.34</v>
      </c>
      <c r="M295" s="74">
        <f t="shared" si="62"/>
        <v>57.010000000000005</v>
      </c>
      <c r="N295" s="65">
        <f t="shared" si="57"/>
        <v>240753.23</v>
      </c>
      <c r="O295" s="66"/>
      <c r="P295" s="74">
        <f t="shared" si="58"/>
        <v>56.67</v>
      </c>
      <c r="Q295" s="74">
        <f t="shared" si="58"/>
        <v>0.34</v>
      </c>
      <c r="R295" s="74">
        <f t="shared" si="59"/>
        <v>57.010000000000005</v>
      </c>
      <c r="S295" s="98">
        <f t="shared" si="60"/>
        <v>240753.23</v>
      </c>
      <c r="T295" s="92">
        <f t="shared" si="61"/>
        <v>0</v>
      </c>
    </row>
    <row r="296" spans="1:21" ht="17.100000000000001" customHeight="1">
      <c r="A296" s="91">
        <v>623</v>
      </c>
      <c r="B296" s="91"/>
      <c r="D296" s="22">
        <v>25</v>
      </c>
      <c r="E296" s="22" t="s">
        <v>1177</v>
      </c>
      <c r="F296" s="32" t="s">
        <v>1161</v>
      </c>
      <c r="G296" s="66">
        <v>2416</v>
      </c>
      <c r="I296" s="22"/>
      <c r="J296" s="22"/>
      <c r="K296" s="71">
        <v>48.78</v>
      </c>
      <c r="L296" s="71">
        <v>3.85</v>
      </c>
      <c r="M296" s="74">
        <f t="shared" si="62"/>
        <v>52.63</v>
      </c>
      <c r="N296" s="65">
        <f t="shared" si="57"/>
        <v>127154.08</v>
      </c>
      <c r="O296" s="66"/>
      <c r="P296" s="74">
        <f t="shared" si="58"/>
        <v>48.78</v>
      </c>
      <c r="Q296" s="74">
        <f t="shared" si="58"/>
        <v>3.85</v>
      </c>
      <c r="R296" s="74">
        <f t="shared" si="59"/>
        <v>52.63</v>
      </c>
      <c r="S296" s="98">
        <f t="shared" si="60"/>
        <v>127154.08</v>
      </c>
      <c r="T296" s="92">
        <f t="shared" si="61"/>
        <v>0</v>
      </c>
    </row>
    <row r="297" spans="1:21" ht="17.100000000000001" customHeight="1">
      <c r="A297" s="91">
        <v>584</v>
      </c>
      <c r="B297" s="91"/>
      <c r="D297" s="22">
        <v>26</v>
      </c>
      <c r="E297" s="134" t="s">
        <v>1178</v>
      </c>
      <c r="F297" s="32" t="s">
        <v>1161</v>
      </c>
      <c r="G297" s="66">
        <v>1695</v>
      </c>
      <c r="H297" s="66"/>
      <c r="I297" s="22"/>
      <c r="J297" s="22"/>
      <c r="K297" s="71">
        <v>23.38</v>
      </c>
      <c r="L297" s="71">
        <v>1.1000000000000001</v>
      </c>
      <c r="M297" s="74">
        <f t="shared" si="62"/>
        <v>24.48</v>
      </c>
      <c r="N297" s="65">
        <f t="shared" si="57"/>
        <v>41493.599999999999</v>
      </c>
      <c r="O297" s="65"/>
      <c r="P297" s="74">
        <f t="shared" si="58"/>
        <v>23.38</v>
      </c>
      <c r="Q297" s="74">
        <f t="shared" si="58"/>
        <v>1.1000000000000001</v>
      </c>
      <c r="R297" s="74">
        <f t="shared" si="59"/>
        <v>24.48</v>
      </c>
      <c r="S297" s="98">
        <f t="shared" si="60"/>
        <v>41493.599999999999</v>
      </c>
      <c r="T297" s="92">
        <f t="shared" si="61"/>
        <v>0</v>
      </c>
    </row>
    <row r="298" spans="1:21" ht="17.100000000000001" customHeight="1">
      <c r="A298" s="91">
        <v>581</v>
      </c>
      <c r="B298" s="91"/>
      <c r="D298" s="22">
        <v>27</v>
      </c>
      <c r="E298" s="63" t="s">
        <v>1179</v>
      </c>
      <c r="F298" s="32" t="s">
        <v>1161</v>
      </c>
      <c r="G298" s="66">
        <v>537</v>
      </c>
      <c r="H298" s="66"/>
      <c r="I298" s="22"/>
      <c r="J298" s="22"/>
      <c r="K298" s="71">
        <v>35.69</v>
      </c>
      <c r="L298" s="71">
        <v>1.1000000000000001</v>
      </c>
      <c r="M298" s="74">
        <f t="shared" si="62"/>
        <v>36.79</v>
      </c>
      <c r="N298" s="65">
        <f t="shared" si="57"/>
        <v>19756.23</v>
      </c>
      <c r="O298" s="66"/>
      <c r="P298" s="74">
        <f t="shared" si="58"/>
        <v>35.69</v>
      </c>
      <c r="Q298" s="74">
        <f t="shared" si="58"/>
        <v>1.1000000000000001</v>
      </c>
      <c r="R298" s="74">
        <f t="shared" si="59"/>
        <v>36.79</v>
      </c>
      <c r="S298" s="98">
        <f t="shared" si="60"/>
        <v>19756.23</v>
      </c>
      <c r="T298" s="92">
        <f t="shared" si="61"/>
        <v>0</v>
      </c>
    </row>
    <row r="299" spans="1:21" ht="17.100000000000001" customHeight="1">
      <c r="A299" s="91">
        <v>586</v>
      </c>
      <c r="B299" s="91"/>
      <c r="D299" s="22">
        <v>28</v>
      </c>
      <c r="E299" s="63" t="s">
        <v>1180</v>
      </c>
      <c r="F299" s="32" t="s">
        <v>1161</v>
      </c>
      <c r="G299" s="66">
        <v>235155</v>
      </c>
      <c r="H299" s="66"/>
      <c r="I299" s="22"/>
      <c r="J299" s="22"/>
      <c r="K299" s="71">
        <v>27.22</v>
      </c>
      <c r="L299" s="71">
        <v>1.1000000000000001</v>
      </c>
      <c r="M299" s="74">
        <f t="shared" si="62"/>
        <v>28.32</v>
      </c>
      <c r="N299" s="65">
        <f t="shared" si="57"/>
        <v>6659589.5999999996</v>
      </c>
      <c r="O299" s="66"/>
      <c r="P299" s="74">
        <f t="shared" si="58"/>
        <v>27.22</v>
      </c>
      <c r="Q299" s="74">
        <f t="shared" si="58"/>
        <v>1.1000000000000001</v>
      </c>
      <c r="R299" s="74">
        <f t="shared" si="59"/>
        <v>28.32</v>
      </c>
      <c r="S299" s="98">
        <f t="shared" si="60"/>
        <v>6659589.5999999996</v>
      </c>
      <c r="T299" s="92">
        <f t="shared" si="61"/>
        <v>0</v>
      </c>
    </row>
    <row r="300" spans="1:21" ht="17.100000000000001" customHeight="1">
      <c r="A300" s="91">
        <v>585</v>
      </c>
      <c r="B300" s="91"/>
      <c r="D300" s="22">
        <v>29</v>
      </c>
      <c r="E300" s="84" t="s">
        <v>1181</v>
      </c>
      <c r="F300" s="32" t="s">
        <v>1161</v>
      </c>
      <c r="G300" s="66">
        <v>1463</v>
      </c>
      <c r="H300" s="66"/>
      <c r="I300" s="22"/>
      <c r="J300" s="22"/>
      <c r="K300" s="71">
        <v>35.630000000000003</v>
      </c>
      <c r="L300" s="71">
        <v>1.1000000000000001</v>
      </c>
      <c r="M300" s="74">
        <f t="shared" si="62"/>
        <v>36.730000000000004</v>
      </c>
      <c r="N300" s="65">
        <f t="shared" si="57"/>
        <v>53735.990000000005</v>
      </c>
      <c r="O300" s="66"/>
      <c r="P300" s="74">
        <f t="shared" si="58"/>
        <v>35.630000000000003</v>
      </c>
      <c r="Q300" s="74">
        <f t="shared" si="58"/>
        <v>1.1000000000000001</v>
      </c>
      <c r="R300" s="74">
        <f t="shared" si="59"/>
        <v>36.730000000000004</v>
      </c>
      <c r="S300" s="98">
        <f t="shared" si="60"/>
        <v>53735.990000000005</v>
      </c>
      <c r="T300" s="92">
        <f t="shared" si="61"/>
        <v>0</v>
      </c>
    </row>
    <row r="301" spans="1:21" ht="17.100000000000001" customHeight="1">
      <c r="A301" s="91">
        <v>590</v>
      </c>
      <c r="B301" s="91"/>
      <c r="D301" s="22">
        <v>30</v>
      </c>
      <c r="E301" s="84" t="s">
        <v>1182</v>
      </c>
      <c r="F301" s="32" t="s">
        <v>1161</v>
      </c>
      <c r="G301" s="66">
        <v>274</v>
      </c>
      <c r="H301" s="66"/>
      <c r="I301" s="22"/>
      <c r="J301" s="22"/>
      <c r="K301" s="71">
        <v>30.8</v>
      </c>
      <c r="L301" s="71">
        <v>1.1000000000000001</v>
      </c>
      <c r="M301" s="74">
        <f t="shared" si="62"/>
        <v>31.900000000000002</v>
      </c>
      <c r="N301" s="65">
        <f t="shared" si="57"/>
        <v>8740.6</v>
      </c>
      <c r="O301" s="66"/>
      <c r="P301" s="74">
        <f t="shared" si="58"/>
        <v>30.8</v>
      </c>
      <c r="Q301" s="74">
        <f t="shared" si="58"/>
        <v>1.1000000000000001</v>
      </c>
      <c r="R301" s="74">
        <f t="shared" si="59"/>
        <v>31.900000000000002</v>
      </c>
      <c r="S301" s="98">
        <f t="shared" si="60"/>
        <v>8740.6</v>
      </c>
      <c r="T301" s="92">
        <f t="shared" si="61"/>
        <v>0</v>
      </c>
    </row>
    <row r="302" spans="1:21" ht="17.100000000000001" customHeight="1">
      <c r="A302" s="91">
        <v>580</v>
      </c>
      <c r="B302" s="91"/>
      <c r="D302" s="22">
        <v>31</v>
      </c>
      <c r="E302" s="63" t="s">
        <v>1183</v>
      </c>
      <c r="F302" s="32" t="s">
        <v>1161</v>
      </c>
      <c r="G302" s="66">
        <v>1455</v>
      </c>
      <c r="H302" s="66"/>
      <c r="I302" s="22"/>
      <c r="J302" s="22"/>
      <c r="K302" s="71">
        <v>25.79</v>
      </c>
      <c r="L302" s="71">
        <v>1.1000000000000001</v>
      </c>
      <c r="M302" s="74">
        <f t="shared" si="62"/>
        <v>26.89</v>
      </c>
      <c r="N302" s="65">
        <f t="shared" si="57"/>
        <v>39124.950000000004</v>
      </c>
      <c r="O302" s="66"/>
      <c r="P302" s="74">
        <f t="shared" si="58"/>
        <v>25.79</v>
      </c>
      <c r="Q302" s="74">
        <f t="shared" si="58"/>
        <v>1.1000000000000001</v>
      </c>
      <c r="R302" s="74">
        <f t="shared" si="59"/>
        <v>26.89</v>
      </c>
      <c r="S302" s="98">
        <f t="shared" si="60"/>
        <v>39124.950000000004</v>
      </c>
      <c r="T302" s="92">
        <f t="shared" si="61"/>
        <v>0</v>
      </c>
    </row>
    <row r="303" spans="1:21" ht="17.100000000000001" customHeight="1">
      <c r="A303" s="91">
        <v>587</v>
      </c>
      <c r="B303" s="91"/>
      <c r="D303" s="22">
        <v>32</v>
      </c>
      <c r="E303" s="63" t="s">
        <v>1184</v>
      </c>
      <c r="F303" s="32" t="s">
        <v>1161</v>
      </c>
      <c r="G303" s="66">
        <v>0</v>
      </c>
      <c r="H303" s="41"/>
      <c r="I303" s="41"/>
      <c r="J303" s="22"/>
      <c r="K303" s="71">
        <v>27.23</v>
      </c>
      <c r="L303" s="71">
        <v>1.1000000000000001</v>
      </c>
      <c r="M303" s="74">
        <f t="shared" si="62"/>
        <v>28.330000000000002</v>
      </c>
      <c r="N303" s="65">
        <f t="shared" si="57"/>
        <v>0</v>
      </c>
      <c r="O303" s="66"/>
      <c r="P303" s="74">
        <f t="shared" si="58"/>
        <v>27.23</v>
      </c>
      <c r="Q303" s="74">
        <f t="shared" si="58"/>
        <v>1.1000000000000001</v>
      </c>
      <c r="R303" s="74">
        <f t="shared" si="59"/>
        <v>28.330000000000002</v>
      </c>
      <c r="S303" s="98">
        <f t="shared" si="60"/>
        <v>0</v>
      </c>
      <c r="T303" s="92">
        <f t="shared" si="61"/>
        <v>0</v>
      </c>
    </row>
    <row r="304" spans="1:21" ht="17.100000000000001" customHeight="1">
      <c r="A304" s="91">
        <v>589</v>
      </c>
      <c r="B304" s="91"/>
      <c r="D304" s="22">
        <v>33</v>
      </c>
      <c r="E304" s="63" t="s">
        <v>1185</v>
      </c>
      <c r="F304" s="32" t="s">
        <v>1161</v>
      </c>
      <c r="G304" s="66">
        <v>1512</v>
      </c>
      <c r="H304" s="66"/>
      <c r="I304" s="66"/>
      <c r="J304" s="22"/>
      <c r="K304" s="71">
        <v>51.02</v>
      </c>
      <c r="L304" s="71">
        <v>1.68</v>
      </c>
      <c r="M304" s="74">
        <f t="shared" si="62"/>
        <v>52.7</v>
      </c>
      <c r="N304" s="65">
        <f t="shared" si="57"/>
        <v>79682.400000000009</v>
      </c>
      <c r="O304" s="66"/>
      <c r="P304" s="74">
        <f t="shared" si="58"/>
        <v>51.02</v>
      </c>
      <c r="Q304" s="74">
        <f t="shared" si="58"/>
        <v>1.68</v>
      </c>
      <c r="R304" s="74">
        <f t="shared" si="59"/>
        <v>52.7</v>
      </c>
      <c r="S304" s="98">
        <f t="shared" si="60"/>
        <v>79682.400000000009</v>
      </c>
      <c r="T304" s="92">
        <f t="shared" si="61"/>
        <v>0</v>
      </c>
    </row>
    <row r="305" spans="1:21" ht="17.100000000000001" customHeight="1">
      <c r="A305" s="91">
        <v>624</v>
      </c>
      <c r="B305" s="91"/>
      <c r="D305" s="22">
        <v>34</v>
      </c>
      <c r="E305" s="63" t="s">
        <v>1186</v>
      </c>
      <c r="F305" s="32" t="s">
        <v>1161</v>
      </c>
      <c r="G305" s="66">
        <v>47131</v>
      </c>
      <c r="H305" s="66"/>
      <c r="I305" s="66"/>
      <c r="J305" s="22"/>
      <c r="K305" s="71">
        <v>10.84</v>
      </c>
      <c r="L305" s="71">
        <v>1.3</v>
      </c>
      <c r="M305" s="74">
        <f t="shared" si="62"/>
        <v>12.14</v>
      </c>
      <c r="N305" s="65">
        <f t="shared" si="57"/>
        <v>572170.34000000008</v>
      </c>
      <c r="O305" s="66"/>
      <c r="P305" s="74">
        <f t="shared" si="58"/>
        <v>10.84</v>
      </c>
      <c r="Q305" s="74">
        <f t="shared" si="58"/>
        <v>1.3</v>
      </c>
      <c r="R305" s="74">
        <f t="shared" si="59"/>
        <v>12.14</v>
      </c>
      <c r="S305" s="98">
        <f t="shared" si="60"/>
        <v>572170.34000000008</v>
      </c>
      <c r="T305" s="92">
        <f t="shared" si="61"/>
        <v>0</v>
      </c>
    </row>
    <row r="306" spans="1:21" ht="17.100000000000001" customHeight="1">
      <c r="A306" s="91">
        <v>582</v>
      </c>
      <c r="B306" s="91"/>
      <c r="D306" s="22">
        <v>35</v>
      </c>
      <c r="E306" s="22" t="s">
        <v>1187</v>
      </c>
      <c r="F306" s="32" t="s">
        <v>1161</v>
      </c>
      <c r="G306" s="66">
        <v>192212</v>
      </c>
      <c r="H306" s="22"/>
      <c r="I306" s="22"/>
      <c r="J306" s="22"/>
      <c r="K306" s="71">
        <v>19.72</v>
      </c>
      <c r="L306" s="71">
        <v>1.1000000000000001</v>
      </c>
      <c r="M306" s="74">
        <f t="shared" si="62"/>
        <v>20.82</v>
      </c>
      <c r="N306" s="65">
        <f t="shared" si="57"/>
        <v>4001853.84</v>
      </c>
      <c r="P306" s="74">
        <f t="shared" si="58"/>
        <v>19.72</v>
      </c>
      <c r="Q306" s="74">
        <f t="shared" si="58"/>
        <v>1.1000000000000001</v>
      </c>
      <c r="R306" s="74">
        <f t="shared" si="59"/>
        <v>20.82</v>
      </c>
      <c r="S306" s="98">
        <f t="shared" si="60"/>
        <v>4001853.84</v>
      </c>
      <c r="T306" s="92">
        <f t="shared" si="61"/>
        <v>0</v>
      </c>
      <c r="U306" s="136"/>
    </row>
    <row r="307" spans="1:21" ht="17.100000000000001" customHeight="1">
      <c r="A307" s="91"/>
      <c r="B307" s="91"/>
      <c r="D307" s="22">
        <v>36</v>
      </c>
      <c r="E307" s="22"/>
      <c r="F307" s="32"/>
      <c r="G307" s="41"/>
      <c r="H307" s="41"/>
      <c r="I307" s="41"/>
      <c r="J307" s="41"/>
      <c r="K307" s="74"/>
      <c r="L307" s="74"/>
      <c r="M307" s="74"/>
      <c r="N307" s="65"/>
      <c r="O307" s="22"/>
      <c r="P307" s="74"/>
      <c r="Q307" s="74"/>
      <c r="R307" s="74"/>
      <c r="S307" s="98"/>
      <c r="T307" s="75"/>
    </row>
    <row r="308" spans="1:21" ht="17.100000000000001" customHeight="1">
      <c r="A308" s="91"/>
      <c r="B308" s="91"/>
      <c r="D308" s="22">
        <v>37</v>
      </c>
      <c r="E308" s="22"/>
      <c r="F308" s="22"/>
      <c r="G308" s="22"/>
      <c r="H308" s="22"/>
      <c r="I308" s="22"/>
      <c r="J308" s="22"/>
      <c r="K308" s="22"/>
      <c r="L308" s="22"/>
      <c r="M308" s="74"/>
      <c r="N308" s="65"/>
      <c r="P308" s="74"/>
      <c r="Q308" s="74"/>
      <c r="R308" s="74"/>
      <c r="S308" s="98"/>
      <c r="T308" s="75"/>
    </row>
    <row r="309" spans="1:21" ht="17.100000000000001" customHeight="1">
      <c r="A309" s="91"/>
      <c r="B309" s="91"/>
      <c r="D309" s="22">
        <v>38</v>
      </c>
      <c r="E309" s="22"/>
      <c r="F309" s="22"/>
      <c r="G309" s="22"/>
      <c r="H309" s="22"/>
      <c r="I309" s="22"/>
      <c r="J309" s="22"/>
      <c r="K309" s="22"/>
      <c r="L309" s="22"/>
      <c r="M309" s="74"/>
      <c r="N309" s="65"/>
      <c r="P309" s="74"/>
      <c r="Q309" s="74"/>
      <c r="R309" s="74"/>
      <c r="S309" s="98"/>
      <c r="T309" s="75"/>
    </row>
    <row r="310" spans="1:21" ht="17.100000000000001" customHeight="1">
      <c r="A310" s="91"/>
      <c r="B310" s="91"/>
      <c r="D310" s="22">
        <v>39</v>
      </c>
      <c r="E310" s="22"/>
      <c r="F310" s="22"/>
      <c r="G310" s="22"/>
      <c r="H310" s="22"/>
      <c r="I310" s="22"/>
      <c r="J310" s="22"/>
      <c r="K310" s="22"/>
      <c r="L310" s="22"/>
      <c r="M310" s="74"/>
      <c r="N310" s="65"/>
      <c r="P310" s="74"/>
      <c r="Q310" s="74"/>
      <c r="R310" s="74"/>
      <c r="S310" s="98"/>
      <c r="T310" s="75"/>
    </row>
    <row r="311" spans="1:21" ht="17.100000000000001" customHeight="1" thickBot="1">
      <c r="A311" s="91"/>
      <c r="B311" s="91"/>
      <c r="D311" s="24">
        <v>40</v>
      </c>
      <c r="E311" s="24"/>
      <c r="F311" s="24"/>
      <c r="G311" s="139"/>
      <c r="H311" s="24"/>
      <c r="I311" s="24"/>
      <c r="J311" s="24"/>
      <c r="K311" s="140"/>
      <c r="L311" s="140"/>
      <c r="M311" s="140"/>
      <c r="N311" s="141"/>
      <c r="O311" s="24"/>
      <c r="P311" s="24"/>
      <c r="Q311" s="24"/>
      <c r="R311" s="26"/>
      <c r="S311" s="24"/>
      <c r="T311" s="26" t="s">
        <v>133</v>
      </c>
    </row>
    <row r="312" spans="1:21" ht="17.100000000000001" customHeight="1">
      <c r="A312" s="91"/>
      <c r="B312" s="91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</row>
    <row r="313" spans="1:21" ht="17.100000000000001" customHeight="1" thickBot="1">
      <c r="A313" s="91"/>
      <c r="B313" s="91"/>
      <c r="D313" s="24"/>
      <c r="E313" s="24"/>
      <c r="F313" s="24"/>
      <c r="G313" s="24"/>
      <c r="H313" s="24"/>
      <c r="I313" s="24" t="str">
        <f>+$I$1</f>
        <v>REVENUE BY RATE SCHEDULE - LIGHTING SCHEDULE CALCULATION</v>
      </c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</row>
    <row r="314" spans="1:21" ht="17.100000000000001" customHeight="1">
      <c r="A314" s="91"/>
      <c r="B314" s="91"/>
      <c r="D314" s="22"/>
      <c r="E314" s="22"/>
      <c r="F314" s="22"/>
      <c r="G314" s="32"/>
      <c r="H314" s="22"/>
      <c r="I314" s="32"/>
      <c r="J314" s="22"/>
      <c r="K314" s="22"/>
      <c r="L314" s="30"/>
      <c r="M314" s="30"/>
      <c r="N314" s="22"/>
      <c r="O314" s="22"/>
      <c r="P314" s="30"/>
      <c r="Q314" s="30"/>
      <c r="R314" s="22"/>
      <c r="S314" s="22"/>
      <c r="T314" s="31"/>
    </row>
    <row r="315" spans="1:21" ht="17.100000000000001" customHeight="1">
      <c r="A315" s="91"/>
      <c r="B315" s="91"/>
      <c r="D315" s="22"/>
      <c r="E315" s="22"/>
      <c r="F315" s="22"/>
      <c r="G315" s="22"/>
      <c r="H315" s="22"/>
      <c r="I315" s="22"/>
      <c r="J315" s="22"/>
      <c r="K315" s="22"/>
      <c r="L315" s="32"/>
      <c r="M315" s="31"/>
      <c r="N315" s="22"/>
      <c r="O315" s="22"/>
      <c r="P315" s="22"/>
      <c r="Q315" s="88"/>
      <c r="R315" s="32"/>
      <c r="S315" s="31"/>
      <c r="T315" s="32"/>
    </row>
    <row r="316" spans="1:21" ht="17.100000000000001" customHeight="1">
      <c r="A316" s="91"/>
      <c r="B316" s="91"/>
      <c r="D316" s="22"/>
      <c r="E316" s="22"/>
      <c r="F316" s="22"/>
      <c r="G316" s="22"/>
      <c r="H316" s="22"/>
      <c r="I316" s="22"/>
      <c r="J316" s="22"/>
      <c r="K316" s="22"/>
      <c r="L316" s="32"/>
      <c r="M316" s="31"/>
      <c r="N316" s="32"/>
      <c r="O316" s="32"/>
      <c r="P316" s="22"/>
      <c r="Q316" s="32"/>
      <c r="R316" s="32"/>
      <c r="S316" s="31"/>
      <c r="T316" s="32"/>
    </row>
    <row r="317" spans="1:21" ht="17.100000000000001" customHeight="1">
      <c r="A317" s="91"/>
      <c r="B317" s="91"/>
      <c r="D317" s="22"/>
      <c r="E317" s="22"/>
      <c r="F317" s="22"/>
      <c r="G317" s="22"/>
      <c r="H317" s="22"/>
      <c r="I317" s="22"/>
      <c r="J317" s="22"/>
      <c r="K317" s="22"/>
      <c r="L317" s="32"/>
      <c r="M317" s="31"/>
      <c r="N317" s="32"/>
      <c r="O317" s="32"/>
      <c r="P317" s="22"/>
      <c r="Q317" s="32"/>
      <c r="R317" s="32"/>
      <c r="S317" s="31"/>
      <c r="T317" s="32"/>
    </row>
    <row r="318" spans="1:21" ht="17.100000000000001" customHeight="1" thickBot="1">
      <c r="A318" s="91"/>
      <c r="B318" s="91"/>
      <c r="D318" s="24"/>
      <c r="E318" s="24"/>
      <c r="F318" s="24"/>
      <c r="G318" s="24"/>
      <c r="H318" s="24"/>
      <c r="I318" s="24"/>
      <c r="J318" s="24"/>
      <c r="K318" s="25"/>
      <c r="L318" s="24"/>
      <c r="M318" s="24"/>
      <c r="N318" s="24"/>
      <c r="O318" s="24"/>
      <c r="P318" s="24"/>
      <c r="Q318" s="24"/>
      <c r="R318" s="22"/>
      <c r="S318" s="22"/>
      <c r="T318" s="24"/>
    </row>
    <row r="319" spans="1:21" ht="17.100000000000001" customHeight="1">
      <c r="A319" s="91"/>
      <c r="B319" s="91"/>
      <c r="D319" s="89"/>
      <c r="E319" s="334" t="s">
        <v>941</v>
      </c>
      <c r="F319" s="334"/>
      <c r="G319" s="334"/>
      <c r="H319" s="334"/>
      <c r="I319" s="334"/>
      <c r="J319" s="334"/>
      <c r="K319" s="334"/>
      <c r="L319" s="334"/>
      <c r="M319" s="334"/>
      <c r="N319" s="334"/>
      <c r="O319" s="334"/>
      <c r="P319" s="334"/>
      <c r="Q319" s="334"/>
      <c r="R319" s="334"/>
      <c r="S319" s="334"/>
      <c r="T319" s="334"/>
    </row>
    <row r="320" spans="1:21" ht="17.100000000000001" customHeight="1">
      <c r="A320" s="91"/>
      <c r="B320" s="91"/>
      <c r="D320" s="22"/>
      <c r="E320" s="23"/>
      <c r="F320" s="36"/>
      <c r="G320" s="36"/>
      <c r="H320" s="36"/>
      <c r="I320" s="36"/>
      <c r="J320" s="36"/>
      <c r="K320" s="90"/>
      <c r="L320" s="131" t="s">
        <v>942</v>
      </c>
      <c r="M320" s="90"/>
      <c r="N320" s="90"/>
      <c r="O320" s="90"/>
      <c r="P320" s="90"/>
      <c r="Q320" s="131" t="s">
        <v>943</v>
      </c>
      <c r="R320" s="90"/>
      <c r="S320" s="90"/>
      <c r="T320" s="36"/>
    </row>
    <row r="321" spans="1:22" ht="17.100000000000001" customHeight="1">
      <c r="A321" s="91"/>
      <c r="B321" s="91"/>
      <c r="D321" s="22"/>
      <c r="E321" s="23"/>
      <c r="F321" s="36"/>
      <c r="G321" s="23" t="s">
        <v>944</v>
      </c>
      <c r="H321" s="36" t="s">
        <v>945</v>
      </c>
      <c r="I321" s="23"/>
      <c r="J321" s="23"/>
      <c r="K321" s="23" t="s">
        <v>946</v>
      </c>
      <c r="L321" s="23" t="s">
        <v>946</v>
      </c>
      <c r="M321" s="23" t="s">
        <v>947</v>
      </c>
      <c r="N321" s="36" t="s">
        <v>464</v>
      </c>
      <c r="O321" s="36"/>
      <c r="P321" s="23" t="s">
        <v>946</v>
      </c>
      <c r="Q321" s="23" t="s">
        <v>946</v>
      </c>
      <c r="R321" s="23" t="s">
        <v>947</v>
      </c>
      <c r="S321" s="23" t="s">
        <v>464</v>
      </c>
      <c r="T321" s="23"/>
    </row>
    <row r="322" spans="1:22" ht="17.100000000000001" customHeight="1">
      <c r="A322" s="91"/>
      <c r="B322" s="91"/>
      <c r="D322" s="22" t="s">
        <v>55</v>
      </c>
      <c r="E322" s="23" t="s">
        <v>280</v>
      </c>
      <c r="F322" s="23"/>
      <c r="G322" s="23" t="s">
        <v>948</v>
      </c>
      <c r="H322" s="23" t="s">
        <v>946</v>
      </c>
      <c r="I322" s="36" t="s">
        <v>944</v>
      </c>
      <c r="J322" s="36"/>
      <c r="K322" s="36" t="s">
        <v>949</v>
      </c>
      <c r="L322" s="36" t="s">
        <v>950</v>
      </c>
      <c r="M322" s="36" t="s">
        <v>946</v>
      </c>
      <c r="N322" s="23" t="s">
        <v>43</v>
      </c>
      <c r="O322" s="23"/>
      <c r="P322" s="36" t="s">
        <v>949</v>
      </c>
      <c r="Q322" s="36" t="s">
        <v>950</v>
      </c>
      <c r="R322" s="36" t="s">
        <v>946</v>
      </c>
      <c r="S322" s="36" t="s">
        <v>43</v>
      </c>
      <c r="T322" s="36" t="s">
        <v>54</v>
      </c>
    </row>
    <row r="323" spans="1:22" ht="17.100000000000001" customHeight="1" thickBot="1">
      <c r="A323" s="91"/>
      <c r="B323" s="91"/>
      <c r="D323" s="24" t="s">
        <v>60</v>
      </c>
      <c r="E323" s="25" t="s">
        <v>949</v>
      </c>
      <c r="F323" s="25"/>
      <c r="G323" s="25" t="s">
        <v>951</v>
      </c>
      <c r="H323" s="25" t="s">
        <v>304</v>
      </c>
      <c r="I323" s="37" t="s">
        <v>304</v>
      </c>
      <c r="J323" s="37"/>
      <c r="K323" s="37" t="s">
        <v>952</v>
      </c>
      <c r="L323" s="37" t="s">
        <v>952</v>
      </c>
      <c r="M323" s="37" t="s">
        <v>952</v>
      </c>
      <c r="N323" s="37" t="s">
        <v>283</v>
      </c>
      <c r="O323" s="37"/>
      <c r="P323" s="37" t="s">
        <v>952</v>
      </c>
      <c r="Q323" s="37" t="s">
        <v>952</v>
      </c>
      <c r="R323" s="37" t="s">
        <v>952</v>
      </c>
      <c r="S323" s="37" t="s">
        <v>283</v>
      </c>
      <c r="T323" s="37" t="s">
        <v>59</v>
      </c>
    </row>
    <row r="324" spans="1:22" ht="17.100000000000001" customHeight="1">
      <c r="A324" s="91"/>
      <c r="B324" s="91"/>
      <c r="D324" s="22">
        <v>1</v>
      </c>
      <c r="E324" s="332" t="s">
        <v>134</v>
      </c>
      <c r="F324" s="332"/>
      <c r="G324" s="65"/>
      <c r="H324" s="65"/>
      <c r="I324" s="65"/>
      <c r="J324" s="65"/>
      <c r="K324" s="65"/>
      <c r="L324" s="65"/>
      <c r="M324" s="65"/>
      <c r="N324" s="65"/>
      <c r="O324" s="65"/>
      <c r="P324" s="65"/>
      <c r="Q324" s="65"/>
      <c r="R324" s="65"/>
      <c r="S324" s="65"/>
      <c r="T324" s="65"/>
    </row>
    <row r="325" spans="1:22" ht="17.100000000000001" customHeight="1">
      <c r="A325" s="91"/>
      <c r="B325" s="91"/>
      <c r="D325" s="22">
        <v>2</v>
      </c>
      <c r="E325" s="84"/>
      <c r="F325" s="22"/>
      <c r="G325" s="65"/>
      <c r="H325" s="65"/>
      <c r="I325" s="65"/>
      <c r="J325" s="65"/>
      <c r="K325" s="65"/>
      <c r="L325" s="65"/>
      <c r="M325" s="65"/>
      <c r="N325" s="65"/>
      <c r="O325" s="65"/>
      <c r="P325" s="65"/>
      <c r="Q325" s="65"/>
      <c r="R325" s="65"/>
      <c r="S325" s="65"/>
      <c r="T325" s="65"/>
    </row>
    <row r="326" spans="1:22" ht="17.100000000000001" customHeight="1">
      <c r="A326" s="91">
        <v>525</v>
      </c>
      <c r="B326" s="91"/>
      <c r="D326" s="22">
        <v>3</v>
      </c>
      <c r="E326" s="63" t="s">
        <v>1188</v>
      </c>
      <c r="F326" s="32" t="s">
        <v>1161</v>
      </c>
      <c r="G326" s="66">
        <v>43526</v>
      </c>
      <c r="H326" s="66"/>
      <c r="I326" s="66"/>
      <c r="J326" s="66"/>
      <c r="K326" s="71">
        <v>32.49</v>
      </c>
      <c r="L326" s="71">
        <v>1.1000000000000001</v>
      </c>
      <c r="M326" s="74">
        <f t="shared" ref="M326:M327" si="63">+K326+L326</f>
        <v>33.590000000000003</v>
      </c>
      <c r="N326" s="65">
        <f>+M326*G326</f>
        <v>1462038.34</v>
      </c>
      <c r="O326" s="66"/>
      <c r="P326" s="74">
        <f t="shared" ref="P326:Q327" si="64">+K326</f>
        <v>32.49</v>
      </c>
      <c r="Q326" s="74">
        <f t="shared" si="64"/>
        <v>1.1000000000000001</v>
      </c>
      <c r="R326" s="74">
        <f t="shared" ref="R326:R327" si="65">+P326+Q326</f>
        <v>33.590000000000003</v>
      </c>
      <c r="S326" s="98">
        <f>+R326*G326</f>
        <v>1462038.34</v>
      </c>
      <c r="T326" s="92">
        <f t="shared" ref="T326:T328" si="66">IF(S326=0,0,(S326-N326)/N326)</f>
        <v>0</v>
      </c>
      <c r="V326" s="19"/>
    </row>
    <row r="327" spans="1:22" ht="17.100000000000001" customHeight="1">
      <c r="A327" s="91">
        <v>641</v>
      </c>
      <c r="B327" s="91"/>
      <c r="D327" s="22">
        <v>4</v>
      </c>
      <c r="E327" s="142" t="s">
        <v>1189</v>
      </c>
      <c r="F327" s="143" t="s">
        <v>1161</v>
      </c>
      <c r="G327" s="66">
        <v>413</v>
      </c>
      <c r="H327" s="66"/>
      <c r="I327" s="66"/>
      <c r="J327" s="66"/>
      <c r="K327" s="71">
        <v>6.94</v>
      </c>
      <c r="L327" s="71">
        <v>0.34</v>
      </c>
      <c r="M327" s="74">
        <f t="shared" si="63"/>
        <v>7.28</v>
      </c>
      <c r="N327" s="65">
        <f>+M327*G327</f>
        <v>3006.6400000000003</v>
      </c>
      <c r="O327" s="66"/>
      <c r="P327" s="74">
        <f t="shared" si="64"/>
        <v>6.94</v>
      </c>
      <c r="Q327" s="74">
        <f t="shared" si="64"/>
        <v>0.34</v>
      </c>
      <c r="R327" s="74">
        <f t="shared" si="65"/>
        <v>7.28</v>
      </c>
      <c r="S327" s="98">
        <f>+R327*G327</f>
        <v>3006.6400000000003</v>
      </c>
      <c r="T327" s="92">
        <f t="shared" si="66"/>
        <v>0</v>
      </c>
    </row>
    <row r="328" spans="1:22" ht="17.100000000000001" customHeight="1">
      <c r="A328" s="91"/>
      <c r="B328" s="91"/>
      <c r="D328" s="22">
        <v>5</v>
      </c>
      <c r="E328" s="22" t="s">
        <v>1190</v>
      </c>
      <c r="F328" s="22"/>
      <c r="G328" s="144">
        <f>SUM($G$274:$G$307)+G326+G327</f>
        <v>1882698</v>
      </c>
      <c r="H328" s="145"/>
      <c r="I328" s="66"/>
      <c r="J328" s="66"/>
      <c r="K328" s="66"/>
      <c r="L328" s="80"/>
      <c r="M328" s="66"/>
      <c r="N328" s="146">
        <f>SUM($N$274:$N$306)+N326+N327</f>
        <v>35934708.680000007</v>
      </c>
      <c r="O328" s="65"/>
      <c r="P328" s="66"/>
      <c r="Q328" s="66"/>
      <c r="R328" s="66"/>
      <c r="S328" s="146">
        <f>SUM($S$274:$S$306)+S326+S327</f>
        <v>35934708.680000007</v>
      </c>
      <c r="T328" s="92">
        <f t="shared" si="66"/>
        <v>0</v>
      </c>
    </row>
    <row r="329" spans="1:22" ht="17.100000000000001" customHeight="1">
      <c r="A329" s="91"/>
      <c r="B329" s="91"/>
      <c r="D329" s="22">
        <v>6</v>
      </c>
      <c r="O329" s="65"/>
    </row>
    <row r="330" spans="1:22" ht="17.100000000000001" customHeight="1">
      <c r="A330" s="91"/>
      <c r="B330" s="91"/>
      <c r="D330" s="22">
        <v>7</v>
      </c>
    </row>
    <row r="331" spans="1:22" ht="17.100000000000001" customHeight="1">
      <c r="A331" s="91"/>
      <c r="B331" s="91"/>
      <c r="D331" s="22">
        <v>8</v>
      </c>
      <c r="E331" s="142" t="s">
        <v>1191</v>
      </c>
      <c r="F331" s="101"/>
      <c r="G331" s="66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66"/>
      <c r="T331" s="66"/>
    </row>
    <row r="332" spans="1:22" ht="17.100000000000001" customHeight="1">
      <c r="A332" s="91">
        <v>563</v>
      </c>
      <c r="B332" s="91"/>
      <c r="D332" s="22">
        <v>9</v>
      </c>
      <c r="E332" s="84" t="s">
        <v>1192</v>
      </c>
      <c r="F332" s="22"/>
      <c r="G332" s="66">
        <v>120</v>
      </c>
      <c r="J332" s="66"/>
      <c r="K332" s="71">
        <v>8.39</v>
      </c>
      <c r="L332" s="71">
        <v>1.43</v>
      </c>
      <c r="M332" s="147">
        <f>+K332+L332</f>
        <v>9.82</v>
      </c>
      <c r="N332" s="98">
        <f>+M332*G332</f>
        <v>1178.4000000000001</v>
      </c>
      <c r="O332" s="66"/>
      <c r="P332" s="74">
        <f t="shared" ref="P332:Q333" si="67">+K332</f>
        <v>8.39</v>
      </c>
      <c r="Q332" s="74">
        <f t="shared" si="67"/>
        <v>1.43</v>
      </c>
      <c r="R332" s="74">
        <f t="shared" ref="R332:R333" si="68">+P332+Q332</f>
        <v>9.82</v>
      </c>
      <c r="S332" s="65">
        <f>+R332*G332</f>
        <v>1178.4000000000001</v>
      </c>
      <c r="T332" s="148">
        <f t="shared" ref="T332:T335" si="69">IF(S332=0,0,(S332-N332)/N332)</f>
        <v>0</v>
      </c>
    </row>
    <row r="333" spans="1:22" ht="17.100000000000001" customHeight="1">
      <c r="A333" s="91">
        <v>569</v>
      </c>
      <c r="B333" s="91"/>
      <c r="D333" s="22">
        <v>10</v>
      </c>
      <c r="E333" s="22" t="s">
        <v>1193</v>
      </c>
      <c r="F333" s="22"/>
      <c r="G333" s="66">
        <v>3360</v>
      </c>
      <c r="J333" s="66"/>
      <c r="K333" s="71">
        <v>4.75</v>
      </c>
      <c r="L333" s="71">
        <v>0.06</v>
      </c>
      <c r="M333" s="147">
        <f>+K333+L333</f>
        <v>4.8099999999999996</v>
      </c>
      <c r="N333" s="122">
        <f>+M333*G333</f>
        <v>16161.599999999999</v>
      </c>
      <c r="O333" s="66"/>
      <c r="P333" s="74">
        <f t="shared" si="67"/>
        <v>4.75</v>
      </c>
      <c r="Q333" s="74">
        <f t="shared" si="67"/>
        <v>0.06</v>
      </c>
      <c r="R333" s="74">
        <f t="shared" si="68"/>
        <v>4.8099999999999996</v>
      </c>
      <c r="S333" s="65">
        <f>+R333*G333</f>
        <v>16161.599999999999</v>
      </c>
      <c r="T333" s="148">
        <f t="shared" si="69"/>
        <v>0</v>
      </c>
    </row>
    <row r="334" spans="1:22" ht="17.100000000000001" customHeight="1">
      <c r="A334" s="91"/>
      <c r="B334" s="91"/>
      <c r="D334" s="22">
        <v>11</v>
      </c>
      <c r="E334" s="22"/>
      <c r="F334" s="22"/>
      <c r="G334" s="66"/>
      <c r="H334" s="66"/>
      <c r="I334" s="66"/>
      <c r="J334" s="66"/>
      <c r="K334" s="71"/>
      <c r="L334" s="71"/>
      <c r="M334" s="147"/>
      <c r="N334" s="122"/>
      <c r="O334" s="66"/>
      <c r="P334" s="74"/>
      <c r="Q334" s="147"/>
      <c r="R334" s="74"/>
      <c r="S334" s="65"/>
      <c r="T334" s="148"/>
    </row>
    <row r="335" spans="1:22" ht="17.100000000000001" customHeight="1">
      <c r="A335" s="91"/>
      <c r="B335" s="91"/>
      <c r="D335" s="22">
        <v>12</v>
      </c>
      <c r="E335" s="149" t="s">
        <v>1194</v>
      </c>
      <c r="F335" s="22"/>
      <c r="G335" s="144">
        <f>+G332+G333+G334</f>
        <v>3480</v>
      </c>
      <c r="H335" s="145"/>
      <c r="I335" s="66"/>
      <c r="J335" s="66"/>
      <c r="K335" s="66"/>
      <c r="L335" s="66"/>
      <c r="M335" s="66"/>
      <c r="N335" s="146">
        <f>+N332+N333+N334</f>
        <v>17340</v>
      </c>
      <c r="O335" s="66"/>
      <c r="P335" s="22"/>
      <c r="Q335" s="66"/>
      <c r="R335" s="66"/>
      <c r="S335" s="146">
        <f>+S332+S333+S334</f>
        <v>17340</v>
      </c>
      <c r="T335" s="148">
        <f t="shared" si="69"/>
        <v>0</v>
      </c>
    </row>
    <row r="336" spans="1:22" ht="17.100000000000001" customHeight="1">
      <c r="A336" s="91"/>
      <c r="B336" s="91"/>
      <c r="D336" s="22">
        <v>13</v>
      </c>
      <c r="E336" s="66"/>
      <c r="F336" s="66"/>
      <c r="T336" s="97"/>
    </row>
    <row r="337" spans="1:20" ht="17.100000000000001" customHeight="1">
      <c r="A337" s="91"/>
      <c r="B337" s="91"/>
      <c r="D337" s="22">
        <v>14</v>
      </c>
      <c r="E337" s="142" t="s">
        <v>1195</v>
      </c>
      <c r="F337" s="66"/>
      <c r="G337" s="66"/>
      <c r="H337" s="80"/>
      <c r="I337" s="66"/>
      <c r="J337" s="66"/>
      <c r="K337" s="80"/>
      <c r="L337" s="22"/>
      <c r="M337" s="22"/>
      <c r="N337" s="22"/>
      <c r="O337" s="22"/>
      <c r="P337" s="74"/>
      <c r="Q337" s="80"/>
      <c r="R337" s="80"/>
      <c r="S337" s="66"/>
    </row>
    <row r="338" spans="1:20" ht="17.100000000000001" customHeight="1">
      <c r="A338" s="91"/>
      <c r="B338" s="91"/>
      <c r="D338" s="22">
        <v>15</v>
      </c>
      <c r="E338" s="66" t="s">
        <v>1196</v>
      </c>
      <c r="F338" s="66"/>
      <c r="N338" s="65">
        <v>5330833.4751721025</v>
      </c>
      <c r="O338" s="22"/>
      <c r="P338" s="22"/>
      <c r="Q338" s="22"/>
      <c r="S338" s="65">
        <f>+N338</f>
        <v>5330833.4751721025</v>
      </c>
      <c r="T338" s="148">
        <f t="shared" ref="T338:T339" si="70">IF(S338=0,0,(S338-N338)/N338)</f>
        <v>0</v>
      </c>
    </row>
    <row r="339" spans="1:20" ht="17.100000000000001" customHeight="1">
      <c r="A339" s="91"/>
      <c r="B339" s="91"/>
      <c r="D339" s="22">
        <v>16</v>
      </c>
      <c r="E339" s="149" t="s">
        <v>1197</v>
      </c>
      <c r="F339" s="66"/>
      <c r="G339" s="66"/>
      <c r="H339" s="80"/>
      <c r="I339" s="66"/>
      <c r="J339" s="66"/>
      <c r="K339" s="80"/>
      <c r="L339" s="22"/>
      <c r="M339" s="22"/>
      <c r="N339" s="146">
        <f>+N336+N337+N338</f>
        <v>5330833.4751721025</v>
      </c>
      <c r="O339" s="22"/>
      <c r="P339" s="74"/>
      <c r="Q339" s="80"/>
      <c r="R339" s="80"/>
      <c r="S339" s="146">
        <f>+S336+S337+S338</f>
        <v>5330833.4751721025</v>
      </c>
      <c r="T339" s="148">
        <f t="shared" si="70"/>
        <v>0</v>
      </c>
    </row>
    <row r="340" spans="1:20" ht="17.100000000000001" customHeight="1">
      <c r="A340" s="91"/>
      <c r="B340" s="91"/>
      <c r="D340" s="22">
        <v>17</v>
      </c>
      <c r="E340" s="66"/>
      <c r="F340" s="66"/>
      <c r="G340" s="66"/>
      <c r="H340" s="66"/>
      <c r="I340" s="66"/>
      <c r="J340" s="66"/>
      <c r="K340" s="22"/>
      <c r="L340" s="22"/>
      <c r="M340" s="22"/>
      <c r="N340" s="22"/>
      <c r="O340" s="22"/>
      <c r="P340" s="22"/>
      <c r="Q340" s="22"/>
      <c r="R340" s="74"/>
      <c r="S340" s="66"/>
      <c r="T340" s="97"/>
    </row>
    <row r="341" spans="1:20" ht="17.100000000000001" customHeight="1" thickBot="1">
      <c r="A341" s="91"/>
      <c r="B341" s="91"/>
      <c r="D341" s="22">
        <v>18</v>
      </c>
      <c r="E341" s="150" t="s">
        <v>1198</v>
      </c>
      <c r="F341" s="22"/>
      <c r="G341" s="66"/>
      <c r="H341" s="66"/>
      <c r="I341" s="66"/>
      <c r="J341" s="66"/>
      <c r="K341" s="22"/>
      <c r="L341" s="22"/>
      <c r="M341" s="22"/>
      <c r="N341" s="151">
        <f>+N246+N328+N335+N339</f>
        <v>82707820.715172112</v>
      </c>
      <c r="P341" s="22"/>
      <c r="Q341" s="22"/>
      <c r="R341" s="66"/>
      <c r="S341" s="151">
        <f>+S246+S328+S335+S339</f>
        <v>82707820.715172112</v>
      </c>
      <c r="T341" s="148">
        <f t="shared" ref="T341" si="71">IF(S341=0,0,(S341-N341)/N341)</f>
        <v>0</v>
      </c>
    </row>
    <row r="342" spans="1:20" ht="17.100000000000001" customHeight="1" thickTop="1">
      <c r="A342" s="91"/>
      <c r="B342" s="91"/>
      <c r="D342" s="22">
        <v>19</v>
      </c>
      <c r="E342" s="66"/>
      <c r="F342" s="66"/>
      <c r="G342" s="66"/>
      <c r="H342" s="66"/>
      <c r="I342" s="66"/>
      <c r="J342" s="66"/>
      <c r="K342" s="22"/>
      <c r="L342" s="22"/>
      <c r="M342" s="22"/>
      <c r="N342" s="95"/>
      <c r="O342" s="22"/>
      <c r="P342" s="22"/>
      <c r="Q342" s="22"/>
      <c r="R342" s="80"/>
      <c r="S342" s="66"/>
      <c r="T342" s="66"/>
    </row>
    <row r="343" spans="1:20" ht="17.100000000000001" customHeight="1">
      <c r="A343" s="91"/>
      <c r="B343" s="91"/>
      <c r="D343" s="22">
        <v>20</v>
      </c>
      <c r="E343" s="66"/>
      <c r="F343" s="66"/>
      <c r="G343" s="66"/>
      <c r="H343" s="66"/>
      <c r="I343" s="66"/>
      <c r="J343" s="66"/>
      <c r="K343" s="22"/>
      <c r="L343" s="22"/>
      <c r="M343" s="22"/>
      <c r="N343" s="22"/>
      <c r="O343" s="22"/>
      <c r="P343" s="22"/>
      <c r="Q343" s="22"/>
      <c r="R343" s="80"/>
      <c r="S343" s="66"/>
      <c r="T343" s="66"/>
    </row>
    <row r="344" spans="1:20" ht="17.100000000000001" customHeight="1">
      <c r="A344" s="91"/>
      <c r="B344" s="91"/>
      <c r="D344" s="22">
        <v>21</v>
      </c>
      <c r="E344" s="66"/>
      <c r="F344" s="66"/>
      <c r="G344" s="66"/>
      <c r="H344" s="66"/>
      <c r="I344" s="66"/>
      <c r="J344" s="66"/>
      <c r="K344" s="80"/>
      <c r="L344" s="22"/>
      <c r="M344" s="22"/>
      <c r="N344" s="137"/>
      <c r="O344" s="22"/>
      <c r="P344" s="74"/>
      <c r="Q344" s="80"/>
      <c r="R344" s="94"/>
      <c r="S344" s="137"/>
      <c r="T344" s="97"/>
    </row>
    <row r="345" spans="1:20" ht="17.100000000000001" customHeight="1">
      <c r="A345" s="91"/>
      <c r="B345" s="91"/>
      <c r="D345" s="22">
        <v>22</v>
      </c>
      <c r="E345" s="66"/>
      <c r="F345" s="66"/>
      <c r="G345" s="66"/>
      <c r="H345" s="66"/>
      <c r="I345" s="66"/>
      <c r="J345" s="66"/>
      <c r="K345" s="66"/>
      <c r="L345" s="22"/>
      <c r="M345" s="22"/>
      <c r="N345" s="22"/>
      <c r="O345" s="66"/>
      <c r="P345" s="66"/>
      <c r="Q345" s="66"/>
      <c r="R345" s="66"/>
      <c r="S345" s="65"/>
      <c r="T345" s="97"/>
    </row>
    <row r="346" spans="1:20" ht="17.100000000000001" customHeight="1">
      <c r="A346" s="91"/>
      <c r="B346" s="91"/>
      <c r="D346" s="22">
        <v>23</v>
      </c>
      <c r="E346" s="66"/>
      <c r="F346" s="66"/>
      <c r="G346" s="66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</row>
    <row r="347" spans="1:20" ht="17.100000000000001" customHeight="1">
      <c r="A347" s="91"/>
      <c r="B347" s="91"/>
      <c r="D347" s="22">
        <v>24</v>
      </c>
      <c r="E347" s="66"/>
      <c r="F347" s="66"/>
      <c r="G347" s="66"/>
      <c r="H347" s="66"/>
      <c r="I347" s="66"/>
      <c r="J347" s="66"/>
      <c r="K347" s="22"/>
      <c r="L347" s="22"/>
      <c r="M347" s="22"/>
      <c r="N347" s="22"/>
      <c r="O347" s="22"/>
      <c r="P347" s="22"/>
      <c r="Q347" s="22"/>
      <c r="R347" s="22"/>
      <c r="S347" s="22"/>
      <c r="T347" s="22"/>
    </row>
    <row r="348" spans="1:20" ht="17.100000000000001" customHeight="1">
      <c r="A348" s="91"/>
      <c r="B348" s="91"/>
      <c r="D348" s="22">
        <v>25</v>
      </c>
      <c r="E348" s="66"/>
      <c r="F348" s="66"/>
      <c r="G348" s="66"/>
      <c r="H348" s="66"/>
      <c r="I348" s="66"/>
      <c r="J348" s="66"/>
      <c r="K348" s="22"/>
      <c r="L348" s="22"/>
      <c r="M348" s="22"/>
      <c r="N348" s="22"/>
      <c r="O348" s="22"/>
      <c r="P348" s="22"/>
      <c r="Q348" s="22"/>
      <c r="R348" s="22"/>
      <c r="S348" s="22"/>
      <c r="T348" s="22"/>
    </row>
    <row r="349" spans="1:20" ht="17.100000000000001" customHeight="1">
      <c r="A349" s="91"/>
      <c r="B349" s="91"/>
      <c r="D349" s="22">
        <v>26</v>
      </c>
      <c r="E349" s="66"/>
      <c r="F349" s="66"/>
      <c r="G349" s="66"/>
      <c r="H349" s="66"/>
      <c r="I349" s="66"/>
      <c r="J349" s="66"/>
      <c r="K349" s="22"/>
      <c r="L349" s="22"/>
      <c r="M349" s="22"/>
      <c r="N349" s="22"/>
      <c r="O349" s="22"/>
      <c r="P349" s="22"/>
      <c r="Q349" s="22"/>
      <c r="R349" s="22"/>
      <c r="S349" s="22"/>
      <c r="T349" s="22"/>
    </row>
    <row r="350" spans="1:20" ht="17.100000000000001" customHeight="1">
      <c r="A350" s="91"/>
      <c r="B350" s="91"/>
      <c r="D350" s="22">
        <v>27</v>
      </c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</row>
    <row r="351" spans="1:20" ht="17.100000000000001" customHeight="1">
      <c r="A351" s="91"/>
      <c r="B351" s="91"/>
      <c r="D351" s="22">
        <v>28</v>
      </c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</row>
    <row r="352" spans="1:20" ht="17.100000000000001" customHeight="1">
      <c r="A352" s="91"/>
      <c r="B352" s="91"/>
      <c r="D352" s="22">
        <v>29</v>
      </c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</row>
    <row r="353" spans="1:20" ht="17.100000000000001" customHeight="1">
      <c r="A353" s="91"/>
      <c r="B353" s="91"/>
      <c r="D353" s="22">
        <v>30</v>
      </c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</row>
    <row r="354" spans="1:20" ht="17.100000000000001" customHeight="1">
      <c r="A354" s="91"/>
      <c r="B354" s="91"/>
      <c r="D354" s="22">
        <v>31</v>
      </c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</row>
    <row r="355" spans="1:20" ht="17.100000000000001" customHeight="1">
      <c r="A355" s="91"/>
      <c r="B355" s="91"/>
      <c r="D355" s="22">
        <v>32</v>
      </c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</row>
    <row r="356" spans="1:20" ht="17.100000000000001" customHeight="1">
      <c r="A356" s="91"/>
      <c r="B356" s="91"/>
      <c r="D356" s="22">
        <v>33</v>
      </c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</row>
    <row r="357" spans="1:20" ht="17.100000000000001" customHeight="1">
      <c r="A357" s="91"/>
      <c r="B357" s="91"/>
      <c r="D357" s="22">
        <v>34</v>
      </c>
      <c r="E357" s="104"/>
      <c r="F357" s="22"/>
      <c r="G357" s="22"/>
      <c r="H357" s="22"/>
      <c r="I357" s="22"/>
      <c r="J357" s="22"/>
      <c r="K357" s="22"/>
      <c r="L357" s="22"/>
      <c r="M357" s="22"/>
      <c r="N357" s="67"/>
      <c r="O357" s="22"/>
      <c r="P357" s="22"/>
      <c r="Q357" s="22"/>
      <c r="R357" s="22"/>
      <c r="S357" s="74"/>
      <c r="T357" s="22"/>
    </row>
    <row r="358" spans="1:20" ht="17.100000000000001" customHeight="1">
      <c r="A358" s="91"/>
      <c r="B358" s="91"/>
      <c r="D358" s="22">
        <v>35</v>
      </c>
      <c r="E358" s="84"/>
      <c r="F358" s="22"/>
      <c r="G358" s="76"/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66"/>
      <c r="S358" s="66"/>
      <c r="T358" s="66"/>
    </row>
    <row r="359" spans="1:20" ht="17.100000000000001" customHeight="1">
      <c r="A359" s="91"/>
      <c r="B359" s="91"/>
      <c r="D359" s="22">
        <v>36</v>
      </c>
      <c r="E359" s="84"/>
      <c r="F359" s="22"/>
      <c r="G359" s="76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6"/>
      <c r="S359" s="66"/>
      <c r="T359" s="66"/>
    </row>
    <row r="360" spans="1:20" ht="17.100000000000001" customHeight="1">
      <c r="A360" s="91"/>
      <c r="B360" s="91"/>
      <c r="D360" s="22">
        <v>37</v>
      </c>
      <c r="E360" s="84"/>
      <c r="F360" s="22"/>
      <c r="G360" s="66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6"/>
      <c r="S360" s="66"/>
      <c r="T360" s="66"/>
    </row>
    <row r="361" spans="1:20" ht="17.100000000000001" customHeight="1">
      <c r="A361" s="91"/>
      <c r="B361" s="91"/>
      <c r="D361" s="22">
        <v>38</v>
      </c>
      <c r="E361" s="84"/>
      <c r="F361" s="22"/>
      <c r="G361" s="66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</row>
    <row r="362" spans="1:20" ht="17.100000000000001" customHeight="1">
      <c r="A362" s="91"/>
      <c r="B362" s="91"/>
      <c r="D362" s="22">
        <v>39</v>
      </c>
      <c r="E362" s="84"/>
      <c r="F362" s="22"/>
      <c r="G362" s="66"/>
      <c r="H362" s="66"/>
      <c r="I362" s="66"/>
      <c r="J362" s="66"/>
      <c r="K362" s="66"/>
      <c r="L362" s="66"/>
      <c r="M362" s="66"/>
      <c r="N362" s="66"/>
      <c r="O362" s="66"/>
      <c r="P362" s="66"/>
      <c r="Q362" s="66"/>
      <c r="R362" s="66"/>
      <c r="S362" s="66"/>
      <c r="T362" s="66"/>
    </row>
    <row r="363" spans="1:20" ht="17.100000000000001" customHeight="1" thickBot="1">
      <c r="A363" s="91"/>
      <c r="B363" s="91"/>
      <c r="D363" s="24">
        <v>40</v>
      </c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</row>
    <row r="364" spans="1:20" ht="17.100000000000001" customHeight="1">
      <c r="A364" s="91"/>
      <c r="B364" s="91"/>
      <c r="D364" s="22" t="s">
        <v>1199</v>
      </c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</row>
    <row r="373" spans="22:24" ht="17.100000000000001" customHeight="1">
      <c r="V373" s="21"/>
      <c r="W373" s="21"/>
      <c r="X373" s="21"/>
    </row>
  </sheetData>
  <mergeCells count="27">
    <mergeCell ref="E12:F12"/>
    <mergeCell ref="E7:T7"/>
    <mergeCell ref="K8:N8"/>
    <mergeCell ref="P8:S8"/>
    <mergeCell ref="E10:F10"/>
    <mergeCell ref="E11:F11"/>
    <mergeCell ref="K164:N164"/>
    <mergeCell ref="P164:S164"/>
    <mergeCell ref="E59:T59"/>
    <mergeCell ref="K60:N60"/>
    <mergeCell ref="P60:S60"/>
    <mergeCell ref="E65:F65"/>
    <mergeCell ref="E85:F85"/>
    <mergeCell ref="E111:T111"/>
    <mergeCell ref="K112:N112"/>
    <mergeCell ref="P112:S112"/>
    <mergeCell ref="E117:F117"/>
    <mergeCell ref="E136:F136"/>
    <mergeCell ref="E163:T163"/>
    <mergeCell ref="E319:T319"/>
    <mergeCell ref="E324:F324"/>
    <mergeCell ref="E169:F169"/>
    <mergeCell ref="E215:T215"/>
    <mergeCell ref="K216:N216"/>
    <mergeCell ref="P216:S216"/>
    <mergeCell ref="E222:F222"/>
    <mergeCell ref="E267:T26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EF2DD-1B32-4845-A94C-96922ED3D888}">
  <dimension ref="B1:G18"/>
  <sheetViews>
    <sheetView zoomScale="130" zoomScaleNormal="130" workbookViewId="0">
      <selection activeCell="C18" sqref="C18"/>
    </sheetView>
  </sheetViews>
  <sheetFormatPr defaultRowHeight="15"/>
  <cols>
    <col min="2" max="2" width="43.28515625" bestFit="1" customWidth="1"/>
    <col min="3" max="3" width="25" style="2" bestFit="1" customWidth="1"/>
    <col min="4" max="4" width="26.42578125" style="2" bestFit="1" customWidth="1"/>
    <col min="7" max="7" width="11.140625" bestFit="1" customWidth="1"/>
  </cols>
  <sheetData>
    <row r="1" spans="2:7">
      <c r="B1" t="s">
        <v>17</v>
      </c>
    </row>
    <row r="2" spans="2:7">
      <c r="C2" s="2" t="s">
        <v>18</v>
      </c>
      <c r="D2" s="2" t="s">
        <v>19</v>
      </c>
    </row>
    <row r="3" spans="2:7">
      <c r="B3" t="s">
        <v>20</v>
      </c>
      <c r="C3" s="2" t="s">
        <v>21</v>
      </c>
      <c r="D3" s="2" t="s">
        <v>21</v>
      </c>
    </row>
    <row r="4" spans="2:7">
      <c r="B4" t="s">
        <v>22</v>
      </c>
      <c r="C4" s="14">
        <v>9798150</v>
      </c>
      <c r="D4" s="14">
        <f>+C4</f>
        <v>9798150</v>
      </c>
    </row>
    <row r="6" spans="2:7">
      <c r="B6" t="s">
        <v>23</v>
      </c>
      <c r="C6" s="15">
        <f>+'WACC Calculation'!F21</f>
        <v>7.3700000000000002E-2</v>
      </c>
      <c r="D6" s="15">
        <f>+'WACC Calculation'!M21</f>
        <v>7.3666295953828009E-2</v>
      </c>
    </row>
    <row r="7" spans="2:7">
      <c r="G7" s="1"/>
    </row>
    <row r="8" spans="2:7">
      <c r="B8" t="s">
        <v>24</v>
      </c>
      <c r="C8" s="14">
        <f>+C4*C6</f>
        <v>722123.65500000003</v>
      </c>
      <c r="D8" s="14">
        <f>+D4*D6</f>
        <v>721793.41769999987</v>
      </c>
    </row>
    <row r="10" spans="2:7">
      <c r="B10" t="s">
        <v>25</v>
      </c>
      <c r="C10" s="14">
        <v>501372</v>
      </c>
      <c r="D10" s="14">
        <v>501372</v>
      </c>
    </row>
    <row r="12" spans="2:7">
      <c r="B12" t="s">
        <v>26</v>
      </c>
      <c r="C12" s="14">
        <f>+C8-C10</f>
        <v>220751.65500000003</v>
      </c>
      <c r="D12" s="14">
        <f>+D8-D10</f>
        <v>220421.41769999987</v>
      </c>
    </row>
    <row r="14" spans="2:7">
      <c r="B14" t="s">
        <v>27</v>
      </c>
      <c r="C14" s="15">
        <f>+C10/C4</f>
        <v>5.1170067818925004E-2</v>
      </c>
      <c r="D14" s="15">
        <f>+D10/D4</f>
        <v>5.1170067818925004E-2</v>
      </c>
    </row>
    <row r="16" spans="2:7">
      <c r="B16" t="s">
        <v>28</v>
      </c>
      <c r="C16" s="2">
        <v>1.3436399999999999</v>
      </c>
      <c r="D16" s="2">
        <v>1.3436399999999999</v>
      </c>
    </row>
    <row r="18" spans="2:6">
      <c r="B18" t="s">
        <v>29</v>
      </c>
      <c r="C18" s="14">
        <f>+C16*C12</f>
        <v>296610.75372420001</v>
      </c>
      <c r="D18" s="14">
        <f>+D16*D12</f>
        <v>296167.0336784278</v>
      </c>
      <c r="F18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FE526-B113-4CFF-8AB6-710DE1112ED5}">
  <dimension ref="B1:H12"/>
  <sheetViews>
    <sheetView workbookViewId="0">
      <selection activeCell="H17" sqref="H17"/>
    </sheetView>
  </sheetViews>
  <sheetFormatPr defaultRowHeight="15"/>
  <cols>
    <col min="2" max="2" width="11.28515625" bestFit="1" customWidth="1"/>
    <col min="3" max="3" width="12.7109375" bestFit="1" customWidth="1"/>
    <col min="4" max="4" width="16.7109375" bestFit="1" customWidth="1"/>
    <col min="5" max="5" width="26.7109375" bestFit="1" customWidth="1"/>
    <col min="7" max="7" width="16.28515625" bestFit="1" customWidth="1"/>
    <col min="8" max="8" width="18" bestFit="1" customWidth="1"/>
  </cols>
  <sheetData>
    <row r="1" spans="2:8">
      <c r="C1" s="2" t="s">
        <v>30</v>
      </c>
      <c r="D1" t="s">
        <v>31</v>
      </c>
      <c r="E1" t="s">
        <v>32</v>
      </c>
      <c r="F1" t="s">
        <v>33</v>
      </c>
      <c r="G1" t="s">
        <v>34</v>
      </c>
      <c r="H1" t="s">
        <v>35</v>
      </c>
    </row>
    <row r="2" spans="2:8">
      <c r="B2" t="s">
        <v>36</v>
      </c>
      <c r="C2" s="1">
        <v>6080302.460770471</v>
      </c>
      <c r="D2" s="1">
        <f>+C2*'WACC Calculation'!$F$21</f>
        <v>448118.29135878372</v>
      </c>
      <c r="E2" s="1">
        <v>301653.22420721373</v>
      </c>
      <c r="F2" s="1">
        <f>+D2-E2</f>
        <v>146465.06715156999</v>
      </c>
      <c r="G2">
        <f>+'Revenue Deficiency Calculation'!$D$16</f>
        <v>1.3436399999999999</v>
      </c>
      <c r="H2" s="1">
        <f>+F2*G2</f>
        <v>196796.32282753551</v>
      </c>
    </row>
    <row r="3" spans="2:8">
      <c r="B3" t="s">
        <v>37</v>
      </c>
      <c r="C3" s="1">
        <v>520092.45429193845</v>
      </c>
      <c r="D3" s="1">
        <f>+C3*'WACC Calculation'!$F$21</f>
        <v>38330.813881315866</v>
      </c>
      <c r="E3" s="1">
        <v>35122.711364176481</v>
      </c>
      <c r="F3" s="1">
        <f t="shared" ref="F3:F8" si="0">+D3-E3</f>
        <v>3208.1025171393849</v>
      </c>
      <c r="G3">
        <f>+'Revenue Deficiency Calculation'!$D$16</f>
        <v>1.3436399999999999</v>
      </c>
      <c r="H3" s="1">
        <f t="shared" ref="H3:H8" si="1">+F3*G3</f>
        <v>4310.5348661291628</v>
      </c>
    </row>
    <row r="4" spans="2:8">
      <c r="B4" t="s">
        <v>38</v>
      </c>
      <c r="C4" s="1">
        <v>2379536.5115266615</v>
      </c>
      <c r="D4" s="1">
        <f>+C4*'WACC Calculation'!$F$21</f>
        <v>175371.84089951497</v>
      </c>
      <c r="E4" s="1">
        <v>98676.083505663322</v>
      </c>
      <c r="F4" s="1">
        <f t="shared" si="0"/>
        <v>76695.757393851643</v>
      </c>
      <c r="G4">
        <f>+'Revenue Deficiency Calculation'!$D$16</f>
        <v>1.3436399999999999</v>
      </c>
      <c r="H4" s="1">
        <f t="shared" si="1"/>
        <v>103051.48746467482</v>
      </c>
    </row>
    <row r="5" spans="2:8">
      <c r="B5" t="s">
        <v>39</v>
      </c>
      <c r="C5" s="1">
        <v>274056.21806913317</v>
      </c>
      <c r="D5" s="1">
        <f>+C5*'WACC Calculation'!$F$21</f>
        <v>20197.943271695116</v>
      </c>
      <c r="E5" s="1">
        <v>17555.63554785413</v>
      </c>
      <c r="F5" s="1">
        <f t="shared" si="0"/>
        <v>2642.307723840986</v>
      </c>
      <c r="G5">
        <f>+'Revenue Deficiency Calculation'!$D$16</f>
        <v>1.3436399999999999</v>
      </c>
      <c r="H5" s="1">
        <f t="shared" si="1"/>
        <v>3550.3103500617021</v>
      </c>
    </row>
    <row r="6" spans="2:8">
      <c r="B6" t="s">
        <v>40</v>
      </c>
      <c r="C6" s="1">
        <v>176440.2974868415</v>
      </c>
      <c r="D6" s="1">
        <f>+C6*'WACC Calculation'!$F$21</f>
        <v>13003.649924780218</v>
      </c>
      <c r="E6" s="1">
        <v>7542.4031658821987</v>
      </c>
      <c r="F6" s="1">
        <f t="shared" si="0"/>
        <v>5461.2467588980198</v>
      </c>
      <c r="G6">
        <f>+'Revenue Deficiency Calculation'!$D$16</f>
        <v>1.3436399999999999</v>
      </c>
      <c r="H6" s="1">
        <f t="shared" si="1"/>
        <v>7337.949595125735</v>
      </c>
    </row>
    <row r="7" spans="2:8">
      <c r="B7" t="s">
        <v>41</v>
      </c>
      <c r="C7" s="1">
        <v>12807.536899731032</v>
      </c>
      <c r="D7" s="1">
        <f>+C7*'WACC Calculation'!$F$21</f>
        <v>943.9154695101771</v>
      </c>
      <c r="E7" s="1">
        <v>1788.6808495641242</v>
      </c>
      <c r="F7" s="1">
        <f t="shared" si="0"/>
        <v>-844.76538005394707</v>
      </c>
      <c r="G7">
        <f>+'Revenue Deficiency Calculation'!$D$16</f>
        <v>1.3436399999999999</v>
      </c>
      <c r="H7" s="1">
        <f t="shared" si="1"/>
        <v>-1135.0605552556854</v>
      </c>
    </row>
    <row r="8" spans="2:8">
      <c r="B8" t="s">
        <v>42</v>
      </c>
      <c r="C8" s="1">
        <v>354914.86309819156</v>
      </c>
      <c r="D8" s="1">
        <f>+C8*'WACC Calculation'!$F$21</f>
        <v>26157.22541033672</v>
      </c>
      <c r="E8" s="1">
        <v>39033.719262838138</v>
      </c>
      <c r="F8" s="1">
        <f t="shared" si="0"/>
        <v>-12876.493852501419</v>
      </c>
      <c r="G8">
        <f>+'Revenue Deficiency Calculation'!$D$16</f>
        <v>1.3436399999999999</v>
      </c>
      <c r="H8" s="1">
        <f t="shared" si="1"/>
        <v>-17301.372199975005</v>
      </c>
    </row>
    <row r="10" spans="2:8">
      <c r="B10" t="s">
        <v>43</v>
      </c>
      <c r="C10" s="1">
        <f>+SUM(C2:C8)</f>
        <v>9798150.3421429675</v>
      </c>
      <c r="D10" s="1">
        <f>+SUM(D2:D8)</f>
        <v>722123.68021593685</v>
      </c>
      <c r="E10" s="1">
        <f>+SUM(E2:E8)</f>
        <v>501372.45790319215</v>
      </c>
      <c r="F10" s="1">
        <f>+SUM(F2:F8)</f>
        <v>220751.22231274468</v>
      </c>
      <c r="H10" s="1">
        <f>+SUM(H2:H8)+0.35</f>
        <v>296610.52234829619</v>
      </c>
    </row>
    <row r="12" spans="2:8">
      <c r="B12" t="s">
        <v>44</v>
      </c>
      <c r="C12" s="1">
        <f>+C10-'Revenue Deficiency Calculation'!D4</f>
        <v>0.34214296750724316</v>
      </c>
      <c r="D12" s="1"/>
      <c r="H12" s="1">
        <f>+H10-'Revenue Deficiency Calculation'!C18</f>
        <v>-0.23137590382248163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295B6-0C1C-486A-9E67-AB54196BD34C}">
  <dimension ref="B1:H12"/>
  <sheetViews>
    <sheetView workbookViewId="0">
      <selection activeCell="H12" sqref="H12"/>
    </sheetView>
  </sheetViews>
  <sheetFormatPr defaultRowHeight="15"/>
  <cols>
    <col min="2" max="2" width="11.28515625" bestFit="1" customWidth="1"/>
    <col min="3" max="3" width="12.7109375" bestFit="1" customWidth="1"/>
    <col min="4" max="4" width="16.7109375" bestFit="1" customWidth="1"/>
    <col min="5" max="5" width="26.7109375" bestFit="1" customWidth="1"/>
    <col min="7" max="7" width="16.28515625" bestFit="1" customWidth="1"/>
    <col min="8" max="8" width="18" bestFit="1" customWidth="1"/>
  </cols>
  <sheetData>
    <row r="1" spans="2:8">
      <c r="C1" s="2" t="s">
        <v>30</v>
      </c>
      <c r="D1" t="s">
        <v>31</v>
      </c>
      <c r="E1" t="s">
        <v>32</v>
      </c>
      <c r="F1" t="s">
        <v>33</v>
      </c>
      <c r="G1" t="s">
        <v>34</v>
      </c>
      <c r="H1" t="s">
        <v>35</v>
      </c>
    </row>
    <row r="2" spans="2:8">
      <c r="B2" t="s">
        <v>36</v>
      </c>
      <c r="C2" s="1">
        <v>6080302.460770471</v>
      </c>
      <c r="D2" s="1">
        <f>+C2*'WACC Calculation'!$M$21</f>
        <v>447913.36056390626</v>
      </c>
      <c r="E2" s="1">
        <v>301653.22420721373</v>
      </c>
      <c r="F2" s="1">
        <f>+D2-E2</f>
        <v>146260.13635669253</v>
      </c>
      <c r="G2">
        <f>+'Revenue Deficiency Calculation'!$D$16</f>
        <v>1.3436399999999999</v>
      </c>
      <c r="H2" s="1">
        <f>+F2*G2</f>
        <v>196520.96961430635</v>
      </c>
    </row>
    <row r="3" spans="2:8">
      <c r="B3" t="s">
        <v>37</v>
      </c>
      <c r="C3" s="1">
        <v>520092.45429193845</v>
      </c>
      <c r="D3" s="1">
        <f>+C3*'WACC Calculation'!$M$21</f>
        <v>38313.284661222708</v>
      </c>
      <c r="E3" s="1">
        <v>35122.711364176481</v>
      </c>
      <c r="F3" s="1">
        <f t="shared" ref="F3:F8" si="0">+D3-E3</f>
        <v>3190.5732970462268</v>
      </c>
      <c r="G3">
        <f>+'Revenue Deficiency Calculation'!$D$16</f>
        <v>1.3436399999999999</v>
      </c>
      <c r="H3" s="1">
        <f t="shared" ref="H3:H8" si="1">+F3*G3</f>
        <v>4286.9819048431918</v>
      </c>
    </row>
    <row r="4" spans="2:8">
      <c r="B4" t="s">
        <v>38</v>
      </c>
      <c r="C4" s="1">
        <v>2379536.5115266615</v>
      </c>
      <c r="D4" s="1">
        <f>+C4*'WACC Calculation'!$M$21</f>
        <v>175291.6408910625</v>
      </c>
      <c r="E4" s="1">
        <v>98676.083505663322</v>
      </c>
      <c r="F4" s="1">
        <f t="shared" si="0"/>
        <v>76615.557385399181</v>
      </c>
      <c r="G4">
        <f>+'Revenue Deficiency Calculation'!$D$16</f>
        <v>1.3436399999999999</v>
      </c>
      <c r="H4" s="1">
        <f t="shared" si="1"/>
        <v>102943.72752531775</v>
      </c>
    </row>
    <row r="5" spans="2:8">
      <c r="B5" t="s">
        <v>39</v>
      </c>
      <c r="C5" s="1">
        <v>274056.21806913317</v>
      </c>
      <c r="D5" s="1">
        <f>+C5*'WACC Calculation'!$M$21</f>
        <v>20188.706468267592</v>
      </c>
      <c r="E5" s="1">
        <v>17555.63554785413</v>
      </c>
      <c r="F5" s="1">
        <f t="shared" si="0"/>
        <v>2633.0709204134619</v>
      </c>
      <c r="G5">
        <f>+'Revenue Deficiency Calculation'!$D$16</f>
        <v>1.3436399999999999</v>
      </c>
      <c r="H5" s="1">
        <f t="shared" si="1"/>
        <v>3537.8994115043438</v>
      </c>
    </row>
    <row r="6" spans="2:8">
      <c r="B6" t="s">
        <v>40</v>
      </c>
      <c r="C6" s="1">
        <v>176440.2974868415</v>
      </c>
      <c r="D6" s="1">
        <f>+C6*'WACC Calculation'!$M$21</f>
        <v>12997.703172847123</v>
      </c>
      <c r="E6" s="1">
        <v>7542.4031658821987</v>
      </c>
      <c r="F6" s="1">
        <f t="shared" si="0"/>
        <v>5455.3000069649243</v>
      </c>
      <c r="G6">
        <f>+'Revenue Deficiency Calculation'!$D$16</f>
        <v>1.3436399999999999</v>
      </c>
      <c r="H6" s="1">
        <f t="shared" si="1"/>
        <v>7329.9593013583508</v>
      </c>
    </row>
    <row r="7" spans="2:8">
      <c r="B7" t="s">
        <v>41</v>
      </c>
      <c r="C7" s="1">
        <v>12807.536899731032</v>
      </c>
      <c r="D7" s="1">
        <f>+C7*'WACC Calculation'!$M$21</f>
        <v>943.48380369515905</v>
      </c>
      <c r="E7" s="1">
        <v>1788.6808495641242</v>
      </c>
      <c r="F7" s="1">
        <f t="shared" si="0"/>
        <v>-845.19704586896512</v>
      </c>
      <c r="G7">
        <f>+'Revenue Deficiency Calculation'!$D$16</f>
        <v>1.3436399999999999</v>
      </c>
      <c r="H7" s="1">
        <f t="shared" si="1"/>
        <v>-1135.6405587113763</v>
      </c>
    </row>
    <row r="8" spans="2:8">
      <c r="B8" t="s">
        <v>42</v>
      </c>
      <c r="C8" s="1">
        <v>354914.86309819156</v>
      </c>
      <c r="D8" s="1">
        <f>+C8*'WACC Calculation'!$M$21</f>
        <v>26145.263343403731</v>
      </c>
      <c r="E8" s="1">
        <v>39033.719262838138</v>
      </c>
      <c r="F8" s="1">
        <f t="shared" si="0"/>
        <v>-12888.455919434407</v>
      </c>
      <c r="G8">
        <f>+'Revenue Deficiency Calculation'!$D$16</f>
        <v>1.3436399999999999</v>
      </c>
      <c r="H8" s="1">
        <f t="shared" si="1"/>
        <v>-17317.444911588846</v>
      </c>
    </row>
    <row r="10" spans="2:8">
      <c r="B10" t="s">
        <v>43</v>
      </c>
      <c r="C10" s="1">
        <f>+SUM(C2:C8)</f>
        <v>9798150.3421429675</v>
      </c>
      <c r="D10" s="1">
        <f>+SUM(D2:D8)</f>
        <v>721793.44290440506</v>
      </c>
      <c r="E10" s="1">
        <f>+SUM(E2:E8)</f>
        <v>501372.45790319215</v>
      </c>
      <c r="F10" s="1">
        <f>+SUM(F2:F8)</f>
        <v>220420.98500121298</v>
      </c>
      <c r="H10" s="1">
        <f>+SUM(H2:H8)+0.35</f>
        <v>296166.80228702974</v>
      </c>
    </row>
    <row r="12" spans="2:8">
      <c r="B12" t="s">
        <v>44</v>
      </c>
      <c r="C12" s="1">
        <f>+C10-'Revenue Deficiency Calculation'!D4</f>
        <v>0.34214296750724316</v>
      </c>
      <c r="D12" s="1"/>
      <c r="H12" s="1">
        <f>+H10-'Revenue Deficiency Calculation'!D18</f>
        <v>-0.23139139806153253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6393C-5674-4FD2-9613-BCE958616FE9}">
  <dimension ref="A1:T623"/>
  <sheetViews>
    <sheetView topLeftCell="A2" workbookViewId="0">
      <selection activeCell="A2" sqref="A2"/>
    </sheetView>
  </sheetViews>
  <sheetFormatPr defaultColWidth="9.140625" defaultRowHeight="11.25"/>
  <cols>
    <col min="1" max="1" width="3.5703125" style="199" customWidth="1"/>
    <col min="2" max="2" width="3.85546875" style="199" customWidth="1"/>
    <col min="3" max="3" width="9.5703125" style="199" customWidth="1"/>
    <col min="4" max="4" width="3.7109375" style="199" customWidth="1"/>
    <col min="5" max="5" width="8.28515625" style="199" customWidth="1"/>
    <col min="6" max="6" width="15.140625" style="199" customWidth="1"/>
    <col min="7" max="7" width="12.5703125" style="199" customWidth="1"/>
    <col min="8" max="8" width="9.5703125" style="199" customWidth="1"/>
    <col min="9" max="9" width="16.42578125" style="199" customWidth="1"/>
    <col min="10" max="10" width="6.85546875" style="199" customWidth="1"/>
    <col min="11" max="11" width="7.7109375" style="199" customWidth="1"/>
    <col min="12" max="12" width="9.42578125" style="199" customWidth="1"/>
    <col min="13" max="13" width="4.5703125" style="199" customWidth="1"/>
    <col min="14" max="14" width="14.28515625" style="199" bestFit="1" customWidth="1"/>
    <col min="15" max="15" width="6.85546875" style="199" customWidth="1"/>
    <col min="16" max="16" width="10" style="199" customWidth="1"/>
    <col min="17" max="17" width="9.42578125" style="199" customWidth="1"/>
    <col min="18" max="18" width="9.28515625" style="199" customWidth="1"/>
    <col min="19" max="19" width="9.5703125" style="199" customWidth="1"/>
    <col min="20" max="20" width="10.28515625" style="199" customWidth="1"/>
    <col min="21" max="16384" width="9.140625" style="199"/>
  </cols>
  <sheetData>
    <row r="1" spans="1:20" ht="14.1" hidden="1" customHeight="1">
      <c r="T1" s="199">
        <v>20</v>
      </c>
    </row>
    <row r="2" spans="1:20" ht="14.1" customHeight="1" thickBot="1">
      <c r="A2" s="200"/>
      <c r="B2" s="200"/>
      <c r="C2" s="200"/>
      <c r="D2" s="200"/>
      <c r="E2" s="200"/>
      <c r="F2" s="200"/>
      <c r="G2" s="200"/>
      <c r="H2" s="200"/>
      <c r="I2" s="200" t="s">
        <v>45</v>
      </c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1"/>
    </row>
    <row r="3" spans="1:20" ht="14.1" customHeight="1">
      <c r="F3" s="202"/>
      <c r="L3" s="203"/>
      <c r="M3" s="203"/>
      <c r="O3" s="203"/>
      <c r="P3" s="203"/>
      <c r="Q3" s="203"/>
      <c r="T3" s="204"/>
    </row>
    <row r="4" spans="1:20" ht="13.5" customHeight="1">
      <c r="L4" s="202"/>
      <c r="M4" s="204"/>
      <c r="P4" s="202"/>
      <c r="Q4" s="32"/>
      <c r="R4" s="31"/>
      <c r="T4" s="202"/>
    </row>
    <row r="5" spans="1:20" ht="14.1" customHeight="1">
      <c r="L5" s="202"/>
      <c r="M5" s="204"/>
      <c r="N5" s="202"/>
      <c r="Q5" s="32"/>
      <c r="R5" s="31"/>
      <c r="T5" s="202"/>
    </row>
    <row r="6" spans="1:20" ht="14.1" customHeight="1">
      <c r="L6" s="202"/>
      <c r="M6" s="204"/>
      <c r="N6" s="202"/>
      <c r="Q6" s="32"/>
      <c r="R6" s="31"/>
      <c r="T6" s="202"/>
    </row>
    <row r="7" spans="1:20" ht="14.1" customHeight="1" thickBot="1">
      <c r="A7" s="200"/>
      <c r="B7" s="200"/>
      <c r="C7" s="200"/>
      <c r="D7" s="200"/>
      <c r="E7" s="200"/>
      <c r="F7" s="200"/>
      <c r="G7" s="200"/>
      <c r="H7" s="200"/>
      <c r="I7" s="205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</row>
    <row r="8" spans="1:20" ht="14.1" customHeight="1">
      <c r="C8" s="206" t="s">
        <v>46</v>
      </c>
      <c r="D8" s="207"/>
      <c r="E8" s="207"/>
      <c r="F8" s="207" t="s">
        <v>47</v>
      </c>
      <c r="G8" s="207"/>
      <c r="H8" s="207"/>
      <c r="I8" s="207" t="s">
        <v>48</v>
      </c>
      <c r="J8" s="207"/>
      <c r="K8" s="207"/>
      <c r="L8" s="207" t="s">
        <v>49</v>
      </c>
      <c r="M8" s="207"/>
      <c r="N8" s="207" t="s">
        <v>50</v>
      </c>
      <c r="O8" s="207"/>
      <c r="Q8" s="207" t="s">
        <v>51</v>
      </c>
      <c r="R8" s="207"/>
      <c r="S8" s="207"/>
      <c r="T8" s="207"/>
    </row>
    <row r="9" spans="1:20" ht="14.1" customHeight="1">
      <c r="B9" s="206"/>
      <c r="C9" s="206"/>
      <c r="D9" s="206"/>
      <c r="E9" s="207"/>
      <c r="F9" s="206"/>
      <c r="G9" s="206"/>
      <c r="H9" s="207"/>
      <c r="I9" s="206"/>
      <c r="J9" s="206"/>
      <c r="K9" s="206"/>
      <c r="L9" s="206"/>
      <c r="M9" s="206"/>
      <c r="N9" s="206"/>
      <c r="O9" s="206"/>
      <c r="Q9" s="206"/>
      <c r="R9" s="206"/>
      <c r="S9" s="206"/>
      <c r="T9" s="207"/>
    </row>
    <row r="10" spans="1:20" ht="14.1" customHeight="1">
      <c r="B10" s="206"/>
      <c r="C10" s="206" t="s">
        <v>52</v>
      </c>
      <c r="D10" s="206"/>
      <c r="E10" s="206"/>
      <c r="F10" s="207"/>
      <c r="G10" s="207"/>
      <c r="H10" s="206"/>
      <c r="I10" s="207"/>
      <c r="J10" s="207"/>
      <c r="K10" s="207"/>
      <c r="L10" s="206" t="s">
        <v>53</v>
      </c>
      <c r="M10" s="206"/>
      <c r="N10" s="207"/>
      <c r="O10" s="207"/>
      <c r="Q10" s="207" t="s">
        <v>54</v>
      </c>
      <c r="R10" s="207"/>
      <c r="S10" s="207"/>
      <c r="T10" s="206"/>
    </row>
    <row r="11" spans="1:20" ht="14.1" customHeight="1">
      <c r="A11" s="199" t="s">
        <v>55</v>
      </c>
      <c r="B11" s="206"/>
      <c r="C11" s="206" t="s">
        <v>56</v>
      </c>
      <c r="D11" s="206"/>
      <c r="E11" s="206"/>
      <c r="F11" s="207"/>
      <c r="G11" s="207"/>
      <c r="H11" s="207"/>
      <c r="I11" s="207" t="s">
        <v>57</v>
      </c>
      <c r="J11" s="207"/>
      <c r="K11" s="207"/>
      <c r="L11" s="207" t="s">
        <v>56</v>
      </c>
      <c r="M11" s="207"/>
      <c r="N11" s="207" t="s">
        <v>58</v>
      </c>
      <c r="O11" s="207"/>
      <c r="Q11" s="207" t="s">
        <v>59</v>
      </c>
      <c r="R11" s="207"/>
      <c r="S11" s="207"/>
      <c r="T11" s="206"/>
    </row>
    <row r="12" spans="1:20" ht="14.1" customHeight="1" thickBot="1">
      <c r="A12" s="200" t="s">
        <v>60</v>
      </c>
      <c r="B12" s="205"/>
      <c r="C12" s="205" t="s">
        <v>61</v>
      </c>
      <c r="D12" s="205"/>
      <c r="E12" s="205"/>
      <c r="F12" s="200" t="s">
        <v>62</v>
      </c>
      <c r="G12" s="208"/>
      <c r="H12" s="208"/>
      <c r="I12" s="208" t="s">
        <v>56</v>
      </c>
      <c r="J12" s="208"/>
      <c r="K12" s="208"/>
      <c r="L12" s="208" t="s">
        <v>61</v>
      </c>
      <c r="M12" s="208"/>
      <c r="N12" s="208" t="s">
        <v>56</v>
      </c>
      <c r="O12" s="208"/>
      <c r="P12" s="200"/>
      <c r="Q12" s="208" t="s">
        <v>63</v>
      </c>
      <c r="R12" s="208"/>
      <c r="S12" s="208"/>
      <c r="T12" s="208"/>
    </row>
    <row r="13" spans="1:20" ht="14.1" customHeight="1">
      <c r="A13" s="199">
        <v>1</v>
      </c>
      <c r="B13" s="209"/>
      <c r="C13" s="210" t="s">
        <v>64</v>
      </c>
      <c r="D13" s="209"/>
      <c r="E13" s="211" t="s">
        <v>65</v>
      </c>
      <c r="F13" s="212"/>
      <c r="G13" s="213"/>
      <c r="H13" s="213"/>
      <c r="I13" s="214"/>
      <c r="J13" s="209"/>
      <c r="K13" s="209"/>
      <c r="L13" s="210" t="s">
        <v>64</v>
      </c>
      <c r="M13" s="209"/>
      <c r="N13" s="209"/>
      <c r="O13" s="209"/>
      <c r="Q13" s="209"/>
      <c r="R13" s="209"/>
      <c r="S13" s="209"/>
      <c r="T13" s="209"/>
    </row>
    <row r="14" spans="1:20" ht="14.1" customHeight="1">
      <c r="A14" s="199">
        <v>2</v>
      </c>
      <c r="B14" s="209"/>
      <c r="C14" s="209"/>
      <c r="F14" s="213" t="s">
        <v>66</v>
      </c>
      <c r="G14" s="213"/>
      <c r="H14" s="213"/>
      <c r="I14" s="215">
        <v>1.07</v>
      </c>
      <c r="J14" s="209" t="s">
        <v>67</v>
      </c>
      <c r="K14" s="209"/>
      <c r="M14" s="209"/>
      <c r="N14" s="215">
        <f>+ROUND('Scenario RS Rates'!Q19,2)</f>
        <v>1.07</v>
      </c>
      <c r="O14" s="209" t="s">
        <v>67</v>
      </c>
      <c r="Q14" s="216">
        <f>IF(I14=0,0,+(N14-I14)/I14)</f>
        <v>0</v>
      </c>
      <c r="R14" s="209"/>
      <c r="S14" s="209"/>
      <c r="T14" s="209"/>
    </row>
    <row r="15" spans="1:20" ht="14.1" customHeight="1">
      <c r="A15" s="199">
        <v>3</v>
      </c>
      <c r="B15" s="209"/>
      <c r="C15" s="209"/>
      <c r="F15" s="217" t="s">
        <v>68</v>
      </c>
      <c r="G15" s="217"/>
      <c r="H15" s="217"/>
      <c r="I15" s="215">
        <v>1.07</v>
      </c>
      <c r="J15" s="209" t="s">
        <v>67</v>
      </c>
      <c r="K15" s="209"/>
      <c r="L15" s="218"/>
      <c r="M15" s="218"/>
      <c r="N15" s="215">
        <f>+ROUND('Scenario RS Rates'!Q20,2)</f>
        <v>1.07</v>
      </c>
      <c r="O15" s="209" t="s">
        <v>67</v>
      </c>
      <c r="Q15" s="216">
        <f>IF(I15=0,0,+(N15-I15)/I15)</f>
        <v>0</v>
      </c>
      <c r="R15" s="218"/>
      <c r="S15" s="218"/>
      <c r="T15" s="218"/>
    </row>
    <row r="16" spans="1:20" ht="14.1" customHeight="1">
      <c r="A16" s="199">
        <v>4</v>
      </c>
      <c r="B16" s="209"/>
      <c r="C16" s="209"/>
      <c r="F16" s="213"/>
      <c r="G16" s="213"/>
      <c r="H16" s="213"/>
      <c r="I16" s="215"/>
      <c r="J16" s="209"/>
      <c r="K16" s="209"/>
      <c r="L16" s="209"/>
      <c r="M16" s="209"/>
      <c r="N16" s="215"/>
      <c r="O16" s="209"/>
      <c r="Q16" s="213"/>
      <c r="R16" s="213"/>
      <c r="S16" s="213"/>
      <c r="T16" s="213"/>
    </row>
    <row r="17" spans="1:20" ht="14.1" customHeight="1">
      <c r="A17" s="199">
        <v>5</v>
      </c>
      <c r="B17" s="209"/>
      <c r="E17" s="219" t="s">
        <v>69</v>
      </c>
      <c r="G17" s="217"/>
      <c r="H17" s="217"/>
      <c r="I17" s="215"/>
      <c r="J17" s="218"/>
      <c r="K17" s="218"/>
      <c r="L17" s="218"/>
      <c r="M17" s="218"/>
      <c r="N17" s="215"/>
      <c r="O17" s="218"/>
      <c r="Q17" s="217"/>
      <c r="R17" s="217"/>
      <c r="S17" s="217"/>
      <c r="T17" s="217"/>
    </row>
    <row r="18" spans="1:20" ht="14.1" customHeight="1">
      <c r="A18" s="199">
        <v>6</v>
      </c>
      <c r="B18" s="209"/>
      <c r="C18" s="209"/>
      <c r="F18" s="213" t="s">
        <v>66</v>
      </c>
      <c r="G18" s="217"/>
      <c r="H18" s="217"/>
      <c r="I18" s="220"/>
      <c r="K18" s="217"/>
      <c r="L18" s="217"/>
      <c r="M18" s="217"/>
      <c r="N18" s="220"/>
      <c r="Q18" s="221"/>
      <c r="R18" s="217"/>
      <c r="S18" s="217"/>
      <c r="T18" s="217"/>
    </row>
    <row r="19" spans="1:20" ht="14.1" customHeight="1">
      <c r="A19" s="199">
        <v>7</v>
      </c>
      <c r="B19" s="209"/>
      <c r="C19" s="209"/>
      <c r="F19" s="222" t="s">
        <v>70</v>
      </c>
      <c r="I19" s="223">
        <v>7.4910000000000004E-2</v>
      </c>
      <c r="J19" s="217" t="s">
        <v>71</v>
      </c>
      <c r="K19" s="217"/>
      <c r="N19" s="223">
        <f>+ROUND('Scenario RS Rates'!Q27,5)</f>
        <v>7.4889999999999998E-2</v>
      </c>
      <c r="O19" s="217" t="s">
        <v>71</v>
      </c>
      <c r="Q19" s="216">
        <f>IF(I19=0,0,+(N19-I19)/I19)</f>
        <v>-2.6698705112810202E-4</v>
      </c>
      <c r="R19" s="217"/>
      <c r="S19" s="217"/>
      <c r="T19" s="217"/>
    </row>
    <row r="20" spans="1:20" ht="14.1" customHeight="1">
      <c r="A20" s="199">
        <v>8</v>
      </c>
      <c r="B20" s="209"/>
      <c r="F20" s="222" t="s">
        <v>72</v>
      </c>
      <c r="I20" s="223">
        <v>8.4909999999999999E-2</v>
      </c>
      <c r="J20" s="217" t="s">
        <v>71</v>
      </c>
      <c r="K20" s="217"/>
      <c r="N20" s="223">
        <f>+ROUND('Scenario RS Rates'!Q28,5)</f>
        <v>8.4889999999999993E-2</v>
      </c>
      <c r="O20" s="217" t="s">
        <v>71</v>
      </c>
      <c r="Q20" s="216">
        <f>IF(I20=0,0,+(N20-I20)/I20)</f>
        <v>-2.3554351666477594E-4</v>
      </c>
      <c r="R20" s="217"/>
      <c r="S20" s="217"/>
      <c r="T20" s="217"/>
    </row>
    <row r="21" spans="1:20" ht="14.1" customHeight="1">
      <c r="A21" s="199">
        <v>9</v>
      </c>
      <c r="B21" s="209"/>
      <c r="C21" s="209"/>
      <c r="F21" s="217" t="s">
        <v>68</v>
      </c>
      <c r="G21" s="217"/>
      <c r="H21" s="217"/>
      <c r="I21" s="223">
        <v>7.8990000000000005E-2</v>
      </c>
      <c r="J21" s="217" t="s">
        <v>71</v>
      </c>
      <c r="K21" s="217"/>
      <c r="L21" s="217"/>
      <c r="M21" s="217"/>
      <c r="N21" s="223">
        <f>+ROUND('Scenario RS Rates'!Q29,5)</f>
        <v>7.8960000000000002E-2</v>
      </c>
      <c r="O21" s="217" t="s">
        <v>71</v>
      </c>
      <c r="Q21" s="216">
        <f>IF(I21=0,0,+(N21-I21)/I21)</f>
        <v>-3.7979491074822443E-4</v>
      </c>
      <c r="R21" s="217"/>
      <c r="S21" s="217"/>
      <c r="T21" s="217"/>
    </row>
    <row r="22" spans="1:20" ht="14.1" customHeight="1">
      <c r="A22" s="199">
        <v>10</v>
      </c>
      <c r="B22" s="209"/>
      <c r="C22" s="209"/>
      <c r="F22" s="217"/>
      <c r="G22" s="217"/>
      <c r="H22" s="217"/>
      <c r="I22" s="220"/>
      <c r="J22" s="217"/>
      <c r="K22" s="217"/>
      <c r="L22" s="217"/>
      <c r="M22" s="217"/>
      <c r="N22" s="220"/>
      <c r="O22" s="217"/>
      <c r="Q22" s="221"/>
      <c r="R22" s="217"/>
      <c r="S22" s="217"/>
      <c r="T22" s="217"/>
    </row>
    <row r="23" spans="1:20" ht="14.1" customHeight="1">
      <c r="A23" s="199">
        <v>11</v>
      </c>
      <c r="B23" s="209"/>
      <c r="C23" s="209"/>
      <c r="E23" s="199" t="s">
        <v>73</v>
      </c>
      <c r="F23" s="217"/>
      <c r="G23" s="217"/>
      <c r="H23" s="217"/>
      <c r="I23" s="224">
        <v>-10</v>
      </c>
      <c r="J23" s="217" t="s">
        <v>74</v>
      </c>
      <c r="K23" s="217"/>
      <c r="L23" s="217"/>
      <c r="M23" s="217"/>
      <c r="N23" s="224">
        <v>-10</v>
      </c>
      <c r="O23" s="217" t="s">
        <v>74</v>
      </c>
      <c r="Q23" s="216">
        <f>IF(I23=0,0,+(N23-I23)/I23)</f>
        <v>0</v>
      </c>
      <c r="R23" s="217"/>
      <c r="S23" s="217"/>
      <c r="T23" s="217"/>
    </row>
    <row r="24" spans="1:20" ht="14.1" customHeight="1">
      <c r="A24" s="199">
        <v>12</v>
      </c>
      <c r="B24" s="209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Q24" s="217"/>
      <c r="R24" s="217"/>
      <c r="S24" s="217"/>
      <c r="T24" s="217"/>
    </row>
    <row r="25" spans="1:20" ht="14.1" customHeight="1">
      <c r="A25" s="199">
        <v>13</v>
      </c>
      <c r="B25" s="209"/>
      <c r="C25" s="209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Q25" s="217"/>
      <c r="R25" s="217"/>
      <c r="S25" s="217"/>
      <c r="T25" s="217"/>
    </row>
    <row r="26" spans="1:20" ht="14.1" customHeight="1">
      <c r="A26" s="199">
        <v>14</v>
      </c>
      <c r="B26" s="209"/>
      <c r="C26" s="209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Q26" s="217"/>
      <c r="R26" s="217"/>
      <c r="S26" s="217"/>
      <c r="T26" s="217"/>
    </row>
    <row r="27" spans="1:20" ht="14.1" customHeight="1">
      <c r="A27" s="199">
        <v>15</v>
      </c>
      <c r="B27" s="209"/>
      <c r="C27" s="209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Q27" s="217"/>
      <c r="R27" s="217"/>
      <c r="S27" s="217"/>
      <c r="T27" s="217"/>
    </row>
    <row r="28" spans="1:20" ht="14.1" customHeight="1">
      <c r="A28" s="199">
        <v>16</v>
      </c>
      <c r="B28" s="209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Q28" s="217"/>
      <c r="R28" s="217"/>
      <c r="S28" s="217"/>
      <c r="T28" s="217"/>
    </row>
    <row r="29" spans="1:20" ht="14.1" customHeight="1">
      <c r="A29" s="199">
        <v>17</v>
      </c>
      <c r="B29" s="209"/>
      <c r="C29" s="209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Q29" s="217"/>
      <c r="R29" s="217"/>
      <c r="S29" s="217"/>
      <c r="T29" s="217"/>
    </row>
    <row r="30" spans="1:20" ht="14.1" customHeight="1">
      <c r="A30" s="199">
        <v>18</v>
      </c>
      <c r="B30" s="209"/>
      <c r="C30" s="209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Q30" s="217"/>
      <c r="R30" s="217"/>
      <c r="S30" s="217"/>
      <c r="T30" s="217"/>
    </row>
    <row r="31" spans="1:20" ht="14.1" customHeight="1">
      <c r="A31" s="199">
        <v>19</v>
      </c>
      <c r="B31" s="209"/>
      <c r="C31" s="209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Q31" s="217"/>
      <c r="R31" s="217"/>
      <c r="S31" s="217"/>
      <c r="T31" s="217"/>
    </row>
    <row r="32" spans="1:20" ht="14.1" customHeight="1">
      <c r="A32" s="199">
        <v>20</v>
      </c>
      <c r="B32" s="209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Q32" s="217"/>
      <c r="R32" s="217"/>
      <c r="S32" s="217"/>
      <c r="T32" s="217"/>
    </row>
    <row r="33" spans="1:20" ht="14.1" customHeight="1">
      <c r="A33" s="199">
        <v>21</v>
      </c>
      <c r="B33" s="209"/>
      <c r="C33" s="209"/>
      <c r="F33" s="217"/>
      <c r="G33" s="217"/>
      <c r="H33" s="217"/>
      <c r="I33" s="217"/>
      <c r="J33" s="218"/>
      <c r="K33" s="218"/>
      <c r="L33" s="217"/>
      <c r="M33" s="218"/>
      <c r="N33" s="217"/>
      <c r="O33" s="217"/>
      <c r="Q33" s="217"/>
      <c r="R33" s="217"/>
      <c r="S33" s="217"/>
      <c r="T33" s="217"/>
    </row>
    <row r="34" spans="1:20" ht="14.1" customHeight="1">
      <c r="A34" s="199">
        <v>22</v>
      </c>
      <c r="B34" s="209"/>
      <c r="C34" s="209"/>
      <c r="F34" s="217"/>
      <c r="G34" s="217"/>
      <c r="H34" s="217"/>
      <c r="I34" s="217"/>
      <c r="J34" s="218"/>
      <c r="K34" s="218"/>
      <c r="L34" s="217"/>
      <c r="M34" s="218"/>
      <c r="N34" s="217"/>
      <c r="O34" s="217"/>
      <c r="Q34" s="217"/>
      <c r="R34" s="217"/>
      <c r="S34" s="217"/>
      <c r="T34" s="217"/>
    </row>
    <row r="35" spans="1:20" ht="14.1" customHeight="1">
      <c r="A35" s="199">
        <v>23</v>
      </c>
      <c r="B35" s="209"/>
      <c r="F35" s="217"/>
      <c r="G35" s="217"/>
      <c r="H35" s="217"/>
      <c r="I35" s="217"/>
      <c r="J35" s="218"/>
      <c r="K35" s="218"/>
      <c r="L35" s="217"/>
      <c r="M35" s="218"/>
      <c r="N35" s="217"/>
      <c r="O35" s="217"/>
      <c r="Q35" s="217"/>
      <c r="R35" s="217"/>
      <c r="S35" s="217"/>
      <c r="T35" s="217"/>
    </row>
    <row r="36" spans="1:20" ht="14.1" customHeight="1">
      <c r="A36" s="199">
        <v>24</v>
      </c>
      <c r="B36" s="209"/>
      <c r="C36" s="209"/>
      <c r="F36" s="217"/>
      <c r="G36" s="217"/>
      <c r="H36" s="217"/>
      <c r="I36" s="217"/>
      <c r="J36" s="218"/>
      <c r="K36" s="218"/>
      <c r="L36" s="217"/>
      <c r="M36" s="218"/>
      <c r="N36" s="217"/>
      <c r="O36" s="217"/>
      <c r="Q36" s="217"/>
      <c r="R36" s="217"/>
      <c r="S36" s="217"/>
      <c r="T36" s="217"/>
    </row>
    <row r="37" spans="1:20" ht="14.1" customHeight="1">
      <c r="A37" s="199">
        <v>25</v>
      </c>
      <c r="B37" s="209"/>
      <c r="C37" s="209"/>
      <c r="G37" s="217"/>
      <c r="H37" s="217"/>
      <c r="I37" s="217"/>
      <c r="J37" s="218"/>
      <c r="K37" s="218"/>
      <c r="L37" s="217"/>
      <c r="M37" s="218"/>
      <c r="N37" s="217"/>
      <c r="O37" s="217"/>
      <c r="Q37" s="217"/>
      <c r="R37" s="217"/>
      <c r="S37" s="217"/>
      <c r="T37" s="217"/>
    </row>
    <row r="38" spans="1:20" ht="14.1" customHeight="1">
      <c r="A38" s="199">
        <v>26</v>
      </c>
      <c r="B38" s="209"/>
      <c r="C38" s="209"/>
      <c r="F38" s="217"/>
      <c r="G38" s="217"/>
      <c r="H38" s="217"/>
      <c r="I38" s="217"/>
      <c r="J38" s="218"/>
      <c r="K38" s="218"/>
      <c r="L38" s="217"/>
      <c r="M38" s="218"/>
      <c r="N38" s="217"/>
      <c r="O38" s="217"/>
      <c r="Q38" s="217"/>
      <c r="R38" s="217"/>
      <c r="S38" s="217"/>
      <c r="T38" s="217"/>
    </row>
    <row r="39" spans="1:20" ht="14.1" customHeight="1">
      <c r="A39" s="199">
        <v>27</v>
      </c>
      <c r="B39" s="209"/>
      <c r="C39" s="209"/>
      <c r="F39" s="217"/>
      <c r="G39" s="217"/>
      <c r="H39" s="217"/>
      <c r="I39" s="217"/>
      <c r="J39" s="218"/>
      <c r="K39" s="218"/>
      <c r="L39" s="217"/>
      <c r="M39" s="218"/>
      <c r="N39" s="217"/>
      <c r="O39" s="217"/>
      <c r="Q39" s="217"/>
      <c r="R39" s="217"/>
      <c r="S39" s="217"/>
      <c r="T39" s="217"/>
    </row>
    <row r="40" spans="1:20" ht="14.1" customHeight="1">
      <c r="A40" s="199">
        <v>28</v>
      </c>
      <c r="B40" s="209"/>
      <c r="C40" s="209"/>
      <c r="F40" s="217"/>
      <c r="G40" s="217"/>
      <c r="H40" s="217"/>
      <c r="I40" s="217"/>
      <c r="J40" s="218"/>
      <c r="K40" s="218"/>
      <c r="L40" s="217"/>
      <c r="M40" s="218"/>
      <c r="N40" s="217"/>
      <c r="O40" s="217"/>
      <c r="Q40" s="217"/>
      <c r="R40" s="217"/>
      <c r="S40" s="217"/>
      <c r="T40" s="217"/>
    </row>
    <row r="41" spans="1:20" ht="14.1" customHeight="1">
      <c r="A41" s="199">
        <v>29</v>
      </c>
      <c r="B41" s="209"/>
      <c r="C41" s="209"/>
      <c r="F41" s="217"/>
      <c r="G41" s="217"/>
      <c r="H41" s="217"/>
      <c r="I41" s="217"/>
      <c r="J41" s="218"/>
      <c r="K41" s="218"/>
      <c r="L41" s="217"/>
      <c r="M41" s="218"/>
      <c r="N41" s="217"/>
      <c r="O41" s="217"/>
      <c r="Q41" s="217"/>
      <c r="R41" s="217"/>
      <c r="S41" s="217"/>
      <c r="T41" s="217"/>
    </row>
    <row r="42" spans="1:20" ht="14.1" customHeight="1">
      <c r="A42" s="199">
        <v>30</v>
      </c>
      <c r="B42" s="209"/>
      <c r="C42" s="209"/>
      <c r="F42" s="217"/>
      <c r="G42" s="217"/>
      <c r="H42" s="217"/>
      <c r="I42" s="217"/>
      <c r="J42" s="218"/>
      <c r="K42" s="218"/>
      <c r="L42" s="217"/>
      <c r="M42" s="218"/>
      <c r="N42" s="217"/>
      <c r="O42" s="217"/>
      <c r="Q42" s="217"/>
      <c r="R42" s="217"/>
      <c r="S42" s="217"/>
      <c r="T42" s="217"/>
    </row>
    <row r="43" spans="1:20" ht="14.1" customHeight="1">
      <c r="A43" s="199">
        <v>31</v>
      </c>
      <c r="B43" s="209"/>
      <c r="C43" s="209"/>
      <c r="F43" s="217"/>
      <c r="G43" s="217"/>
      <c r="H43" s="217"/>
      <c r="I43" s="217"/>
      <c r="J43" s="218"/>
      <c r="K43" s="218"/>
      <c r="L43" s="217"/>
      <c r="M43" s="218"/>
      <c r="N43" s="217"/>
      <c r="O43" s="217"/>
      <c r="Q43" s="217"/>
      <c r="R43" s="217"/>
      <c r="S43" s="217"/>
      <c r="T43" s="217"/>
    </row>
    <row r="44" spans="1:20" ht="14.1" customHeight="1">
      <c r="A44" s="199">
        <v>32</v>
      </c>
      <c r="B44" s="209"/>
      <c r="C44" s="209"/>
      <c r="F44" s="217"/>
      <c r="G44" s="217"/>
      <c r="H44" s="217"/>
      <c r="I44" s="217"/>
      <c r="J44" s="218"/>
      <c r="K44" s="218"/>
      <c r="L44" s="217"/>
      <c r="M44" s="218"/>
      <c r="N44" s="217"/>
      <c r="O44" s="217"/>
      <c r="Q44" s="217"/>
      <c r="R44" s="217"/>
      <c r="S44" s="217"/>
      <c r="T44" s="217"/>
    </row>
    <row r="45" spans="1:20" ht="14.1" customHeight="1">
      <c r="A45" s="199">
        <v>33</v>
      </c>
      <c r="B45" s="209"/>
      <c r="C45" s="209"/>
      <c r="F45" s="217"/>
      <c r="G45" s="217"/>
      <c r="H45" s="217"/>
      <c r="I45" s="217"/>
      <c r="J45" s="218"/>
      <c r="K45" s="218"/>
      <c r="L45" s="217"/>
      <c r="M45" s="218"/>
      <c r="N45" s="217"/>
      <c r="O45" s="217"/>
      <c r="Q45" s="217"/>
      <c r="R45" s="217"/>
      <c r="S45" s="217"/>
      <c r="T45" s="217"/>
    </row>
    <row r="46" spans="1:20" ht="14.1" customHeight="1">
      <c r="A46" s="199">
        <v>34</v>
      </c>
      <c r="B46" s="209"/>
      <c r="F46" s="217"/>
      <c r="G46" s="217"/>
      <c r="H46" s="217"/>
      <c r="I46" s="217"/>
      <c r="J46" s="218"/>
      <c r="K46" s="218"/>
      <c r="L46" s="217"/>
      <c r="M46" s="218"/>
      <c r="N46" s="217"/>
      <c r="O46" s="217"/>
      <c r="Q46" s="217"/>
      <c r="R46" s="217"/>
      <c r="S46" s="217"/>
      <c r="T46" s="217"/>
    </row>
    <row r="47" spans="1:20" ht="14.1" customHeight="1">
      <c r="A47" s="199">
        <v>35</v>
      </c>
      <c r="B47" s="209"/>
      <c r="C47" s="217"/>
      <c r="F47" s="217"/>
      <c r="G47" s="217"/>
      <c r="H47" s="217"/>
      <c r="I47" s="217"/>
      <c r="J47" s="218"/>
      <c r="K47" s="218"/>
      <c r="L47" s="217"/>
      <c r="M47" s="218"/>
      <c r="N47" s="217"/>
      <c r="O47" s="217"/>
      <c r="Q47" s="217"/>
      <c r="R47" s="217"/>
      <c r="S47" s="217"/>
      <c r="T47" s="217"/>
    </row>
    <row r="48" spans="1:20" ht="14.1" customHeight="1" thickBot="1">
      <c r="A48" s="200">
        <v>36</v>
      </c>
      <c r="B48" s="200"/>
      <c r="C48" s="200"/>
      <c r="D48" s="200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</row>
    <row r="49" spans="1:20" ht="14.1" customHeight="1"/>
    <row r="50" spans="1:20" ht="14.1" customHeight="1" thickBot="1">
      <c r="A50" s="200"/>
      <c r="B50" s="200"/>
      <c r="C50" s="200"/>
      <c r="D50" s="200"/>
      <c r="E50" s="200"/>
      <c r="F50" s="200"/>
      <c r="G50" s="200"/>
      <c r="H50" s="200"/>
      <c r="I50" s="200" t="s">
        <v>45</v>
      </c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1"/>
    </row>
    <row r="51" spans="1:20" ht="14.1" customHeight="1">
      <c r="F51" s="202"/>
      <c r="L51" s="203"/>
      <c r="M51" s="203"/>
      <c r="O51" s="203"/>
      <c r="P51" s="203"/>
      <c r="Q51" s="203"/>
      <c r="T51" s="204"/>
    </row>
    <row r="52" spans="1:20" ht="14.1" customHeight="1">
      <c r="L52" s="202"/>
      <c r="M52" s="204"/>
      <c r="P52" s="202"/>
      <c r="Q52" s="32"/>
      <c r="R52" s="31"/>
      <c r="T52" s="202"/>
    </row>
    <row r="53" spans="1:20" ht="14.1" customHeight="1">
      <c r="L53" s="202"/>
      <c r="M53" s="204"/>
      <c r="N53" s="202"/>
      <c r="Q53" s="32"/>
      <c r="R53" s="31"/>
      <c r="T53" s="202"/>
    </row>
    <row r="54" spans="1:20" ht="14.1" customHeight="1">
      <c r="L54" s="202"/>
      <c r="M54" s="204"/>
      <c r="N54" s="202"/>
      <c r="Q54" s="32"/>
      <c r="R54" s="31"/>
      <c r="T54" s="202"/>
    </row>
    <row r="55" spans="1:20" ht="14.1" customHeight="1" thickBot="1">
      <c r="A55" s="200"/>
      <c r="B55" s="200"/>
      <c r="C55" s="200"/>
      <c r="D55" s="200"/>
      <c r="E55" s="200"/>
      <c r="F55" s="200"/>
      <c r="G55" s="200"/>
      <c r="H55" s="200"/>
      <c r="I55" s="205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</row>
    <row r="56" spans="1:20" ht="14.1" customHeight="1">
      <c r="A56" s="199" t="str">
        <f>IF(+A$8="","",A$8)</f>
        <v/>
      </c>
      <c r="B56" s="206" t="str">
        <f t="shared" ref="B56:T56" si="0">IF(+B$8="","",B$8)</f>
        <v/>
      </c>
      <c r="C56" s="206" t="str">
        <f t="shared" si="0"/>
        <v>(1)</v>
      </c>
      <c r="D56" s="206" t="str">
        <f t="shared" si="0"/>
        <v/>
      </c>
      <c r="E56" s="206" t="str">
        <f t="shared" si="0"/>
        <v/>
      </c>
      <c r="F56" s="206" t="str">
        <f t="shared" si="0"/>
        <v>(2)</v>
      </c>
      <c r="G56" s="206" t="str">
        <f t="shared" si="0"/>
        <v/>
      </c>
      <c r="H56" s="206" t="str">
        <f>IF(+H$8="","",H$8)</f>
        <v/>
      </c>
      <c r="I56" s="206" t="str">
        <f>IF(+I$8="","",I$8)</f>
        <v>(3)</v>
      </c>
      <c r="J56" s="206" t="str">
        <f>IF(+J$8="","",J$8)</f>
        <v/>
      </c>
      <c r="K56" s="206"/>
      <c r="L56" s="206" t="str">
        <f t="shared" si="0"/>
        <v>(4)</v>
      </c>
      <c r="M56" s="206" t="str">
        <f t="shared" si="0"/>
        <v/>
      </c>
      <c r="N56" s="206" t="str">
        <f t="shared" si="0"/>
        <v>(5)</v>
      </c>
      <c r="O56" s="206" t="str">
        <f t="shared" si="0"/>
        <v/>
      </c>
      <c r="Q56" s="206" t="str">
        <f>IF(+Q$8="","",Q$8)</f>
        <v>(6)</v>
      </c>
      <c r="R56" s="206" t="str">
        <f t="shared" si="0"/>
        <v/>
      </c>
      <c r="S56" s="206" t="str">
        <f t="shared" si="0"/>
        <v/>
      </c>
      <c r="T56" s="206" t="str">
        <f t="shared" si="0"/>
        <v/>
      </c>
    </row>
    <row r="57" spans="1:20" ht="14.1" customHeight="1">
      <c r="A57" s="199" t="str">
        <f>IF(+A$9="","",A$9)</f>
        <v/>
      </c>
      <c r="B57" s="206" t="str">
        <f t="shared" ref="B57:T57" si="1">IF(+B$9="","",B$9)</f>
        <v/>
      </c>
      <c r="C57" s="206" t="str">
        <f t="shared" si="1"/>
        <v/>
      </c>
      <c r="D57" s="206" t="str">
        <f t="shared" si="1"/>
        <v/>
      </c>
      <c r="E57" s="206" t="str">
        <f t="shared" si="1"/>
        <v/>
      </c>
      <c r="F57" s="206" t="str">
        <f t="shared" si="1"/>
        <v/>
      </c>
      <c r="G57" s="206" t="str">
        <f t="shared" si="1"/>
        <v/>
      </c>
      <c r="H57" s="206" t="str">
        <f>IF(+H$9="","",H$9)</f>
        <v/>
      </c>
      <c r="I57" s="206" t="str">
        <f>IF(+I$9="","",I$9)</f>
        <v/>
      </c>
      <c r="J57" s="206" t="str">
        <f>IF(+J$9="","",J$9)</f>
        <v/>
      </c>
      <c r="K57" s="206"/>
      <c r="L57" s="206" t="str">
        <f t="shared" si="1"/>
        <v/>
      </c>
      <c r="M57" s="206" t="str">
        <f t="shared" si="1"/>
        <v/>
      </c>
      <c r="N57" s="206" t="str">
        <f t="shared" si="1"/>
        <v/>
      </c>
      <c r="O57" s="206" t="str">
        <f t="shared" si="1"/>
        <v/>
      </c>
      <c r="Q57" s="206" t="str">
        <f>IF(+Q$9="","",Q$9)</f>
        <v/>
      </c>
      <c r="R57" s="206" t="str">
        <f t="shared" si="1"/>
        <v/>
      </c>
      <c r="S57" s="206" t="str">
        <f t="shared" si="1"/>
        <v/>
      </c>
      <c r="T57" s="206" t="str">
        <f t="shared" si="1"/>
        <v/>
      </c>
    </row>
    <row r="58" spans="1:20" ht="14.1" customHeight="1">
      <c r="A58" s="199" t="str">
        <f>IF(+A$10="","",A$10)</f>
        <v/>
      </c>
      <c r="B58" s="206" t="str">
        <f t="shared" ref="B58:T58" si="2">IF(+B$10="","",B$10)</f>
        <v/>
      </c>
      <c r="C58" s="206" t="str">
        <f t="shared" si="2"/>
        <v xml:space="preserve">Current </v>
      </c>
      <c r="D58" s="206" t="str">
        <f t="shared" si="2"/>
        <v/>
      </c>
      <c r="E58" s="206" t="str">
        <f t="shared" si="2"/>
        <v/>
      </c>
      <c r="F58" s="206" t="str">
        <f t="shared" si="2"/>
        <v/>
      </c>
      <c r="G58" s="206" t="str">
        <f t="shared" si="2"/>
        <v/>
      </c>
      <c r="H58" s="206" t="str">
        <f>IF(+H$10="","",H$10)</f>
        <v/>
      </c>
      <c r="I58" s="206" t="str">
        <f>IF(+I$10="","",I$10)</f>
        <v/>
      </c>
      <c r="J58" s="206" t="str">
        <f>IF(+J$10="","",J$10)</f>
        <v/>
      </c>
      <c r="K58" s="206"/>
      <c r="L58" s="206" t="str">
        <f t="shared" si="2"/>
        <v>Proposed</v>
      </c>
      <c r="M58" s="206" t="str">
        <f t="shared" si="2"/>
        <v/>
      </c>
      <c r="N58" s="206" t="str">
        <f t="shared" si="2"/>
        <v/>
      </c>
      <c r="O58" s="206" t="str">
        <f t="shared" si="2"/>
        <v/>
      </c>
      <c r="Q58" s="206" t="str">
        <f>IF(+Q$10="","",Q$10)</f>
        <v>Percent</v>
      </c>
      <c r="R58" s="206" t="str">
        <f t="shared" si="2"/>
        <v/>
      </c>
      <c r="S58" s="206" t="str">
        <f t="shared" si="2"/>
        <v/>
      </c>
      <c r="T58" s="206" t="str">
        <f t="shared" si="2"/>
        <v/>
      </c>
    </row>
    <row r="59" spans="1:20" ht="14.1" customHeight="1">
      <c r="A59" s="199" t="str">
        <f>IF(+A$11="","",A$11)</f>
        <v>Line</v>
      </c>
      <c r="B59" s="206" t="str">
        <f t="shared" ref="B59:T59" si="3">IF(+B$11="","",B$11)</f>
        <v/>
      </c>
      <c r="C59" s="206" t="str">
        <f t="shared" si="3"/>
        <v>Rate</v>
      </c>
      <c r="D59" s="206" t="str">
        <f t="shared" si="3"/>
        <v/>
      </c>
      <c r="E59" s="206" t="str">
        <f t="shared" si="3"/>
        <v/>
      </c>
      <c r="F59" s="206" t="str">
        <f t="shared" si="3"/>
        <v/>
      </c>
      <c r="G59" s="206" t="str">
        <f t="shared" si="3"/>
        <v/>
      </c>
      <c r="H59" s="206" t="str">
        <f>IF(+H$11="","",H$11)</f>
        <v/>
      </c>
      <c r="I59" s="207" t="s">
        <v>57</v>
      </c>
      <c r="J59" s="207"/>
      <c r="K59" s="207"/>
      <c r="L59" s="207" t="s">
        <v>56</v>
      </c>
      <c r="M59" s="207"/>
      <c r="N59" s="207" t="s">
        <v>58</v>
      </c>
      <c r="O59" s="206" t="str">
        <f t="shared" si="3"/>
        <v/>
      </c>
      <c r="Q59" s="206" t="str">
        <f>IF(+Q$11="","",Q$11)</f>
        <v>Increase</v>
      </c>
      <c r="R59" s="206" t="str">
        <f t="shared" si="3"/>
        <v/>
      </c>
      <c r="S59" s="206" t="str">
        <f t="shared" si="3"/>
        <v/>
      </c>
      <c r="T59" s="206" t="str">
        <f t="shared" si="3"/>
        <v/>
      </c>
    </row>
    <row r="60" spans="1:20" ht="14.1" customHeight="1" thickBot="1">
      <c r="A60" s="200" t="str">
        <f>IF(+A$12="","",A$12)</f>
        <v>No.</v>
      </c>
      <c r="B60" s="205" t="str">
        <f t="shared" ref="B60:T60" si="4">IF(+B$12="","",B$12)</f>
        <v/>
      </c>
      <c r="C60" s="205" t="str">
        <f t="shared" si="4"/>
        <v>Schedule</v>
      </c>
      <c r="D60" s="205" t="str">
        <f t="shared" si="4"/>
        <v/>
      </c>
      <c r="E60" s="205"/>
      <c r="F60" s="205" t="str">
        <f t="shared" si="4"/>
        <v>Type of Charge</v>
      </c>
      <c r="G60" s="205"/>
      <c r="H60" s="205" t="str">
        <f>IF(+H$12="","",H$12)</f>
        <v/>
      </c>
      <c r="I60" s="205" t="str">
        <f>IF(+I$12="","",I$12)</f>
        <v>Rate</v>
      </c>
      <c r="J60" s="205" t="str">
        <f>IF(+J$12="","",J$12)</f>
        <v/>
      </c>
      <c r="K60" s="205"/>
      <c r="L60" s="205" t="str">
        <f t="shared" si="4"/>
        <v>Schedule</v>
      </c>
      <c r="M60" s="205" t="str">
        <f t="shared" si="4"/>
        <v/>
      </c>
      <c r="N60" s="205" t="str">
        <f t="shared" si="4"/>
        <v>Rate</v>
      </c>
      <c r="O60" s="205" t="str">
        <f t="shared" si="4"/>
        <v/>
      </c>
      <c r="P60" s="200"/>
      <c r="Q60" s="205" t="str">
        <f>IF(+Q$12="","",Q$12)</f>
        <v>((5)-(3))/(3)</v>
      </c>
      <c r="R60" s="205" t="str">
        <f t="shared" si="4"/>
        <v/>
      </c>
      <c r="S60" s="205" t="str">
        <f t="shared" si="4"/>
        <v/>
      </c>
      <c r="T60" s="205" t="str">
        <f t="shared" si="4"/>
        <v/>
      </c>
    </row>
    <row r="61" spans="1:20" ht="14.1" customHeight="1">
      <c r="A61" s="199">
        <v>1</v>
      </c>
      <c r="B61" s="225"/>
      <c r="C61" s="210" t="s">
        <v>75</v>
      </c>
      <c r="D61" s="209"/>
      <c r="E61" s="211" t="s">
        <v>65</v>
      </c>
      <c r="F61" s="212"/>
      <c r="G61" s="213"/>
      <c r="H61" s="213"/>
      <c r="I61" s="214"/>
      <c r="J61" s="209"/>
      <c r="K61" s="209"/>
      <c r="L61" s="210" t="s">
        <v>75</v>
      </c>
      <c r="M61" s="209"/>
      <c r="N61" s="209"/>
      <c r="O61" s="209"/>
      <c r="Q61" s="209"/>
      <c r="R61" s="226"/>
      <c r="S61" s="226"/>
      <c r="T61" s="226"/>
    </row>
    <row r="62" spans="1:20" ht="14.1" customHeight="1">
      <c r="A62" s="199">
        <v>2</v>
      </c>
      <c r="B62" s="227"/>
      <c r="C62" s="209"/>
      <c r="F62" s="213" t="s">
        <v>66</v>
      </c>
      <c r="G62" s="213"/>
      <c r="H62" s="213"/>
      <c r="I62" s="215">
        <v>1.27</v>
      </c>
      <c r="J62" s="209" t="s">
        <v>67</v>
      </c>
      <c r="K62" s="209"/>
      <c r="M62" s="209"/>
      <c r="N62" s="215">
        <f>+ROUND('Scenario GS Rates'!Q19,2)</f>
        <v>1.27</v>
      </c>
      <c r="O62" s="209" t="s">
        <v>67</v>
      </c>
      <c r="Q62" s="216">
        <f>IF(I62=0,0,+(N62-I62)/I62)</f>
        <v>0</v>
      </c>
      <c r="R62" s="226"/>
      <c r="S62" s="226"/>
      <c r="T62" s="226"/>
    </row>
    <row r="63" spans="1:20" ht="14.1" customHeight="1">
      <c r="A63" s="199">
        <v>3</v>
      </c>
      <c r="B63" s="227"/>
      <c r="C63" s="209"/>
      <c r="F63" s="199" t="s">
        <v>76</v>
      </c>
      <c r="G63" s="217"/>
      <c r="H63" s="217"/>
      <c r="I63" s="215">
        <v>1.06</v>
      </c>
      <c r="J63" s="209" t="s">
        <v>67</v>
      </c>
      <c r="K63" s="209"/>
      <c r="L63" s="218"/>
      <c r="M63" s="218"/>
      <c r="N63" s="215">
        <f>+ROUND('Scenario GS Rates'!Q20,2)</f>
        <v>1.06</v>
      </c>
      <c r="O63" s="209" t="s">
        <v>67</v>
      </c>
      <c r="Q63" s="216">
        <f>IF(I63=0,0,+(N63-I63)/I63)</f>
        <v>0</v>
      </c>
      <c r="R63" s="226"/>
      <c r="S63" s="226"/>
      <c r="T63" s="226"/>
    </row>
    <row r="64" spans="1:20" ht="14.1" customHeight="1">
      <c r="A64" s="199">
        <v>4</v>
      </c>
      <c r="B64" s="227"/>
      <c r="C64" s="209"/>
      <c r="F64" s="217" t="s">
        <v>77</v>
      </c>
      <c r="G64" s="213"/>
      <c r="H64" s="213"/>
      <c r="I64" s="215">
        <v>1.27</v>
      </c>
      <c r="J64" s="209" t="s">
        <v>67</v>
      </c>
      <c r="K64" s="209"/>
      <c r="L64" s="209"/>
      <c r="M64" s="209"/>
      <c r="N64" s="215">
        <f>+ROUND('Scenario GS Rates'!Q21,2)</f>
        <v>1.27</v>
      </c>
      <c r="O64" s="209" t="s">
        <v>67</v>
      </c>
      <c r="Q64" s="216">
        <f>IF(I64=0,0,+(N64-I64)/I64)</f>
        <v>0</v>
      </c>
      <c r="R64" s="228"/>
      <c r="S64" s="228"/>
      <c r="T64" s="228"/>
    </row>
    <row r="65" spans="1:20" ht="14.1" customHeight="1">
      <c r="A65" s="199">
        <v>5</v>
      </c>
      <c r="B65" s="227"/>
      <c r="Q65" s="229"/>
      <c r="R65" s="228"/>
      <c r="S65" s="228"/>
      <c r="T65" s="228"/>
    </row>
    <row r="66" spans="1:20" ht="14.1" customHeight="1">
      <c r="A66" s="199">
        <v>6</v>
      </c>
      <c r="B66" s="227"/>
      <c r="C66" s="209"/>
      <c r="E66" s="230" t="s">
        <v>69</v>
      </c>
      <c r="G66" s="217"/>
      <c r="H66" s="217"/>
      <c r="I66" s="215"/>
      <c r="J66" s="218"/>
      <c r="K66" s="218"/>
      <c r="L66" s="218"/>
      <c r="M66" s="218"/>
      <c r="N66" s="215"/>
      <c r="O66" s="218"/>
      <c r="Q66" s="231"/>
      <c r="R66" s="228"/>
      <c r="S66" s="228"/>
      <c r="T66" s="228"/>
    </row>
    <row r="67" spans="1:20" ht="14.1" customHeight="1">
      <c r="A67" s="199">
        <v>7</v>
      </c>
      <c r="B67" s="227"/>
      <c r="C67" s="209"/>
      <c r="F67" s="213" t="s">
        <v>66</v>
      </c>
      <c r="G67" s="217"/>
      <c r="H67" s="217"/>
      <c r="I67" s="223">
        <v>6.8059999999999996E-2</v>
      </c>
      <c r="J67" s="217" t="s">
        <v>71</v>
      </c>
      <c r="K67" s="217"/>
      <c r="L67" s="217"/>
      <c r="M67" s="217"/>
      <c r="N67" s="223">
        <f>+ROUND('Scenario GS Rates'!Q25,5)</f>
        <v>6.8040000000000003E-2</v>
      </c>
      <c r="O67" s="217" t="s">
        <v>71</v>
      </c>
      <c r="Q67" s="216">
        <f>IF(I67=0,0,+(N67-I67)/I67)</f>
        <v>-2.9385836027023577E-4</v>
      </c>
      <c r="R67" s="228"/>
      <c r="S67" s="228"/>
      <c r="T67" s="228"/>
    </row>
    <row r="68" spans="1:20" ht="14.1" customHeight="1">
      <c r="A68" s="199">
        <v>8</v>
      </c>
      <c r="B68" s="227"/>
      <c r="C68" s="209"/>
      <c r="F68" s="213" t="s">
        <v>78</v>
      </c>
      <c r="G68" s="217"/>
      <c r="H68" s="217"/>
      <c r="I68" s="223">
        <v>6.8059999999999996E-2</v>
      </c>
      <c r="J68" s="217" t="s">
        <v>71</v>
      </c>
      <c r="K68" s="217"/>
      <c r="L68" s="217"/>
      <c r="M68" s="217"/>
      <c r="N68" s="223">
        <f>+ROUND('Scenario GS Rates'!Q26,5)</f>
        <v>6.8040000000000003E-2</v>
      </c>
      <c r="O68" s="217" t="s">
        <v>71</v>
      </c>
      <c r="Q68" s="216">
        <f>IF(I68=0,0,+(N68-I68)/I68)</f>
        <v>-2.9385836027023577E-4</v>
      </c>
      <c r="R68" s="228"/>
      <c r="S68" s="228"/>
      <c r="T68" s="228"/>
    </row>
    <row r="69" spans="1:20" ht="14.1" customHeight="1">
      <c r="A69" s="199">
        <v>9</v>
      </c>
      <c r="B69" s="227"/>
      <c r="F69" s="217" t="s">
        <v>79</v>
      </c>
      <c r="G69" s="217"/>
      <c r="H69" s="217"/>
      <c r="I69" s="223">
        <v>9.912E-2</v>
      </c>
      <c r="J69" s="217" t="s">
        <v>71</v>
      </c>
      <c r="K69" s="217"/>
      <c r="L69" s="217"/>
      <c r="M69" s="217"/>
      <c r="N69" s="223">
        <f>+ROUND('Scenario GS Rates'!Q27,5)</f>
        <v>9.9080000000000001E-2</v>
      </c>
      <c r="O69" s="217" t="s">
        <v>71</v>
      </c>
      <c r="Q69" s="216">
        <f>IF(I69=0,0,+(N69-I69)/I69)</f>
        <v>-4.0355125100886168E-4</v>
      </c>
      <c r="R69" s="228"/>
      <c r="S69" s="228"/>
      <c r="T69" s="228"/>
    </row>
    <row r="70" spans="1:20" ht="14.1" customHeight="1">
      <c r="A70" s="199">
        <v>10</v>
      </c>
      <c r="B70" s="227"/>
      <c r="C70" s="164"/>
      <c r="F70" s="217" t="s">
        <v>80</v>
      </c>
      <c r="G70" s="217"/>
      <c r="H70" s="217"/>
      <c r="I70" s="223">
        <v>5.3740000000000003E-2</v>
      </c>
      <c r="J70" s="217" t="s">
        <v>71</v>
      </c>
      <c r="K70" s="217"/>
      <c r="L70" s="217"/>
      <c r="M70" s="217"/>
      <c r="N70" s="223">
        <f>+ROUND('Scenario GS Rates'!Q28,5)</f>
        <v>5.3699999999999998E-2</v>
      </c>
      <c r="O70" s="217" t="s">
        <v>71</v>
      </c>
      <c r="Q70" s="216">
        <f>IF(I70=0,0,+(N70-I70)/I70)</f>
        <v>-7.4432452549321371E-4</v>
      </c>
      <c r="R70" s="228"/>
      <c r="S70" s="228"/>
      <c r="T70" s="228"/>
    </row>
    <row r="71" spans="1:20" ht="14.1" customHeight="1">
      <c r="A71" s="199">
        <v>11</v>
      </c>
      <c r="B71" s="227"/>
      <c r="C71" s="226"/>
      <c r="F71" s="217" t="s">
        <v>81</v>
      </c>
      <c r="G71" s="228"/>
      <c r="H71" s="228"/>
      <c r="I71" s="223">
        <v>4.9829999999999999E-2</v>
      </c>
      <c r="J71" s="217" t="s">
        <v>71</v>
      </c>
      <c r="K71" s="228"/>
      <c r="L71" s="228"/>
      <c r="M71" s="228"/>
      <c r="N71" s="223">
        <f>+ROUND('Scenario GS Rates'!Q29,5)</f>
        <v>4.9790000000000001E-2</v>
      </c>
      <c r="O71" s="217" t="s">
        <v>71</v>
      </c>
      <c r="Q71" s="216">
        <f>IF(I71=0,0,+(N71-I71)/I71)</f>
        <v>-8.0272927955043886E-4</v>
      </c>
      <c r="R71" s="228"/>
      <c r="S71" s="228"/>
      <c r="T71" s="228"/>
    </row>
    <row r="72" spans="1:20" ht="14.1" customHeight="1">
      <c r="A72" s="199">
        <v>12</v>
      </c>
      <c r="B72" s="227"/>
      <c r="C72" s="226"/>
      <c r="R72" s="228"/>
      <c r="S72" s="228"/>
      <c r="T72" s="228"/>
    </row>
    <row r="73" spans="1:20" ht="14.1" customHeight="1">
      <c r="A73" s="199">
        <v>13</v>
      </c>
      <c r="B73" s="227"/>
      <c r="C73" s="226"/>
      <c r="E73" s="232" t="s">
        <v>82</v>
      </c>
      <c r="G73" s="228"/>
      <c r="H73" s="228"/>
      <c r="I73" s="223">
        <v>2.5699999999999998E-3</v>
      </c>
      <c r="J73" s="217" t="s">
        <v>71</v>
      </c>
      <c r="K73" s="217"/>
      <c r="L73" s="228"/>
      <c r="M73" s="228"/>
      <c r="N73" s="223">
        <f>+ROUND('Scenario GS Rates'!Q34,5)</f>
        <v>2.5699999999999998E-3</v>
      </c>
      <c r="O73" s="217" t="s">
        <v>71</v>
      </c>
      <c r="Q73" s="216">
        <f>IF(I73=0,0,+(N73-I73)/I73)</f>
        <v>0</v>
      </c>
      <c r="R73" s="228"/>
      <c r="S73" s="228"/>
      <c r="T73" s="228"/>
    </row>
    <row r="74" spans="1:20" ht="14.1" customHeight="1">
      <c r="A74" s="199">
        <v>14</v>
      </c>
      <c r="B74" s="227"/>
      <c r="C74" s="226"/>
      <c r="F74" s="228"/>
      <c r="G74" s="228"/>
      <c r="H74" s="228"/>
      <c r="I74" s="228"/>
      <c r="J74" s="228"/>
      <c r="K74" s="228"/>
      <c r="L74" s="228"/>
      <c r="M74" s="228"/>
      <c r="N74" s="228"/>
      <c r="O74" s="228"/>
      <c r="Q74" s="228"/>
      <c r="R74" s="228"/>
      <c r="S74" s="228"/>
      <c r="T74" s="228"/>
    </row>
    <row r="75" spans="1:20" ht="14.1" customHeight="1">
      <c r="A75" s="199">
        <v>15</v>
      </c>
      <c r="B75" s="227"/>
      <c r="C75" s="226"/>
      <c r="F75" s="228"/>
      <c r="G75" s="228"/>
      <c r="H75" s="228"/>
      <c r="I75" s="228"/>
      <c r="J75" s="228"/>
      <c r="K75" s="228"/>
      <c r="L75" s="228"/>
      <c r="M75" s="228"/>
      <c r="N75" s="228"/>
      <c r="O75" s="228"/>
      <c r="Q75" s="228"/>
      <c r="R75" s="228"/>
      <c r="S75" s="228"/>
      <c r="T75" s="228"/>
    </row>
    <row r="76" spans="1:20" ht="14.1" customHeight="1">
      <c r="A76" s="199">
        <v>16</v>
      </c>
      <c r="B76" s="227"/>
      <c r="C76" s="226"/>
      <c r="F76" s="228"/>
      <c r="G76" s="228"/>
      <c r="H76" s="228"/>
      <c r="I76" s="228"/>
      <c r="J76" s="228"/>
      <c r="K76" s="228"/>
      <c r="L76" s="228"/>
      <c r="M76" s="228"/>
      <c r="N76" s="228"/>
      <c r="O76" s="228"/>
      <c r="Q76" s="228"/>
      <c r="R76" s="228"/>
      <c r="S76" s="228"/>
      <c r="T76" s="228"/>
    </row>
    <row r="77" spans="1:20" ht="14.1" customHeight="1">
      <c r="A77" s="199">
        <v>17</v>
      </c>
      <c r="B77" s="227"/>
      <c r="C77" s="226"/>
      <c r="F77" s="228"/>
      <c r="G77" s="228"/>
      <c r="H77" s="228"/>
      <c r="I77" s="228"/>
      <c r="J77" s="228"/>
      <c r="K77" s="228"/>
      <c r="L77" s="228"/>
      <c r="M77" s="228"/>
      <c r="N77" s="228"/>
      <c r="O77" s="228"/>
      <c r="Q77" s="228"/>
      <c r="R77" s="228"/>
      <c r="S77" s="228"/>
      <c r="T77" s="228"/>
    </row>
    <row r="78" spans="1:20" ht="14.1" customHeight="1">
      <c r="A78" s="199">
        <v>18</v>
      </c>
      <c r="B78" s="227"/>
      <c r="C78" s="226"/>
      <c r="F78" s="228"/>
      <c r="G78" s="228"/>
      <c r="H78" s="228"/>
      <c r="I78" s="228"/>
      <c r="J78" s="228"/>
      <c r="K78" s="228"/>
      <c r="L78" s="228"/>
      <c r="M78" s="228"/>
      <c r="N78" s="228"/>
      <c r="O78" s="228"/>
      <c r="Q78" s="228"/>
      <c r="R78" s="228"/>
      <c r="S78" s="228"/>
      <c r="T78" s="228"/>
    </row>
    <row r="79" spans="1:20" ht="14.1" customHeight="1">
      <c r="A79" s="199">
        <v>19</v>
      </c>
      <c r="B79" s="227"/>
      <c r="C79" s="226"/>
      <c r="F79" s="228"/>
      <c r="G79" s="228"/>
      <c r="H79" s="228"/>
      <c r="I79" s="228"/>
      <c r="J79" s="228"/>
      <c r="K79" s="228"/>
      <c r="L79" s="228"/>
      <c r="M79" s="228"/>
      <c r="N79" s="228"/>
      <c r="O79" s="228"/>
      <c r="Q79" s="228"/>
      <c r="R79" s="228"/>
      <c r="S79" s="228"/>
      <c r="T79" s="228"/>
    </row>
    <row r="80" spans="1:20" ht="14.1" customHeight="1">
      <c r="A80" s="199">
        <v>20</v>
      </c>
      <c r="B80" s="227"/>
      <c r="C80" s="226"/>
      <c r="F80" s="228"/>
      <c r="G80" s="228"/>
      <c r="H80" s="228"/>
      <c r="I80" s="228"/>
      <c r="J80" s="228"/>
      <c r="K80" s="228"/>
      <c r="L80" s="228"/>
      <c r="M80" s="228"/>
      <c r="N80" s="228"/>
      <c r="O80" s="228"/>
      <c r="Q80" s="228"/>
      <c r="R80" s="228"/>
      <c r="S80" s="228"/>
      <c r="T80" s="228"/>
    </row>
    <row r="81" spans="1:20" ht="14.1" customHeight="1">
      <c r="A81" s="199">
        <v>21</v>
      </c>
      <c r="B81" s="227"/>
      <c r="C81" s="226"/>
      <c r="F81" s="228"/>
      <c r="G81" s="228"/>
      <c r="H81" s="228"/>
      <c r="I81" s="228"/>
      <c r="J81" s="228"/>
      <c r="K81" s="228"/>
      <c r="L81" s="228"/>
      <c r="M81" s="228"/>
      <c r="N81" s="228"/>
      <c r="O81" s="228"/>
      <c r="Q81" s="228"/>
      <c r="R81" s="228"/>
      <c r="S81" s="228"/>
      <c r="T81" s="228"/>
    </row>
    <row r="82" spans="1:20" ht="14.1" customHeight="1">
      <c r="A82" s="199">
        <v>22</v>
      </c>
      <c r="B82" s="227"/>
      <c r="C82" s="226"/>
      <c r="F82" s="228"/>
      <c r="G82" s="228"/>
      <c r="H82" s="228"/>
      <c r="I82" s="228"/>
      <c r="J82" s="228"/>
      <c r="K82" s="228"/>
      <c r="L82" s="228"/>
      <c r="M82" s="228"/>
      <c r="N82" s="228"/>
      <c r="O82" s="228"/>
      <c r="Q82" s="228"/>
      <c r="R82" s="228"/>
      <c r="S82" s="228"/>
      <c r="T82" s="228"/>
    </row>
    <row r="83" spans="1:20" ht="14.1" customHeight="1">
      <c r="A83" s="199">
        <v>23</v>
      </c>
      <c r="B83" s="227"/>
      <c r="C83" s="226"/>
      <c r="F83" s="228"/>
      <c r="G83" s="228"/>
      <c r="H83" s="228"/>
      <c r="I83" s="228"/>
      <c r="J83" s="228"/>
      <c r="K83" s="228"/>
      <c r="L83" s="228"/>
      <c r="M83" s="228"/>
      <c r="N83" s="228"/>
      <c r="O83" s="228"/>
      <c r="Q83" s="228"/>
      <c r="R83" s="228"/>
      <c r="S83" s="228"/>
      <c r="T83" s="228"/>
    </row>
    <row r="84" spans="1:20" ht="14.1" customHeight="1">
      <c r="A84" s="199">
        <v>24</v>
      </c>
      <c r="B84" s="227"/>
      <c r="C84" s="226"/>
      <c r="F84" s="228"/>
      <c r="G84" s="228"/>
      <c r="H84" s="228"/>
      <c r="I84" s="228"/>
      <c r="J84" s="228"/>
      <c r="K84" s="228"/>
      <c r="L84" s="228"/>
      <c r="M84" s="228"/>
      <c r="N84" s="228"/>
      <c r="O84" s="228"/>
      <c r="Q84" s="228"/>
      <c r="R84" s="228"/>
      <c r="S84" s="228"/>
      <c r="T84" s="228"/>
    </row>
    <row r="85" spans="1:20" ht="14.1" customHeight="1">
      <c r="A85" s="199">
        <v>25</v>
      </c>
      <c r="B85" s="227"/>
      <c r="C85" s="226"/>
      <c r="F85" s="228"/>
      <c r="G85" s="228"/>
      <c r="H85" s="228"/>
      <c r="I85" s="228"/>
      <c r="J85" s="228"/>
      <c r="K85" s="228"/>
      <c r="L85" s="228"/>
      <c r="M85" s="228"/>
      <c r="N85" s="228"/>
      <c r="O85" s="228"/>
      <c r="Q85" s="228"/>
      <c r="R85" s="228"/>
      <c r="S85" s="228"/>
      <c r="T85" s="228"/>
    </row>
    <row r="86" spans="1:20" ht="14.1" customHeight="1">
      <c r="A86" s="199">
        <v>26</v>
      </c>
      <c r="B86" s="227"/>
      <c r="C86" s="226"/>
      <c r="F86" s="228"/>
      <c r="G86" s="228"/>
      <c r="H86" s="228"/>
      <c r="I86" s="228"/>
      <c r="J86" s="228"/>
      <c r="K86" s="228"/>
      <c r="L86" s="228"/>
      <c r="M86" s="228"/>
      <c r="N86" s="228"/>
      <c r="O86" s="228"/>
      <c r="Q86" s="228"/>
      <c r="R86" s="228"/>
      <c r="S86" s="228"/>
      <c r="T86" s="228"/>
    </row>
    <row r="87" spans="1:20" ht="14.1" customHeight="1">
      <c r="A87" s="199">
        <v>27</v>
      </c>
      <c r="B87" s="227"/>
      <c r="C87" s="226"/>
      <c r="F87" s="228"/>
      <c r="G87" s="228"/>
      <c r="H87" s="228"/>
      <c r="I87" s="228"/>
      <c r="J87" s="228"/>
      <c r="K87" s="228"/>
      <c r="L87" s="228"/>
      <c r="M87" s="228"/>
      <c r="N87" s="228"/>
      <c r="O87" s="228"/>
      <c r="Q87" s="228"/>
      <c r="R87" s="228"/>
      <c r="S87" s="228"/>
      <c r="T87" s="228"/>
    </row>
    <row r="88" spans="1:20" ht="14.1" customHeight="1">
      <c r="A88" s="199">
        <v>28</v>
      </c>
      <c r="B88" s="227"/>
      <c r="C88" s="226"/>
      <c r="F88" s="228"/>
      <c r="G88" s="228"/>
      <c r="H88" s="228"/>
      <c r="I88" s="228"/>
      <c r="J88" s="228"/>
      <c r="K88" s="228"/>
      <c r="L88" s="228"/>
      <c r="M88" s="228"/>
      <c r="N88" s="228"/>
      <c r="O88" s="228"/>
      <c r="Q88" s="228"/>
      <c r="R88" s="228"/>
      <c r="S88" s="228"/>
      <c r="T88" s="228"/>
    </row>
    <row r="89" spans="1:20" ht="14.1" customHeight="1">
      <c r="A89" s="199">
        <v>29</v>
      </c>
      <c r="B89" s="227"/>
      <c r="C89" s="226"/>
      <c r="F89" s="228"/>
      <c r="G89" s="228"/>
      <c r="H89" s="228"/>
      <c r="I89" s="228"/>
      <c r="J89" s="228"/>
      <c r="K89" s="228"/>
      <c r="L89" s="228"/>
      <c r="M89" s="228"/>
      <c r="N89" s="228"/>
      <c r="O89" s="228"/>
      <c r="Q89" s="228"/>
      <c r="R89" s="228"/>
      <c r="S89" s="228"/>
      <c r="T89" s="228"/>
    </row>
    <row r="90" spans="1:20" ht="14.1" customHeight="1">
      <c r="A90" s="199">
        <v>30</v>
      </c>
      <c r="B90" s="227"/>
      <c r="C90" s="226"/>
      <c r="F90" s="228"/>
      <c r="G90" s="228"/>
      <c r="H90" s="228"/>
      <c r="I90" s="228"/>
      <c r="J90" s="228"/>
      <c r="K90" s="228"/>
      <c r="L90" s="228"/>
      <c r="M90" s="228"/>
      <c r="N90" s="228"/>
      <c r="O90" s="228"/>
      <c r="Q90" s="228"/>
      <c r="R90" s="228"/>
      <c r="S90" s="228"/>
      <c r="T90" s="228"/>
    </row>
    <row r="91" spans="1:20" ht="14.1" customHeight="1">
      <c r="A91" s="199">
        <v>31</v>
      </c>
      <c r="B91" s="227"/>
      <c r="C91" s="226"/>
      <c r="F91" s="228"/>
      <c r="G91" s="228"/>
      <c r="H91" s="228"/>
      <c r="I91" s="228"/>
      <c r="J91" s="228"/>
      <c r="K91" s="228"/>
      <c r="L91" s="228"/>
      <c r="M91" s="228"/>
      <c r="N91" s="228"/>
      <c r="O91" s="228"/>
      <c r="Q91" s="228"/>
      <c r="R91" s="228"/>
      <c r="S91" s="228"/>
      <c r="T91" s="228"/>
    </row>
    <row r="92" spans="1:20" ht="14.1" customHeight="1">
      <c r="A92" s="199">
        <v>32</v>
      </c>
      <c r="B92" s="227"/>
      <c r="C92" s="226"/>
      <c r="F92" s="228"/>
      <c r="G92" s="228"/>
      <c r="H92" s="228"/>
      <c r="I92" s="228"/>
      <c r="J92" s="228"/>
      <c r="K92" s="228"/>
      <c r="L92" s="228"/>
      <c r="M92" s="228"/>
      <c r="N92" s="228"/>
      <c r="O92" s="228"/>
      <c r="Q92" s="228"/>
      <c r="R92" s="228"/>
      <c r="S92" s="228"/>
      <c r="T92" s="228"/>
    </row>
    <row r="93" spans="1:20" ht="14.1" customHeight="1">
      <c r="A93" s="199">
        <v>33</v>
      </c>
      <c r="B93" s="227"/>
      <c r="C93" s="226"/>
      <c r="F93" s="228"/>
      <c r="G93" s="228"/>
      <c r="H93" s="228"/>
      <c r="I93" s="228"/>
      <c r="J93" s="228"/>
      <c r="K93" s="228"/>
      <c r="L93" s="228"/>
      <c r="M93" s="228"/>
      <c r="N93" s="228"/>
      <c r="O93" s="228"/>
      <c r="Q93" s="228"/>
      <c r="R93" s="228"/>
      <c r="S93" s="228"/>
      <c r="T93" s="228"/>
    </row>
    <row r="94" spans="1:20" ht="14.1" customHeight="1">
      <c r="A94" s="199">
        <v>34</v>
      </c>
      <c r="B94" s="227"/>
      <c r="C94" s="226"/>
      <c r="F94" s="228"/>
      <c r="G94" s="228"/>
      <c r="H94" s="228"/>
      <c r="I94" s="228"/>
      <c r="J94" s="228"/>
      <c r="K94" s="228"/>
      <c r="L94" s="228"/>
      <c r="M94" s="228"/>
      <c r="N94" s="228"/>
      <c r="O94" s="228"/>
      <c r="Q94" s="228"/>
      <c r="R94" s="228"/>
      <c r="S94" s="228"/>
      <c r="T94" s="228"/>
    </row>
    <row r="95" spans="1:20" ht="14.1" customHeight="1">
      <c r="A95" s="199">
        <v>35</v>
      </c>
      <c r="B95" s="227"/>
      <c r="C95" s="226"/>
      <c r="F95" s="228"/>
      <c r="G95" s="228"/>
      <c r="H95" s="228"/>
      <c r="I95" s="228"/>
      <c r="J95" s="228"/>
      <c r="K95" s="228"/>
      <c r="L95" s="228"/>
      <c r="M95" s="228"/>
      <c r="N95" s="228"/>
      <c r="O95" s="228"/>
      <c r="Q95" s="228"/>
      <c r="R95" s="228"/>
      <c r="S95" s="228"/>
      <c r="T95" s="228"/>
    </row>
    <row r="96" spans="1:20" ht="14.1" customHeight="1" thickBot="1">
      <c r="A96" s="200">
        <v>36</v>
      </c>
      <c r="B96" s="200"/>
      <c r="C96" s="200"/>
      <c r="D96" s="200"/>
      <c r="E96" s="200"/>
      <c r="F96" s="200"/>
      <c r="G96" s="200"/>
      <c r="H96" s="200"/>
      <c r="I96" s="200"/>
      <c r="J96" s="200"/>
      <c r="K96" s="200"/>
      <c r="L96" s="200"/>
      <c r="M96" s="200"/>
      <c r="N96" s="200"/>
      <c r="O96" s="200"/>
      <c r="P96" s="200"/>
      <c r="Q96" s="200"/>
      <c r="R96" s="200"/>
      <c r="S96" s="200"/>
      <c r="T96" s="200"/>
    </row>
    <row r="97" spans="1:20" ht="14.1" customHeight="1"/>
    <row r="98" spans="1:20" ht="14.1" customHeight="1" thickBot="1">
      <c r="A98" s="200"/>
      <c r="B98" s="200"/>
      <c r="C98" s="200"/>
      <c r="D98" s="200"/>
      <c r="E98" s="200"/>
      <c r="F98" s="200"/>
      <c r="G98" s="200"/>
      <c r="H98" s="200"/>
      <c r="I98" s="200" t="s">
        <v>45</v>
      </c>
      <c r="J98" s="200"/>
      <c r="K98" s="200"/>
      <c r="L98" s="200"/>
      <c r="M98" s="200"/>
      <c r="N98" s="200"/>
      <c r="O98" s="200"/>
      <c r="P98" s="200"/>
      <c r="Q98" s="200"/>
      <c r="R98" s="200"/>
      <c r="S98" s="200"/>
      <c r="T98" s="201"/>
    </row>
    <row r="99" spans="1:20" ht="14.1" customHeight="1">
      <c r="F99" s="202"/>
      <c r="L99" s="203"/>
      <c r="M99" s="203"/>
      <c r="O99" s="203"/>
      <c r="P99" s="203"/>
      <c r="Q99" s="203"/>
      <c r="T99" s="204"/>
    </row>
    <row r="100" spans="1:20" ht="14.1" customHeight="1">
      <c r="L100" s="202"/>
      <c r="M100" s="204"/>
      <c r="P100" s="202"/>
      <c r="Q100" s="32"/>
      <c r="R100" s="31"/>
      <c r="T100" s="202"/>
    </row>
    <row r="101" spans="1:20" ht="14.1" customHeight="1">
      <c r="L101" s="202"/>
      <c r="M101" s="204"/>
      <c r="N101" s="202"/>
      <c r="Q101" s="32"/>
      <c r="R101" s="31"/>
      <c r="T101" s="202"/>
    </row>
    <row r="102" spans="1:20" ht="14.1" customHeight="1">
      <c r="L102" s="202"/>
      <c r="M102" s="204"/>
      <c r="N102" s="202"/>
      <c r="Q102" s="32"/>
      <c r="R102" s="31"/>
      <c r="T102" s="202"/>
    </row>
    <row r="103" spans="1:20" ht="14.1" customHeight="1" thickBot="1">
      <c r="A103" s="200"/>
      <c r="B103" s="200"/>
      <c r="C103" s="200"/>
      <c r="D103" s="200"/>
      <c r="E103" s="200"/>
      <c r="F103" s="200"/>
      <c r="G103" s="200"/>
      <c r="H103" s="200"/>
      <c r="I103" s="205"/>
      <c r="J103" s="200"/>
      <c r="K103" s="200"/>
      <c r="L103" s="200"/>
      <c r="M103" s="200"/>
      <c r="N103" s="200"/>
      <c r="O103" s="200"/>
      <c r="P103" s="200"/>
      <c r="Q103" s="200"/>
      <c r="R103" s="200"/>
      <c r="S103" s="200"/>
      <c r="T103" s="200"/>
    </row>
    <row r="104" spans="1:20" ht="14.1" customHeight="1">
      <c r="A104" s="199" t="str">
        <f>IF(+A$8="","",A$8)</f>
        <v/>
      </c>
      <c r="B104" s="206" t="str">
        <f t="shared" ref="B104:T104" si="5">IF(+B$8="","",B$8)</f>
        <v/>
      </c>
      <c r="C104" s="206" t="str">
        <f t="shared" si="5"/>
        <v>(1)</v>
      </c>
      <c r="D104" s="206" t="str">
        <f t="shared" si="5"/>
        <v/>
      </c>
      <c r="E104" s="206" t="str">
        <f t="shared" si="5"/>
        <v/>
      </c>
      <c r="F104" s="206" t="str">
        <f t="shared" si="5"/>
        <v>(2)</v>
      </c>
      <c r="G104" s="206" t="str">
        <f t="shared" si="5"/>
        <v/>
      </c>
      <c r="H104" s="206" t="str">
        <f>IF(+H$8="","",H$8)</f>
        <v/>
      </c>
      <c r="I104" s="206" t="str">
        <f>IF(+I$8="","",I$8)</f>
        <v>(3)</v>
      </c>
      <c r="J104" s="206" t="str">
        <f>IF(+J$8="","",J$8)</f>
        <v/>
      </c>
      <c r="K104" s="206"/>
      <c r="L104" s="206" t="str">
        <f t="shared" si="5"/>
        <v>(4)</v>
      </c>
      <c r="M104" s="206" t="str">
        <f t="shared" si="5"/>
        <v/>
      </c>
      <c r="N104" s="206" t="str">
        <f t="shared" si="5"/>
        <v>(5)</v>
      </c>
      <c r="O104" s="206" t="str">
        <f t="shared" si="5"/>
        <v/>
      </c>
      <c r="Q104" s="206" t="str">
        <f>IF(+Q$8="","",Q$8)</f>
        <v>(6)</v>
      </c>
      <c r="R104" s="206" t="str">
        <f t="shared" si="5"/>
        <v/>
      </c>
      <c r="S104" s="206" t="str">
        <f t="shared" si="5"/>
        <v/>
      </c>
      <c r="T104" s="206" t="str">
        <f t="shared" si="5"/>
        <v/>
      </c>
    </row>
    <row r="105" spans="1:20" ht="14.1" customHeight="1">
      <c r="A105" s="199" t="str">
        <f>IF(+A$9="","",A$9)</f>
        <v/>
      </c>
      <c r="B105" s="206" t="str">
        <f t="shared" ref="B105:T105" si="6">IF(+B$9="","",B$9)</f>
        <v/>
      </c>
      <c r="C105" s="206" t="str">
        <f t="shared" si="6"/>
        <v/>
      </c>
      <c r="D105" s="206" t="str">
        <f t="shared" si="6"/>
        <v/>
      </c>
      <c r="E105" s="206" t="str">
        <f t="shared" si="6"/>
        <v/>
      </c>
      <c r="F105" s="206" t="str">
        <f t="shared" si="6"/>
        <v/>
      </c>
      <c r="G105" s="206" t="str">
        <f t="shared" si="6"/>
        <v/>
      </c>
      <c r="H105" s="206" t="str">
        <f>IF(+H$9="","",H$9)</f>
        <v/>
      </c>
      <c r="I105" s="206" t="str">
        <f>IF(+I$9="","",I$9)</f>
        <v/>
      </c>
      <c r="J105" s="206" t="str">
        <f>IF(+J$9="","",J$9)</f>
        <v/>
      </c>
      <c r="K105" s="206"/>
      <c r="L105" s="206" t="str">
        <f t="shared" si="6"/>
        <v/>
      </c>
      <c r="M105" s="206" t="str">
        <f t="shared" si="6"/>
        <v/>
      </c>
      <c r="N105" s="206" t="str">
        <f t="shared" si="6"/>
        <v/>
      </c>
      <c r="O105" s="206" t="str">
        <f t="shared" si="6"/>
        <v/>
      </c>
      <c r="Q105" s="206" t="str">
        <f>IF(+Q$9="","",Q$9)</f>
        <v/>
      </c>
      <c r="R105" s="206" t="str">
        <f t="shared" si="6"/>
        <v/>
      </c>
      <c r="S105" s="206" t="str">
        <f t="shared" si="6"/>
        <v/>
      </c>
      <c r="T105" s="206" t="str">
        <f t="shared" si="6"/>
        <v/>
      </c>
    </row>
    <row r="106" spans="1:20" ht="14.1" customHeight="1">
      <c r="A106" s="199" t="str">
        <f>IF(+A$10="","",A$10)</f>
        <v/>
      </c>
      <c r="B106" s="206" t="str">
        <f t="shared" ref="B106:T106" si="7">IF(+B$10="","",B$10)</f>
        <v/>
      </c>
      <c r="C106" s="206" t="str">
        <f t="shared" si="7"/>
        <v xml:space="preserve">Current </v>
      </c>
      <c r="D106" s="206" t="str">
        <f t="shared" si="7"/>
        <v/>
      </c>
      <c r="E106" s="206" t="str">
        <f t="shared" si="7"/>
        <v/>
      </c>
      <c r="F106" s="206" t="str">
        <f t="shared" si="7"/>
        <v/>
      </c>
      <c r="G106" s="206" t="str">
        <f t="shared" si="7"/>
        <v/>
      </c>
      <c r="H106" s="206" t="str">
        <f>IF(+H$10="","",H$10)</f>
        <v/>
      </c>
      <c r="I106" s="206" t="str">
        <f>IF(+I$10="","",I$10)</f>
        <v/>
      </c>
      <c r="J106" s="206" t="str">
        <f>IF(+J$10="","",J$10)</f>
        <v/>
      </c>
      <c r="K106" s="206"/>
      <c r="L106" s="206" t="str">
        <f t="shared" si="7"/>
        <v>Proposed</v>
      </c>
      <c r="M106" s="206" t="str">
        <f t="shared" si="7"/>
        <v/>
      </c>
      <c r="N106" s="206" t="str">
        <f t="shared" si="7"/>
        <v/>
      </c>
      <c r="O106" s="206" t="str">
        <f t="shared" si="7"/>
        <v/>
      </c>
      <c r="Q106" s="206" t="str">
        <f>IF(+Q$10="","",Q$10)</f>
        <v>Percent</v>
      </c>
      <c r="R106" s="206" t="str">
        <f t="shared" si="7"/>
        <v/>
      </c>
      <c r="S106" s="206" t="str">
        <f t="shared" si="7"/>
        <v/>
      </c>
      <c r="T106" s="206" t="str">
        <f t="shared" si="7"/>
        <v/>
      </c>
    </row>
    <row r="107" spans="1:20" ht="14.1" customHeight="1">
      <c r="A107" s="199" t="str">
        <f>IF(+A$11="","",A$11)</f>
        <v>Line</v>
      </c>
      <c r="B107" s="206" t="str">
        <f t="shared" ref="B107:T107" si="8">IF(+B$11="","",B$11)</f>
        <v/>
      </c>
      <c r="C107" s="206" t="str">
        <f t="shared" si="8"/>
        <v>Rate</v>
      </c>
      <c r="D107" s="206" t="str">
        <f t="shared" si="8"/>
        <v/>
      </c>
      <c r="E107" s="206" t="str">
        <f t="shared" si="8"/>
        <v/>
      </c>
      <c r="F107" s="206" t="str">
        <f t="shared" si="8"/>
        <v/>
      </c>
      <c r="G107" s="206" t="str">
        <f t="shared" si="8"/>
        <v/>
      </c>
      <c r="H107" s="206" t="str">
        <f>IF(+H$11="","",H$11)</f>
        <v/>
      </c>
      <c r="I107" s="207" t="s">
        <v>57</v>
      </c>
      <c r="J107" s="207"/>
      <c r="K107" s="207"/>
      <c r="L107" s="207" t="s">
        <v>56</v>
      </c>
      <c r="M107" s="207"/>
      <c r="N107" s="207" t="s">
        <v>58</v>
      </c>
      <c r="O107" s="206" t="str">
        <f t="shared" si="8"/>
        <v/>
      </c>
      <c r="Q107" s="206" t="str">
        <f>IF(+Q$11="","",Q$11)</f>
        <v>Increase</v>
      </c>
      <c r="R107" s="206" t="str">
        <f t="shared" si="8"/>
        <v/>
      </c>
      <c r="S107" s="206" t="str">
        <f t="shared" si="8"/>
        <v/>
      </c>
      <c r="T107" s="206" t="str">
        <f t="shared" si="8"/>
        <v/>
      </c>
    </row>
    <row r="108" spans="1:20" ht="14.1" customHeight="1" thickBot="1">
      <c r="A108" s="200" t="str">
        <f>IF(+A$12="","",A$12)</f>
        <v>No.</v>
      </c>
      <c r="B108" s="205" t="str">
        <f t="shared" ref="B108:T108" si="9">IF(+B$12="","",B$12)</f>
        <v/>
      </c>
      <c r="C108" s="205" t="str">
        <f t="shared" si="9"/>
        <v>Schedule</v>
      </c>
      <c r="D108" s="205" t="str">
        <f t="shared" si="9"/>
        <v/>
      </c>
      <c r="E108" s="205"/>
      <c r="F108" s="205" t="str">
        <f t="shared" si="9"/>
        <v>Type of Charge</v>
      </c>
      <c r="G108" s="205"/>
      <c r="H108" s="205" t="str">
        <f>IF(+H$12="","",H$12)</f>
        <v/>
      </c>
      <c r="I108" s="205" t="str">
        <f>IF(+I$12="","",I$12)</f>
        <v>Rate</v>
      </c>
      <c r="J108" s="205" t="str">
        <f>IF(+J$12="","",J$12)</f>
        <v/>
      </c>
      <c r="K108" s="205"/>
      <c r="L108" s="205" t="str">
        <f t="shared" si="9"/>
        <v>Schedule</v>
      </c>
      <c r="M108" s="205" t="str">
        <f t="shared" si="9"/>
        <v/>
      </c>
      <c r="N108" s="205" t="str">
        <f t="shared" si="9"/>
        <v>Rate</v>
      </c>
      <c r="O108" s="205" t="str">
        <f t="shared" si="9"/>
        <v/>
      </c>
      <c r="P108" s="200"/>
      <c r="Q108" s="205" t="str">
        <f>IF(+Q$12="","",Q$12)</f>
        <v>((5)-(3))/(3)</v>
      </c>
      <c r="R108" s="205" t="str">
        <f t="shared" si="9"/>
        <v/>
      </c>
      <c r="S108" s="205" t="str">
        <f t="shared" si="9"/>
        <v/>
      </c>
      <c r="T108" s="205" t="str">
        <f t="shared" si="9"/>
        <v/>
      </c>
    </row>
    <row r="109" spans="1:20" ht="14.1" customHeight="1">
      <c r="A109" s="199">
        <v>1</v>
      </c>
      <c r="B109" s="225"/>
      <c r="C109" s="210" t="s">
        <v>83</v>
      </c>
      <c r="D109" s="209"/>
      <c r="E109" s="211" t="s">
        <v>65</v>
      </c>
      <c r="F109" s="212"/>
      <c r="G109" s="213"/>
      <c r="H109" s="213"/>
      <c r="I109" s="214"/>
      <c r="J109" s="209"/>
      <c r="K109" s="209"/>
      <c r="L109" s="210" t="s">
        <v>83</v>
      </c>
      <c r="M109" s="209"/>
      <c r="N109" s="209"/>
      <c r="O109" s="209"/>
      <c r="Q109" s="209"/>
      <c r="R109" s="226"/>
      <c r="S109" s="226"/>
      <c r="T109" s="226"/>
    </row>
    <row r="110" spans="1:20" ht="14.1" customHeight="1">
      <c r="A110" s="199">
        <v>2</v>
      </c>
      <c r="B110" s="227"/>
      <c r="C110" s="209"/>
      <c r="F110" s="213" t="s">
        <v>66</v>
      </c>
      <c r="G110" s="213"/>
      <c r="H110" s="213"/>
      <c r="I110" s="215">
        <v>1.27</v>
      </c>
      <c r="J110" s="209" t="s">
        <v>67</v>
      </c>
      <c r="K110" s="209"/>
      <c r="M110" s="209"/>
      <c r="N110" s="215">
        <f>+ROUND('Scenario GS Rates'!Q73,2)</f>
        <v>1.27</v>
      </c>
      <c r="O110" s="209" t="s">
        <v>67</v>
      </c>
      <c r="Q110" s="216">
        <f>IF(I110=0,0,+(N110-I110)/I110)</f>
        <v>0</v>
      </c>
      <c r="R110" s="226"/>
      <c r="S110" s="226"/>
      <c r="T110" s="226"/>
    </row>
    <row r="111" spans="1:20" ht="14.1" customHeight="1">
      <c r="A111" s="199">
        <v>3</v>
      </c>
      <c r="B111" s="227"/>
      <c r="C111" s="209"/>
      <c r="F111" s="217"/>
      <c r="G111" s="217"/>
      <c r="H111" s="217"/>
      <c r="I111" s="215"/>
      <c r="J111" s="209"/>
      <c r="K111" s="209"/>
      <c r="L111" s="218"/>
      <c r="M111" s="218"/>
      <c r="N111" s="215"/>
      <c r="O111" s="209"/>
      <c r="Q111" s="216"/>
      <c r="R111" s="226"/>
      <c r="S111" s="226"/>
      <c r="T111" s="226"/>
    </row>
    <row r="112" spans="1:20" ht="14.1" customHeight="1">
      <c r="A112" s="199">
        <v>4</v>
      </c>
      <c r="B112" s="227"/>
      <c r="C112" s="209"/>
      <c r="E112" s="219" t="s">
        <v>69</v>
      </c>
      <c r="G112" s="217"/>
      <c r="H112" s="217"/>
      <c r="I112" s="215"/>
      <c r="J112" s="218"/>
      <c r="K112" s="218"/>
      <c r="L112" s="218"/>
      <c r="M112" s="218"/>
      <c r="N112" s="215"/>
      <c r="O112" s="218"/>
      <c r="Q112" s="231"/>
      <c r="R112" s="228"/>
      <c r="S112" s="228"/>
      <c r="T112" s="228"/>
    </row>
    <row r="113" spans="1:20" ht="14.1" customHeight="1">
      <c r="A113" s="199">
        <v>5</v>
      </c>
      <c r="B113" s="227"/>
      <c r="F113" s="213" t="s">
        <v>66</v>
      </c>
      <c r="G113" s="217"/>
      <c r="H113" s="217"/>
      <c r="I113" s="223">
        <v>6.8059999999999996E-2</v>
      </c>
      <c r="J113" s="217" t="s">
        <v>71</v>
      </c>
      <c r="K113" s="217"/>
      <c r="L113" s="217"/>
      <c r="M113" s="217"/>
      <c r="N113" s="223">
        <f>+ROUND('Scenario GS Rates'!Q77,5)</f>
        <v>6.8040000000000003E-2</v>
      </c>
      <c r="O113" s="217" t="s">
        <v>71</v>
      </c>
      <c r="Q113" s="216">
        <f>IF(I113=0,0,+(N113-I113)/I113)</f>
        <v>-2.9385836027023577E-4</v>
      </c>
      <c r="R113" s="228"/>
      <c r="S113" s="228"/>
      <c r="T113" s="228"/>
    </row>
    <row r="114" spans="1:20" ht="14.1" customHeight="1">
      <c r="A114" s="199">
        <v>6</v>
      </c>
      <c r="B114" s="227"/>
      <c r="C114" s="209"/>
      <c r="R114" s="228"/>
      <c r="S114" s="228"/>
      <c r="T114" s="228"/>
    </row>
    <row r="115" spans="1:20" ht="14.1" customHeight="1">
      <c r="A115" s="199">
        <v>7</v>
      </c>
      <c r="B115" s="227"/>
      <c r="C115" s="209"/>
      <c r="F115" s="217"/>
      <c r="G115" s="217"/>
      <c r="H115" s="217"/>
      <c r="I115" s="220"/>
      <c r="J115" s="217"/>
      <c r="K115" s="217"/>
      <c r="L115" s="217"/>
      <c r="M115" s="217"/>
      <c r="N115" s="217"/>
      <c r="O115" s="217"/>
      <c r="Q115" s="221"/>
      <c r="R115" s="228"/>
      <c r="S115" s="228"/>
      <c r="T115" s="228"/>
    </row>
    <row r="116" spans="1:20" ht="14.1" customHeight="1">
      <c r="A116" s="199">
        <v>8</v>
      </c>
      <c r="B116" s="227"/>
      <c r="F116" s="217"/>
      <c r="G116" s="217"/>
      <c r="H116" s="217"/>
      <c r="I116" s="220"/>
      <c r="J116" s="217"/>
      <c r="K116" s="217"/>
      <c r="L116" s="217"/>
      <c r="M116" s="217"/>
      <c r="N116" s="217"/>
      <c r="O116" s="217"/>
      <c r="Q116" s="221"/>
      <c r="R116" s="228"/>
      <c r="S116" s="228"/>
      <c r="T116" s="228"/>
    </row>
    <row r="117" spans="1:20" ht="14.1" customHeight="1">
      <c r="A117" s="199">
        <v>9</v>
      </c>
      <c r="B117" s="227"/>
      <c r="C117" s="164"/>
      <c r="F117" s="228"/>
      <c r="G117" s="228"/>
      <c r="H117" s="228"/>
      <c r="I117" s="228"/>
      <c r="J117" s="228"/>
      <c r="K117" s="228"/>
      <c r="L117" s="228"/>
      <c r="M117" s="228"/>
      <c r="N117" s="228"/>
      <c r="O117" s="228"/>
      <c r="Q117" s="228"/>
      <c r="R117" s="228"/>
      <c r="S117" s="228"/>
      <c r="T117" s="228"/>
    </row>
    <row r="118" spans="1:20" ht="14.1" customHeight="1">
      <c r="A118" s="199">
        <v>10</v>
      </c>
      <c r="B118" s="227"/>
      <c r="C118" s="226"/>
      <c r="F118" s="228"/>
      <c r="G118" s="228"/>
      <c r="H118" s="228"/>
      <c r="I118" s="228"/>
      <c r="J118" s="228"/>
      <c r="K118" s="228"/>
      <c r="L118" s="228"/>
      <c r="M118" s="228"/>
      <c r="N118" s="228"/>
      <c r="O118" s="228"/>
      <c r="Q118" s="228"/>
      <c r="R118" s="228"/>
      <c r="S118" s="228"/>
      <c r="T118" s="228"/>
    </row>
    <row r="119" spans="1:20" ht="14.1" customHeight="1">
      <c r="A119" s="199">
        <v>11</v>
      </c>
      <c r="B119" s="227"/>
      <c r="C119" s="226"/>
      <c r="F119" s="228"/>
      <c r="G119" s="228"/>
      <c r="H119" s="228"/>
      <c r="I119" s="228"/>
      <c r="J119" s="228"/>
      <c r="K119" s="228"/>
      <c r="L119" s="228"/>
      <c r="M119" s="228"/>
      <c r="N119" s="228"/>
      <c r="O119" s="228"/>
      <c r="Q119" s="228"/>
      <c r="R119" s="228"/>
      <c r="S119" s="228"/>
      <c r="T119" s="228"/>
    </row>
    <row r="120" spans="1:20" ht="14.1" customHeight="1">
      <c r="A120" s="199">
        <v>12</v>
      </c>
      <c r="B120" s="227"/>
      <c r="C120" s="226"/>
      <c r="F120" s="228"/>
      <c r="G120" s="228"/>
      <c r="H120" s="228"/>
      <c r="I120" s="228"/>
      <c r="J120" s="228"/>
      <c r="K120" s="228"/>
      <c r="L120" s="228"/>
      <c r="M120" s="228"/>
      <c r="N120" s="228"/>
      <c r="O120" s="228"/>
      <c r="Q120" s="228"/>
      <c r="R120" s="228"/>
      <c r="S120" s="228"/>
      <c r="T120" s="228"/>
    </row>
    <row r="121" spans="1:20" ht="14.1" customHeight="1">
      <c r="A121" s="199">
        <v>13</v>
      </c>
      <c r="B121" s="227"/>
      <c r="C121" s="226"/>
      <c r="F121" s="228"/>
      <c r="G121" s="228"/>
      <c r="H121" s="228"/>
      <c r="I121" s="228"/>
      <c r="J121" s="228"/>
      <c r="K121" s="228"/>
      <c r="L121" s="228"/>
      <c r="M121" s="228"/>
      <c r="N121" s="228"/>
      <c r="O121" s="228"/>
      <c r="Q121" s="228"/>
      <c r="R121" s="228"/>
      <c r="S121" s="228"/>
      <c r="T121" s="228"/>
    </row>
    <row r="122" spans="1:20" ht="14.1" customHeight="1">
      <c r="A122" s="199">
        <v>14</v>
      </c>
      <c r="B122" s="227"/>
      <c r="C122" s="226"/>
      <c r="F122" s="228"/>
      <c r="G122" s="228"/>
      <c r="H122" s="228"/>
      <c r="I122" s="228"/>
      <c r="J122" s="228"/>
      <c r="K122" s="228"/>
      <c r="L122" s="228"/>
      <c r="M122" s="228"/>
      <c r="N122" s="228"/>
      <c r="O122" s="228"/>
      <c r="Q122" s="228"/>
      <c r="R122" s="228"/>
      <c r="S122" s="228"/>
      <c r="T122" s="228"/>
    </row>
    <row r="123" spans="1:20" ht="14.1" customHeight="1">
      <c r="A123" s="199">
        <v>15</v>
      </c>
      <c r="B123" s="227"/>
      <c r="C123" s="226"/>
      <c r="F123" s="228"/>
      <c r="G123" s="228"/>
      <c r="H123" s="228"/>
      <c r="I123" s="228"/>
      <c r="J123" s="228"/>
      <c r="K123" s="228"/>
      <c r="L123" s="228"/>
      <c r="M123" s="228"/>
      <c r="N123" s="228"/>
      <c r="O123" s="228"/>
      <c r="Q123" s="228"/>
      <c r="R123" s="228"/>
      <c r="S123" s="228"/>
      <c r="T123" s="228"/>
    </row>
    <row r="124" spans="1:20" ht="14.1" customHeight="1">
      <c r="A124" s="199">
        <v>16</v>
      </c>
      <c r="B124" s="227"/>
      <c r="C124" s="226"/>
      <c r="F124" s="228"/>
      <c r="G124" s="228"/>
      <c r="H124" s="228"/>
      <c r="I124" s="228"/>
      <c r="J124" s="228"/>
      <c r="K124" s="228"/>
      <c r="L124" s="228"/>
      <c r="M124" s="228"/>
      <c r="N124" s="228"/>
      <c r="O124" s="228"/>
      <c r="Q124" s="228"/>
      <c r="R124" s="228"/>
      <c r="S124" s="228"/>
      <c r="T124" s="228"/>
    </row>
    <row r="125" spans="1:20" ht="14.1" customHeight="1">
      <c r="A125" s="199">
        <v>17</v>
      </c>
      <c r="B125" s="227"/>
      <c r="C125" s="226"/>
      <c r="F125" s="228"/>
      <c r="G125" s="228"/>
      <c r="H125" s="228"/>
      <c r="I125" s="228"/>
      <c r="J125" s="228"/>
      <c r="K125" s="228"/>
      <c r="L125" s="228"/>
      <c r="M125" s="228"/>
      <c r="N125" s="228"/>
      <c r="O125" s="228"/>
      <c r="Q125" s="228"/>
      <c r="R125" s="228"/>
      <c r="S125" s="228"/>
      <c r="T125" s="228"/>
    </row>
    <row r="126" spans="1:20" ht="14.1" customHeight="1">
      <c r="A126" s="199">
        <v>18</v>
      </c>
      <c r="B126" s="227"/>
      <c r="C126" s="226"/>
      <c r="F126" s="228"/>
      <c r="G126" s="228"/>
      <c r="H126" s="228"/>
      <c r="I126" s="228"/>
      <c r="J126" s="228"/>
      <c r="K126" s="228"/>
      <c r="L126" s="228"/>
      <c r="M126" s="228"/>
      <c r="N126" s="228"/>
      <c r="O126" s="228"/>
      <c r="Q126" s="228"/>
      <c r="R126" s="228"/>
      <c r="S126" s="228"/>
      <c r="T126" s="228"/>
    </row>
    <row r="127" spans="1:20" ht="14.1" customHeight="1">
      <c r="A127" s="199">
        <v>19</v>
      </c>
      <c r="B127" s="227"/>
      <c r="C127" s="226"/>
      <c r="F127" s="228"/>
      <c r="G127" s="228"/>
      <c r="H127" s="228"/>
      <c r="I127" s="228"/>
      <c r="J127" s="228"/>
      <c r="K127" s="228"/>
      <c r="L127" s="228"/>
      <c r="M127" s="228"/>
      <c r="N127" s="228"/>
      <c r="O127" s="228"/>
      <c r="Q127" s="228"/>
      <c r="R127" s="228"/>
      <c r="S127" s="228"/>
      <c r="T127" s="228"/>
    </row>
    <row r="128" spans="1:20" ht="14.1" customHeight="1">
      <c r="A128" s="199">
        <v>20</v>
      </c>
      <c r="B128" s="227"/>
      <c r="C128" s="226"/>
      <c r="F128" s="228"/>
      <c r="G128" s="228"/>
      <c r="H128" s="228"/>
      <c r="I128" s="228"/>
      <c r="J128" s="228"/>
      <c r="K128" s="228"/>
      <c r="L128" s="228"/>
      <c r="M128" s="228"/>
      <c r="N128" s="228"/>
      <c r="O128" s="228"/>
      <c r="Q128" s="228"/>
      <c r="R128" s="228"/>
      <c r="S128" s="228"/>
      <c r="T128" s="228"/>
    </row>
    <row r="129" spans="1:20" ht="14.1" customHeight="1">
      <c r="A129" s="199">
        <v>21</v>
      </c>
      <c r="B129" s="227"/>
      <c r="C129" s="226"/>
      <c r="F129" s="228"/>
      <c r="G129" s="228"/>
      <c r="H129" s="228"/>
      <c r="I129" s="228"/>
      <c r="J129" s="228"/>
      <c r="K129" s="228"/>
      <c r="L129" s="228"/>
      <c r="M129" s="228"/>
      <c r="N129" s="228"/>
      <c r="O129" s="228"/>
      <c r="Q129" s="228"/>
      <c r="R129" s="228"/>
      <c r="S129" s="228"/>
      <c r="T129" s="228"/>
    </row>
    <row r="130" spans="1:20" ht="14.1" customHeight="1">
      <c r="A130" s="199">
        <v>22</v>
      </c>
      <c r="B130" s="227"/>
      <c r="C130" s="226"/>
      <c r="F130" s="228"/>
      <c r="G130" s="228"/>
      <c r="H130" s="228"/>
      <c r="I130" s="228"/>
      <c r="J130" s="228"/>
      <c r="K130" s="228"/>
      <c r="L130" s="228"/>
      <c r="M130" s="228"/>
      <c r="N130" s="228"/>
      <c r="O130" s="228"/>
      <c r="Q130" s="228"/>
      <c r="R130" s="228"/>
      <c r="S130" s="228"/>
      <c r="T130" s="228"/>
    </row>
    <row r="131" spans="1:20" ht="14.1" customHeight="1">
      <c r="A131" s="199">
        <v>23</v>
      </c>
      <c r="B131" s="227"/>
      <c r="C131" s="226"/>
      <c r="F131" s="228"/>
      <c r="G131" s="228"/>
      <c r="H131" s="228"/>
      <c r="I131" s="228"/>
      <c r="J131" s="228"/>
      <c r="K131" s="228"/>
      <c r="L131" s="228"/>
      <c r="M131" s="228"/>
      <c r="N131" s="228"/>
      <c r="O131" s="228"/>
      <c r="Q131" s="228"/>
      <c r="R131" s="228"/>
      <c r="S131" s="228"/>
      <c r="T131" s="228"/>
    </row>
    <row r="132" spans="1:20" ht="14.1" customHeight="1">
      <c r="A132" s="199">
        <v>24</v>
      </c>
      <c r="B132" s="227"/>
      <c r="C132" s="226"/>
      <c r="F132" s="228"/>
      <c r="G132" s="228"/>
      <c r="H132" s="228"/>
      <c r="I132" s="228"/>
      <c r="J132" s="228"/>
      <c r="K132" s="228"/>
      <c r="L132" s="228"/>
      <c r="M132" s="228"/>
      <c r="N132" s="228"/>
      <c r="O132" s="228"/>
      <c r="Q132" s="228"/>
      <c r="R132" s="228"/>
      <c r="S132" s="228"/>
      <c r="T132" s="228"/>
    </row>
    <row r="133" spans="1:20" ht="14.1" customHeight="1">
      <c r="A133" s="199">
        <v>25</v>
      </c>
      <c r="B133" s="227"/>
      <c r="C133" s="226"/>
      <c r="F133" s="228"/>
      <c r="G133" s="228"/>
      <c r="H133" s="228"/>
      <c r="I133" s="228"/>
      <c r="J133" s="228"/>
      <c r="K133" s="228"/>
      <c r="L133" s="228"/>
      <c r="M133" s="228"/>
      <c r="N133" s="228"/>
      <c r="O133" s="228"/>
      <c r="Q133" s="228"/>
      <c r="R133" s="228"/>
      <c r="S133" s="228"/>
      <c r="T133" s="228"/>
    </row>
    <row r="134" spans="1:20" ht="14.1" customHeight="1">
      <c r="A134" s="199">
        <v>26</v>
      </c>
      <c r="B134" s="227"/>
      <c r="C134" s="226"/>
      <c r="F134" s="228"/>
      <c r="G134" s="228"/>
      <c r="H134" s="228"/>
      <c r="I134" s="228"/>
      <c r="J134" s="228"/>
      <c r="K134" s="228"/>
      <c r="L134" s="228"/>
      <c r="M134" s="228"/>
      <c r="N134" s="228"/>
      <c r="O134" s="228"/>
      <c r="Q134" s="228"/>
      <c r="R134" s="228"/>
      <c r="S134" s="228"/>
      <c r="T134" s="228"/>
    </row>
    <row r="135" spans="1:20" ht="14.1" customHeight="1">
      <c r="A135" s="199">
        <v>27</v>
      </c>
      <c r="B135" s="227"/>
      <c r="C135" s="226"/>
      <c r="F135" s="228"/>
      <c r="G135" s="228"/>
      <c r="H135" s="228"/>
      <c r="I135" s="228"/>
      <c r="J135" s="228"/>
      <c r="K135" s="228"/>
      <c r="L135" s="228"/>
      <c r="M135" s="228"/>
      <c r="N135" s="228"/>
      <c r="O135" s="228"/>
      <c r="Q135" s="228"/>
      <c r="R135" s="228"/>
      <c r="S135" s="228"/>
      <c r="T135" s="228"/>
    </row>
    <row r="136" spans="1:20" ht="14.1" customHeight="1">
      <c r="A136" s="199">
        <v>28</v>
      </c>
      <c r="B136" s="227"/>
      <c r="C136" s="226"/>
      <c r="F136" s="228"/>
      <c r="G136" s="228"/>
      <c r="H136" s="228"/>
      <c r="I136" s="228"/>
      <c r="J136" s="228"/>
      <c r="K136" s="228"/>
      <c r="L136" s="228"/>
      <c r="M136" s="228"/>
      <c r="N136" s="228"/>
      <c r="O136" s="228"/>
      <c r="Q136" s="228"/>
      <c r="R136" s="228"/>
      <c r="S136" s="228"/>
      <c r="T136" s="228"/>
    </row>
    <row r="137" spans="1:20" ht="14.1" customHeight="1">
      <c r="A137" s="199">
        <v>29</v>
      </c>
      <c r="B137" s="227"/>
      <c r="C137" s="226"/>
      <c r="F137" s="228"/>
      <c r="G137" s="228"/>
      <c r="H137" s="228"/>
      <c r="I137" s="228"/>
      <c r="J137" s="228"/>
      <c r="K137" s="228"/>
      <c r="L137" s="228"/>
      <c r="M137" s="228"/>
      <c r="N137" s="228"/>
      <c r="O137" s="228"/>
      <c r="Q137" s="228"/>
      <c r="R137" s="228"/>
      <c r="S137" s="228"/>
      <c r="T137" s="228"/>
    </row>
    <row r="138" spans="1:20" ht="14.1" customHeight="1">
      <c r="A138" s="199">
        <v>30</v>
      </c>
      <c r="B138" s="227"/>
      <c r="C138" s="226"/>
      <c r="F138" s="228"/>
      <c r="G138" s="228"/>
      <c r="H138" s="228"/>
      <c r="I138" s="228"/>
      <c r="J138" s="228"/>
      <c r="K138" s="228"/>
      <c r="L138" s="228"/>
      <c r="M138" s="228"/>
      <c r="N138" s="228"/>
      <c r="O138" s="228"/>
      <c r="Q138" s="228"/>
      <c r="R138" s="228"/>
      <c r="S138" s="228"/>
      <c r="T138" s="228"/>
    </row>
    <row r="139" spans="1:20" ht="14.1" customHeight="1">
      <c r="A139" s="199">
        <v>31</v>
      </c>
      <c r="B139" s="227"/>
      <c r="C139" s="226"/>
      <c r="F139" s="228"/>
      <c r="G139" s="228"/>
      <c r="H139" s="228"/>
      <c r="I139" s="228"/>
      <c r="J139" s="228"/>
      <c r="K139" s="228"/>
      <c r="L139" s="228"/>
      <c r="M139" s="228"/>
      <c r="N139" s="228"/>
      <c r="O139" s="228"/>
      <c r="Q139" s="228"/>
      <c r="R139" s="228"/>
      <c r="S139" s="228"/>
      <c r="T139" s="228"/>
    </row>
    <row r="140" spans="1:20" ht="14.1" customHeight="1">
      <c r="A140" s="199">
        <v>32</v>
      </c>
      <c r="B140" s="227"/>
      <c r="C140" s="226"/>
      <c r="F140" s="228"/>
      <c r="G140" s="228"/>
      <c r="H140" s="228"/>
      <c r="I140" s="228"/>
      <c r="J140" s="228"/>
      <c r="K140" s="228"/>
      <c r="L140" s="228"/>
      <c r="M140" s="228"/>
      <c r="N140" s="228"/>
      <c r="O140" s="228"/>
      <c r="Q140" s="228"/>
      <c r="R140" s="228"/>
      <c r="S140" s="228"/>
      <c r="T140" s="228"/>
    </row>
    <row r="141" spans="1:20" ht="14.1" customHeight="1">
      <c r="A141" s="199">
        <v>33</v>
      </c>
      <c r="B141" s="227"/>
      <c r="C141" s="226"/>
      <c r="F141" s="228"/>
      <c r="G141" s="228"/>
      <c r="H141" s="228"/>
      <c r="I141" s="228"/>
      <c r="J141" s="228"/>
      <c r="K141" s="228"/>
      <c r="L141" s="228"/>
      <c r="M141" s="228"/>
      <c r="N141" s="228"/>
      <c r="O141" s="228"/>
      <c r="Q141" s="228"/>
      <c r="R141" s="228"/>
      <c r="S141" s="228"/>
      <c r="T141" s="228"/>
    </row>
    <row r="142" spans="1:20" ht="14.1" customHeight="1">
      <c r="A142" s="199">
        <v>34</v>
      </c>
      <c r="B142" s="227"/>
      <c r="C142" s="226"/>
      <c r="F142" s="228"/>
      <c r="G142" s="228"/>
      <c r="H142" s="228"/>
      <c r="I142" s="228"/>
      <c r="J142" s="228"/>
      <c r="K142" s="228"/>
      <c r="L142" s="228"/>
      <c r="M142" s="228"/>
      <c r="N142" s="228"/>
      <c r="O142" s="228"/>
      <c r="Q142" s="228"/>
      <c r="R142" s="228"/>
      <c r="S142" s="228"/>
      <c r="T142" s="228"/>
    </row>
    <row r="143" spans="1:20" ht="14.1" customHeight="1">
      <c r="A143" s="199">
        <v>35</v>
      </c>
      <c r="B143" s="227"/>
      <c r="C143" s="226"/>
      <c r="F143" s="228"/>
      <c r="G143" s="228"/>
      <c r="H143" s="228"/>
      <c r="I143" s="228"/>
      <c r="J143" s="228"/>
      <c r="K143" s="228"/>
      <c r="L143" s="228"/>
      <c r="M143" s="228"/>
      <c r="N143" s="228"/>
      <c r="O143" s="228"/>
      <c r="Q143" s="228"/>
      <c r="R143" s="228"/>
      <c r="S143" s="228"/>
      <c r="T143" s="228"/>
    </row>
    <row r="144" spans="1:20" ht="14.1" customHeight="1" thickBot="1">
      <c r="A144" s="200">
        <v>36</v>
      </c>
      <c r="B144" s="200"/>
      <c r="C144" s="200"/>
      <c r="D144" s="200"/>
      <c r="E144" s="200"/>
      <c r="F144" s="200"/>
      <c r="G144" s="200"/>
      <c r="H144" s="200"/>
      <c r="I144" s="200"/>
      <c r="J144" s="200"/>
      <c r="K144" s="200"/>
      <c r="L144" s="200"/>
      <c r="M144" s="200"/>
      <c r="N144" s="200"/>
      <c r="O144" s="200"/>
      <c r="P144" s="200"/>
      <c r="Q144" s="200"/>
      <c r="R144" s="200"/>
      <c r="S144" s="200"/>
      <c r="T144" s="200"/>
    </row>
    <row r="145" spans="1:20" ht="14.1" customHeight="1"/>
    <row r="146" spans="1:20" ht="14.1" customHeight="1" thickBot="1">
      <c r="A146" s="200"/>
      <c r="B146" s="200"/>
      <c r="C146" s="200"/>
      <c r="D146" s="200"/>
      <c r="E146" s="200"/>
      <c r="F146" s="200"/>
      <c r="G146" s="200"/>
      <c r="H146" s="200"/>
      <c r="I146" s="200" t="s">
        <v>45</v>
      </c>
      <c r="J146" s="200"/>
      <c r="K146" s="200"/>
      <c r="L146" s="200"/>
      <c r="M146" s="200"/>
      <c r="N146" s="200"/>
      <c r="O146" s="200"/>
      <c r="P146" s="200"/>
      <c r="Q146" s="200"/>
      <c r="R146" s="200"/>
      <c r="S146" s="200"/>
      <c r="T146" s="201"/>
    </row>
    <row r="147" spans="1:20" ht="14.1" customHeight="1">
      <c r="F147" s="202"/>
      <c r="L147" s="203"/>
      <c r="M147" s="203"/>
      <c r="O147" s="203"/>
      <c r="P147" s="203"/>
      <c r="Q147" s="203"/>
      <c r="T147" s="204"/>
    </row>
    <row r="148" spans="1:20" ht="14.1" customHeight="1">
      <c r="L148" s="202"/>
      <c r="M148" s="204"/>
      <c r="P148" s="202"/>
      <c r="Q148" s="32"/>
      <c r="R148" s="31"/>
      <c r="T148" s="202"/>
    </row>
    <row r="149" spans="1:20" ht="14.1" customHeight="1">
      <c r="L149" s="202"/>
      <c r="M149" s="204"/>
      <c r="N149" s="202"/>
      <c r="Q149" s="32"/>
      <c r="R149" s="31"/>
      <c r="T149" s="202"/>
    </row>
    <row r="150" spans="1:20" ht="14.1" customHeight="1">
      <c r="L150" s="202"/>
      <c r="M150" s="204"/>
      <c r="N150" s="202"/>
      <c r="Q150" s="32"/>
      <c r="R150" s="31"/>
      <c r="T150" s="202"/>
    </row>
    <row r="151" spans="1:20" ht="14.1" customHeight="1" thickBot="1">
      <c r="A151" s="200"/>
      <c r="B151" s="200"/>
      <c r="C151" s="200"/>
      <c r="D151" s="200"/>
      <c r="E151" s="200"/>
      <c r="F151" s="200"/>
      <c r="G151" s="200"/>
      <c r="H151" s="200"/>
      <c r="I151" s="205"/>
      <c r="J151" s="200"/>
      <c r="K151" s="200"/>
      <c r="L151" s="200"/>
      <c r="M151" s="200"/>
      <c r="N151" s="200"/>
      <c r="O151" s="200"/>
      <c r="P151" s="200"/>
      <c r="Q151" s="200"/>
      <c r="R151" s="200"/>
      <c r="S151" s="200"/>
      <c r="T151" s="200"/>
    </row>
    <row r="152" spans="1:20" ht="14.1" customHeight="1">
      <c r="A152" s="199" t="str">
        <f>IF(+A$8="","",A$8)</f>
        <v/>
      </c>
      <c r="B152" s="206" t="str">
        <f t="shared" ref="B152:T152" si="10">IF(+B$8="","",B$8)</f>
        <v/>
      </c>
      <c r="C152" s="206" t="str">
        <f t="shared" si="10"/>
        <v>(1)</v>
      </c>
      <c r="D152" s="206" t="str">
        <f t="shared" si="10"/>
        <v/>
      </c>
      <c r="E152" s="206" t="str">
        <f t="shared" si="10"/>
        <v/>
      </c>
      <c r="F152" s="206" t="str">
        <f t="shared" si="10"/>
        <v>(2)</v>
      </c>
      <c r="G152" s="206" t="str">
        <f t="shared" si="10"/>
        <v/>
      </c>
      <c r="H152" s="206" t="str">
        <f>IF(+H$8="","",H$8)</f>
        <v/>
      </c>
      <c r="I152" s="206" t="str">
        <f>IF(+I$8="","",I$8)</f>
        <v>(3)</v>
      </c>
      <c r="J152" s="206" t="str">
        <f>IF(+J$8="","",J$8)</f>
        <v/>
      </c>
      <c r="K152" s="206"/>
      <c r="L152" s="206" t="str">
        <f t="shared" si="10"/>
        <v>(4)</v>
      </c>
      <c r="M152" s="206" t="str">
        <f t="shared" si="10"/>
        <v/>
      </c>
      <c r="N152" s="206" t="str">
        <f t="shared" si="10"/>
        <v>(5)</v>
      </c>
      <c r="O152" s="206" t="str">
        <f t="shared" si="10"/>
        <v/>
      </c>
      <c r="Q152" s="206" t="str">
        <f>IF(+Q$8="","",Q$8)</f>
        <v>(6)</v>
      </c>
      <c r="R152" s="206" t="str">
        <f t="shared" si="10"/>
        <v/>
      </c>
      <c r="S152" s="206" t="str">
        <f t="shared" si="10"/>
        <v/>
      </c>
      <c r="T152" s="206" t="str">
        <f t="shared" si="10"/>
        <v/>
      </c>
    </row>
    <row r="153" spans="1:20" ht="14.1" customHeight="1">
      <c r="A153" s="199" t="str">
        <f>IF(+A$9="","",A$9)</f>
        <v/>
      </c>
      <c r="B153" s="206" t="str">
        <f t="shared" ref="B153:T153" si="11">IF(+B$9="","",B$9)</f>
        <v/>
      </c>
      <c r="C153" s="206" t="str">
        <f t="shared" si="11"/>
        <v/>
      </c>
      <c r="D153" s="206" t="str">
        <f t="shared" si="11"/>
        <v/>
      </c>
      <c r="E153" s="206" t="str">
        <f t="shared" si="11"/>
        <v/>
      </c>
      <c r="F153" s="206" t="str">
        <f t="shared" si="11"/>
        <v/>
      </c>
      <c r="G153" s="206" t="str">
        <f t="shared" si="11"/>
        <v/>
      </c>
      <c r="H153" s="206" t="str">
        <f>IF(+H$9="","",H$9)</f>
        <v/>
      </c>
      <c r="I153" s="206" t="str">
        <f>IF(+I$9="","",I$9)</f>
        <v/>
      </c>
      <c r="J153" s="206" t="str">
        <f>IF(+J$9="","",J$9)</f>
        <v/>
      </c>
      <c r="K153" s="206"/>
      <c r="L153" s="206" t="str">
        <f t="shared" si="11"/>
        <v/>
      </c>
      <c r="M153" s="206" t="str">
        <f t="shared" si="11"/>
        <v/>
      </c>
      <c r="N153" s="206" t="str">
        <f t="shared" si="11"/>
        <v/>
      </c>
      <c r="O153" s="206" t="str">
        <f t="shared" si="11"/>
        <v/>
      </c>
      <c r="Q153" s="206" t="str">
        <f>IF(+Q$9="","",Q$9)</f>
        <v/>
      </c>
      <c r="R153" s="206" t="str">
        <f t="shared" si="11"/>
        <v/>
      </c>
      <c r="S153" s="206" t="str">
        <f t="shared" si="11"/>
        <v/>
      </c>
      <c r="T153" s="206" t="str">
        <f t="shared" si="11"/>
        <v/>
      </c>
    </row>
    <row r="154" spans="1:20" ht="14.1" customHeight="1">
      <c r="A154" s="199" t="str">
        <f>IF(+A$10="","",A$10)</f>
        <v/>
      </c>
      <c r="B154" s="206" t="str">
        <f t="shared" ref="B154:T154" si="12">IF(+B$10="","",B$10)</f>
        <v/>
      </c>
      <c r="C154" s="206" t="str">
        <f t="shared" si="12"/>
        <v xml:space="preserve">Current </v>
      </c>
      <c r="D154" s="206" t="str">
        <f t="shared" si="12"/>
        <v/>
      </c>
      <c r="E154" s="206" t="str">
        <f t="shared" si="12"/>
        <v/>
      </c>
      <c r="F154" s="206" t="str">
        <f t="shared" si="12"/>
        <v/>
      </c>
      <c r="G154" s="206" t="str">
        <f t="shared" si="12"/>
        <v/>
      </c>
      <c r="H154" s="206" t="str">
        <f>IF(+H$10="","",H$10)</f>
        <v/>
      </c>
      <c r="I154" s="206" t="str">
        <f>IF(+I$10="","",I$10)</f>
        <v/>
      </c>
      <c r="J154" s="206" t="str">
        <f>IF(+J$10="","",J$10)</f>
        <v/>
      </c>
      <c r="K154" s="206"/>
      <c r="L154" s="206" t="str">
        <f t="shared" si="12"/>
        <v>Proposed</v>
      </c>
      <c r="M154" s="206" t="str">
        <f t="shared" si="12"/>
        <v/>
      </c>
      <c r="N154" s="206" t="str">
        <f t="shared" si="12"/>
        <v/>
      </c>
      <c r="O154" s="206" t="str">
        <f t="shared" si="12"/>
        <v/>
      </c>
      <c r="Q154" s="206" t="str">
        <f>IF(+Q$10="","",Q$10)</f>
        <v>Percent</v>
      </c>
      <c r="R154" s="206" t="str">
        <f t="shared" si="12"/>
        <v/>
      </c>
      <c r="S154" s="206" t="str">
        <f t="shared" si="12"/>
        <v/>
      </c>
      <c r="T154" s="206" t="str">
        <f t="shared" si="12"/>
        <v/>
      </c>
    </row>
    <row r="155" spans="1:20" ht="14.1" customHeight="1">
      <c r="A155" s="199" t="str">
        <f>IF(+A$11="","",A$11)</f>
        <v>Line</v>
      </c>
      <c r="B155" s="206" t="str">
        <f t="shared" ref="B155:T155" si="13">IF(+B$11="","",B$11)</f>
        <v/>
      </c>
      <c r="C155" s="206" t="str">
        <f t="shared" si="13"/>
        <v>Rate</v>
      </c>
      <c r="D155" s="206" t="str">
        <f t="shared" si="13"/>
        <v/>
      </c>
      <c r="E155" s="206" t="str">
        <f t="shared" si="13"/>
        <v/>
      </c>
      <c r="F155" s="206" t="str">
        <f t="shared" si="13"/>
        <v/>
      </c>
      <c r="G155" s="206" t="str">
        <f t="shared" si="13"/>
        <v/>
      </c>
      <c r="H155" s="206" t="str">
        <f>IF(+H$11="","",H$11)</f>
        <v/>
      </c>
      <c r="I155" s="207" t="s">
        <v>57</v>
      </c>
      <c r="J155" s="207"/>
      <c r="K155" s="207"/>
      <c r="L155" s="207" t="s">
        <v>56</v>
      </c>
      <c r="M155" s="207"/>
      <c r="N155" s="207" t="s">
        <v>58</v>
      </c>
      <c r="O155" s="206" t="str">
        <f t="shared" si="13"/>
        <v/>
      </c>
      <c r="Q155" s="206" t="str">
        <f>IF(+Q$11="","",Q$11)</f>
        <v>Increase</v>
      </c>
      <c r="R155" s="206" t="str">
        <f t="shared" si="13"/>
        <v/>
      </c>
      <c r="S155" s="206" t="str">
        <f t="shared" si="13"/>
        <v/>
      </c>
      <c r="T155" s="206" t="str">
        <f t="shared" si="13"/>
        <v/>
      </c>
    </row>
    <row r="156" spans="1:20" ht="14.1" customHeight="1" thickBot="1">
      <c r="A156" s="200" t="str">
        <f>IF(+A$12="","",A$12)</f>
        <v>No.</v>
      </c>
      <c r="B156" s="205" t="str">
        <f t="shared" ref="B156:T156" si="14">IF(+B$12="","",B$12)</f>
        <v/>
      </c>
      <c r="C156" s="205" t="str">
        <f t="shared" si="14"/>
        <v>Schedule</v>
      </c>
      <c r="D156" s="205" t="str">
        <f t="shared" si="14"/>
        <v/>
      </c>
      <c r="E156" s="205"/>
      <c r="F156" s="205" t="str">
        <f t="shared" si="14"/>
        <v>Type of Charge</v>
      </c>
      <c r="G156" s="205"/>
      <c r="H156" s="205" t="str">
        <f>IF(+H$12="","",H$12)</f>
        <v/>
      </c>
      <c r="I156" s="205" t="str">
        <f>IF(+I$12="","",I$12)</f>
        <v>Rate</v>
      </c>
      <c r="J156" s="205" t="str">
        <f>IF(+J$12="","",J$12)</f>
        <v/>
      </c>
      <c r="K156" s="205"/>
      <c r="L156" s="205" t="str">
        <f t="shared" si="14"/>
        <v>Schedule</v>
      </c>
      <c r="M156" s="205" t="str">
        <f t="shared" si="14"/>
        <v/>
      </c>
      <c r="N156" s="205" t="str">
        <f t="shared" si="14"/>
        <v>Rate</v>
      </c>
      <c r="O156" s="205" t="str">
        <f t="shared" si="14"/>
        <v/>
      </c>
      <c r="P156" s="200"/>
      <c r="Q156" s="205" t="str">
        <f>IF(+Q$12="","",Q$12)</f>
        <v>((5)-(3))/(3)</v>
      </c>
      <c r="R156" s="205" t="str">
        <f t="shared" si="14"/>
        <v/>
      </c>
      <c r="S156" s="205" t="str">
        <f t="shared" si="14"/>
        <v/>
      </c>
      <c r="T156" s="205" t="str">
        <f t="shared" si="14"/>
        <v/>
      </c>
    </row>
    <row r="157" spans="1:20" ht="14.1" customHeight="1">
      <c r="A157" s="199">
        <v>1</v>
      </c>
      <c r="B157" s="225"/>
      <c r="C157" s="233" t="s">
        <v>84</v>
      </c>
      <c r="D157" s="226"/>
      <c r="G157" s="164"/>
      <c r="H157" s="226"/>
      <c r="J157" s="226"/>
      <c r="K157" s="226"/>
      <c r="L157" s="233" t="s">
        <v>84</v>
      </c>
      <c r="M157" s="226"/>
      <c r="N157" s="226"/>
      <c r="O157" s="226"/>
      <c r="Q157" s="226"/>
      <c r="R157" s="226"/>
      <c r="S157" s="226"/>
      <c r="T157" s="226"/>
    </row>
    <row r="158" spans="1:20" ht="14.1" customHeight="1">
      <c r="A158" s="199">
        <v>2</v>
      </c>
      <c r="B158" s="225"/>
      <c r="C158" s="233"/>
      <c r="D158" s="226"/>
      <c r="E158" s="211" t="s">
        <v>65</v>
      </c>
      <c r="G158" s="164"/>
      <c r="H158" s="226"/>
      <c r="J158" s="226"/>
      <c r="K158" s="226"/>
      <c r="L158" s="233"/>
      <c r="M158" s="226"/>
      <c r="N158" s="226"/>
      <c r="O158" s="226"/>
      <c r="Q158" s="226"/>
      <c r="R158" s="226"/>
      <c r="S158" s="226"/>
      <c r="T158" s="226"/>
    </row>
    <row r="159" spans="1:20" ht="14.1" customHeight="1">
      <c r="A159" s="199">
        <v>3</v>
      </c>
      <c r="B159" s="227"/>
      <c r="F159" s="234" t="s">
        <v>85</v>
      </c>
      <c r="G159" s="164"/>
      <c r="H159" s="226"/>
      <c r="I159" s="215">
        <v>1.72</v>
      </c>
      <c r="J159" s="226" t="s">
        <v>67</v>
      </c>
      <c r="K159" s="226"/>
      <c r="L159" s="233"/>
      <c r="M159" s="226"/>
      <c r="N159" s="215">
        <f>+ROUND('Scenario GSD Rates'!R18,2)</f>
        <v>1.72</v>
      </c>
      <c r="O159" s="209" t="s">
        <v>67</v>
      </c>
      <c r="Q159" s="216">
        <f t="shared" ref="Q159:Q167" si="15">IF(I159=0,0,+(N159-I159)/I159)</f>
        <v>0</v>
      </c>
      <c r="R159" s="226"/>
      <c r="S159" s="226"/>
      <c r="T159" s="226"/>
    </row>
    <row r="160" spans="1:20" ht="14.1" customHeight="1">
      <c r="A160" s="199">
        <v>4</v>
      </c>
      <c r="B160" s="227"/>
      <c r="F160" s="234" t="s">
        <v>86</v>
      </c>
      <c r="I160" s="215">
        <v>9.36</v>
      </c>
      <c r="J160" s="226" t="s">
        <v>67</v>
      </c>
      <c r="K160" s="226"/>
      <c r="N160" s="215">
        <f>+ROUND('Scenario GSD Rates'!R19,2)</f>
        <v>9.36</v>
      </c>
      <c r="O160" s="209" t="s">
        <v>67</v>
      </c>
      <c r="Q160" s="216">
        <f t="shared" si="15"/>
        <v>0</v>
      </c>
      <c r="R160" s="226"/>
      <c r="S160" s="226"/>
      <c r="T160" s="226"/>
    </row>
    <row r="161" spans="1:20" ht="14.1" customHeight="1">
      <c r="A161" s="199">
        <v>5</v>
      </c>
      <c r="B161" s="227"/>
      <c r="F161" s="234" t="s">
        <v>87</v>
      </c>
      <c r="I161" s="215">
        <v>25.76</v>
      </c>
      <c r="J161" s="226" t="s">
        <v>67</v>
      </c>
      <c r="K161" s="226"/>
      <c r="N161" s="215">
        <f>+ROUND('Scenario GSD Rates'!R20,2)</f>
        <v>25.76</v>
      </c>
      <c r="O161" s="209" t="s">
        <v>67</v>
      </c>
      <c r="Q161" s="216">
        <f t="shared" si="15"/>
        <v>0</v>
      </c>
      <c r="R161" s="228"/>
      <c r="S161" s="228"/>
      <c r="T161" s="228"/>
    </row>
    <row r="162" spans="1:20" ht="14.1" customHeight="1">
      <c r="A162" s="199">
        <v>6</v>
      </c>
      <c r="B162" s="227"/>
      <c r="C162" s="164"/>
      <c r="F162" s="199" t="s">
        <v>88</v>
      </c>
      <c r="H162" s="228"/>
      <c r="I162" s="215">
        <v>1.72</v>
      </c>
      <c r="J162" s="226" t="s">
        <v>67</v>
      </c>
      <c r="K162" s="226"/>
      <c r="L162" s="228"/>
      <c r="M162" s="235"/>
      <c r="N162" s="215">
        <f>+ROUND('Scenario GSD Rates'!R126,2)</f>
        <v>1.72</v>
      </c>
      <c r="O162" s="209" t="s">
        <v>67</v>
      </c>
      <c r="Q162" s="216">
        <f t="shared" si="15"/>
        <v>0</v>
      </c>
      <c r="R162" s="228"/>
      <c r="S162" s="228"/>
      <c r="T162" s="228"/>
    </row>
    <row r="163" spans="1:20" ht="14.1" customHeight="1">
      <c r="A163" s="199">
        <v>7</v>
      </c>
      <c r="B163" s="227"/>
      <c r="C163" s="164"/>
      <c r="F163" s="199" t="s">
        <v>89</v>
      </c>
      <c r="I163" s="215">
        <v>9.36</v>
      </c>
      <c r="J163" s="226" t="s">
        <v>67</v>
      </c>
      <c r="K163" s="226"/>
      <c r="N163" s="215">
        <f>+ROUND('Scenario GSD Rates'!R127,2)</f>
        <v>9.36</v>
      </c>
      <c r="O163" s="209" t="s">
        <v>67</v>
      </c>
      <c r="Q163" s="216">
        <f t="shared" si="15"/>
        <v>0</v>
      </c>
      <c r="R163" s="228"/>
      <c r="S163" s="228"/>
      <c r="T163" s="228"/>
    </row>
    <row r="164" spans="1:20" ht="14.1" customHeight="1">
      <c r="A164" s="199">
        <v>8</v>
      </c>
      <c r="B164" s="227"/>
      <c r="C164" s="164"/>
      <c r="F164" s="199" t="s">
        <v>90</v>
      </c>
      <c r="I164" s="215">
        <v>25.76</v>
      </c>
      <c r="J164" s="226" t="s">
        <v>67</v>
      </c>
      <c r="K164" s="226"/>
      <c r="N164" s="215">
        <f>+ROUND('Scenario GSD Rates'!R128,2)</f>
        <v>25.76</v>
      </c>
      <c r="O164" s="209" t="s">
        <v>67</v>
      </c>
      <c r="Q164" s="216">
        <f t="shared" si="15"/>
        <v>0</v>
      </c>
      <c r="R164" s="228"/>
      <c r="S164" s="228"/>
      <c r="T164" s="228"/>
    </row>
    <row r="165" spans="1:20" ht="14.1" customHeight="1">
      <c r="A165" s="199">
        <v>9</v>
      </c>
      <c r="B165" s="227"/>
      <c r="C165" s="164"/>
      <c r="F165" s="199" t="s">
        <v>91</v>
      </c>
      <c r="H165" s="226"/>
      <c r="I165" s="215">
        <v>1.72</v>
      </c>
      <c r="J165" s="226" t="s">
        <v>67</v>
      </c>
      <c r="K165" s="226"/>
      <c r="L165" s="226"/>
      <c r="M165" s="164"/>
      <c r="N165" s="215">
        <f>+ROUND('Scenario GSD Rates'!R21,2)</f>
        <v>1.72</v>
      </c>
      <c r="O165" s="209" t="s">
        <v>67</v>
      </c>
      <c r="Q165" s="216">
        <f t="shared" si="15"/>
        <v>0</v>
      </c>
      <c r="R165" s="228"/>
      <c r="S165" s="228"/>
      <c r="T165" s="228"/>
    </row>
    <row r="166" spans="1:20" ht="14.1" customHeight="1">
      <c r="A166" s="199">
        <v>10</v>
      </c>
      <c r="B166" s="227"/>
      <c r="C166" s="164"/>
      <c r="F166" s="199" t="s">
        <v>92</v>
      </c>
      <c r="I166" s="215">
        <v>9.36</v>
      </c>
      <c r="J166" s="226" t="s">
        <v>67</v>
      </c>
      <c r="K166" s="226"/>
      <c r="N166" s="215">
        <f>+ROUND('Scenario GSD Rates'!R22,2)</f>
        <v>9.36</v>
      </c>
      <c r="O166" s="209" t="s">
        <v>67</v>
      </c>
      <c r="Q166" s="216">
        <f t="shared" si="15"/>
        <v>0</v>
      </c>
      <c r="R166" s="228"/>
      <c r="S166" s="228"/>
      <c r="T166" s="228"/>
    </row>
    <row r="167" spans="1:20" ht="14.1" customHeight="1">
      <c r="A167" s="199">
        <v>11</v>
      </c>
      <c r="B167" s="227"/>
      <c r="C167" s="226"/>
      <c r="F167" s="199" t="s">
        <v>93</v>
      </c>
      <c r="I167" s="215">
        <v>25.76</v>
      </c>
      <c r="J167" s="226" t="s">
        <v>67</v>
      </c>
      <c r="K167" s="226"/>
      <c r="N167" s="215">
        <f>+ROUND('Scenario GSD Rates'!R23,2)</f>
        <v>25.76</v>
      </c>
      <c r="O167" s="209" t="s">
        <v>67</v>
      </c>
      <c r="Q167" s="216">
        <f t="shared" si="15"/>
        <v>0</v>
      </c>
      <c r="R167" s="228"/>
      <c r="S167" s="228"/>
      <c r="T167" s="228"/>
    </row>
    <row r="168" spans="1:20" ht="14.1" customHeight="1">
      <c r="A168" s="199">
        <v>12</v>
      </c>
      <c r="B168" s="227"/>
      <c r="C168" s="226"/>
      <c r="E168" s="232" t="s">
        <v>94</v>
      </c>
      <c r="G168" s="164"/>
      <c r="H168" s="228"/>
      <c r="I168" s="215"/>
      <c r="J168" s="235"/>
      <c r="K168" s="235"/>
      <c r="L168" s="228"/>
      <c r="M168" s="235"/>
      <c r="N168" s="215"/>
      <c r="O168" s="235"/>
      <c r="Q168" s="231"/>
      <c r="R168" s="228"/>
      <c r="S168" s="228"/>
      <c r="T168" s="228"/>
    </row>
    <row r="169" spans="1:20" ht="14.1" customHeight="1">
      <c r="A169" s="199">
        <v>13</v>
      </c>
      <c r="B169" s="227"/>
      <c r="C169" s="226"/>
      <c r="F169" s="234" t="s">
        <v>66</v>
      </c>
      <c r="H169" s="228"/>
      <c r="I169" s="223">
        <v>7.7299999999999999E-3</v>
      </c>
      <c r="J169" s="217" t="s">
        <v>71</v>
      </c>
      <c r="K169" s="228"/>
      <c r="L169" s="228"/>
      <c r="M169" s="228"/>
      <c r="N169" s="223">
        <f>+ROUND('Scenario GSD Rates'!R27,5)</f>
        <v>7.7299999999999999E-3</v>
      </c>
      <c r="O169" s="217" t="s">
        <v>71</v>
      </c>
      <c r="Q169" s="216">
        <f>IF(I169=0,0,+(N169-I169)/I169)</f>
        <v>0</v>
      </c>
      <c r="R169" s="228"/>
      <c r="S169" s="228"/>
      <c r="T169" s="228"/>
    </row>
    <row r="170" spans="1:20" ht="14.1" customHeight="1">
      <c r="A170" s="199">
        <v>14</v>
      </c>
      <c r="B170" s="227"/>
      <c r="C170" s="226"/>
      <c r="F170" s="199" t="s">
        <v>95</v>
      </c>
      <c r="H170" s="228"/>
      <c r="I170" s="223">
        <v>8.4029999999999994E-2</v>
      </c>
      <c r="J170" s="217" t="s">
        <v>71</v>
      </c>
      <c r="K170" s="228"/>
      <c r="L170" s="228"/>
      <c r="M170" s="228"/>
      <c r="N170" s="223">
        <f>+ROUND('Scenario GSD Rates'!R132,5)</f>
        <v>8.4000000000000005E-2</v>
      </c>
      <c r="O170" s="217" t="s">
        <v>71</v>
      </c>
      <c r="Q170" s="216">
        <f>IF(I170=0,0,+(N170-I170)/I170)</f>
        <v>-3.57015351659983E-4</v>
      </c>
    </row>
    <row r="171" spans="1:20" ht="14.1" customHeight="1">
      <c r="A171" s="199">
        <v>15</v>
      </c>
      <c r="B171" s="227"/>
      <c r="C171" s="226"/>
      <c r="F171" s="199" t="s">
        <v>96</v>
      </c>
      <c r="G171" s="164"/>
      <c r="H171" s="228"/>
      <c r="I171" s="223">
        <v>1.243E-2</v>
      </c>
      <c r="J171" s="217" t="s">
        <v>71</v>
      </c>
      <c r="K171" s="228"/>
      <c r="L171" s="228"/>
      <c r="M171" s="228"/>
      <c r="N171" s="223">
        <f>+ROUND('Scenario GSD Rates'!R30,5)</f>
        <v>1.243E-2</v>
      </c>
      <c r="O171" s="217" t="s">
        <v>71</v>
      </c>
      <c r="Q171" s="216">
        <f>IF(I171=0,0,+(N171-I171)/I171)</f>
        <v>0</v>
      </c>
    </row>
    <row r="172" spans="1:20" ht="14.1" customHeight="1">
      <c r="A172" s="199">
        <v>16</v>
      </c>
      <c r="B172" s="227"/>
      <c r="C172" s="226"/>
      <c r="F172" s="199" t="s">
        <v>97</v>
      </c>
      <c r="H172" s="228"/>
      <c r="I172" s="223">
        <v>8.1700000000000002E-3</v>
      </c>
      <c r="J172" s="217" t="s">
        <v>71</v>
      </c>
      <c r="K172" s="228"/>
      <c r="L172" s="228"/>
      <c r="M172" s="228"/>
      <c r="N172" s="223">
        <f>+ROUND('Scenario GSD Rates'!R33,5)</f>
        <v>8.1700000000000002E-3</v>
      </c>
      <c r="O172" s="217" t="s">
        <v>71</v>
      </c>
      <c r="Q172" s="216">
        <f>IF(I172=0,0,+(N172-I172)/I172)</f>
        <v>0</v>
      </c>
      <c r="R172" s="228"/>
      <c r="S172" s="228"/>
      <c r="T172" s="228"/>
    </row>
    <row r="173" spans="1:20" ht="14.1" customHeight="1">
      <c r="A173" s="199">
        <v>17</v>
      </c>
      <c r="F173" s="199" t="s">
        <v>98</v>
      </c>
      <c r="I173" s="223">
        <v>4.6100000000000004E-3</v>
      </c>
      <c r="J173" s="217" t="s">
        <v>71</v>
      </c>
      <c r="N173" s="223">
        <f>+ROUND('Scenario GSD Rates'!R36,5)</f>
        <v>4.6100000000000004E-3</v>
      </c>
      <c r="O173" s="217" t="s">
        <v>71</v>
      </c>
      <c r="Q173" s="216">
        <f>IF(I173=0,0,+(N173-I173)/I173)</f>
        <v>0</v>
      </c>
      <c r="R173" s="228"/>
      <c r="S173" s="228"/>
      <c r="T173" s="228"/>
    </row>
    <row r="174" spans="1:20" ht="14.1" customHeight="1">
      <c r="A174" s="199">
        <v>18</v>
      </c>
      <c r="B174" s="227"/>
      <c r="C174" s="226"/>
      <c r="H174" s="228"/>
      <c r="I174" s="215"/>
      <c r="J174" s="228"/>
      <c r="K174" s="228"/>
      <c r="L174" s="228"/>
      <c r="M174" s="228"/>
      <c r="N174" s="215"/>
      <c r="O174" s="228"/>
      <c r="Q174" s="231"/>
      <c r="R174" s="228"/>
      <c r="S174" s="228"/>
      <c r="T174" s="228"/>
    </row>
    <row r="175" spans="1:20" ht="14.1" customHeight="1">
      <c r="A175" s="199">
        <v>19</v>
      </c>
      <c r="B175" s="227"/>
      <c r="C175" s="226"/>
      <c r="E175" s="204" t="s">
        <v>99</v>
      </c>
      <c r="G175" s="226"/>
      <c r="H175" s="228"/>
      <c r="I175" s="215"/>
      <c r="J175" s="228"/>
      <c r="K175" s="228"/>
      <c r="L175" s="228"/>
      <c r="M175" s="228"/>
      <c r="N175" s="215"/>
      <c r="O175" s="228"/>
      <c r="Q175" s="231"/>
      <c r="R175" s="228"/>
      <c r="S175" s="228"/>
      <c r="T175" s="228"/>
    </row>
    <row r="176" spans="1:20" ht="14.1" customHeight="1">
      <c r="A176" s="199">
        <v>20</v>
      </c>
      <c r="B176" s="227"/>
      <c r="C176" s="226"/>
      <c r="F176" s="234" t="s">
        <v>100</v>
      </c>
      <c r="G176" s="226"/>
      <c r="H176" s="228"/>
      <c r="I176" s="215">
        <v>19.62</v>
      </c>
      <c r="J176" s="228" t="s">
        <v>101</v>
      </c>
      <c r="K176" s="228"/>
      <c r="L176" s="228"/>
      <c r="M176" s="228"/>
      <c r="N176" s="215">
        <f>+ROUND('Scenario GSD Rates'!R43,2)</f>
        <v>19.61</v>
      </c>
      <c r="O176" s="228" t="s">
        <v>101</v>
      </c>
      <c r="Q176" s="216">
        <f>IF(I176=0,0,+(N176-I176)/I176)</f>
        <v>-5.0968399592260765E-4</v>
      </c>
    </row>
    <row r="177" spans="1:20" ht="14.1" customHeight="1">
      <c r="A177" s="199">
        <v>21</v>
      </c>
      <c r="B177" s="227"/>
      <c r="C177" s="226"/>
      <c r="F177" s="199" t="s">
        <v>102</v>
      </c>
      <c r="H177" s="228"/>
      <c r="I177" s="215">
        <v>0</v>
      </c>
      <c r="J177" s="228" t="s">
        <v>101</v>
      </c>
      <c r="K177" s="228"/>
      <c r="L177" s="228"/>
      <c r="M177" s="228"/>
      <c r="N177" s="215">
        <f>+ROUND('Scenario GSD Rates'!R138,2)</f>
        <v>0</v>
      </c>
      <c r="O177" s="228" t="s">
        <v>101</v>
      </c>
      <c r="Q177" s="236">
        <f>IF(I177=0,0,+(N177-I177)/I177)</f>
        <v>0</v>
      </c>
      <c r="R177" s="228"/>
      <c r="S177" s="228"/>
      <c r="T177" s="228"/>
    </row>
    <row r="178" spans="1:20" ht="14.1" customHeight="1">
      <c r="A178" s="199">
        <v>22</v>
      </c>
      <c r="B178" s="227"/>
      <c r="C178" s="226"/>
      <c r="F178" s="199" t="s">
        <v>103</v>
      </c>
      <c r="H178" s="228"/>
      <c r="I178" s="215">
        <v>5.04</v>
      </c>
      <c r="J178" s="228" t="s">
        <v>101</v>
      </c>
      <c r="K178" s="228"/>
      <c r="L178" s="228"/>
      <c r="M178" s="228"/>
      <c r="N178" s="215">
        <f>+ROUND('Scenario GSD Rates'!R46,2)</f>
        <v>5.04</v>
      </c>
      <c r="O178" s="228" t="s">
        <v>101</v>
      </c>
      <c r="Q178" s="216">
        <f>IF(I178=0,0,+(N178-I178)/I178)</f>
        <v>0</v>
      </c>
      <c r="R178" s="228"/>
      <c r="S178" s="228"/>
      <c r="T178" s="228"/>
    </row>
    <row r="179" spans="1:20" ht="14.1" customHeight="1">
      <c r="A179" s="199">
        <v>23</v>
      </c>
      <c r="B179" s="227"/>
      <c r="C179" s="226"/>
      <c r="F179" s="199" t="s">
        <v>104</v>
      </c>
      <c r="G179" s="226"/>
      <c r="H179" s="228"/>
      <c r="I179" s="215">
        <v>14.58</v>
      </c>
      <c r="J179" s="228" t="s">
        <v>101</v>
      </c>
      <c r="K179" s="228"/>
      <c r="L179" s="228"/>
      <c r="M179" s="228"/>
      <c r="N179" s="215">
        <f>+ROUND('Scenario GSD Rates'!R49,2)</f>
        <v>14.58</v>
      </c>
      <c r="O179" s="228" t="s">
        <v>101</v>
      </c>
      <c r="Q179" s="216">
        <f>IF(I179=0,0,+(N179-I179)/I179)</f>
        <v>0</v>
      </c>
      <c r="R179" s="228"/>
      <c r="S179" s="228"/>
      <c r="T179" s="228"/>
    </row>
    <row r="180" spans="1:20" ht="14.1" customHeight="1">
      <c r="A180" s="199">
        <v>24</v>
      </c>
      <c r="B180" s="227"/>
      <c r="C180" s="226"/>
      <c r="F180" s="164"/>
      <c r="H180" s="228"/>
      <c r="I180" s="215"/>
      <c r="J180" s="228"/>
      <c r="K180" s="228"/>
      <c r="L180" s="228"/>
      <c r="M180" s="228"/>
      <c r="N180" s="215"/>
      <c r="O180" s="228"/>
      <c r="Q180" s="231"/>
      <c r="R180" s="228"/>
      <c r="S180" s="228"/>
      <c r="T180" s="228"/>
    </row>
    <row r="181" spans="1:20" ht="14.1" customHeight="1">
      <c r="A181" s="199">
        <v>25</v>
      </c>
      <c r="B181" s="227"/>
      <c r="C181" s="226"/>
      <c r="E181" s="232" t="s">
        <v>105</v>
      </c>
      <c r="G181" s="164"/>
      <c r="H181" s="228"/>
      <c r="I181" s="215"/>
      <c r="J181" s="228"/>
      <c r="K181" s="228"/>
      <c r="L181" s="228"/>
      <c r="M181" s="228"/>
      <c r="N181" s="215"/>
      <c r="O181" s="228"/>
      <c r="Q181" s="231"/>
      <c r="R181" s="228"/>
      <c r="S181" s="228"/>
      <c r="T181" s="228"/>
    </row>
    <row r="182" spans="1:20" ht="14.1" customHeight="1">
      <c r="A182" s="199">
        <v>26</v>
      </c>
      <c r="B182" s="227"/>
      <c r="C182" s="226"/>
      <c r="F182" s="164" t="s">
        <v>86</v>
      </c>
      <c r="H182" s="228"/>
      <c r="I182" s="215">
        <v>-0.54</v>
      </c>
      <c r="J182" s="228" t="s">
        <v>101</v>
      </c>
      <c r="K182" s="228"/>
      <c r="L182" s="228"/>
      <c r="M182" s="228"/>
      <c r="N182" s="215">
        <f>+ROUND('Scenario GSD Rates'!R74,2)</f>
        <v>-0.54</v>
      </c>
      <c r="O182" s="228" t="s">
        <v>101</v>
      </c>
      <c r="Q182" s="216">
        <f t="shared" ref="Q182:Q187" si="16">IF(I182=0,0,+(N182-I182)/I182)</f>
        <v>0</v>
      </c>
      <c r="R182" s="228"/>
      <c r="S182" s="228"/>
      <c r="T182" s="228"/>
    </row>
    <row r="183" spans="1:20" ht="14.1" customHeight="1">
      <c r="A183" s="199">
        <v>27</v>
      </c>
      <c r="B183" s="227"/>
      <c r="C183" s="226"/>
      <c r="F183" s="164" t="s">
        <v>87</v>
      </c>
      <c r="H183" s="228"/>
      <c r="I183" s="215">
        <v>-3.09</v>
      </c>
      <c r="J183" s="228" t="s">
        <v>101</v>
      </c>
      <c r="K183" s="228"/>
      <c r="L183" s="228"/>
      <c r="M183" s="228"/>
      <c r="N183" s="215">
        <f>+ROUND('Scenario GSD Rates'!R75,2)</f>
        <v>-3.09</v>
      </c>
      <c r="O183" s="228" t="s">
        <v>101</v>
      </c>
      <c r="Q183" s="216">
        <f t="shared" si="16"/>
        <v>0</v>
      </c>
      <c r="R183" s="228"/>
      <c r="S183" s="228"/>
      <c r="T183" s="228"/>
    </row>
    <row r="184" spans="1:20" ht="14.1" customHeight="1">
      <c r="A184" s="199">
        <v>28</v>
      </c>
      <c r="B184" s="227"/>
      <c r="C184" s="226"/>
      <c r="F184" s="164" t="s">
        <v>106</v>
      </c>
      <c r="G184" s="228"/>
      <c r="H184" s="228"/>
      <c r="I184" s="223">
        <v>-1.3799999999999999E-3</v>
      </c>
      <c r="J184" s="217" t="s">
        <v>71</v>
      </c>
      <c r="K184" s="228"/>
      <c r="L184" s="228"/>
      <c r="M184" s="228"/>
      <c r="N184" s="223">
        <f>+ROUND('Scenario GSD Rates'!R144,5)</f>
        <v>-1.3799999999999999E-3</v>
      </c>
      <c r="O184" s="217" t="s">
        <v>71</v>
      </c>
      <c r="Q184" s="216">
        <f t="shared" si="16"/>
        <v>0</v>
      </c>
      <c r="R184" s="228"/>
      <c r="S184" s="228"/>
      <c r="T184" s="228"/>
    </row>
    <row r="185" spans="1:20" ht="14.1" customHeight="1">
      <c r="A185" s="199">
        <v>29</v>
      </c>
      <c r="B185" s="227"/>
      <c r="C185" s="226"/>
      <c r="F185" s="164" t="s">
        <v>107</v>
      </c>
      <c r="G185" s="228"/>
      <c r="H185" s="228"/>
      <c r="I185" s="223">
        <v>-7.9100000000000004E-3</v>
      </c>
      <c r="J185" s="217" t="s">
        <v>71</v>
      </c>
      <c r="K185" s="228"/>
      <c r="L185" s="228"/>
      <c r="M185" s="228"/>
      <c r="N185" s="223">
        <f>+ROUND('Scenario GSD Rates'!R145,5)</f>
        <v>-7.9100000000000004E-3</v>
      </c>
      <c r="O185" s="217" t="s">
        <v>71</v>
      </c>
      <c r="Q185" s="216">
        <f t="shared" si="16"/>
        <v>0</v>
      </c>
      <c r="R185" s="228"/>
      <c r="S185" s="228"/>
      <c r="T185" s="228"/>
    </row>
    <row r="186" spans="1:20" ht="14.1" customHeight="1">
      <c r="A186" s="199">
        <v>30</v>
      </c>
      <c r="B186" s="227"/>
      <c r="C186" s="226"/>
      <c r="F186" s="199" t="s">
        <v>92</v>
      </c>
      <c r="G186" s="164"/>
      <c r="H186" s="228"/>
      <c r="I186" s="215">
        <v>-0.54</v>
      </c>
      <c r="J186" s="228" t="s">
        <v>101</v>
      </c>
      <c r="K186" s="228"/>
      <c r="L186" s="228"/>
      <c r="M186" s="228"/>
      <c r="N186" s="215">
        <f>+ROUND('Scenario GSD Rates'!R76,2)</f>
        <v>-0.54</v>
      </c>
      <c r="O186" s="228" t="s">
        <v>101</v>
      </c>
      <c r="Q186" s="216">
        <f t="shared" si="16"/>
        <v>0</v>
      </c>
      <c r="R186" s="228"/>
      <c r="S186" s="228"/>
      <c r="T186" s="228"/>
    </row>
    <row r="187" spans="1:20" ht="14.1" customHeight="1">
      <c r="A187" s="199">
        <v>31</v>
      </c>
      <c r="B187" s="227"/>
      <c r="C187" s="226"/>
      <c r="F187" s="199" t="s">
        <v>93</v>
      </c>
      <c r="G187" s="228"/>
      <c r="H187" s="228"/>
      <c r="I187" s="215">
        <v>-3.09</v>
      </c>
      <c r="J187" s="228" t="s">
        <v>101</v>
      </c>
      <c r="K187" s="228"/>
      <c r="L187" s="228"/>
      <c r="M187" s="228"/>
      <c r="N187" s="215">
        <f>+ROUND('Scenario GSD Rates'!R77,2)</f>
        <v>-3.09</v>
      </c>
      <c r="O187" s="228" t="s">
        <v>101</v>
      </c>
      <c r="Q187" s="216">
        <f t="shared" si="16"/>
        <v>0</v>
      </c>
      <c r="R187" s="228"/>
      <c r="S187" s="228"/>
      <c r="T187" s="228"/>
    </row>
    <row r="188" spans="1:20" ht="14.1" customHeight="1">
      <c r="A188" s="199">
        <v>32</v>
      </c>
      <c r="B188" s="227"/>
      <c r="C188" s="226"/>
      <c r="Q188" s="229"/>
      <c r="R188" s="228"/>
      <c r="S188" s="228"/>
      <c r="T188" s="228"/>
    </row>
    <row r="189" spans="1:20" ht="14.1" customHeight="1">
      <c r="A189" s="199">
        <v>33</v>
      </c>
      <c r="B189" s="227"/>
      <c r="C189" s="226"/>
      <c r="E189" s="237" t="s">
        <v>108</v>
      </c>
      <c r="G189" s="228"/>
      <c r="H189" s="228"/>
      <c r="Q189" s="229"/>
      <c r="R189" s="228"/>
      <c r="S189" s="228"/>
      <c r="T189" s="228"/>
    </row>
    <row r="190" spans="1:20" ht="14.1" customHeight="1">
      <c r="A190" s="199">
        <v>34</v>
      </c>
      <c r="B190" s="227"/>
      <c r="C190" s="226"/>
      <c r="F190" s="234" t="s">
        <v>100</v>
      </c>
      <c r="G190" s="228"/>
      <c r="H190" s="228"/>
      <c r="I190" s="215">
        <v>1.02</v>
      </c>
      <c r="J190" s="228" t="s">
        <v>101</v>
      </c>
      <c r="K190" s="228"/>
      <c r="L190" s="228"/>
      <c r="M190" s="228"/>
      <c r="N190" s="215">
        <f>+ROUND('Scenario GSD Rates'!R82,2)</f>
        <v>1.02</v>
      </c>
      <c r="O190" s="228" t="s">
        <v>101</v>
      </c>
      <c r="Q190" s="216">
        <f>IF(I190=0,0,+(N190-I190)/I190)</f>
        <v>0</v>
      </c>
      <c r="R190" s="228"/>
      <c r="S190" s="228"/>
      <c r="T190" s="228"/>
    </row>
    <row r="191" spans="1:20" ht="14.1" customHeight="1">
      <c r="A191" s="199">
        <v>35</v>
      </c>
      <c r="B191" s="227"/>
      <c r="C191" s="226"/>
      <c r="F191" s="199" t="s">
        <v>102</v>
      </c>
      <c r="I191" s="223">
        <v>2.5699999999999998E-3</v>
      </c>
      <c r="J191" s="217" t="s">
        <v>71</v>
      </c>
      <c r="K191" s="228"/>
      <c r="N191" s="223">
        <f>+ROUND('Scenario GSD Rates'!R150,5)</f>
        <v>2.5699999999999998E-3</v>
      </c>
      <c r="O191" s="228" t="s">
        <v>109</v>
      </c>
      <c r="Q191" s="216">
        <f>IF(I191=0,0,+(N191-I191)/I191)</f>
        <v>0</v>
      </c>
      <c r="R191" s="228"/>
      <c r="S191" s="228"/>
      <c r="T191" s="228"/>
    </row>
    <row r="192" spans="1:20" ht="14.1" customHeight="1" thickBot="1">
      <c r="A192" s="200">
        <v>36</v>
      </c>
      <c r="B192" s="238"/>
      <c r="C192" s="239"/>
      <c r="D192" s="200"/>
      <c r="E192" s="200"/>
      <c r="F192" s="200" t="s">
        <v>103</v>
      </c>
      <c r="G192" s="200"/>
      <c r="H192" s="200"/>
      <c r="I192" s="240">
        <v>1.02</v>
      </c>
      <c r="J192" s="241" t="s">
        <v>101</v>
      </c>
      <c r="K192" s="241"/>
      <c r="L192" s="200"/>
      <c r="M192" s="200"/>
      <c r="N192" s="240">
        <f>+ROUND('Scenario GSD Rates'!R85,2)</f>
        <v>1.02</v>
      </c>
      <c r="O192" s="241" t="s">
        <v>101</v>
      </c>
      <c r="P192" s="200"/>
      <c r="Q192" s="242">
        <f>IF(I192=0,0,+(N192-I192)/I192)</f>
        <v>0</v>
      </c>
      <c r="R192" s="241"/>
      <c r="S192" s="241"/>
      <c r="T192" s="243" t="s">
        <v>110</v>
      </c>
    </row>
    <row r="193" spans="1:20" ht="14.1" customHeight="1"/>
    <row r="194" spans="1:20" ht="14.1" customHeight="1" thickBot="1">
      <c r="A194" s="200"/>
      <c r="B194" s="200"/>
      <c r="C194" s="200"/>
      <c r="D194" s="200"/>
      <c r="E194" s="200"/>
      <c r="F194" s="200"/>
      <c r="G194" s="200"/>
      <c r="H194" s="200"/>
      <c r="I194" s="200" t="s">
        <v>45</v>
      </c>
      <c r="J194" s="200"/>
      <c r="K194" s="200"/>
      <c r="L194" s="200"/>
      <c r="M194" s="200"/>
      <c r="N194" s="200"/>
      <c r="O194" s="200"/>
      <c r="P194" s="200"/>
      <c r="Q194" s="200"/>
      <c r="R194" s="200"/>
      <c r="S194" s="200"/>
      <c r="T194" s="201"/>
    </row>
    <row r="195" spans="1:20" ht="14.1" customHeight="1">
      <c r="F195" s="202"/>
      <c r="L195" s="203"/>
      <c r="M195" s="203"/>
      <c r="O195" s="203"/>
      <c r="P195" s="203"/>
      <c r="Q195" s="203"/>
      <c r="T195" s="204"/>
    </row>
    <row r="196" spans="1:20" ht="14.1" customHeight="1">
      <c r="L196" s="202"/>
      <c r="M196" s="204"/>
      <c r="P196" s="202"/>
      <c r="Q196" s="32"/>
      <c r="R196" s="31"/>
      <c r="T196" s="202"/>
    </row>
    <row r="197" spans="1:20" ht="14.1" customHeight="1">
      <c r="L197" s="202"/>
      <c r="M197" s="204"/>
      <c r="N197" s="202"/>
      <c r="Q197" s="32"/>
      <c r="R197" s="31"/>
      <c r="T197" s="202"/>
    </row>
    <row r="198" spans="1:20" ht="14.1" customHeight="1">
      <c r="L198" s="202"/>
      <c r="M198" s="204"/>
      <c r="N198" s="202"/>
      <c r="Q198" s="32"/>
      <c r="R198" s="31"/>
      <c r="T198" s="202"/>
    </row>
    <row r="199" spans="1:20" ht="14.1" customHeight="1" thickBot="1">
      <c r="A199" s="200"/>
      <c r="B199" s="200"/>
      <c r="C199" s="200"/>
      <c r="D199" s="200"/>
      <c r="E199" s="200"/>
      <c r="F199" s="200"/>
      <c r="G199" s="200"/>
      <c r="H199" s="200"/>
      <c r="I199" s="205"/>
      <c r="J199" s="200"/>
      <c r="K199" s="200"/>
      <c r="L199" s="200"/>
      <c r="M199" s="200"/>
      <c r="N199" s="200"/>
      <c r="O199" s="200"/>
      <c r="P199" s="200"/>
      <c r="Q199" s="200"/>
      <c r="R199" s="200"/>
      <c r="S199" s="200"/>
      <c r="T199" s="200"/>
    </row>
    <row r="200" spans="1:20" ht="14.1" customHeight="1">
      <c r="A200" s="199" t="str">
        <f>IF(+A$8="","",A$8)</f>
        <v/>
      </c>
      <c r="B200" s="206" t="str">
        <f t="shared" ref="B200:T200" si="17">IF(+B$8="","",B$8)</f>
        <v/>
      </c>
      <c r="C200" s="206" t="str">
        <f t="shared" si="17"/>
        <v>(1)</v>
      </c>
      <c r="D200" s="206" t="str">
        <f t="shared" si="17"/>
        <v/>
      </c>
      <c r="E200" s="206" t="str">
        <f t="shared" si="17"/>
        <v/>
      </c>
      <c r="F200" s="206" t="str">
        <f t="shared" si="17"/>
        <v>(2)</v>
      </c>
      <c r="G200" s="206" t="str">
        <f t="shared" si="17"/>
        <v/>
      </c>
      <c r="H200" s="206" t="str">
        <f>IF(+H$8="","",H$8)</f>
        <v/>
      </c>
      <c r="I200" s="206" t="str">
        <f>IF(+I$8="","",I$8)</f>
        <v>(3)</v>
      </c>
      <c r="J200" s="206" t="str">
        <f>IF(+J$8="","",J$8)</f>
        <v/>
      </c>
      <c r="K200" s="206"/>
      <c r="L200" s="206" t="str">
        <f t="shared" si="17"/>
        <v>(4)</v>
      </c>
      <c r="M200" s="206" t="str">
        <f t="shared" si="17"/>
        <v/>
      </c>
      <c r="N200" s="206" t="str">
        <f t="shared" si="17"/>
        <v>(5)</v>
      </c>
      <c r="O200" s="206" t="str">
        <f t="shared" si="17"/>
        <v/>
      </c>
      <c r="Q200" s="206" t="str">
        <f>IF(+Q$8="","",Q$8)</f>
        <v>(6)</v>
      </c>
      <c r="R200" s="206" t="str">
        <f t="shared" si="17"/>
        <v/>
      </c>
      <c r="S200" s="206" t="str">
        <f t="shared" si="17"/>
        <v/>
      </c>
      <c r="T200" s="206" t="str">
        <f t="shared" si="17"/>
        <v/>
      </c>
    </row>
    <row r="201" spans="1:20" ht="14.1" customHeight="1">
      <c r="A201" s="199" t="str">
        <f>IF(+A$9="","",A$9)</f>
        <v/>
      </c>
      <c r="B201" s="206" t="str">
        <f t="shared" ref="B201:T201" si="18">IF(+B$9="","",B$9)</f>
        <v/>
      </c>
      <c r="C201" s="206" t="str">
        <f t="shared" si="18"/>
        <v/>
      </c>
      <c r="D201" s="206" t="str">
        <f t="shared" si="18"/>
        <v/>
      </c>
      <c r="E201" s="206" t="str">
        <f t="shared" si="18"/>
        <v/>
      </c>
      <c r="F201" s="206" t="str">
        <f t="shared" si="18"/>
        <v/>
      </c>
      <c r="G201" s="206" t="str">
        <f t="shared" si="18"/>
        <v/>
      </c>
      <c r="H201" s="206" t="str">
        <f>IF(+H$9="","",H$9)</f>
        <v/>
      </c>
      <c r="I201" s="206" t="str">
        <f>IF(+I$9="","",I$9)</f>
        <v/>
      </c>
      <c r="J201" s="206" t="str">
        <f>IF(+J$9="","",J$9)</f>
        <v/>
      </c>
      <c r="K201" s="206"/>
      <c r="L201" s="206" t="str">
        <f t="shared" si="18"/>
        <v/>
      </c>
      <c r="M201" s="206" t="str">
        <f t="shared" si="18"/>
        <v/>
      </c>
      <c r="N201" s="206" t="str">
        <f t="shared" si="18"/>
        <v/>
      </c>
      <c r="O201" s="206" t="str">
        <f t="shared" si="18"/>
        <v/>
      </c>
      <c r="Q201" s="206" t="str">
        <f>IF(+Q$9="","",Q$9)</f>
        <v/>
      </c>
      <c r="R201" s="206" t="str">
        <f t="shared" si="18"/>
        <v/>
      </c>
      <c r="S201" s="206" t="str">
        <f t="shared" si="18"/>
        <v/>
      </c>
      <c r="T201" s="206" t="str">
        <f t="shared" si="18"/>
        <v/>
      </c>
    </row>
    <row r="202" spans="1:20" ht="14.1" customHeight="1">
      <c r="A202" s="199" t="str">
        <f>IF(+A$10="","",A$10)</f>
        <v/>
      </c>
      <c r="B202" s="206" t="str">
        <f t="shared" ref="B202:T202" si="19">IF(+B$10="","",B$10)</f>
        <v/>
      </c>
      <c r="C202" s="206" t="str">
        <f t="shared" si="19"/>
        <v xml:space="preserve">Current </v>
      </c>
      <c r="D202" s="206" t="str">
        <f t="shared" si="19"/>
        <v/>
      </c>
      <c r="E202" s="206" t="str">
        <f t="shared" si="19"/>
        <v/>
      </c>
      <c r="F202" s="206" t="str">
        <f t="shared" si="19"/>
        <v/>
      </c>
      <c r="G202" s="206" t="str">
        <f t="shared" si="19"/>
        <v/>
      </c>
      <c r="H202" s="206" t="str">
        <f>IF(+H$10="","",H$10)</f>
        <v/>
      </c>
      <c r="I202" s="206" t="str">
        <f>IF(+I$10="","",I$10)</f>
        <v/>
      </c>
      <c r="J202" s="206" t="str">
        <f>IF(+J$10="","",J$10)</f>
        <v/>
      </c>
      <c r="K202" s="206"/>
      <c r="L202" s="206" t="str">
        <f t="shared" si="19"/>
        <v>Proposed</v>
      </c>
      <c r="M202" s="206" t="str">
        <f t="shared" si="19"/>
        <v/>
      </c>
      <c r="N202" s="206" t="str">
        <f t="shared" si="19"/>
        <v/>
      </c>
      <c r="O202" s="206" t="str">
        <f t="shared" si="19"/>
        <v/>
      </c>
      <c r="Q202" s="206" t="str">
        <f>IF(+Q$10="","",Q$10)</f>
        <v>Percent</v>
      </c>
      <c r="R202" s="206" t="str">
        <f t="shared" si="19"/>
        <v/>
      </c>
      <c r="S202" s="206" t="str">
        <f t="shared" si="19"/>
        <v/>
      </c>
      <c r="T202" s="206" t="str">
        <f t="shared" si="19"/>
        <v/>
      </c>
    </row>
    <row r="203" spans="1:20" ht="14.1" customHeight="1">
      <c r="A203" s="199" t="str">
        <f>IF(+A$11="","",A$11)</f>
        <v>Line</v>
      </c>
      <c r="B203" s="206" t="str">
        <f t="shared" ref="B203:T203" si="20">IF(+B$11="","",B$11)</f>
        <v/>
      </c>
      <c r="C203" s="206" t="str">
        <f t="shared" si="20"/>
        <v>Rate</v>
      </c>
      <c r="D203" s="206" t="str">
        <f t="shared" si="20"/>
        <v/>
      </c>
      <c r="E203" s="206" t="str">
        <f t="shared" si="20"/>
        <v/>
      </c>
      <c r="F203" s="206" t="str">
        <f t="shared" si="20"/>
        <v/>
      </c>
      <c r="G203" s="206" t="str">
        <f t="shared" si="20"/>
        <v/>
      </c>
      <c r="H203" s="206" t="str">
        <f>IF(+H$11="","",H$11)</f>
        <v/>
      </c>
      <c r="I203" s="207" t="s">
        <v>57</v>
      </c>
      <c r="J203" s="207"/>
      <c r="K203" s="207"/>
      <c r="L203" s="207" t="s">
        <v>56</v>
      </c>
      <c r="M203" s="207"/>
      <c r="N203" s="207" t="s">
        <v>58</v>
      </c>
      <c r="O203" s="206" t="str">
        <f t="shared" si="20"/>
        <v/>
      </c>
      <c r="Q203" s="206" t="str">
        <f>IF(+Q$11="","",Q$11)</f>
        <v>Increase</v>
      </c>
      <c r="R203" s="206" t="str">
        <f t="shared" si="20"/>
        <v/>
      </c>
      <c r="S203" s="206" t="str">
        <f t="shared" si="20"/>
        <v/>
      </c>
      <c r="T203" s="206" t="str">
        <f t="shared" si="20"/>
        <v/>
      </c>
    </row>
    <row r="204" spans="1:20" ht="14.1" customHeight="1" thickBot="1">
      <c r="A204" s="200" t="str">
        <f>IF(+A$12="","",A$12)</f>
        <v>No.</v>
      </c>
      <c r="B204" s="205" t="str">
        <f t="shared" ref="B204:T204" si="21">IF(+B$12="","",B$12)</f>
        <v/>
      </c>
      <c r="C204" s="205" t="str">
        <f t="shared" si="21"/>
        <v>Schedule</v>
      </c>
      <c r="D204" s="205" t="str">
        <f t="shared" si="21"/>
        <v/>
      </c>
      <c r="E204" s="205"/>
      <c r="F204" s="205" t="str">
        <f t="shared" si="21"/>
        <v>Type of Charge</v>
      </c>
      <c r="G204" s="205"/>
      <c r="H204" s="205" t="str">
        <f>IF(+H$12="","",H$12)</f>
        <v/>
      </c>
      <c r="I204" s="205" t="str">
        <f>IF(+I$12="","",I$12)</f>
        <v>Rate</v>
      </c>
      <c r="J204" s="205" t="str">
        <f>IF(+J$12="","",J$12)</f>
        <v/>
      </c>
      <c r="K204" s="205"/>
      <c r="L204" s="205" t="str">
        <f t="shared" si="21"/>
        <v>Schedule</v>
      </c>
      <c r="M204" s="205" t="str">
        <f t="shared" si="21"/>
        <v/>
      </c>
      <c r="N204" s="205" t="str">
        <f t="shared" si="21"/>
        <v>Rate</v>
      </c>
      <c r="O204" s="205" t="str">
        <f t="shared" si="21"/>
        <v/>
      </c>
      <c r="P204" s="200"/>
      <c r="Q204" s="205" t="str">
        <f>IF(+Q$12="","",Q$12)</f>
        <v>((5)-(3))/(3)</v>
      </c>
      <c r="R204" s="205" t="str">
        <f t="shared" si="21"/>
        <v/>
      </c>
      <c r="S204" s="205" t="str">
        <f t="shared" si="21"/>
        <v/>
      </c>
      <c r="T204" s="205" t="str">
        <f t="shared" si="21"/>
        <v/>
      </c>
    </row>
    <row r="205" spans="1:20" ht="14.1" customHeight="1">
      <c r="A205" s="199">
        <v>1</v>
      </c>
      <c r="B205" s="244" t="s">
        <v>111</v>
      </c>
      <c r="C205" s="244"/>
      <c r="D205" s="226"/>
      <c r="E205" s="232"/>
      <c r="G205" s="164"/>
      <c r="H205" s="226"/>
      <c r="J205" s="226"/>
      <c r="K205" s="226"/>
      <c r="M205" s="226"/>
      <c r="N205" s="226"/>
      <c r="O205" s="226"/>
      <c r="Q205" s="226"/>
      <c r="R205" s="226"/>
      <c r="S205" s="226"/>
      <c r="T205" s="226"/>
    </row>
    <row r="206" spans="1:20" ht="14.1" customHeight="1">
      <c r="A206" s="199">
        <v>2</v>
      </c>
      <c r="B206" s="245"/>
      <c r="C206" s="233" t="s">
        <v>84</v>
      </c>
      <c r="D206" s="226"/>
      <c r="E206" s="232"/>
      <c r="G206" s="164"/>
      <c r="H206" s="226"/>
      <c r="J206" s="226"/>
      <c r="K206" s="226"/>
      <c r="L206" s="233" t="s">
        <v>84</v>
      </c>
      <c r="M206" s="226"/>
      <c r="N206" s="226"/>
      <c r="O206" s="226"/>
      <c r="Q206" s="226"/>
      <c r="R206" s="226"/>
      <c r="S206" s="226"/>
      <c r="T206" s="226"/>
    </row>
    <row r="207" spans="1:20" ht="14.1" customHeight="1">
      <c r="A207" s="199">
        <v>3</v>
      </c>
      <c r="B207" s="245"/>
      <c r="C207" s="233"/>
      <c r="D207" s="226"/>
      <c r="E207" s="232" t="s">
        <v>112</v>
      </c>
      <c r="H207" s="228"/>
      <c r="I207" s="215"/>
      <c r="J207" s="228"/>
      <c r="K207" s="228"/>
      <c r="L207" s="228"/>
      <c r="M207" s="228"/>
      <c r="N207" s="215"/>
      <c r="O207" s="228"/>
      <c r="Q207" s="228"/>
      <c r="R207" s="226"/>
      <c r="S207" s="226"/>
      <c r="T207" s="226"/>
    </row>
    <row r="208" spans="1:20" ht="14.1" customHeight="1">
      <c r="A208" s="199">
        <v>4</v>
      </c>
      <c r="B208" s="245"/>
      <c r="C208" s="245"/>
      <c r="D208" s="226"/>
      <c r="F208" s="164" t="s">
        <v>86</v>
      </c>
      <c r="G208" s="226"/>
      <c r="H208" s="228"/>
      <c r="I208" s="246">
        <f>+'Scenario GSD Rates'!K92*100</f>
        <v>-1</v>
      </c>
      <c r="J208" s="228" t="s">
        <v>113</v>
      </c>
      <c r="K208" s="228"/>
      <c r="L208" s="228"/>
      <c r="M208" s="228"/>
      <c r="N208" s="246">
        <f>+'Scenario GSD Rates'!R92*100</f>
        <v>-1</v>
      </c>
      <c r="O208" s="228" t="s">
        <v>113</v>
      </c>
      <c r="Q208" s="221">
        <f t="shared" ref="Q208:Q213" si="22">IF(I208=0,0,+(N208-I208)/I208)</f>
        <v>0</v>
      </c>
      <c r="R208" s="226"/>
      <c r="S208" s="226"/>
      <c r="T208" s="226"/>
    </row>
    <row r="209" spans="1:20" ht="14.1" customHeight="1">
      <c r="A209" s="199">
        <v>5</v>
      </c>
      <c r="B209" s="245"/>
      <c r="C209" s="245"/>
      <c r="D209" s="226"/>
      <c r="F209" s="164" t="s">
        <v>87</v>
      </c>
      <c r="G209" s="226"/>
      <c r="H209" s="228"/>
      <c r="I209" s="246">
        <f>+'Scenario GSD Rates'!K93*100</f>
        <v>-2</v>
      </c>
      <c r="J209" s="228" t="s">
        <v>113</v>
      </c>
      <c r="K209" s="228"/>
      <c r="L209" s="228"/>
      <c r="M209" s="228"/>
      <c r="N209" s="246">
        <f>+'Scenario GSD Rates'!R93*100</f>
        <v>-2</v>
      </c>
      <c r="O209" s="228" t="s">
        <v>113</v>
      </c>
      <c r="Q209" s="221">
        <f t="shared" si="22"/>
        <v>0</v>
      </c>
      <c r="R209" s="226"/>
      <c r="S209" s="226"/>
      <c r="T209" s="226"/>
    </row>
    <row r="210" spans="1:20" ht="14.1" customHeight="1">
      <c r="A210" s="199">
        <v>6</v>
      </c>
      <c r="B210" s="245"/>
      <c r="C210" s="245"/>
      <c r="D210" s="226"/>
      <c r="F210" s="164" t="s">
        <v>106</v>
      </c>
      <c r="G210" s="226"/>
      <c r="H210" s="228"/>
      <c r="I210" s="246">
        <f>+'Scenario GSD Rates'!K157*100</f>
        <v>-1</v>
      </c>
      <c r="J210" s="228" t="s">
        <v>113</v>
      </c>
      <c r="K210" s="228"/>
      <c r="L210" s="228"/>
      <c r="M210" s="228"/>
      <c r="N210" s="246">
        <f>+'Scenario GSD Rates'!R157*100</f>
        <v>-1</v>
      </c>
      <c r="O210" s="228" t="s">
        <v>113</v>
      </c>
      <c r="Q210" s="221">
        <f t="shared" si="22"/>
        <v>0</v>
      </c>
      <c r="R210" s="226"/>
      <c r="S210" s="226"/>
      <c r="T210" s="226"/>
    </row>
    <row r="211" spans="1:20" ht="14.1" customHeight="1">
      <c r="A211" s="199">
        <v>7</v>
      </c>
      <c r="B211" s="227"/>
      <c r="F211" s="164" t="s">
        <v>107</v>
      </c>
      <c r="G211" s="164"/>
      <c r="H211" s="228"/>
      <c r="I211" s="246">
        <f>+'Scenario GSD Rates'!K158*100</f>
        <v>-2</v>
      </c>
      <c r="J211" s="228" t="s">
        <v>113</v>
      </c>
      <c r="K211" s="228"/>
      <c r="L211" s="228"/>
      <c r="M211" s="228"/>
      <c r="N211" s="246">
        <f>+'Scenario GSD Rates'!R158*100</f>
        <v>-2</v>
      </c>
      <c r="O211" s="228" t="s">
        <v>113</v>
      </c>
      <c r="Q211" s="221">
        <f t="shared" si="22"/>
        <v>0</v>
      </c>
      <c r="R211" s="228"/>
      <c r="S211" s="228"/>
      <c r="T211" s="228"/>
    </row>
    <row r="212" spans="1:20" ht="14.1" customHeight="1">
      <c r="A212" s="199">
        <v>8</v>
      </c>
      <c r="B212" s="227"/>
      <c r="C212" s="164"/>
      <c r="F212" s="199" t="s">
        <v>92</v>
      </c>
      <c r="H212" s="228"/>
      <c r="I212" s="246">
        <f>+'Scenario GSD Rates'!K94*100</f>
        <v>-1</v>
      </c>
      <c r="J212" s="228" t="s">
        <v>113</v>
      </c>
      <c r="K212" s="228"/>
      <c r="L212" s="228"/>
      <c r="M212" s="228"/>
      <c r="N212" s="246">
        <f>+'Scenario GSD Rates'!R94*100</f>
        <v>-1</v>
      </c>
      <c r="O212" s="228" t="s">
        <v>113</v>
      </c>
      <c r="Q212" s="221">
        <f t="shared" si="22"/>
        <v>0</v>
      </c>
      <c r="R212" s="228"/>
      <c r="S212" s="228"/>
      <c r="T212" s="228"/>
    </row>
    <row r="213" spans="1:20" ht="14.1" customHeight="1">
      <c r="A213" s="199">
        <v>9</v>
      </c>
      <c r="B213" s="227"/>
      <c r="C213" s="164"/>
      <c r="F213" s="199" t="s">
        <v>93</v>
      </c>
      <c r="H213" s="228"/>
      <c r="I213" s="246">
        <f>+'Scenario GSD Rates'!K95*100</f>
        <v>-2</v>
      </c>
      <c r="J213" s="228" t="s">
        <v>113</v>
      </c>
      <c r="K213" s="228"/>
      <c r="L213" s="228"/>
      <c r="M213" s="228"/>
      <c r="N213" s="246">
        <f>+'Scenario GSD Rates'!R95*100</f>
        <v>-2</v>
      </c>
      <c r="O213" s="228" t="s">
        <v>113</v>
      </c>
      <c r="Q213" s="221">
        <f t="shared" si="22"/>
        <v>0</v>
      </c>
      <c r="R213" s="228"/>
      <c r="S213" s="228"/>
      <c r="T213" s="228"/>
    </row>
    <row r="214" spans="1:20" ht="14.1" customHeight="1">
      <c r="A214" s="199">
        <v>10</v>
      </c>
      <c r="B214" s="227"/>
      <c r="C214" s="164"/>
      <c r="R214" s="228"/>
      <c r="S214" s="228"/>
      <c r="T214" s="228"/>
    </row>
    <row r="215" spans="1:20" ht="14.1" customHeight="1">
      <c r="A215" s="199">
        <v>11</v>
      </c>
      <c r="B215" s="227"/>
      <c r="C215" s="164"/>
      <c r="R215" s="228"/>
      <c r="S215" s="228"/>
      <c r="T215" s="228"/>
    </row>
    <row r="216" spans="1:20" ht="14.1" customHeight="1">
      <c r="A216" s="199">
        <v>12</v>
      </c>
      <c r="B216" s="227"/>
      <c r="C216" s="164"/>
      <c r="R216" s="228"/>
      <c r="S216" s="228"/>
      <c r="T216" s="228"/>
    </row>
    <row r="217" spans="1:20" ht="14.1" customHeight="1">
      <c r="A217" s="199">
        <v>13</v>
      </c>
      <c r="B217" s="227"/>
      <c r="C217" s="226"/>
      <c r="R217" s="228"/>
      <c r="S217" s="228"/>
      <c r="T217" s="228"/>
    </row>
    <row r="218" spans="1:20" ht="14.1" customHeight="1">
      <c r="A218" s="199">
        <v>14</v>
      </c>
      <c r="B218" s="227"/>
      <c r="C218" s="226"/>
      <c r="E218" s="232"/>
      <c r="G218" s="164"/>
      <c r="H218" s="228"/>
      <c r="I218" s="215"/>
      <c r="J218" s="228"/>
      <c r="K218" s="228"/>
      <c r="L218" s="228"/>
      <c r="M218" s="228"/>
      <c r="N218" s="215"/>
      <c r="O218" s="228"/>
      <c r="Q218" s="228"/>
      <c r="R218" s="228"/>
      <c r="S218" s="228"/>
      <c r="T218" s="228"/>
    </row>
    <row r="219" spans="1:20" ht="14.1" customHeight="1">
      <c r="A219" s="199">
        <v>15</v>
      </c>
      <c r="B219" s="227"/>
      <c r="C219" s="226"/>
      <c r="E219" s="232"/>
      <c r="G219" s="164"/>
      <c r="H219" s="228"/>
      <c r="I219" s="215"/>
      <c r="J219" s="228"/>
      <c r="K219" s="228"/>
      <c r="L219" s="228"/>
      <c r="M219" s="228"/>
      <c r="N219" s="215"/>
      <c r="O219" s="228"/>
      <c r="Q219" s="228"/>
      <c r="R219" s="228"/>
      <c r="S219" s="228"/>
      <c r="T219" s="228"/>
    </row>
    <row r="220" spans="1:20" ht="14.1" customHeight="1">
      <c r="A220" s="199">
        <v>16</v>
      </c>
      <c r="B220" s="227"/>
      <c r="C220" s="226"/>
      <c r="E220" s="232"/>
      <c r="G220" s="164"/>
      <c r="H220" s="228"/>
      <c r="I220" s="215"/>
      <c r="J220" s="228"/>
      <c r="K220" s="228"/>
      <c r="L220" s="228"/>
      <c r="M220" s="228"/>
      <c r="N220" s="215"/>
      <c r="O220" s="228"/>
      <c r="Q220" s="228"/>
      <c r="R220" s="228"/>
      <c r="S220" s="228"/>
      <c r="T220" s="228"/>
    </row>
    <row r="221" spans="1:20" ht="14.1" customHeight="1">
      <c r="A221" s="199">
        <v>17</v>
      </c>
      <c r="B221" s="227"/>
      <c r="C221" s="226"/>
      <c r="E221" s="232"/>
      <c r="G221" s="164"/>
      <c r="H221" s="228"/>
      <c r="I221" s="215"/>
      <c r="J221" s="228"/>
      <c r="K221" s="228"/>
      <c r="L221" s="228"/>
      <c r="M221" s="228"/>
      <c r="N221" s="215"/>
      <c r="O221" s="228"/>
      <c r="Q221" s="228"/>
      <c r="R221" s="228"/>
      <c r="S221" s="228"/>
      <c r="T221" s="228"/>
    </row>
    <row r="222" spans="1:20" ht="14.1" customHeight="1">
      <c r="A222" s="199">
        <v>18</v>
      </c>
      <c r="B222" s="227"/>
      <c r="C222" s="226"/>
      <c r="E222" s="232"/>
      <c r="G222" s="164"/>
      <c r="H222" s="228"/>
      <c r="I222" s="215"/>
      <c r="J222" s="228"/>
      <c r="K222" s="228"/>
      <c r="L222" s="228"/>
      <c r="M222" s="228"/>
      <c r="N222" s="215"/>
      <c r="O222" s="228"/>
      <c r="Q222" s="228"/>
      <c r="R222" s="228"/>
      <c r="S222" s="228"/>
      <c r="T222" s="228"/>
    </row>
    <row r="223" spans="1:20" ht="14.1" customHeight="1">
      <c r="A223" s="199">
        <v>19</v>
      </c>
      <c r="B223" s="227"/>
      <c r="C223" s="226"/>
      <c r="F223" s="164"/>
      <c r="H223" s="228"/>
      <c r="I223" s="215"/>
      <c r="J223" s="228"/>
      <c r="K223" s="228"/>
      <c r="L223" s="228"/>
      <c r="M223" s="228"/>
      <c r="N223" s="215"/>
      <c r="O223" s="228"/>
      <c r="Q223" s="221"/>
      <c r="R223" s="228"/>
      <c r="S223" s="228"/>
      <c r="T223" s="228"/>
    </row>
    <row r="224" spans="1:20" ht="14.1" customHeight="1">
      <c r="A224" s="199">
        <v>20</v>
      </c>
      <c r="B224" s="227"/>
      <c r="C224" s="226"/>
      <c r="F224" s="164"/>
      <c r="H224" s="228"/>
      <c r="I224" s="215"/>
      <c r="J224" s="228"/>
      <c r="K224" s="228"/>
      <c r="L224" s="228"/>
      <c r="M224" s="228"/>
      <c r="N224" s="215"/>
      <c r="O224" s="228"/>
      <c r="Q224" s="221"/>
      <c r="R224" s="228"/>
      <c r="S224" s="228"/>
      <c r="T224" s="228"/>
    </row>
    <row r="225" spans="1:20" ht="14.1" customHeight="1">
      <c r="A225" s="199">
        <v>21</v>
      </c>
      <c r="B225" s="227"/>
      <c r="C225" s="226"/>
      <c r="F225" s="164"/>
      <c r="G225" s="228"/>
      <c r="H225" s="228"/>
      <c r="I225" s="215"/>
      <c r="J225" s="228"/>
      <c r="K225" s="228"/>
      <c r="L225" s="228"/>
      <c r="M225" s="228"/>
      <c r="N225" s="215"/>
      <c r="O225" s="228"/>
      <c r="Q225" s="221"/>
      <c r="R225" s="228"/>
      <c r="S225" s="228"/>
      <c r="T225" s="228"/>
    </row>
    <row r="226" spans="1:20" ht="14.1" customHeight="1">
      <c r="A226" s="199">
        <v>22</v>
      </c>
      <c r="B226" s="227"/>
      <c r="C226" s="226"/>
      <c r="F226" s="164"/>
      <c r="G226" s="228"/>
      <c r="H226" s="228"/>
      <c r="I226" s="215"/>
      <c r="J226" s="228"/>
      <c r="K226" s="228"/>
      <c r="L226" s="228"/>
      <c r="M226" s="228"/>
      <c r="N226" s="215"/>
      <c r="O226" s="228"/>
      <c r="Q226" s="221"/>
      <c r="R226" s="228"/>
      <c r="S226" s="228"/>
      <c r="T226" s="228"/>
    </row>
    <row r="227" spans="1:20" ht="14.1" customHeight="1">
      <c r="A227" s="199">
        <v>23</v>
      </c>
      <c r="B227" s="227"/>
      <c r="C227" s="226"/>
      <c r="G227" s="164"/>
      <c r="H227" s="228"/>
      <c r="I227" s="215"/>
      <c r="J227" s="228"/>
      <c r="K227" s="228"/>
      <c r="L227" s="228"/>
      <c r="M227" s="228"/>
      <c r="N227" s="215"/>
      <c r="O227" s="228"/>
      <c r="Q227" s="228"/>
      <c r="R227" s="228"/>
      <c r="S227" s="228"/>
      <c r="T227" s="228"/>
    </row>
    <row r="228" spans="1:20" ht="14.1" customHeight="1">
      <c r="A228" s="199">
        <v>24</v>
      </c>
      <c r="B228" s="227"/>
      <c r="C228" s="226"/>
      <c r="R228" s="228"/>
      <c r="S228" s="228"/>
      <c r="T228" s="228"/>
    </row>
    <row r="229" spans="1:20" ht="14.1" customHeight="1">
      <c r="A229" s="199">
        <v>25</v>
      </c>
      <c r="B229" s="227"/>
      <c r="C229" s="226"/>
      <c r="R229" s="228"/>
      <c r="S229" s="228"/>
      <c r="T229" s="228"/>
    </row>
    <row r="230" spans="1:20" ht="14.1" customHeight="1">
      <c r="A230" s="199">
        <v>26</v>
      </c>
      <c r="B230" s="227"/>
      <c r="C230" s="226"/>
      <c r="R230" s="228"/>
      <c r="S230" s="228"/>
      <c r="T230" s="228"/>
    </row>
    <row r="231" spans="1:20" ht="14.1" customHeight="1">
      <c r="A231" s="199">
        <v>27</v>
      </c>
      <c r="B231" s="227"/>
      <c r="C231" s="226"/>
      <c r="R231" s="228"/>
      <c r="S231" s="228"/>
      <c r="T231" s="228"/>
    </row>
    <row r="232" spans="1:20" ht="14.1" customHeight="1">
      <c r="A232" s="199">
        <v>28</v>
      </c>
      <c r="B232" s="227"/>
      <c r="C232" s="226"/>
      <c r="R232" s="228"/>
      <c r="S232" s="228"/>
      <c r="T232" s="228"/>
    </row>
    <row r="233" spans="1:20" ht="14.1" customHeight="1">
      <c r="A233" s="199">
        <v>29</v>
      </c>
      <c r="B233" s="227"/>
      <c r="C233" s="226"/>
      <c r="F233" s="228"/>
      <c r="G233" s="228"/>
      <c r="H233" s="228"/>
      <c r="I233" s="215"/>
      <c r="J233" s="228"/>
      <c r="K233" s="228"/>
      <c r="L233" s="228"/>
      <c r="M233" s="228"/>
      <c r="N233" s="215"/>
      <c r="O233" s="228"/>
      <c r="Q233" s="228"/>
      <c r="R233" s="228"/>
      <c r="S233" s="228"/>
      <c r="T233" s="228"/>
    </row>
    <row r="234" spans="1:20" ht="14.1" customHeight="1">
      <c r="A234" s="199">
        <v>30</v>
      </c>
      <c r="B234" s="227"/>
      <c r="C234" s="226"/>
      <c r="E234" s="237"/>
      <c r="G234" s="228"/>
      <c r="H234" s="228"/>
      <c r="I234" s="215"/>
      <c r="J234" s="228"/>
      <c r="K234" s="228"/>
      <c r="L234" s="228"/>
      <c r="M234" s="228"/>
      <c r="N234" s="215"/>
      <c r="O234" s="228"/>
      <c r="Q234" s="221"/>
      <c r="R234" s="228"/>
      <c r="S234" s="228"/>
      <c r="T234" s="228"/>
    </row>
    <row r="235" spans="1:20" ht="14.1" customHeight="1">
      <c r="A235" s="199">
        <v>31</v>
      </c>
      <c r="B235" s="227"/>
      <c r="C235" s="226"/>
      <c r="F235" s="228"/>
      <c r="G235" s="228"/>
      <c r="H235" s="228"/>
      <c r="I235" s="215"/>
      <c r="J235" s="228"/>
      <c r="K235" s="228"/>
      <c r="L235" s="228"/>
      <c r="M235" s="228"/>
      <c r="N235" s="228"/>
      <c r="O235" s="228"/>
      <c r="Q235" s="228"/>
      <c r="R235" s="228"/>
      <c r="S235" s="228"/>
      <c r="T235" s="228"/>
    </row>
    <row r="236" spans="1:20" ht="14.1" customHeight="1">
      <c r="A236" s="199">
        <v>32</v>
      </c>
      <c r="B236" s="227"/>
      <c r="C236" s="226"/>
      <c r="F236" s="228"/>
      <c r="G236" s="228"/>
      <c r="H236" s="228"/>
      <c r="I236" s="228"/>
      <c r="J236" s="228"/>
      <c r="K236" s="228"/>
      <c r="L236" s="228"/>
      <c r="M236" s="228"/>
      <c r="N236" s="228"/>
      <c r="O236" s="228"/>
      <c r="Q236" s="228"/>
      <c r="R236" s="228"/>
      <c r="S236" s="228"/>
      <c r="T236" s="228"/>
    </row>
    <row r="237" spans="1:20" ht="14.1" customHeight="1">
      <c r="A237" s="199">
        <v>33</v>
      </c>
      <c r="B237" s="227"/>
      <c r="C237" s="226"/>
      <c r="E237" s="232"/>
      <c r="H237" s="228"/>
      <c r="I237" s="215"/>
      <c r="J237" s="228"/>
      <c r="K237" s="228"/>
      <c r="L237" s="228"/>
      <c r="M237" s="228"/>
      <c r="N237" s="215"/>
      <c r="O237" s="228"/>
      <c r="Q237" s="228"/>
      <c r="R237" s="228"/>
      <c r="S237" s="228"/>
      <c r="T237" s="228"/>
    </row>
    <row r="238" spans="1:20" ht="14.1" customHeight="1">
      <c r="A238" s="199">
        <v>34</v>
      </c>
      <c r="B238" s="227"/>
      <c r="C238" s="226"/>
      <c r="F238" s="164"/>
      <c r="G238" s="226"/>
      <c r="H238" s="228"/>
      <c r="I238" s="247"/>
      <c r="J238" s="228"/>
      <c r="K238" s="228"/>
      <c r="L238" s="228"/>
      <c r="M238" s="228"/>
      <c r="N238" s="247"/>
      <c r="O238" s="228"/>
      <c r="Q238" s="221"/>
      <c r="R238" s="228"/>
      <c r="S238" s="228"/>
      <c r="T238" s="228"/>
    </row>
    <row r="239" spans="1:20" ht="14.1" customHeight="1">
      <c r="A239" s="199">
        <v>35</v>
      </c>
      <c r="B239" s="227"/>
      <c r="C239" s="226"/>
      <c r="F239" s="164"/>
      <c r="G239" s="226"/>
      <c r="H239" s="228"/>
      <c r="I239" s="247"/>
      <c r="J239" s="228"/>
      <c r="K239" s="228"/>
      <c r="L239" s="228"/>
      <c r="M239" s="228"/>
      <c r="N239" s="247"/>
      <c r="O239" s="228"/>
      <c r="Q239" s="221"/>
      <c r="R239" s="228"/>
      <c r="S239" s="228"/>
      <c r="T239" s="228"/>
    </row>
    <row r="240" spans="1:20" ht="14.1" customHeight="1" thickBot="1">
      <c r="A240" s="200">
        <v>36</v>
      </c>
      <c r="B240" s="238"/>
      <c r="C240" s="239"/>
      <c r="D240" s="200"/>
      <c r="E240" s="200"/>
      <c r="F240" s="239"/>
      <c r="G240" s="239"/>
      <c r="H240" s="241"/>
      <c r="I240" s="248"/>
      <c r="J240" s="241"/>
      <c r="K240" s="241"/>
      <c r="L240" s="241"/>
      <c r="M240" s="241"/>
      <c r="N240" s="248"/>
      <c r="O240" s="241"/>
      <c r="P240" s="200"/>
      <c r="Q240" s="249"/>
      <c r="R240" s="241"/>
      <c r="S240" s="241"/>
      <c r="T240" s="241"/>
    </row>
    <row r="241" spans="1:20" ht="14.1" customHeight="1"/>
    <row r="242" spans="1:20" ht="14.1" customHeight="1" thickBot="1">
      <c r="A242" s="200"/>
      <c r="B242" s="200"/>
      <c r="C242" s="200"/>
      <c r="D242" s="200"/>
      <c r="E242" s="200"/>
      <c r="F242" s="200"/>
      <c r="G242" s="200"/>
      <c r="H242" s="200"/>
      <c r="I242" s="200" t="s">
        <v>45</v>
      </c>
      <c r="J242" s="200"/>
      <c r="K242" s="200"/>
      <c r="L242" s="200"/>
      <c r="M242" s="200"/>
      <c r="N242" s="200"/>
      <c r="O242" s="200"/>
      <c r="P242" s="200"/>
      <c r="Q242" s="200"/>
      <c r="R242" s="200"/>
      <c r="S242" s="200"/>
      <c r="T242" s="201"/>
    </row>
    <row r="243" spans="1:20" ht="14.1" customHeight="1">
      <c r="F243" s="202"/>
      <c r="L243" s="203"/>
      <c r="M243" s="203"/>
      <c r="O243" s="203"/>
      <c r="P243" s="203"/>
      <c r="Q243" s="203"/>
      <c r="T243" s="204"/>
    </row>
    <row r="244" spans="1:20" ht="14.1" customHeight="1">
      <c r="L244" s="202"/>
      <c r="M244" s="204"/>
      <c r="P244" s="202"/>
      <c r="Q244" s="32"/>
      <c r="R244" s="31"/>
      <c r="T244" s="202"/>
    </row>
    <row r="245" spans="1:20" ht="14.1" customHeight="1">
      <c r="L245" s="202"/>
      <c r="M245" s="204"/>
      <c r="N245" s="202"/>
      <c r="Q245" s="32"/>
      <c r="R245" s="31"/>
      <c r="T245" s="202"/>
    </row>
    <row r="246" spans="1:20" ht="14.1" customHeight="1">
      <c r="L246" s="202"/>
      <c r="M246" s="204"/>
      <c r="N246" s="202"/>
      <c r="Q246" s="32"/>
      <c r="R246" s="31"/>
      <c r="T246" s="202"/>
    </row>
    <row r="247" spans="1:20" ht="14.1" customHeight="1" thickBot="1">
      <c r="A247" s="200"/>
      <c r="B247" s="200"/>
      <c r="C247" s="200"/>
      <c r="D247" s="200"/>
      <c r="E247" s="200"/>
      <c r="F247" s="200"/>
      <c r="G247" s="200"/>
      <c r="H247" s="200"/>
      <c r="I247" s="205"/>
      <c r="J247" s="200"/>
      <c r="K247" s="200"/>
      <c r="L247" s="200"/>
      <c r="M247" s="200"/>
      <c r="N247" s="200"/>
      <c r="O247" s="200"/>
      <c r="P247" s="200"/>
      <c r="Q247" s="200"/>
      <c r="R247" s="200"/>
      <c r="S247" s="200"/>
      <c r="T247" s="200"/>
    </row>
    <row r="248" spans="1:20" ht="14.1" customHeight="1">
      <c r="A248" s="199" t="str">
        <f>IF(+A$8="","",A$8)</f>
        <v/>
      </c>
      <c r="B248" s="206" t="str">
        <f t="shared" ref="B248:T248" si="23">IF(+B$8="","",B$8)</f>
        <v/>
      </c>
      <c r="C248" s="206" t="str">
        <f t="shared" si="23"/>
        <v>(1)</v>
      </c>
      <c r="D248" s="206" t="str">
        <f t="shared" si="23"/>
        <v/>
      </c>
      <c r="E248" s="206" t="str">
        <f t="shared" si="23"/>
        <v/>
      </c>
      <c r="F248" s="206" t="str">
        <f t="shared" si="23"/>
        <v>(2)</v>
      </c>
      <c r="G248" s="206" t="str">
        <f t="shared" si="23"/>
        <v/>
      </c>
      <c r="H248" s="206" t="str">
        <f>IF(+H$8="","",H$8)</f>
        <v/>
      </c>
      <c r="I248" s="206" t="str">
        <f>IF(+I$8="","",I$8)</f>
        <v>(3)</v>
      </c>
      <c r="J248" s="206" t="str">
        <f>IF(+J$8="","",J$8)</f>
        <v/>
      </c>
      <c r="K248" s="206"/>
      <c r="L248" s="206" t="str">
        <f t="shared" si="23"/>
        <v>(4)</v>
      </c>
      <c r="M248" s="206" t="str">
        <f t="shared" si="23"/>
        <v/>
      </c>
      <c r="N248" s="206" t="str">
        <f t="shared" si="23"/>
        <v>(5)</v>
      </c>
      <c r="O248" s="206" t="str">
        <f t="shared" si="23"/>
        <v/>
      </c>
      <c r="Q248" s="206" t="str">
        <f>IF(+Q$8="","",Q$8)</f>
        <v>(6)</v>
      </c>
      <c r="R248" s="206" t="str">
        <f t="shared" si="23"/>
        <v/>
      </c>
      <c r="S248" s="206" t="str">
        <f t="shared" si="23"/>
        <v/>
      </c>
      <c r="T248" s="206" t="str">
        <f t="shared" si="23"/>
        <v/>
      </c>
    </row>
    <row r="249" spans="1:20" ht="14.1" customHeight="1">
      <c r="A249" s="199" t="str">
        <f>IF(+A$9="","",A$9)</f>
        <v/>
      </c>
      <c r="B249" s="206" t="str">
        <f t="shared" ref="B249:T249" si="24">IF(+B$9="","",B$9)</f>
        <v/>
      </c>
      <c r="C249" s="206" t="str">
        <f t="shared" si="24"/>
        <v/>
      </c>
      <c r="D249" s="206" t="str">
        <f t="shared" si="24"/>
        <v/>
      </c>
      <c r="E249" s="206" t="str">
        <f t="shared" si="24"/>
        <v/>
      </c>
      <c r="F249" s="206" t="str">
        <f t="shared" si="24"/>
        <v/>
      </c>
      <c r="G249" s="206" t="str">
        <f t="shared" si="24"/>
        <v/>
      </c>
      <c r="H249" s="206" t="str">
        <f>IF(+H$9="","",H$9)</f>
        <v/>
      </c>
      <c r="I249" s="206" t="str">
        <f>IF(+I$9="","",I$9)</f>
        <v/>
      </c>
      <c r="J249" s="206" t="str">
        <f>IF(+J$9="","",J$9)</f>
        <v/>
      </c>
      <c r="K249" s="206"/>
      <c r="L249" s="206" t="str">
        <f t="shared" si="24"/>
        <v/>
      </c>
      <c r="M249" s="206" t="str">
        <f t="shared" si="24"/>
        <v/>
      </c>
      <c r="N249" s="206" t="str">
        <f t="shared" si="24"/>
        <v/>
      </c>
      <c r="O249" s="206" t="str">
        <f t="shared" si="24"/>
        <v/>
      </c>
      <c r="Q249" s="206" t="str">
        <f>IF(+Q$9="","",Q$9)</f>
        <v/>
      </c>
      <c r="R249" s="206" t="str">
        <f t="shared" si="24"/>
        <v/>
      </c>
      <c r="S249" s="206" t="str">
        <f t="shared" si="24"/>
        <v/>
      </c>
      <c r="T249" s="206" t="str">
        <f t="shared" si="24"/>
        <v/>
      </c>
    </row>
    <row r="250" spans="1:20" ht="14.1" customHeight="1">
      <c r="A250" s="199" t="str">
        <f>IF(+A$10="","",A$10)</f>
        <v/>
      </c>
      <c r="B250" s="206" t="str">
        <f t="shared" ref="B250:T250" si="25">IF(+B$10="","",B$10)</f>
        <v/>
      </c>
      <c r="C250" s="206" t="str">
        <f t="shared" si="25"/>
        <v xml:space="preserve">Current </v>
      </c>
      <c r="D250" s="206" t="str">
        <f t="shared" si="25"/>
        <v/>
      </c>
      <c r="E250" s="206" t="str">
        <f t="shared" si="25"/>
        <v/>
      </c>
      <c r="F250" s="206" t="str">
        <f t="shared" si="25"/>
        <v/>
      </c>
      <c r="G250" s="206" t="str">
        <f t="shared" si="25"/>
        <v/>
      </c>
      <c r="H250" s="206" t="str">
        <f>IF(+H$10="","",H$10)</f>
        <v/>
      </c>
      <c r="I250" s="206" t="str">
        <f>IF(+I$10="","",I$10)</f>
        <v/>
      </c>
      <c r="J250" s="206" t="str">
        <f>IF(+J$10="","",J$10)</f>
        <v/>
      </c>
      <c r="K250" s="206"/>
      <c r="L250" s="206" t="str">
        <f t="shared" si="25"/>
        <v>Proposed</v>
      </c>
      <c r="M250" s="206" t="str">
        <f t="shared" si="25"/>
        <v/>
      </c>
      <c r="N250" s="206" t="str">
        <f t="shared" si="25"/>
        <v/>
      </c>
      <c r="O250" s="206" t="str">
        <f t="shared" si="25"/>
        <v/>
      </c>
      <c r="Q250" s="206" t="str">
        <f>IF(+Q$10="","",Q$10)</f>
        <v>Percent</v>
      </c>
      <c r="R250" s="206" t="str">
        <f t="shared" si="25"/>
        <v/>
      </c>
      <c r="S250" s="206" t="str">
        <f t="shared" si="25"/>
        <v/>
      </c>
      <c r="T250" s="206" t="str">
        <f t="shared" si="25"/>
        <v/>
      </c>
    </row>
    <row r="251" spans="1:20" ht="14.1" customHeight="1">
      <c r="A251" s="199" t="str">
        <f>IF(+A$11="","",A$11)</f>
        <v>Line</v>
      </c>
      <c r="B251" s="206" t="str">
        <f t="shared" ref="B251:T251" si="26">IF(+B$11="","",B$11)</f>
        <v/>
      </c>
      <c r="C251" s="206" t="str">
        <f t="shared" si="26"/>
        <v>Rate</v>
      </c>
      <c r="D251" s="206" t="str">
        <f t="shared" si="26"/>
        <v/>
      </c>
      <c r="E251" s="206" t="str">
        <f t="shared" si="26"/>
        <v/>
      </c>
      <c r="F251" s="206" t="str">
        <f t="shared" si="26"/>
        <v/>
      </c>
      <c r="G251" s="206" t="str">
        <f t="shared" si="26"/>
        <v/>
      </c>
      <c r="H251" s="206" t="str">
        <f>IF(+H$11="","",H$11)</f>
        <v/>
      </c>
      <c r="I251" s="207" t="s">
        <v>57</v>
      </c>
      <c r="J251" s="207"/>
      <c r="K251" s="207"/>
      <c r="L251" s="207" t="s">
        <v>56</v>
      </c>
      <c r="M251" s="207"/>
      <c r="N251" s="207" t="s">
        <v>58</v>
      </c>
      <c r="O251" s="206" t="str">
        <f t="shared" si="26"/>
        <v/>
      </c>
      <c r="Q251" s="206" t="str">
        <f>IF(+Q$11="","",Q$11)</f>
        <v>Increase</v>
      </c>
      <c r="R251" s="206" t="str">
        <f t="shared" si="26"/>
        <v/>
      </c>
      <c r="S251" s="206" t="str">
        <f t="shared" si="26"/>
        <v/>
      </c>
      <c r="T251" s="206" t="str">
        <f t="shared" si="26"/>
        <v/>
      </c>
    </row>
    <row r="252" spans="1:20" ht="14.1" customHeight="1" thickBot="1">
      <c r="A252" s="200" t="str">
        <f>IF(+A$12="","",A$12)</f>
        <v>No.</v>
      </c>
      <c r="B252" s="205" t="str">
        <f t="shared" ref="B252:T252" si="27">IF(+B$12="","",B$12)</f>
        <v/>
      </c>
      <c r="C252" s="205" t="str">
        <f t="shared" si="27"/>
        <v>Schedule</v>
      </c>
      <c r="D252" s="205" t="str">
        <f t="shared" si="27"/>
        <v/>
      </c>
      <c r="E252" s="205"/>
      <c r="F252" s="205" t="str">
        <f t="shared" si="27"/>
        <v>Type of Charge</v>
      </c>
      <c r="G252" s="205"/>
      <c r="H252" s="205" t="str">
        <f>IF(+H$12="","",H$12)</f>
        <v/>
      </c>
      <c r="I252" s="205" t="str">
        <f>IF(+I$12="","",I$12)</f>
        <v>Rate</v>
      </c>
      <c r="J252" s="205" t="str">
        <f>IF(+J$12="","",J$12)</f>
        <v/>
      </c>
      <c r="K252" s="205"/>
      <c r="L252" s="205" t="str">
        <f t="shared" si="27"/>
        <v>Schedule</v>
      </c>
      <c r="M252" s="205" t="str">
        <f t="shared" si="27"/>
        <v/>
      </c>
      <c r="N252" s="205" t="str">
        <f t="shared" si="27"/>
        <v>Rate</v>
      </c>
      <c r="O252" s="205" t="str">
        <f t="shared" si="27"/>
        <v/>
      </c>
      <c r="P252" s="200"/>
      <c r="Q252" s="205" t="str">
        <f>IF(+Q$12="","",Q$12)</f>
        <v>((5)-(3))/(3)</v>
      </c>
      <c r="R252" s="205" t="str">
        <f t="shared" si="27"/>
        <v/>
      </c>
      <c r="S252" s="205" t="str">
        <f t="shared" si="27"/>
        <v/>
      </c>
      <c r="T252" s="205" t="str">
        <f t="shared" si="27"/>
        <v/>
      </c>
    </row>
    <row r="253" spans="1:20" ht="14.1" customHeight="1">
      <c r="A253" s="199">
        <v>1</v>
      </c>
      <c r="B253" s="225"/>
      <c r="C253" s="233" t="s">
        <v>114</v>
      </c>
      <c r="D253" s="226"/>
      <c r="E253" s="211" t="s">
        <v>65</v>
      </c>
      <c r="G253" s="164"/>
      <c r="H253" s="226"/>
      <c r="J253" s="226"/>
      <c r="K253" s="226"/>
      <c r="L253" s="233" t="s">
        <v>114</v>
      </c>
      <c r="M253" s="226"/>
      <c r="N253" s="226"/>
      <c r="O253" s="226"/>
      <c r="Q253" s="226"/>
      <c r="R253" s="226"/>
      <c r="S253" s="226"/>
      <c r="T253" s="226"/>
    </row>
    <row r="254" spans="1:20" ht="14.1" customHeight="1">
      <c r="A254" s="199">
        <v>2</v>
      </c>
      <c r="B254" s="227"/>
      <c r="F254" s="234" t="s">
        <v>85</v>
      </c>
      <c r="G254" s="164"/>
      <c r="H254" s="226"/>
      <c r="I254" s="215">
        <v>1.72</v>
      </c>
      <c r="J254" s="226" t="s">
        <v>67</v>
      </c>
      <c r="K254" s="226"/>
      <c r="L254" s="226"/>
      <c r="M254" s="226"/>
      <c r="N254" s="215">
        <f>+ROUND('Scenario GSD Rates'!R181,2)</f>
        <v>1.72</v>
      </c>
      <c r="O254" s="226" t="s">
        <v>67</v>
      </c>
      <c r="Q254" s="221">
        <f t="shared" ref="Q254:Q259" si="28">IF(I254=0,0,+(N254-I254)/I254)</f>
        <v>0</v>
      </c>
      <c r="R254" s="226"/>
      <c r="S254" s="226"/>
      <c r="T254" s="226"/>
    </row>
    <row r="255" spans="1:20" ht="14.1" customHeight="1">
      <c r="A255" s="199">
        <v>3</v>
      </c>
      <c r="B255" s="227"/>
      <c r="F255" s="234" t="s">
        <v>86</v>
      </c>
      <c r="I255" s="215">
        <v>9.36</v>
      </c>
      <c r="J255" s="226" t="s">
        <v>67</v>
      </c>
      <c r="K255" s="226"/>
      <c r="N255" s="215">
        <f>+ROUND('Scenario GSD Rates'!R182,2)</f>
        <v>9.36</v>
      </c>
      <c r="O255" s="226" t="s">
        <v>67</v>
      </c>
      <c r="Q255" s="221">
        <f t="shared" si="28"/>
        <v>0</v>
      </c>
      <c r="R255" s="226"/>
      <c r="S255" s="226"/>
      <c r="T255" s="226"/>
    </row>
    <row r="256" spans="1:20" ht="14.1" customHeight="1">
      <c r="A256" s="199">
        <v>4</v>
      </c>
      <c r="B256" s="227"/>
      <c r="F256" s="234" t="s">
        <v>87</v>
      </c>
      <c r="H256" s="228"/>
      <c r="I256" s="215">
        <v>25.76</v>
      </c>
      <c r="J256" s="226" t="s">
        <v>67</v>
      </c>
      <c r="K256" s="226"/>
      <c r="L256" s="228"/>
      <c r="M256" s="235"/>
      <c r="N256" s="215">
        <f>+ROUND('Scenario GSD Rates'!R183,2)</f>
        <v>25.76</v>
      </c>
      <c r="O256" s="226" t="s">
        <v>67</v>
      </c>
      <c r="Q256" s="221">
        <f t="shared" si="28"/>
        <v>0</v>
      </c>
      <c r="R256" s="228"/>
      <c r="S256" s="228"/>
      <c r="T256" s="228"/>
    </row>
    <row r="257" spans="1:20" ht="14.1" customHeight="1">
      <c r="A257" s="199">
        <v>5</v>
      </c>
      <c r="B257" s="227"/>
      <c r="C257" s="164"/>
      <c r="F257" s="199" t="s">
        <v>91</v>
      </c>
      <c r="H257" s="226"/>
      <c r="I257" s="215">
        <v>1.72</v>
      </c>
      <c r="J257" s="226" t="s">
        <v>67</v>
      </c>
      <c r="K257" s="226"/>
      <c r="L257" s="226"/>
      <c r="M257" s="164"/>
      <c r="N257" s="215">
        <f>+ROUND('Scenario GSD Rates'!R184,2)</f>
        <v>1.72</v>
      </c>
      <c r="O257" s="226" t="s">
        <v>67</v>
      </c>
      <c r="Q257" s="221">
        <f t="shared" si="28"/>
        <v>0</v>
      </c>
      <c r="R257" s="228"/>
      <c r="S257" s="228"/>
      <c r="T257" s="228"/>
    </row>
    <row r="258" spans="1:20" ht="14.1" customHeight="1">
      <c r="A258" s="199">
        <v>6</v>
      </c>
      <c r="B258" s="227"/>
      <c r="C258" s="164"/>
      <c r="F258" s="199" t="s">
        <v>92</v>
      </c>
      <c r="I258" s="215">
        <v>9.36</v>
      </c>
      <c r="J258" s="226" t="s">
        <v>67</v>
      </c>
      <c r="K258" s="226"/>
      <c r="N258" s="215">
        <f>+ROUND('Scenario GSD Rates'!R185,2)</f>
        <v>9.36</v>
      </c>
      <c r="O258" s="226" t="s">
        <v>67</v>
      </c>
      <c r="Q258" s="221">
        <f t="shared" si="28"/>
        <v>0</v>
      </c>
      <c r="R258" s="228"/>
      <c r="S258" s="228"/>
      <c r="T258" s="228"/>
    </row>
    <row r="259" spans="1:20" ht="14.1" customHeight="1">
      <c r="A259" s="199">
        <v>7</v>
      </c>
      <c r="B259" s="227"/>
      <c r="C259" s="164"/>
      <c r="F259" s="199" t="s">
        <v>93</v>
      </c>
      <c r="I259" s="215">
        <v>25.76</v>
      </c>
      <c r="J259" s="226" t="s">
        <v>67</v>
      </c>
      <c r="K259" s="226"/>
      <c r="N259" s="215">
        <f>+ROUND('Scenario GSD Rates'!R186,2)</f>
        <v>25.76</v>
      </c>
      <c r="O259" s="226" t="s">
        <v>67</v>
      </c>
      <c r="Q259" s="221">
        <f t="shared" si="28"/>
        <v>0</v>
      </c>
      <c r="R259" s="228"/>
      <c r="S259" s="228"/>
      <c r="T259" s="228"/>
    </row>
    <row r="260" spans="1:20" ht="14.1" customHeight="1">
      <c r="A260" s="199">
        <v>8</v>
      </c>
      <c r="B260" s="227"/>
      <c r="C260" s="164"/>
      <c r="R260" s="228"/>
      <c r="S260" s="228"/>
      <c r="T260" s="228"/>
    </row>
    <row r="261" spans="1:20" ht="14.1" customHeight="1">
      <c r="A261" s="199">
        <v>9</v>
      </c>
      <c r="B261" s="227"/>
      <c r="C261" s="164"/>
      <c r="E261" s="204" t="s">
        <v>115</v>
      </c>
      <c r="G261" s="226"/>
      <c r="H261" s="228"/>
      <c r="I261" s="215"/>
      <c r="J261" s="228"/>
      <c r="K261" s="228"/>
      <c r="L261" s="228"/>
      <c r="M261" s="235"/>
      <c r="N261" s="215"/>
      <c r="O261" s="228"/>
      <c r="Q261" s="228"/>
      <c r="R261" s="228"/>
      <c r="S261" s="228"/>
      <c r="T261" s="228"/>
    </row>
    <row r="262" spans="1:20" ht="14.1" customHeight="1">
      <c r="A262" s="199">
        <v>10</v>
      </c>
      <c r="B262" s="227"/>
      <c r="C262" s="226"/>
      <c r="F262" s="234" t="s">
        <v>116</v>
      </c>
      <c r="G262" s="226"/>
      <c r="H262" s="228"/>
      <c r="I262" s="250">
        <v>19.62</v>
      </c>
      <c r="J262" s="228" t="s">
        <v>101</v>
      </c>
      <c r="K262" s="228"/>
      <c r="L262" s="228"/>
      <c r="M262" s="235"/>
      <c r="N262" s="250">
        <f>+ROUND('Scenario GSD Rates'!R236,2)</f>
        <v>19.61</v>
      </c>
      <c r="O262" s="228" t="s">
        <v>101</v>
      </c>
      <c r="Q262" s="221">
        <f>IF(I262=0,0,+(N262-I262)/I262)</f>
        <v>-5.0968399592260765E-4</v>
      </c>
      <c r="R262" s="228"/>
      <c r="S262" s="228"/>
      <c r="T262" s="228"/>
    </row>
    <row r="263" spans="1:20" ht="14.1" customHeight="1">
      <c r="A263" s="199">
        <v>11</v>
      </c>
      <c r="B263" s="227"/>
      <c r="C263" s="226"/>
      <c r="F263" s="199" t="s">
        <v>117</v>
      </c>
      <c r="H263" s="228"/>
      <c r="I263" s="250">
        <v>5.04</v>
      </c>
      <c r="J263" s="228" t="s">
        <v>101</v>
      </c>
      <c r="K263" s="228"/>
      <c r="L263" s="228"/>
      <c r="M263" s="228"/>
      <c r="N263" s="250">
        <f>+ROUND('Scenario GSD Rates'!R239,2)</f>
        <v>5.04</v>
      </c>
      <c r="O263" s="228" t="s">
        <v>101</v>
      </c>
      <c r="Q263" s="221">
        <f>IF(I263=0,0,+(N263-I263)/I263)</f>
        <v>0</v>
      </c>
      <c r="R263" s="228"/>
      <c r="S263" s="228"/>
      <c r="T263" s="228"/>
    </row>
    <row r="264" spans="1:20" ht="14.1" customHeight="1">
      <c r="A264" s="199">
        <v>12</v>
      </c>
      <c r="B264" s="227"/>
      <c r="C264" s="226"/>
      <c r="F264" s="199" t="s">
        <v>118</v>
      </c>
      <c r="G264" s="226"/>
      <c r="H264" s="228"/>
      <c r="I264" s="250">
        <v>14.58</v>
      </c>
      <c r="J264" s="228" t="s">
        <v>101</v>
      </c>
      <c r="K264" s="228"/>
      <c r="L264" s="228"/>
      <c r="M264" s="228"/>
      <c r="N264" s="250">
        <f>+ROUND('Scenario GSD Rates'!R242,2)</f>
        <v>14.58</v>
      </c>
      <c r="O264" s="228" t="s">
        <v>101</v>
      </c>
      <c r="Q264" s="221">
        <f>+(N264-I264)/I264</f>
        <v>0</v>
      </c>
      <c r="R264" s="228"/>
      <c r="S264" s="228"/>
      <c r="T264" s="228"/>
    </row>
    <row r="265" spans="1:20" ht="14.1" customHeight="1">
      <c r="A265" s="199">
        <v>13</v>
      </c>
      <c r="B265" s="227"/>
      <c r="C265" s="226"/>
      <c r="R265" s="228"/>
      <c r="S265" s="228"/>
      <c r="T265" s="228"/>
    </row>
    <row r="266" spans="1:20" ht="14.1" customHeight="1">
      <c r="A266" s="199">
        <v>14</v>
      </c>
      <c r="B266" s="227"/>
      <c r="C266" s="226"/>
      <c r="E266" s="232" t="s">
        <v>119</v>
      </c>
      <c r="G266" s="164"/>
      <c r="H266" s="228"/>
      <c r="I266" s="215"/>
      <c r="J266" s="235"/>
      <c r="K266" s="235"/>
      <c r="L266" s="228"/>
      <c r="M266" s="228"/>
      <c r="N266" s="215"/>
      <c r="O266" s="235"/>
      <c r="Q266" s="228"/>
      <c r="R266" s="228"/>
      <c r="S266" s="228"/>
      <c r="T266" s="228"/>
    </row>
    <row r="267" spans="1:20" ht="14.1" customHeight="1">
      <c r="A267" s="199">
        <v>15</v>
      </c>
      <c r="B267" s="227"/>
      <c r="C267" s="226"/>
      <c r="F267" s="199" t="s">
        <v>120</v>
      </c>
      <c r="H267" s="228"/>
      <c r="I267" s="223">
        <v>7.7299999999999999E-3</v>
      </c>
      <c r="J267" s="217" t="s">
        <v>71</v>
      </c>
      <c r="K267" s="228"/>
      <c r="L267" s="228"/>
      <c r="M267" s="228"/>
      <c r="N267" s="223">
        <f>+ROUND('Scenario GSD Rates'!R190,5)</f>
        <v>7.7299999999999999E-3</v>
      </c>
      <c r="O267" s="217" t="s">
        <v>71</v>
      </c>
      <c r="Q267" s="221">
        <f>IF(I267=0,0,+(N267-I267)/I267)</f>
        <v>0</v>
      </c>
      <c r="R267" s="228"/>
      <c r="S267" s="228"/>
      <c r="T267" s="228"/>
    </row>
    <row r="268" spans="1:20" ht="14.1" customHeight="1">
      <c r="A268" s="199">
        <v>16</v>
      </c>
      <c r="B268" s="227"/>
      <c r="C268" s="226"/>
      <c r="F268" s="199" t="s">
        <v>121</v>
      </c>
      <c r="G268" s="164"/>
      <c r="H268" s="228"/>
      <c r="I268" s="223">
        <v>1.243E-2</v>
      </c>
      <c r="J268" s="217" t="s">
        <v>71</v>
      </c>
      <c r="K268" s="228"/>
      <c r="L268" s="228"/>
      <c r="M268" s="228"/>
      <c r="N268" s="223">
        <f>+ROUND('Scenario GSD Rates'!R193,5)</f>
        <v>1.243E-2</v>
      </c>
      <c r="O268" s="217" t="s">
        <v>71</v>
      </c>
      <c r="Q268" s="221">
        <f>IF(I268=0,0,+(N268-I268)/I268)</f>
        <v>0</v>
      </c>
      <c r="R268" s="228"/>
      <c r="S268" s="228"/>
      <c r="T268" s="228"/>
    </row>
    <row r="269" spans="1:20" ht="14.1" customHeight="1">
      <c r="A269" s="199">
        <v>17</v>
      </c>
      <c r="B269" s="227"/>
      <c r="C269" s="226"/>
      <c r="F269" s="199" t="s">
        <v>122</v>
      </c>
      <c r="H269" s="228"/>
      <c r="I269" s="223">
        <v>8.1700000000000002E-3</v>
      </c>
      <c r="J269" s="217" t="s">
        <v>71</v>
      </c>
      <c r="K269" s="228"/>
      <c r="L269" s="228"/>
      <c r="M269" s="228"/>
      <c r="N269" s="223">
        <f>+ROUND('Scenario GSD Rates'!R196,5)</f>
        <v>8.1700000000000002E-3</v>
      </c>
      <c r="O269" s="217" t="s">
        <v>71</v>
      </c>
      <c r="Q269" s="221">
        <f>IF(I269=0,0,+(N269-I269)/I269)</f>
        <v>0</v>
      </c>
      <c r="R269" s="228"/>
      <c r="S269" s="228"/>
      <c r="T269" s="228"/>
    </row>
    <row r="270" spans="1:20" ht="14.1" customHeight="1">
      <c r="A270" s="199">
        <v>18</v>
      </c>
      <c r="B270" s="227"/>
      <c r="C270" s="226"/>
      <c r="F270" s="199" t="s">
        <v>123</v>
      </c>
      <c r="I270" s="223">
        <v>4.6100000000000004E-3</v>
      </c>
      <c r="J270" s="217" t="s">
        <v>71</v>
      </c>
      <c r="N270" s="223">
        <f>+ROUND('Scenario GSD Rates'!R199,5)</f>
        <v>4.6100000000000004E-3</v>
      </c>
      <c r="O270" s="217" t="s">
        <v>71</v>
      </c>
      <c r="Q270" s="221">
        <f>IF(I270=0,0,+(N270-I270)/I270)</f>
        <v>0</v>
      </c>
      <c r="R270" s="228"/>
      <c r="S270" s="228"/>
      <c r="T270" s="228"/>
    </row>
    <row r="271" spans="1:20" ht="14.1" customHeight="1">
      <c r="A271" s="199">
        <v>19</v>
      </c>
      <c r="B271" s="227"/>
      <c r="C271" s="226"/>
      <c r="E271" s="204" t="s">
        <v>124</v>
      </c>
      <c r="G271" s="226"/>
      <c r="H271" s="228"/>
      <c r="I271" s="215"/>
      <c r="J271" s="228"/>
      <c r="K271" s="228"/>
      <c r="L271" s="228"/>
      <c r="M271" s="228"/>
      <c r="N271" s="215"/>
      <c r="O271" s="228"/>
      <c r="Q271" s="228"/>
      <c r="R271" s="228"/>
      <c r="S271" s="228"/>
      <c r="T271" s="228"/>
    </row>
    <row r="272" spans="1:20" ht="14.1" customHeight="1">
      <c r="A272" s="199">
        <v>20</v>
      </c>
      <c r="B272" s="227"/>
      <c r="C272" s="226"/>
      <c r="F272" s="199" t="s">
        <v>125</v>
      </c>
      <c r="G272" s="226"/>
      <c r="H272" s="228"/>
      <c r="I272" s="250">
        <v>2.4700000000000002</v>
      </c>
      <c r="J272" s="228" t="s">
        <v>101</v>
      </c>
      <c r="K272" s="228"/>
      <c r="L272" s="228"/>
      <c r="M272" s="228"/>
      <c r="N272" s="250">
        <f>+ROUND('Scenario GSD Rates'!R246,2)</f>
        <v>2.4700000000000002</v>
      </c>
      <c r="O272" s="228" t="s">
        <v>101</v>
      </c>
      <c r="Q272" s="221">
        <f>IF(I272=0,0,+(N272-I272)/I272)</f>
        <v>0</v>
      </c>
      <c r="R272" s="228"/>
      <c r="S272" s="228"/>
      <c r="T272" s="228"/>
    </row>
    <row r="273" spans="1:20" ht="14.1" customHeight="1">
      <c r="A273" s="199">
        <v>21</v>
      </c>
      <c r="B273" s="227"/>
      <c r="C273" s="226"/>
      <c r="F273" s="199" t="s">
        <v>126</v>
      </c>
      <c r="L273" s="228"/>
      <c r="M273" s="228"/>
      <c r="Q273" s="228"/>
      <c r="R273" s="228"/>
      <c r="S273" s="228"/>
      <c r="T273" s="228"/>
    </row>
    <row r="274" spans="1:20" ht="14.1" customHeight="1">
      <c r="A274" s="199">
        <v>22</v>
      </c>
      <c r="B274" s="227"/>
      <c r="C274" s="226"/>
      <c r="F274" s="199" t="s">
        <v>127</v>
      </c>
      <c r="I274" s="250">
        <v>2.36</v>
      </c>
      <c r="J274" s="199" t="s">
        <v>128</v>
      </c>
      <c r="L274" s="228"/>
      <c r="M274" s="228"/>
      <c r="N274" s="250">
        <f>+ROUND('Scenario GSD Rates'!R249,2)</f>
        <v>2.36</v>
      </c>
      <c r="O274" s="199" t="s">
        <v>128</v>
      </c>
      <c r="Q274" s="221">
        <f>IF(I274=0,0,+(N274-I274)/I274)</f>
        <v>0</v>
      </c>
      <c r="R274" s="228"/>
      <c r="S274" s="228"/>
      <c r="T274" s="228"/>
    </row>
    <row r="275" spans="1:20" ht="14.1" customHeight="1">
      <c r="A275" s="199">
        <v>23</v>
      </c>
      <c r="B275" s="227"/>
      <c r="C275" s="226"/>
      <c r="F275" s="199" t="s">
        <v>129</v>
      </c>
      <c r="I275" s="250">
        <v>0.93</v>
      </c>
      <c r="J275" s="199" t="s">
        <v>130</v>
      </c>
      <c r="L275" s="228"/>
      <c r="M275" s="228"/>
      <c r="N275" s="250">
        <f>+ROUND('Scenario GSD Rates'!R252,2)</f>
        <v>0.93</v>
      </c>
      <c r="O275" s="199" t="s">
        <v>130</v>
      </c>
      <c r="Q275" s="221">
        <f>IF(I275=0,0,+(N275-I275)/I275)</f>
        <v>0</v>
      </c>
      <c r="R275" s="228"/>
      <c r="S275" s="228"/>
      <c r="T275" s="228"/>
    </row>
    <row r="276" spans="1:20" ht="14.1" customHeight="1">
      <c r="A276" s="199">
        <v>24</v>
      </c>
      <c r="B276" s="227"/>
      <c r="C276" s="226"/>
      <c r="Q276" s="228"/>
      <c r="R276" s="228"/>
      <c r="S276" s="228"/>
      <c r="T276" s="228"/>
    </row>
    <row r="277" spans="1:20" ht="14.1" customHeight="1">
      <c r="A277" s="199">
        <v>25</v>
      </c>
      <c r="B277" s="227"/>
      <c r="C277" s="226"/>
      <c r="E277" s="232" t="s">
        <v>131</v>
      </c>
      <c r="G277" s="164"/>
      <c r="H277" s="228"/>
      <c r="Q277" s="228"/>
      <c r="R277" s="228"/>
      <c r="S277" s="228"/>
      <c r="T277" s="228"/>
    </row>
    <row r="278" spans="1:20" ht="14.1" customHeight="1">
      <c r="A278" s="199">
        <v>26</v>
      </c>
      <c r="B278" s="227"/>
      <c r="C278" s="226"/>
      <c r="F278" s="199" t="s">
        <v>132</v>
      </c>
      <c r="H278" s="228"/>
      <c r="I278" s="223">
        <v>8.9999999999999993E-3</v>
      </c>
      <c r="J278" s="217" t="s">
        <v>71</v>
      </c>
      <c r="K278" s="228"/>
      <c r="L278" s="228"/>
      <c r="M278" s="228"/>
      <c r="N278" s="223">
        <f>+ROUND('Scenario GSD Rates'!R205,5)</f>
        <v>8.9999999999999993E-3</v>
      </c>
      <c r="O278" s="217" t="s">
        <v>71</v>
      </c>
      <c r="Q278" s="221">
        <f>IF(I278=0,0,+(N278-I278)/I278)</f>
        <v>0</v>
      </c>
      <c r="R278" s="228"/>
      <c r="S278" s="228"/>
      <c r="T278" s="228"/>
    </row>
    <row r="279" spans="1:20" ht="14.1" customHeight="1">
      <c r="A279" s="199">
        <v>27</v>
      </c>
      <c r="B279" s="227"/>
      <c r="C279" s="226"/>
      <c r="Q279" s="228"/>
      <c r="R279" s="228"/>
      <c r="S279" s="228"/>
      <c r="T279" s="228"/>
    </row>
    <row r="280" spans="1:20" ht="14.1" customHeight="1">
      <c r="A280" s="199">
        <v>28</v>
      </c>
      <c r="B280" s="227"/>
      <c r="C280" s="226"/>
      <c r="R280" s="228"/>
      <c r="S280" s="228"/>
      <c r="T280" s="228"/>
    </row>
    <row r="281" spans="1:20" ht="14.1" customHeight="1">
      <c r="A281" s="199">
        <v>29</v>
      </c>
      <c r="B281" s="227"/>
      <c r="C281" s="226"/>
      <c r="R281" s="228"/>
      <c r="S281" s="228"/>
      <c r="T281" s="228"/>
    </row>
    <row r="282" spans="1:20" ht="14.1" customHeight="1">
      <c r="A282" s="199">
        <v>30</v>
      </c>
      <c r="B282" s="227"/>
      <c r="C282" s="226"/>
      <c r="R282" s="228"/>
      <c r="S282" s="228"/>
      <c r="T282" s="228"/>
    </row>
    <row r="283" spans="1:20" ht="14.1" customHeight="1">
      <c r="A283" s="199">
        <v>31</v>
      </c>
      <c r="B283" s="227"/>
      <c r="C283" s="226"/>
      <c r="R283" s="228"/>
      <c r="S283" s="228"/>
      <c r="T283" s="228"/>
    </row>
    <row r="284" spans="1:20" ht="14.1" customHeight="1">
      <c r="A284" s="199">
        <v>32</v>
      </c>
      <c r="B284" s="227"/>
      <c r="C284" s="226"/>
      <c r="R284" s="228"/>
      <c r="S284" s="228"/>
      <c r="T284" s="228"/>
    </row>
    <row r="285" spans="1:20" ht="14.1" customHeight="1">
      <c r="A285" s="199">
        <v>33</v>
      </c>
      <c r="B285" s="227"/>
      <c r="C285" s="226"/>
      <c r="R285" s="228"/>
      <c r="S285" s="228"/>
      <c r="T285" s="228"/>
    </row>
    <row r="286" spans="1:20" ht="14.1" customHeight="1">
      <c r="A286" s="199">
        <v>34</v>
      </c>
      <c r="B286" s="227"/>
      <c r="C286" s="226"/>
      <c r="R286" s="228"/>
      <c r="S286" s="228"/>
      <c r="T286" s="228"/>
    </row>
    <row r="287" spans="1:20" ht="14.1" customHeight="1">
      <c r="A287" s="199">
        <v>35</v>
      </c>
      <c r="B287" s="227"/>
      <c r="C287" s="226"/>
      <c r="R287" s="228"/>
      <c r="S287" s="228"/>
      <c r="T287" s="228"/>
    </row>
    <row r="288" spans="1:20" ht="14.1" customHeight="1" thickBot="1">
      <c r="A288" s="200">
        <v>36</v>
      </c>
      <c r="B288" s="238"/>
      <c r="C288" s="239"/>
      <c r="D288" s="200"/>
      <c r="E288" s="200"/>
      <c r="F288" s="200"/>
      <c r="G288" s="200"/>
      <c r="H288" s="200"/>
      <c r="I288" s="200"/>
      <c r="J288" s="200"/>
      <c r="K288" s="200"/>
      <c r="L288" s="200"/>
      <c r="M288" s="200"/>
      <c r="N288" s="200"/>
      <c r="O288" s="200"/>
      <c r="P288" s="200"/>
      <c r="Q288" s="200"/>
      <c r="R288" s="241"/>
      <c r="S288" s="241"/>
      <c r="T288" s="243" t="s">
        <v>133</v>
      </c>
    </row>
    <row r="289" spans="1:20" ht="14.1" customHeight="1"/>
    <row r="290" spans="1:20" ht="14.1" customHeight="1" thickBot="1">
      <c r="A290" s="200"/>
      <c r="B290" s="200"/>
      <c r="C290" s="200"/>
      <c r="D290" s="200"/>
      <c r="E290" s="200"/>
      <c r="F290" s="200"/>
      <c r="G290" s="200"/>
      <c r="H290" s="200"/>
      <c r="I290" s="200" t="s">
        <v>45</v>
      </c>
      <c r="J290" s="200"/>
      <c r="K290" s="200"/>
      <c r="L290" s="200"/>
      <c r="M290" s="200"/>
      <c r="N290" s="200"/>
      <c r="O290" s="200"/>
      <c r="P290" s="200"/>
      <c r="Q290" s="200"/>
      <c r="R290" s="200"/>
      <c r="S290" s="200"/>
      <c r="T290" s="201"/>
    </row>
    <row r="291" spans="1:20" ht="14.1" customHeight="1">
      <c r="F291" s="202"/>
      <c r="L291" s="203"/>
      <c r="M291" s="203"/>
      <c r="O291" s="203"/>
      <c r="P291" s="203"/>
      <c r="Q291" s="203"/>
      <c r="T291" s="204"/>
    </row>
    <row r="292" spans="1:20" ht="14.1" customHeight="1">
      <c r="L292" s="202"/>
      <c r="M292" s="204"/>
      <c r="P292" s="202"/>
      <c r="Q292" s="32"/>
      <c r="R292" s="31"/>
      <c r="T292" s="202"/>
    </row>
    <row r="293" spans="1:20" ht="14.1" customHeight="1">
      <c r="L293" s="202"/>
      <c r="M293" s="204"/>
      <c r="N293" s="202"/>
      <c r="Q293" s="32"/>
      <c r="R293" s="31"/>
      <c r="T293" s="202"/>
    </row>
    <row r="294" spans="1:20" ht="14.1" customHeight="1">
      <c r="L294" s="202"/>
      <c r="M294" s="204"/>
      <c r="N294" s="202"/>
      <c r="Q294" s="32"/>
      <c r="R294" s="31"/>
      <c r="T294" s="202"/>
    </row>
    <row r="295" spans="1:20" ht="14.1" customHeight="1" thickBot="1">
      <c r="A295" s="200"/>
      <c r="B295" s="200"/>
      <c r="C295" s="200"/>
      <c r="D295" s="200"/>
      <c r="E295" s="200"/>
      <c r="F295" s="200"/>
      <c r="G295" s="200"/>
      <c r="H295" s="200"/>
      <c r="I295" s="205"/>
      <c r="J295" s="200"/>
      <c r="K295" s="200"/>
      <c r="L295" s="200"/>
      <c r="M295" s="200"/>
      <c r="N295" s="200"/>
      <c r="O295" s="200"/>
      <c r="P295" s="200"/>
      <c r="Q295" s="200"/>
      <c r="R295" s="200"/>
      <c r="S295" s="200"/>
      <c r="T295" s="200"/>
    </row>
    <row r="296" spans="1:20" ht="14.1" customHeight="1">
      <c r="A296" s="199" t="str">
        <f>IF(+A$8="","",A$8)</f>
        <v/>
      </c>
      <c r="B296" s="206" t="str">
        <f t="shared" ref="B296:T296" si="29">IF(+B$8="","",B$8)</f>
        <v/>
      </c>
      <c r="C296" s="206" t="str">
        <f t="shared" si="29"/>
        <v>(1)</v>
      </c>
      <c r="D296" s="206" t="str">
        <f t="shared" si="29"/>
        <v/>
      </c>
      <c r="E296" s="206" t="str">
        <f t="shared" si="29"/>
        <v/>
      </c>
      <c r="F296" s="206" t="str">
        <f t="shared" si="29"/>
        <v>(2)</v>
      </c>
      <c r="G296" s="206" t="str">
        <f t="shared" si="29"/>
        <v/>
      </c>
      <c r="H296" s="206" t="str">
        <f>IF(+H$8="","",H$8)</f>
        <v/>
      </c>
      <c r="I296" s="206" t="str">
        <f>IF(+I$8="","",I$8)</f>
        <v>(3)</v>
      </c>
      <c r="J296" s="206" t="str">
        <f>IF(+J$8="","",J$8)</f>
        <v/>
      </c>
      <c r="K296" s="206"/>
      <c r="L296" s="206" t="str">
        <f t="shared" si="29"/>
        <v>(4)</v>
      </c>
      <c r="M296" s="206" t="str">
        <f t="shared" si="29"/>
        <v/>
      </c>
      <c r="N296" s="206" t="str">
        <f t="shared" si="29"/>
        <v>(5)</v>
      </c>
      <c r="O296" s="206" t="str">
        <f t="shared" si="29"/>
        <v/>
      </c>
      <c r="Q296" s="206" t="str">
        <f>IF(+Q$8="","",Q$8)</f>
        <v>(6)</v>
      </c>
      <c r="R296" s="206" t="str">
        <f t="shared" si="29"/>
        <v/>
      </c>
      <c r="S296" s="206" t="str">
        <f t="shared" si="29"/>
        <v/>
      </c>
      <c r="T296" s="206" t="str">
        <f t="shared" si="29"/>
        <v/>
      </c>
    </row>
    <row r="297" spans="1:20" ht="14.1" customHeight="1">
      <c r="A297" s="199" t="str">
        <f>IF(+A$9="","",A$9)</f>
        <v/>
      </c>
      <c r="B297" s="206" t="str">
        <f t="shared" ref="B297:T297" si="30">IF(+B$9="","",B$9)</f>
        <v/>
      </c>
      <c r="C297" s="206" t="str">
        <f t="shared" si="30"/>
        <v/>
      </c>
      <c r="D297" s="206" t="str">
        <f t="shared" si="30"/>
        <v/>
      </c>
      <c r="E297" s="206" t="str">
        <f t="shared" si="30"/>
        <v/>
      </c>
      <c r="F297" s="206" t="str">
        <f t="shared" si="30"/>
        <v/>
      </c>
      <c r="G297" s="206" t="str">
        <f t="shared" si="30"/>
        <v/>
      </c>
      <c r="H297" s="206" t="str">
        <f>IF(+H$9="","",H$9)</f>
        <v/>
      </c>
      <c r="I297" s="206" t="str">
        <f>IF(+I$9="","",I$9)</f>
        <v/>
      </c>
      <c r="J297" s="206" t="str">
        <f>IF(+J$9="","",J$9)</f>
        <v/>
      </c>
      <c r="K297" s="206"/>
      <c r="L297" s="206" t="str">
        <f t="shared" si="30"/>
        <v/>
      </c>
      <c r="M297" s="206" t="str">
        <f t="shared" si="30"/>
        <v/>
      </c>
      <c r="N297" s="206" t="str">
        <f t="shared" si="30"/>
        <v/>
      </c>
      <c r="O297" s="206" t="str">
        <f t="shared" si="30"/>
        <v/>
      </c>
      <c r="Q297" s="206" t="str">
        <f>IF(+Q$9="","",Q$9)</f>
        <v/>
      </c>
      <c r="R297" s="206" t="str">
        <f t="shared" si="30"/>
        <v/>
      </c>
      <c r="S297" s="206" t="str">
        <f t="shared" si="30"/>
        <v/>
      </c>
      <c r="T297" s="206" t="str">
        <f t="shared" si="30"/>
        <v/>
      </c>
    </row>
    <row r="298" spans="1:20" ht="14.1" customHeight="1">
      <c r="A298" s="199" t="str">
        <f>IF(+A$10="","",A$10)</f>
        <v/>
      </c>
      <c r="B298" s="206" t="str">
        <f t="shared" ref="B298:T298" si="31">IF(+B$10="","",B$10)</f>
        <v/>
      </c>
      <c r="C298" s="206" t="str">
        <f t="shared" si="31"/>
        <v xml:space="preserve">Current </v>
      </c>
      <c r="D298" s="206" t="str">
        <f t="shared" si="31"/>
        <v/>
      </c>
      <c r="E298" s="206" t="str">
        <f t="shared" si="31"/>
        <v/>
      </c>
      <c r="F298" s="206" t="str">
        <f t="shared" si="31"/>
        <v/>
      </c>
      <c r="G298" s="206" t="str">
        <f t="shared" si="31"/>
        <v/>
      </c>
      <c r="H298" s="206" t="str">
        <f>IF(+H$10="","",H$10)</f>
        <v/>
      </c>
      <c r="I298" s="206" t="str">
        <f>IF(+I$10="","",I$10)</f>
        <v/>
      </c>
      <c r="J298" s="206" t="str">
        <f>IF(+J$10="","",J$10)</f>
        <v/>
      </c>
      <c r="K298" s="206"/>
      <c r="L298" s="206" t="str">
        <f t="shared" si="31"/>
        <v>Proposed</v>
      </c>
      <c r="M298" s="206" t="str">
        <f t="shared" si="31"/>
        <v/>
      </c>
      <c r="N298" s="206" t="str">
        <f t="shared" si="31"/>
        <v/>
      </c>
      <c r="O298" s="206" t="str">
        <f t="shared" si="31"/>
        <v/>
      </c>
      <c r="Q298" s="206" t="str">
        <f>IF(+Q$10="","",Q$10)</f>
        <v>Percent</v>
      </c>
      <c r="R298" s="206" t="str">
        <f t="shared" si="31"/>
        <v/>
      </c>
      <c r="S298" s="206" t="str">
        <f t="shared" si="31"/>
        <v/>
      </c>
      <c r="T298" s="206" t="str">
        <f t="shared" si="31"/>
        <v/>
      </c>
    </row>
    <row r="299" spans="1:20" ht="14.1" customHeight="1">
      <c r="A299" s="199" t="str">
        <f>IF(+A$11="","",A$11)</f>
        <v>Line</v>
      </c>
      <c r="B299" s="206" t="str">
        <f t="shared" ref="B299:T299" si="32">IF(+B$11="","",B$11)</f>
        <v/>
      </c>
      <c r="C299" s="206" t="str">
        <f t="shared" si="32"/>
        <v>Rate</v>
      </c>
      <c r="D299" s="206" t="str">
        <f t="shared" si="32"/>
        <v/>
      </c>
      <c r="E299" s="206" t="str">
        <f t="shared" si="32"/>
        <v/>
      </c>
      <c r="F299" s="206" t="str">
        <f t="shared" si="32"/>
        <v/>
      </c>
      <c r="G299" s="206" t="str">
        <f t="shared" si="32"/>
        <v/>
      </c>
      <c r="H299" s="206" t="str">
        <f>IF(+H$11="","",H$11)</f>
        <v/>
      </c>
      <c r="I299" s="207" t="s">
        <v>57</v>
      </c>
      <c r="J299" s="207"/>
      <c r="K299" s="207"/>
      <c r="L299" s="207" t="s">
        <v>56</v>
      </c>
      <c r="M299" s="207"/>
      <c r="N299" s="207" t="s">
        <v>58</v>
      </c>
      <c r="O299" s="206" t="str">
        <f t="shared" si="32"/>
        <v/>
      </c>
      <c r="Q299" s="206" t="str">
        <f>IF(+Q$11="","",Q$11)</f>
        <v>Increase</v>
      </c>
      <c r="R299" s="206" t="str">
        <f t="shared" si="32"/>
        <v/>
      </c>
      <c r="S299" s="206" t="str">
        <f t="shared" si="32"/>
        <v/>
      </c>
      <c r="T299" s="206" t="str">
        <f t="shared" si="32"/>
        <v/>
      </c>
    </row>
    <row r="300" spans="1:20" ht="14.1" customHeight="1" thickBot="1">
      <c r="A300" s="200" t="str">
        <f>IF(+A$12="","",A$12)</f>
        <v>No.</v>
      </c>
      <c r="B300" s="205" t="str">
        <f t="shared" ref="B300:T300" si="33">IF(+B$12="","",B$12)</f>
        <v/>
      </c>
      <c r="C300" s="205" t="str">
        <f t="shared" si="33"/>
        <v>Schedule</v>
      </c>
      <c r="D300" s="205" t="str">
        <f t="shared" si="33"/>
        <v/>
      </c>
      <c r="E300" s="205"/>
      <c r="F300" s="205" t="str">
        <f t="shared" si="33"/>
        <v>Type of Charge</v>
      </c>
      <c r="G300" s="205"/>
      <c r="H300" s="205" t="str">
        <f>IF(+H$12="","",H$12)</f>
        <v/>
      </c>
      <c r="I300" s="205" t="str">
        <f>IF(+I$12="","",I$12)</f>
        <v>Rate</v>
      </c>
      <c r="J300" s="205" t="str">
        <f>IF(+J$12="","",J$12)</f>
        <v/>
      </c>
      <c r="K300" s="205"/>
      <c r="L300" s="205" t="str">
        <f t="shared" si="33"/>
        <v>Schedule</v>
      </c>
      <c r="M300" s="205" t="str">
        <f t="shared" si="33"/>
        <v/>
      </c>
      <c r="N300" s="205" t="str">
        <f t="shared" si="33"/>
        <v>Rate</v>
      </c>
      <c r="O300" s="205" t="str">
        <f t="shared" si="33"/>
        <v/>
      </c>
      <c r="P300" s="200"/>
      <c r="Q300" s="205" t="str">
        <f>IF(+Q$12="","",Q$12)</f>
        <v>((5)-(3))/(3)</v>
      </c>
      <c r="R300" s="205" t="str">
        <f t="shared" si="33"/>
        <v/>
      </c>
      <c r="S300" s="205" t="str">
        <f t="shared" si="33"/>
        <v/>
      </c>
      <c r="T300" s="205" t="str">
        <f t="shared" si="33"/>
        <v/>
      </c>
    </row>
    <row r="301" spans="1:20" ht="14.1" customHeight="1">
      <c r="A301" s="199">
        <v>1</v>
      </c>
      <c r="B301" s="324" t="s">
        <v>134</v>
      </c>
      <c r="C301" s="324"/>
      <c r="D301" s="324"/>
      <c r="E301" s="251"/>
      <c r="G301" s="164"/>
      <c r="H301" s="226"/>
      <c r="J301" s="226"/>
      <c r="K301" s="226"/>
      <c r="L301" s="233"/>
      <c r="M301" s="226"/>
      <c r="N301" s="226"/>
      <c r="O301" s="226"/>
      <c r="Q301" s="226"/>
      <c r="R301" s="226"/>
      <c r="S301" s="226"/>
      <c r="T301" s="226"/>
    </row>
    <row r="302" spans="1:20" ht="14.1" customHeight="1">
      <c r="A302" s="199">
        <v>2</v>
      </c>
      <c r="B302" s="227"/>
      <c r="C302" s="233" t="s">
        <v>114</v>
      </c>
      <c r="L302" s="233" t="s">
        <v>114</v>
      </c>
      <c r="R302" s="226"/>
      <c r="S302" s="226"/>
      <c r="T302" s="226"/>
    </row>
    <row r="303" spans="1:20" ht="14.1" customHeight="1">
      <c r="A303" s="199">
        <v>3</v>
      </c>
      <c r="B303" s="227"/>
      <c r="E303" s="232" t="s">
        <v>105</v>
      </c>
      <c r="G303" s="164"/>
      <c r="H303" s="228"/>
      <c r="I303" s="215"/>
      <c r="J303" s="228"/>
      <c r="K303" s="228"/>
      <c r="L303" s="228"/>
      <c r="M303" s="228"/>
      <c r="N303" s="215"/>
      <c r="O303" s="228"/>
      <c r="Q303" s="228"/>
      <c r="R303" s="226"/>
      <c r="S303" s="226"/>
      <c r="T303" s="226"/>
    </row>
    <row r="304" spans="1:20" ht="14.1" customHeight="1">
      <c r="A304" s="199">
        <v>4</v>
      </c>
      <c r="B304" s="227"/>
      <c r="F304" s="199" t="s">
        <v>135</v>
      </c>
      <c r="R304" s="228"/>
      <c r="S304" s="228"/>
      <c r="T304" s="228"/>
    </row>
    <row r="305" spans="1:20" ht="14.1" customHeight="1">
      <c r="A305" s="199">
        <v>5</v>
      </c>
      <c r="B305" s="227"/>
      <c r="C305" s="164"/>
      <c r="F305" s="222" t="s">
        <v>86</v>
      </c>
      <c r="I305" s="215">
        <v>-0.54</v>
      </c>
      <c r="J305" s="228" t="s">
        <v>101</v>
      </c>
      <c r="K305" s="228"/>
      <c r="N305" s="215">
        <f>+ROUND('Scenario GSD Rates'!R307,2)</f>
        <v>-0.54</v>
      </c>
      <c r="O305" s="228" t="s">
        <v>101</v>
      </c>
      <c r="Q305" s="221">
        <f>IF(I305=0,0,+(N305-I305)/I305)</f>
        <v>0</v>
      </c>
      <c r="R305" s="228"/>
      <c r="S305" s="228"/>
      <c r="T305" s="228"/>
    </row>
    <row r="306" spans="1:20" ht="14.1" customHeight="1">
      <c r="A306" s="199">
        <v>6</v>
      </c>
      <c r="B306" s="227"/>
      <c r="C306" s="164"/>
      <c r="F306" s="222" t="s">
        <v>87</v>
      </c>
      <c r="I306" s="215">
        <v>-3.09</v>
      </c>
      <c r="J306" s="228" t="s">
        <v>101</v>
      </c>
      <c r="K306" s="228"/>
      <c r="N306" s="215">
        <f>+ROUND('Scenario GSD Rates'!R308,2)</f>
        <v>-3.09</v>
      </c>
      <c r="O306" s="228" t="s">
        <v>101</v>
      </c>
      <c r="Q306" s="221">
        <f>IF(I306=0,0,+(N306-I306)/I306)</f>
        <v>0</v>
      </c>
      <c r="R306" s="228"/>
      <c r="S306" s="228"/>
      <c r="T306" s="228"/>
    </row>
    <row r="307" spans="1:20" ht="14.1" customHeight="1">
      <c r="A307" s="199">
        <v>7</v>
      </c>
      <c r="B307" s="227"/>
      <c r="C307" s="164"/>
      <c r="F307" s="252" t="s">
        <v>92</v>
      </c>
      <c r="H307" s="228"/>
      <c r="I307" s="215">
        <v>-0.54</v>
      </c>
      <c r="J307" s="228" t="s">
        <v>101</v>
      </c>
      <c r="K307" s="228"/>
      <c r="L307" s="228"/>
      <c r="M307" s="228"/>
      <c r="N307" s="215">
        <f>+ROUND('Scenario GSD Rates'!R309,2)</f>
        <v>-0.54</v>
      </c>
      <c r="O307" s="228" t="s">
        <v>101</v>
      </c>
      <c r="Q307" s="221">
        <f>IF(I307=0,0,+(N307-I307)/I307)</f>
        <v>0</v>
      </c>
      <c r="R307" s="228"/>
      <c r="S307" s="228"/>
      <c r="T307" s="228"/>
    </row>
    <row r="308" spans="1:20" ht="14.1" customHeight="1">
      <c r="A308" s="199">
        <v>8</v>
      </c>
      <c r="B308" s="227"/>
      <c r="C308" s="164"/>
      <c r="F308" s="252" t="s">
        <v>93</v>
      </c>
      <c r="H308" s="228"/>
      <c r="I308" s="215">
        <v>-3.09</v>
      </c>
      <c r="J308" s="228" t="s">
        <v>101</v>
      </c>
      <c r="K308" s="228"/>
      <c r="L308" s="228"/>
      <c r="M308" s="228"/>
      <c r="N308" s="215">
        <f>+ROUND('Scenario GSD Rates'!R310,2)</f>
        <v>-3.09</v>
      </c>
      <c r="O308" s="228" t="s">
        <v>101</v>
      </c>
      <c r="Q308" s="221">
        <f>IF(I308=0,0,+(N308-I308)/I308)</f>
        <v>0</v>
      </c>
      <c r="R308" s="228"/>
      <c r="S308" s="228"/>
      <c r="T308" s="228"/>
    </row>
    <row r="309" spans="1:20" ht="14.1" customHeight="1">
      <c r="A309" s="199">
        <v>9</v>
      </c>
      <c r="B309" s="227"/>
      <c r="C309" s="164"/>
      <c r="F309" s="199" t="s">
        <v>136</v>
      </c>
      <c r="R309" s="228"/>
      <c r="S309" s="228"/>
      <c r="T309" s="228"/>
    </row>
    <row r="310" spans="1:20" ht="14.1" customHeight="1">
      <c r="A310" s="199">
        <v>10</v>
      </c>
      <c r="B310" s="227"/>
      <c r="C310" s="226"/>
      <c r="F310" s="222" t="s">
        <v>86</v>
      </c>
      <c r="I310" s="215">
        <v>-2.06</v>
      </c>
      <c r="N310" s="215">
        <f>+ROUND('Scenario GSD Rates'!R313,2)</f>
        <v>-2.06</v>
      </c>
      <c r="R310" s="228"/>
      <c r="S310" s="228"/>
      <c r="T310" s="228"/>
    </row>
    <row r="311" spans="1:20" ht="14.1" customHeight="1">
      <c r="A311" s="199">
        <v>11</v>
      </c>
      <c r="B311" s="227"/>
      <c r="C311" s="226"/>
      <c r="F311" s="222" t="s">
        <v>87</v>
      </c>
      <c r="I311" s="215">
        <v>-2.5099999999999998</v>
      </c>
      <c r="N311" s="215">
        <f>+ROUND('Scenario GSD Rates'!R314,2)</f>
        <v>-2.5099999999999998</v>
      </c>
      <c r="R311" s="228"/>
      <c r="S311" s="228"/>
      <c r="T311" s="228"/>
    </row>
    <row r="312" spans="1:20" ht="14.1" customHeight="1">
      <c r="A312" s="199">
        <v>12</v>
      </c>
      <c r="B312" s="227"/>
      <c r="C312" s="226"/>
      <c r="F312" s="222" t="s">
        <v>137</v>
      </c>
      <c r="G312" s="164"/>
      <c r="H312" s="228"/>
      <c r="I312" s="215">
        <v>-2.06</v>
      </c>
      <c r="J312" s="228" t="s">
        <v>101</v>
      </c>
      <c r="K312" s="228"/>
      <c r="L312" s="228"/>
      <c r="M312" s="228"/>
      <c r="N312" s="215">
        <f>+ROUND('Scenario GSD Rates'!R315,2)</f>
        <v>-2.06</v>
      </c>
      <c r="O312" s="228" t="s">
        <v>101</v>
      </c>
      <c r="Q312" s="221">
        <f>IF(I312=0,0,+(N312-I312)/I312)</f>
        <v>0</v>
      </c>
      <c r="R312" s="228"/>
      <c r="S312" s="228"/>
      <c r="T312" s="228"/>
    </row>
    <row r="313" spans="1:20" ht="14.1" customHeight="1">
      <c r="A313" s="199">
        <v>13</v>
      </c>
      <c r="B313" s="227"/>
      <c r="C313" s="226"/>
      <c r="F313" s="253" t="s">
        <v>138</v>
      </c>
      <c r="I313" s="215">
        <v>-2.5099999999999998</v>
      </c>
      <c r="J313" s="228" t="s">
        <v>101</v>
      </c>
      <c r="K313" s="228"/>
      <c r="N313" s="215">
        <f>+ROUND('Scenario GSD Rates'!R316,2)</f>
        <v>-2.5099999999999998</v>
      </c>
      <c r="O313" s="228" t="s">
        <v>101</v>
      </c>
      <c r="Q313" s="254">
        <f>IF(I313=0,0,+(N313-I313)/I313)</f>
        <v>0</v>
      </c>
      <c r="R313" s="228"/>
      <c r="S313" s="228"/>
      <c r="T313" s="228"/>
    </row>
    <row r="314" spans="1:20" ht="14.1" customHeight="1">
      <c r="A314" s="199">
        <v>14</v>
      </c>
      <c r="B314" s="227"/>
      <c r="C314" s="226"/>
      <c r="R314" s="228"/>
      <c r="S314" s="228"/>
      <c r="T314" s="228"/>
    </row>
    <row r="315" spans="1:20" ht="14.1" customHeight="1">
      <c r="A315" s="199">
        <v>15</v>
      </c>
      <c r="B315" s="227"/>
      <c r="C315" s="226"/>
      <c r="E315" s="237" t="s">
        <v>139</v>
      </c>
      <c r="G315" s="228"/>
      <c r="H315" s="228"/>
      <c r="R315" s="228"/>
      <c r="S315" s="228"/>
      <c r="T315" s="228"/>
    </row>
    <row r="316" spans="1:20" ht="14.1" customHeight="1">
      <c r="A316" s="199">
        <v>16</v>
      </c>
      <c r="B316" s="227"/>
      <c r="C316" s="226"/>
      <c r="F316" s="199" t="s">
        <v>140</v>
      </c>
      <c r="I316" s="215">
        <v>1.02</v>
      </c>
      <c r="J316" s="228" t="s">
        <v>101</v>
      </c>
      <c r="K316" s="228"/>
      <c r="L316" s="228"/>
      <c r="M316" s="228"/>
      <c r="N316" s="215">
        <f>+ROUND('Scenario GSD Rates'!R344,2)</f>
        <v>1.02</v>
      </c>
      <c r="O316" s="228" t="s">
        <v>101</v>
      </c>
      <c r="Q316" s="221">
        <f>IF(I316=0,0,+(N316-I316)/I316)</f>
        <v>0</v>
      </c>
      <c r="R316" s="228"/>
      <c r="S316" s="228"/>
      <c r="T316" s="228"/>
    </row>
    <row r="317" spans="1:20" ht="14.1" customHeight="1">
      <c r="A317" s="199">
        <v>17</v>
      </c>
      <c r="B317" s="227"/>
      <c r="C317" s="226"/>
      <c r="I317" s="215"/>
      <c r="J317" s="228"/>
      <c r="N317" s="215"/>
      <c r="O317" s="228"/>
      <c r="Q317" s="221"/>
      <c r="R317" s="228"/>
      <c r="S317" s="228"/>
      <c r="T317" s="228"/>
    </row>
    <row r="318" spans="1:20" ht="14.1" customHeight="1">
      <c r="A318" s="199">
        <v>18</v>
      </c>
      <c r="B318" s="227"/>
      <c r="C318" s="226"/>
      <c r="R318" s="228"/>
      <c r="S318" s="228"/>
      <c r="T318" s="228"/>
    </row>
    <row r="319" spans="1:20" ht="14.1" customHeight="1">
      <c r="A319" s="199">
        <v>19</v>
      </c>
      <c r="B319" s="227"/>
      <c r="C319" s="226"/>
      <c r="E319" s="199" t="s">
        <v>141</v>
      </c>
      <c r="I319" s="255">
        <v>2.0300000000000001E-3</v>
      </c>
      <c r="J319" s="199" t="s">
        <v>142</v>
      </c>
      <c r="L319" s="228"/>
      <c r="M319" s="228"/>
      <c r="N319" s="255">
        <f>+ROUND('Scenario GSD Rates'!R290,5)</f>
        <v>2.0300000000000001E-3</v>
      </c>
      <c r="O319" s="199" t="s">
        <v>142</v>
      </c>
      <c r="Q319" s="221">
        <f>IF(I319=0,0,+(N319-I319)/I319)</f>
        <v>0</v>
      </c>
      <c r="R319" s="228"/>
      <c r="S319" s="228"/>
      <c r="T319" s="228"/>
    </row>
    <row r="320" spans="1:20" ht="14.1" customHeight="1">
      <c r="A320" s="199">
        <v>20</v>
      </c>
      <c r="B320" s="227"/>
      <c r="C320" s="226"/>
      <c r="Q320" s="228"/>
      <c r="R320" s="228"/>
      <c r="S320" s="228"/>
      <c r="T320" s="228"/>
    </row>
    <row r="321" spans="1:20" ht="14.1" customHeight="1">
      <c r="A321" s="199">
        <v>21</v>
      </c>
      <c r="B321" s="227"/>
      <c r="C321" s="226"/>
      <c r="E321" s="199" t="s">
        <v>143</v>
      </c>
      <c r="F321" s="164"/>
      <c r="G321" s="228"/>
      <c r="H321" s="228"/>
      <c r="I321" s="255">
        <v>-1.0200000000000001E-3</v>
      </c>
      <c r="J321" s="199" t="s">
        <v>142</v>
      </c>
      <c r="L321" s="228"/>
      <c r="M321" s="228"/>
      <c r="N321" s="255">
        <f>+ROUND('Scenario GSD Rates'!R298,5)</f>
        <v>-1.0200000000000001E-3</v>
      </c>
      <c r="O321" s="199" t="s">
        <v>142</v>
      </c>
      <c r="Q321" s="221">
        <f>IF(I321=0,0,+(N321-I321)/I321)</f>
        <v>0</v>
      </c>
      <c r="R321" s="228"/>
      <c r="S321" s="228"/>
      <c r="T321" s="228"/>
    </row>
    <row r="322" spans="1:20" ht="14.1" customHeight="1">
      <c r="A322" s="199">
        <v>22</v>
      </c>
      <c r="B322" s="227"/>
      <c r="C322" s="226"/>
      <c r="R322" s="228"/>
      <c r="S322" s="228"/>
      <c r="T322" s="228"/>
    </row>
    <row r="323" spans="1:20" ht="14.1" customHeight="1">
      <c r="A323" s="199">
        <v>23</v>
      </c>
      <c r="B323" s="227"/>
      <c r="C323" s="226"/>
      <c r="E323" s="232" t="s">
        <v>112</v>
      </c>
      <c r="H323" s="228"/>
      <c r="I323" s="215"/>
      <c r="J323" s="228"/>
      <c r="K323" s="228"/>
      <c r="L323" s="228"/>
      <c r="M323" s="228"/>
      <c r="N323" s="215"/>
      <c r="O323" s="228"/>
      <c r="Q323" s="228"/>
      <c r="R323" s="228"/>
      <c r="S323" s="228"/>
      <c r="T323" s="228"/>
    </row>
    <row r="324" spans="1:20" ht="14.1" customHeight="1">
      <c r="A324" s="199">
        <v>24</v>
      </c>
      <c r="B324" s="227"/>
      <c r="C324" s="226"/>
      <c r="F324" s="199" t="s">
        <v>144</v>
      </c>
      <c r="G324" s="226"/>
      <c r="H324" s="228"/>
      <c r="R324" s="228"/>
      <c r="S324" s="228"/>
      <c r="T324" s="228"/>
    </row>
    <row r="325" spans="1:20" ht="14.1" customHeight="1">
      <c r="A325" s="199">
        <v>25</v>
      </c>
      <c r="B325" s="227"/>
      <c r="C325" s="226"/>
      <c r="F325" s="222" t="s">
        <v>86</v>
      </c>
      <c r="G325" s="226"/>
      <c r="H325" s="228"/>
      <c r="I325" s="256">
        <v>-1</v>
      </c>
      <c r="J325" s="228" t="s">
        <v>113</v>
      </c>
      <c r="K325" s="228"/>
      <c r="L325" s="228"/>
      <c r="M325" s="228"/>
      <c r="N325" s="256">
        <f>+'Scenario GSD Rates'!R353*100</f>
        <v>-1</v>
      </c>
      <c r="O325" s="228" t="s">
        <v>113</v>
      </c>
      <c r="Q325" s="221">
        <f>IF(I325=0,0,+(N325-I325)/I325)</f>
        <v>0</v>
      </c>
      <c r="R325" s="228"/>
      <c r="S325" s="228"/>
      <c r="T325" s="228"/>
    </row>
    <row r="326" spans="1:20" ht="14.1" customHeight="1">
      <c r="A326" s="199">
        <v>26</v>
      </c>
      <c r="B326" s="227"/>
      <c r="C326" s="226"/>
      <c r="F326" s="222" t="s">
        <v>87</v>
      </c>
      <c r="I326" s="256">
        <v>-2</v>
      </c>
      <c r="J326" s="228" t="s">
        <v>113</v>
      </c>
      <c r="K326" s="228"/>
      <c r="L326" s="228"/>
      <c r="M326" s="228"/>
      <c r="N326" s="256">
        <f>+'Scenario GSD Rates'!R354*100</f>
        <v>-2</v>
      </c>
      <c r="O326" s="228" t="s">
        <v>113</v>
      </c>
      <c r="Q326" s="221">
        <f>IF(I326=0,0,+(N326-I326)/I326)</f>
        <v>0</v>
      </c>
      <c r="R326" s="228"/>
      <c r="S326" s="228"/>
      <c r="T326" s="228"/>
    </row>
    <row r="327" spans="1:20" ht="14.1" customHeight="1">
      <c r="A327" s="199">
        <v>27</v>
      </c>
      <c r="B327" s="227"/>
      <c r="C327" s="226"/>
      <c r="F327" s="252" t="s">
        <v>92</v>
      </c>
      <c r="I327" s="256">
        <v>-1</v>
      </c>
      <c r="J327" s="228" t="s">
        <v>113</v>
      </c>
      <c r="K327" s="228"/>
      <c r="N327" s="256">
        <f>+'Scenario GSD Rates'!R355*100</f>
        <v>-1</v>
      </c>
      <c r="O327" s="228" t="s">
        <v>113</v>
      </c>
      <c r="Q327" s="221">
        <f>IF(I327=0,0,+(N327-I327)/I327)</f>
        <v>0</v>
      </c>
      <c r="R327" s="228"/>
      <c r="S327" s="228"/>
      <c r="T327" s="228"/>
    </row>
    <row r="328" spans="1:20" ht="14.1" customHeight="1">
      <c r="A328" s="199">
        <v>28</v>
      </c>
      <c r="B328" s="227"/>
      <c r="C328" s="226"/>
      <c r="F328" s="252" t="s">
        <v>93</v>
      </c>
      <c r="I328" s="256">
        <v>-2</v>
      </c>
      <c r="J328" s="228" t="s">
        <v>113</v>
      </c>
      <c r="K328" s="228"/>
      <c r="N328" s="256">
        <f>+'Scenario GSD Rates'!R356*100</f>
        <v>-2</v>
      </c>
      <c r="O328" s="228" t="s">
        <v>113</v>
      </c>
      <c r="Q328" s="221">
        <f>IF(I328=0,0,+(N328-I328)/I328)</f>
        <v>0</v>
      </c>
      <c r="R328" s="228"/>
      <c r="S328" s="228"/>
      <c r="T328" s="228"/>
    </row>
    <row r="329" spans="1:20" ht="14.1" customHeight="1">
      <c r="A329" s="199">
        <v>29</v>
      </c>
      <c r="B329" s="227"/>
      <c r="C329" s="226"/>
      <c r="R329" s="228"/>
      <c r="S329" s="228"/>
      <c r="T329" s="228"/>
    </row>
    <row r="330" spans="1:20" ht="14.1" customHeight="1">
      <c r="A330" s="199">
        <v>30</v>
      </c>
      <c r="B330" s="227"/>
      <c r="C330" s="226"/>
      <c r="R330" s="228"/>
      <c r="S330" s="228"/>
      <c r="T330" s="228"/>
    </row>
    <row r="331" spans="1:20" ht="14.1" customHeight="1">
      <c r="A331" s="199">
        <v>31</v>
      </c>
      <c r="B331" s="227"/>
      <c r="C331" s="226"/>
      <c r="R331" s="228"/>
      <c r="S331" s="228"/>
      <c r="T331" s="228"/>
    </row>
    <row r="332" spans="1:20" ht="14.1" customHeight="1">
      <c r="A332" s="199">
        <v>32</v>
      </c>
      <c r="B332" s="227"/>
      <c r="C332" s="226"/>
      <c r="R332" s="228"/>
      <c r="S332" s="228"/>
      <c r="T332" s="228"/>
    </row>
    <row r="333" spans="1:20" ht="14.1" customHeight="1">
      <c r="A333" s="199">
        <v>33</v>
      </c>
      <c r="B333" s="227"/>
      <c r="C333" s="226"/>
      <c r="L333" s="228"/>
      <c r="M333" s="228"/>
      <c r="Q333" s="228"/>
      <c r="R333" s="228"/>
      <c r="S333" s="228"/>
      <c r="T333" s="228"/>
    </row>
    <row r="334" spans="1:20" ht="14.1" customHeight="1">
      <c r="A334" s="199">
        <v>34</v>
      </c>
      <c r="B334" s="227"/>
      <c r="C334" s="226"/>
      <c r="E334" s="237"/>
      <c r="G334" s="228"/>
      <c r="H334" s="228"/>
      <c r="I334" s="215"/>
      <c r="J334" s="228"/>
      <c r="K334" s="228"/>
      <c r="L334" s="228"/>
      <c r="M334" s="228"/>
      <c r="N334" s="215"/>
      <c r="O334" s="228"/>
      <c r="Q334" s="221"/>
      <c r="R334" s="228"/>
      <c r="S334" s="228"/>
      <c r="T334" s="228"/>
    </row>
    <row r="335" spans="1:20" ht="14.1" customHeight="1">
      <c r="A335" s="199">
        <v>35</v>
      </c>
      <c r="B335" s="227"/>
      <c r="C335" s="226"/>
      <c r="L335" s="228"/>
      <c r="M335" s="228"/>
      <c r="Q335" s="228"/>
      <c r="R335" s="228"/>
      <c r="S335" s="228"/>
      <c r="T335" s="228"/>
    </row>
    <row r="336" spans="1:20" ht="14.1" customHeight="1" thickBot="1">
      <c r="A336" s="200">
        <v>36</v>
      </c>
      <c r="B336" s="238"/>
      <c r="C336" s="239"/>
      <c r="D336" s="200"/>
      <c r="E336" s="200"/>
      <c r="F336" s="200"/>
      <c r="G336" s="200"/>
      <c r="H336" s="200"/>
      <c r="I336" s="257"/>
      <c r="J336" s="200"/>
      <c r="K336" s="200"/>
      <c r="L336" s="241"/>
      <c r="M336" s="241"/>
      <c r="N336" s="257"/>
      <c r="O336" s="200"/>
      <c r="P336" s="200"/>
      <c r="Q336" s="249"/>
      <c r="R336" s="241"/>
      <c r="S336" s="241"/>
      <c r="T336" s="241"/>
    </row>
    <row r="337" spans="1:20" ht="14.1" customHeight="1"/>
    <row r="338" spans="1:20" ht="14.1" customHeight="1" thickBot="1">
      <c r="A338" s="200"/>
      <c r="B338" s="200"/>
      <c r="C338" s="200"/>
      <c r="D338" s="200"/>
      <c r="E338" s="200"/>
      <c r="F338" s="200"/>
      <c r="G338" s="200"/>
      <c r="H338" s="200"/>
      <c r="I338" s="200" t="s">
        <v>45</v>
      </c>
      <c r="J338" s="200"/>
      <c r="K338" s="200"/>
      <c r="L338" s="200"/>
      <c r="M338" s="200"/>
      <c r="N338" s="200"/>
      <c r="O338" s="200"/>
      <c r="P338" s="200"/>
      <c r="Q338" s="200"/>
      <c r="R338" s="200"/>
      <c r="S338" s="200"/>
      <c r="T338" s="201"/>
    </row>
    <row r="339" spans="1:20" ht="14.1" customHeight="1">
      <c r="F339" s="202"/>
      <c r="L339" s="203"/>
      <c r="M339" s="203"/>
      <c r="O339" s="203"/>
      <c r="P339" s="203"/>
      <c r="Q339" s="203"/>
      <c r="T339" s="204"/>
    </row>
    <row r="340" spans="1:20" ht="14.1" customHeight="1">
      <c r="L340" s="202"/>
      <c r="M340" s="204"/>
      <c r="P340" s="202"/>
      <c r="Q340" s="32"/>
      <c r="R340" s="31"/>
      <c r="T340" s="202"/>
    </row>
    <row r="341" spans="1:20" ht="14.1" customHeight="1">
      <c r="L341" s="202"/>
      <c r="M341" s="204"/>
      <c r="N341" s="202"/>
      <c r="Q341" s="32"/>
      <c r="R341" s="31"/>
      <c r="T341" s="202"/>
    </row>
    <row r="342" spans="1:20" ht="14.1" customHeight="1">
      <c r="L342" s="202"/>
      <c r="M342" s="204"/>
      <c r="N342" s="202"/>
      <c r="Q342" s="32"/>
      <c r="R342" s="31"/>
      <c r="T342" s="202"/>
    </row>
    <row r="343" spans="1:20" ht="14.1" customHeight="1" thickBot="1">
      <c r="A343" s="200"/>
      <c r="B343" s="200"/>
      <c r="C343" s="200"/>
      <c r="D343" s="200"/>
      <c r="E343" s="200"/>
      <c r="F343" s="200"/>
      <c r="G343" s="200"/>
      <c r="H343" s="200"/>
      <c r="I343" s="205"/>
      <c r="J343" s="200"/>
      <c r="K343" s="200"/>
      <c r="L343" s="200"/>
      <c r="M343" s="200"/>
      <c r="N343" s="200"/>
      <c r="O343" s="200"/>
      <c r="P343" s="200"/>
      <c r="Q343" s="200"/>
      <c r="R343" s="200"/>
      <c r="S343" s="200"/>
      <c r="T343" s="200"/>
    </row>
    <row r="344" spans="1:20" ht="14.1" customHeight="1">
      <c r="A344" s="199" t="str">
        <f>IF(+A$8="","",A$8)</f>
        <v/>
      </c>
      <c r="B344" s="206" t="str">
        <f t="shared" ref="B344:T344" si="34">IF(+B$8="","",B$8)</f>
        <v/>
      </c>
      <c r="C344" s="206" t="str">
        <f t="shared" si="34"/>
        <v>(1)</v>
      </c>
      <c r="D344" s="206" t="str">
        <f t="shared" si="34"/>
        <v/>
      </c>
      <c r="E344" s="206" t="str">
        <f t="shared" si="34"/>
        <v/>
      </c>
      <c r="F344" s="206" t="str">
        <f t="shared" si="34"/>
        <v>(2)</v>
      </c>
      <c r="G344" s="206" t="str">
        <f t="shared" si="34"/>
        <v/>
      </c>
      <c r="H344" s="206" t="str">
        <f>IF(+H$8="","",H$8)</f>
        <v/>
      </c>
      <c r="I344" s="206" t="str">
        <f>IF(+I$8="","",I$8)</f>
        <v>(3)</v>
      </c>
      <c r="J344" s="206" t="str">
        <f>IF(+J$8="","",J$8)</f>
        <v/>
      </c>
      <c r="K344" s="206"/>
      <c r="L344" s="206" t="str">
        <f t="shared" si="34"/>
        <v>(4)</v>
      </c>
      <c r="M344" s="206" t="str">
        <f t="shared" si="34"/>
        <v/>
      </c>
      <c r="N344" s="206" t="str">
        <f t="shared" si="34"/>
        <v>(5)</v>
      </c>
      <c r="O344" s="206" t="str">
        <f t="shared" si="34"/>
        <v/>
      </c>
      <c r="Q344" s="206" t="str">
        <f>IF(+Q$8="","",Q$8)</f>
        <v>(6)</v>
      </c>
      <c r="R344" s="206" t="str">
        <f t="shared" si="34"/>
        <v/>
      </c>
      <c r="S344" s="206" t="str">
        <f t="shared" si="34"/>
        <v/>
      </c>
      <c r="T344" s="206" t="str">
        <f t="shared" si="34"/>
        <v/>
      </c>
    </row>
    <row r="345" spans="1:20" ht="14.1" customHeight="1">
      <c r="A345" s="199" t="str">
        <f>IF(+A$9="","",A$9)</f>
        <v/>
      </c>
      <c r="B345" s="206" t="str">
        <f t="shared" ref="B345:T345" si="35">IF(+B$9="","",B$9)</f>
        <v/>
      </c>
      <c r="C345" s="206" t="str">
        <f t="shared" si="35"/>
        <v/>
      </c>
      <c r="D345" s="206" t="str">
        <f t="shared" si="35"/>
        <v/>
      </c>
      <c r="E345" s="206" t="str">
        <f t="shared" si="35"/>
        <v/>
      </c>
      <c r="F345" s="206" t="str">
        <f t="shared" si="35"/>
        <v/>
      </c>
      <c r="G345" s="206" t="str">
        <f t="shared" si="35"/>
        <v/>
      </c>
      <c r="H345" s="206" t="str">
        <f>IF(+H$9="","",H$9)</f>
        <v/>
      </c>
      <c r="I345" s="206" t="str">
        <f>IF(+I$9="","",I$9)</f>
        <v/>
      </c>
      <c r="J345" s="206" t="str">
        <f>IF(+J$9="","",J$9)</f>
        <v/>
      </c>
      <c r="K345" s="206"/>
      <c r="L345" s="206" t="str">
        <f t="shared" si="35"/>
        <v/>
      </c>
      <c r="M345" s="206" t="str">
        <f t="shared" si="35"/>
        <v/>
      </c>
      <c r="N345" s="206" t="str">
        <f t="shared" si="35"/>
        <v/>
      </c>
      <c r="O345" s="206" t="str">
        <f t="shared" si="35"/>
        <v/>
      </c>
      <c r="Q345" s="206" t="str">
        <f>IF(+Q$9="","",Q$9)</f>
        <v/>
      </c>
      <c r="R345" s="206" t="str">
        <f t="shared" si="35"/>
        <v/>
      </c>
      <c r="S345" s="206" t="str">
        <f t="shared" si="35"/>
        <v/>
      </c>
      <c r="T345" s="206" t="str">
        <f t="shared" si="35"/>
        <v/>
      </c>
    </row>
    <row r="346" spans="1:20" ht="14.1" customHeight="1">
      <c r="A346" s="199" t="str">
        <f>IF(+A$10="","",A$10)</f>
        <v/>
      </c>
      <c r="B346" s="206" t="str">
        <f t="shared" ref="B346:T346" si="36">IF(+B$10="","",B$10)</f>
        <v/>
      </c>
      <c r="C346" s="206" t="str">
        <f t="shared" si="36"/>
        <v xml:space="preserve">Current </v>
      </c>
      <c r="D346" s="206" t="str">
        <f t="shared" si="36"/>
        <v/>
      </c>
      <c r="E346" s="206" t="str">
        <f t="shared" si="36"/>
        <v/>
      </c>
      <c r="F346" s="206" t="str">
        <f t="shared" si="36"/>
        <v/>
      </c>
      <c r="G346" s="206" t="str">
        <f t="shared" si="36"/>
        <v/>
      </c>
      <c r="H346" s="206" t="str">
        <f>IF(+H$10="","",H$10)</f>
        <v/>
      </c>
      <c r="I346" s="206" t="str">
        <f>IF(+I$10="","",I$10)</f>
        <v/>
      </c>
      <c r="J346" s="206" t="str">
        <f>IF(+J$10="","",J$10)</f>
        <v/>
      </c>
      <c r="K346" s="206"/>
      <c r="L346" s="206" t="str">
        <f t="shared" si="36"/>
        <v>Proposed</v>
      </c>
      <c r="M346" s="206" t="str">
        <f t="shared" si="36"/>
        <v/>
      </c>
      <c r="N346" s="206" t="str">
        <f t="shared" si="36"/>
        <v/>
      </c>
      <c r="O346" s="206" t="str">
        <f t="shared" si="36"/>
        <v/>
      </c>
      <c r="Q346" s="206" t="str">
        <f>IF(+Q$10="","",Q$10)</f>
        <v>Percent</v>
      </c>
      <c r="R346" s="206" t="str">
        <f t="shared" si="36"/>
        <v/>
      </c>
      <c r="S346" s="206" t="str">
        <f t="shared" si="36"/>
        <v/>
      </c>
      <c r="T346" s="206" t="str">
        <f t="shared" si="36"/>
        <v/>
      </c>
    </row>
    <row r="347" spans="1:20" ht="14.1" customHeight="1">
      <c r="A347" s="199" t="str">
        <f>IF(+A$11="","",A$11)</f>
        <v>Line</v>
      </c>
      <c r="B347" s="206" t="str">
        <f t="shared" ref="B347:T347" si="37">IF(+B$11="","",B$11)</f>
        <v/>
      </c>
      <c r="C347" s="206" t="str">
        <f t="shared" si="37"/>
        <v>Rate</v>
      </c>
      <c r="D347" s="206" t="str">
        <f t="shared" si="37"/>
        <v/>
      </c>
      <c r="E347" s="206" t="str">
        <f t="shared" si="37"/>
        <v/>
      </c>
      <c r="F347" s="206" t="str">
        <f t="shared" si="37"/>
        <v/>
      </c>
      <c r="G347" s="206" t="str">
        <f t="shared" si="37"/>
        <v/>
      </c>
      <c r="H347" s="206" t="str">
        <f>IF(+H$11="","",H$11)</f>
        <v/>
      </c>
      <c r="I347" s="207" t="s">
        <v>57</v>
      </c>
      <c r="J347" s="207"/>
      <c r="K347" s="207"/>
      <c r="L347" s="207" t="s">
        <v>56</v>
      </c>
      <c r="M347" s="207"/>
      <c r="N347" s="207" t="s">
        <v>58</v>
      </c>
      <c r="O347" s="206" t="str">
        <f t="shared" si="37"/>
        <v/>
      </c>
      <c r="Q347" s="206" t="str">
        <f>IF(+Q$11="","",Q$11)</f>
        <v>Increase</v>
      </c>
      <c r="R347" s="206" t="str">
        <f t="shared" si="37"/>
        <v/>
      </c>
      <c r="S347" s="206" t="str">
        <f t="shared" si="37"/>
        <v/>
      </c>
      <c r="T347" s="206" t="str">
        <f t="shared" si="37"/>
        <v/>
      </c>
    </row>
    <row r="348" spans="1:20" ht="14.1" customHeight="1" thickBot="1">
      <c r="A348" s="200" t="str">
        <f>IF(+A$12="","",A$12)</f>
        <v>No.</v>
      </c>
      <c r="B348" s="205" t="str">
        <f t="shared" ref="B348:T348" si="38">IF(+B$12="","",B$12)</f>
        <v/>
      </c>
      <c r="C348" s="205" t="str">
        <f t="shared" si="38"/>
        <v>Schedule</v>
      </c>
      <c r="D348" s="205" t="str">
        <f t="shared" si="38"/>
        <v/>
      </c>
      <c r="E348" s="205"/>
      <c r="F348" s="205" t="str">
        <f t="shared" si="38"/>
        <v>Type of Charge</v>
      </c>
      <c r="G348" s="205"/>
      <c r="H348" s="205" t="str">
        <f>IF(+H$12="","",H$12)</f>
        <v/>
      </c>
      <c r="I348" s="205" t="str">
        <f>IF(+I$12="","",I$12)</f>
        <v>Rate</v>
      </c>
      <c r="J348" s="205" t="str">
        <f>IF(+J$12="","",J$12)</f>
        <v/>
      </c>
      <c r="K348" s="205"/>
      <c r="L348" s="205" t="str">
        <f t="shared" si="38"/>
        <v>Schedule</v>
      </c>
      <c r="M348" s="205" t="str">
        <f t="shared" si="38"/>
        <v/>
      </c>
      <c r="N348" s="205" t="str">
        <f t="shared" si="38"/>
        <v>Rate</v>
      </c>
      <c r="O348" s="205" t="str">
        <f t="shared" si="38"/>
        <v/>
      </c>
      <c r="P348" s="200"/>
      <c r="Q348" s="205" t="str">
        <f>IF(+Q$12="","",Q$12)</f>
        <v>((5)-(3))/(3)</v>
      </c>
      <c r="R348" s="205" t="str">
        <f t="shared" si="38"/>
        <v/>
      </c>
      <c r="S348" s="205" t="str">
        <f t="shared" si="38"/>
        <v/>
      </c>
      <c r="T348" s="205" t="str">
        <f t="shared" si="38"/>
        <v/>
      </c>
    </row>
    <row r="349" spans="1:20" ht="14.1" customHeight="1">
      <c r="A349" s="199">
        <v>1</v>
      </c>
      <c r="B349" s="225"/>
      <c r="C349" s="233" t="s">
        <v>145</v>
      </c>
      <c r="D349" s="226"/>
      <c r="E349" s="211" t="s">
        <v>65</v>
      </c>
      <c r="G349" s="164"/>
      <c r="H349" s="226"/>
      <c r="J349" s="226"/>
      <c r="K349" s="226"/>
      <c r="L349" s="233" t="s">
        <v>145</v>
      </c>
      <c r="M349" s="226"/>
      <c r="N349" s="226"/>
      <c r="O349" s="226"/>
      <c r="Q349" s="226"/>
      <c r="R349" s="226"/>
      <c r="S349" s="226"/>
      <c r="T349" s="226"/>
    </row>
    <row r="350" spans="1:20" ht="14.1" customHeight="1">
      <c r="A350" s="199">
        <v>2</v>
      </c>
      <c r="B350" s="227"/>
      <c r="F350" s="234" t="s">
        <v>86</v>
      </c>
      <c r="G350" s="164"/>
      <c r="H350" s="226"/>
      <c r="I350" s="215">
        <v>21.42</v>
      </c>
      <c r="J350" s="226" t="s">
        <v>67</v>
      </c>
      <c r="K350" s="226"/>
      <c r="L350" s="226"/>
      <c r="M350" s="226"/>
      <c r="N350" s="215">
        <f>+ROUND('Scenario GSLDPR Rates'!Q18,2)</f>
        <v>21.42</v>
      </c>
      <c r="O350" s="226" t="s">
        <v>67</v>
      </c>
      <c r="Q350" s="221">
        <f>IF(I350=0,0,+(N350-I350)/I350)</f>
        <v>0</v>
      </c>
      <c r="R350" s="226"/>
      <c r="S350" s="226"/>
      <c r="T350" s="226"/>
    </row>
    <row r="351" spans="1:20" ht="14.1" customHeight="1">
      <c r="A351" s="199">
        <v>3</v>
      </c>
      <c r="B351" s="227"/>
      <c r="F351" s="199" t="s">
        <v>92</v>
      </c>
      <c r="H351" s="228"/>
      <c r="I351" s="215">
        <v>21.42</v>
      </c>
      <c r="J351" s="226" t="s">
        <v>67</v>
      </c>
      <c r="K351" s="226"/>
      <c r="L351" s="228"/>
      <c r="M351" s="235"/>
      <c r="N351" s="215">
        <f>+ROUND('Scenario GSLDPR Rates'!Q19,2)</f>
        <v>21.42</v>
      </c>
      <c r="O351" s="226" t="s">
        <v>67</v>
      </c>
      <c r="Q351" s="221">
        <f>IF(I351=0,0,+(N351-I351)/I351)</f>
        <v>0</v>
      </c>
      <c r="R351" s="228"/>
      <c r="S351" s="228"/>
      <c r="T351" s="228"/>
    </row>
    <row r="352" spans="1:20" ht="14.1" customHeight="1">
      <c r="A352" s="199">
        <v>4</v>
      </c>
      <c r="B352" s="227"/>
      <c r="C352" s="164"/>
      <c r="I352" s="215"/>
      <c r="N352" s="215"/>
      <c r="R352" s="228"/>
      <c r="S352" s="228"/>
      <c r="T352" s="228"/>
    </row>
    <row r="353" spans="1:20" ht="14.1" customHeight="1">
      <c r="A353" s="199">
        <v>5</v>
      </c>
      <c r="B353" s="227"/>
      <c r="C353" s="164"/>
      <c r="E353" s="232" t="s">
        <v>94</v>
      </c>
      <c r="G353" s="164"/>
      <c r="H353" s="228"/>
      <c r="I353" s="215"/>
      <c r="J353" s="235"/>
      <c r="K353" s="235"/>
      <c r="L353" s="228"/>
      <c r="M353" s="235"/>
      <c r="N353" s="215"/>
      <c r="O353" s="235"/>
      <c r="Q353" s="228"/>
      <c r="R353" s="228"/>
      <c r="S353" s="228"/>
      <c r="T353" s="228"/>
    </row>
    <row r="354" spans="1:20" ht="14.1" customHeight="1">
      <c r="A354" s="199">
        <v>6</v>
      </c>
      <c r="B354" s="227"/>
      <c r="C354" s="164"/>
      <c r="F354" s="234" t="s">
        <v>86</v>
      </c>
      <c r="H354" s="228"/>
      <c r="I354" s="223">
        <v>1.0630000000000001E-2</v>
      </c>
      <c r="J354" s="217" t="s">
        <v>71</v>
      </c>
      <c r="K354" s="228"/>
      <c r="L354" s="228"/>
      <c r="M354" s="235"/>
      <c r="N354" s="223">
        <f>+ROUND('Scenario GSLDPR Rates'!Q23,5)</f>
        <v>1.0630000000000001E-2</v>
      </c>
      <c r="O354" s="217" t="s">
        <v>71</v>
      </c>
      <c r="Q354" s="221">
        <f t="shared" ref="Q354:Q357" si="39">IF(I354=0,0,+(N354-I354)/I354)</f>
        <v>0</v>
      </c>
      <c r="R354" s="228"/>
      <c r="S354" s="228"/>
      <c r="T354" s="228"/>
    </row>
    <row r="355" spans="1:20" ht="14.1" customHeight="1">
      <c r="A355" s="199">
        <v>7</v>
      </c>
      <c r="B355" s="227"/>
      <c r="C355" s="226"/>
      <c r="F355" s="199" t="s">
        <v>146</v>
      </c>
      <c r="G355" s="164"/>
      <c r="H355" s="228"/>
      <c r="I355" s="223">
        <v>1.7330000000000002E-2</v>
      </c>
      <c r="J355" s="217" t="s">
        <v>71</v>
      </c>
      <c r="K355" s="228"/>
      <c r="L355" s="228"/>
      <c r="M355" s="228"/>
      <c r="N355" s="223">
        <f>+ROUND('Scenario GSLDPR Rates'!Q24,5)</f>
        <v>1.7330000000000002E-2</v>
      </c>
      <c r="O355" s="217" t="s">
        <v>71</v>
      </c>
      <c r="Q355" s="221">
        <f t="shared" si="39"/>
        <v>0</v>
      </c>
      <c r="R355" s="228"/>
      <c r="S355" s="228"/>
      <c r="T355" s="228"/>
    </row>
    <row r="356" spans="1:20" ht="14.1" customHeight="1">
      <c r="A356" s="199">
        <v>8</v>
      </c>
      <c r="B356" s="227"/>
      <c r="C356" s="226"/>
      <c r="F356" s="199" t="s">
        <v>147</v>
      </c>
      <c r="I356" s="223">
        <v>1.056E-2</v>
      </c>
      <c r="J356" s="217" t="s">
        <v>71</v>
      </c>
      <c r="K356" s="228"/>
      <c r="N356" s="223">
        <f>+ROUND('Scenario GSLDPR Rates'!Q25,5)</f>
        <v>1.056E-2</v>
      </c>
      <c r="O356" s="217" t="s">
        <v>71</v>
      </c>
      <c r="Q356" s="221">
        <f t="shared" si="39"/>
        <v>0</v>
      </c>
      <c r="R356" s="228"/>
      <c r="S356" s="228"/>
      <c r="T356" s="228"/>
    </row>
    <row r="357" spans="1:20" ht="14.1" customHeight="1">
      <c r="A357" s="199">
        <v>9</v>
      </c>
      <c r="B357" s="227"/>
      <c r="C357" s="226"/>
      <c r="F357" s="199" t="s">
        <v>148</v>
      </c>
      <c r="I357" s="223">
        <v>6.3800000000000003E-3</v>
      </c>
      <c r="J357" s="217" t="s">
        <v>71</v>
      </c>
      <c r="N357" s="223">
        <f>+ROUND('Scenario GSLDPR Rates'!Q26,5)</f>
        <v>6.3800000000000003E-3</v>
      </c>
      <c r="O357" s="217" t="s">
        <v>71</v>
      </c>
      <c r="Q357" s="221">
        <f t="shared" si="39"/>
        <v>0</v>
      </c>
      <c r="R357" s="228"/>
      <c r="S357" s="228"/>
      <c r="T357" s="228"/>
    </row>
    <row r="358" spans="1:20" ht="14.1" customHeight="1">
      <c r="A358" s="199">
        <v>10</v>
      </c>
      <c r="B358" s="227"/>
      <c r="C358" s="226"/>
      <c r="R358" s="228"/>
      <c r="S358" s="228"/>
      <c r="T358" s="228"/>
    </row>
    <row r="359" spans="1:20" ht="14.1" customHeight="1">
      <c r="A359" s="199">
        <v>11</v>
      </c>
      <c r="B359" s="227"/>
      <c r="C359" s="226"/>
      <c r="E359" s="204" t="s">
        <v>99</v>
      </c>
      <c r="R359" s="228"/>
      <c r="S359" s="228"/>
      <c r="T359" s="228"/>
    </row>
    <row r="360" spans="1:20" ht="14.1" customHeight="1">
      <c r="A360" s="199">
        <v>12</v>
      </c>
      <c r="B360" s="227"/>
      <c r="C360" s="226"/>
      <c r="F360" s="234" t="s">
        <v>100</v>
      </c>
      <c r="G360" s="226"/>
      <c r="H360" s="228"/>
      <c r="I360" s="215">
        <v>13</v>
      </c>
      <c r="J360" s="228" t="s">
        <v>101</v>
      </c>
      <c r="K360" s="228"/>
      <c r="L360" s="228"/>
      <c r="M360" s="228"/>
      <c r="N360" s="215">
        <f>+ROUND('Scenario GSLDPR Rates'!Q30,2)</f>
        <v>12.99</v>
      </c>
      <c r="O360" s="228" t="s">
        <v>101</v>
      </c>
      <c r="Q360" s="221">
        <f>IF(I360=0,0,+(N360-I360)/I360)</f>
        <v>-7.6923076923075286E-4</v>
      </c>
      <c r="R360" s="228"/>
      <c r="S360" s="228"/>
      <c r="T360" s="228"/>
    </row>
    <row r="361" spans="1:20" ht="14.1" customHeight="1">
      <c r="A361" s="199">
        <v>13</v>
      </c>
      <c r="B361" s="227"/>
      <c r="C361" s="226"/>
      <c r="F361" s="199" t="s">
        <v>149</v>
      </c>
      <c r="I361" s="215">
        <v>2.93</v>
      </c>
      <c r="J361" s="228" t="s">
        <v>101</v>
      </c>
      <c r="K361" s="228"/>
      <c r="N361" s="215">
        <f>+ROUND('Scenario GSLDPR Rates'!Q31,2)</f>
        <v>2.92</v>
      </c>
      <c r="O361" s="228" t="s">
        <v>101</v>
      </c>
      <c r="Q361" s="221">
        <f>IF(I361=0,0,+(N361-I361)/I361)</f>
        <v>-3.412969283276529E-3</v>
      </c>
      <c r="R361" s="228"/>
      <c r="S361" s="228"/>
      <c r="T361" s="228"/>
    </row>
    <row r="362" spans="1:20" ht="14.1" customHeight="1">
      <c r="A362" s="199">
        <v>14</v>
      </c>
      <c r="B362" s="227"/>
      <c r="C362" s="226"/>
      <c r="F362" s="199" t="s">
        <v>150</v>
      </c>
      <c r="H362" s="228"/>
      <c r="I362" s="215">
        <v>10.07</v>
      </c>
      <c r="J362" s="228" t="s">
        <v>101</v>
      </c>
      <c r="K362" s="228"/>
      <c r="L362" s="228"/>
      <c r="M362" s="228"/>
      <c r="N362" s="215">
        <f>+ROUND('Scenario GSLDPR Rates'!Q32,2)</f>
        <v>10.06</v>
      </c>
      <c r="O362" s="228" t="s">
        <v>101</v>
      </c>
      <c r="Q362" s="221">
        <f>IF(I362=0,0,+(N362-I362)/I362)</f>
        <v>-9.9304865938428855E-4</v>
      </c>
      <c r="R362" s="228"/>
      <c r="S362" s="228"/>
      <c r="T362" s="228"/>
    </row>
    <row r="363" spans="1:20" ht="14.1" customHeight="1">
      <c r="A363" s="199">
        <v>15</v>
      </c>
      <c r="B363" s="227"/>
      <c r="C363" s="226"/>
      <c r="G363" s="226"/>
      <c r="H363" s="228"/>
      <c r="I363" s="215"/>
      <c r="J363" s="228"/>
      <c r="K363" s="228"/>
      <c r="L363" s="228"/>
      <c r="M363" s="228"/>
      <c r="N363" s="215"/>
      <c r="O363" s="228"/>
      <c r="Q363" s="221"/>
      <c r="R363" s="228"/>
      <c r="S363" s="228"/>
      <c r="T363" s="228"/>
    </row>
    <row r="364" spans="1:20" ht="14.1" customHeight="1">
      <c r="A364" s="199">
        <v>16</v>
      </c>
      <c r="B364" s="227"/>
      <c r="C364" s="226"/>
      <c r="E364" s="237" t="s">
        <v>151</v>
      </c>
      <c r="G364" s="228"/>
      <c r="H364" s="228"/>
      <c r="I364" s="215">
        <v>1.02</v>
      </c>
      <c r="J364" s="228" t="s">
        <v>101</v>
      </c>
      <c r="K364" s="228"/>
      <c r="L364" s="228"/>
      <c r="M364" s="228"/>
      <c r="N364" s="215">
        <f>+ROUND('Scenario GSLDPR Rates'!Q36,2)</f>
        <v>1.02</v>
      </c>
      <c r="O364" s="228" t="s">
        <v>101</v>
      </c>
      <c r="Q364" s="221">
        <f>IF(I364=0,0,+(N364-I364)/I364)</f>
        <v>0</v>
      </c>
      <c r="R364" s="228"/>
      <c r="S364" s="228"/>
      <c r="T364" s="228"/>
    </row>
    <row r="365" spans="1:20" ht="14.1" customHeight="1">
      <c r="A365" s="199">
        <v>17</v>
      </c>
      <c r="B365" s="227"/>
      <c r="C365" s="226"/>
      <c r="R365" s="228"/>
      <c r="S365" s="228"/>
      <c r="T365" s="228"/>
    </row>
    <row r="366" spans="1:20" ht="14.1" customHeight="1">
      <c r="A366" s="199">
        <v>18</v>
      </c>
      <c r="B366" s="227"/>
      <c r="C366" s="226"/>
      <c r="E366" s="199" t="s">
        <v>141</v>
      </c>
      <c r="I366" s="223">
        <v>2.0300000000000001E-3</v>
      </c>
      <c r="J366" s="199" t="s">
        <v>142</v>
      </c>
      <c r="L366" s="228"/>
      <c r="M366" s="228"/>
      <c r="N366" s="223">
        <f>+ROUND('Scenario GSLDPR Rates'!Q41,5)</f>
        <v>2.0300000000000001E-3</v>
      </c>
      <c r="O366" s="199" t="s">
        <v>142</v>
      </c>
      <c r="Q366" s="221">
        <f>IF(I366=0,0,+(N366-I366)/I366)</f>
        <v>0</v>
      </c>
      <c r="R366" s="228"/>
      <c r="S366" s="228"/>
      <c r="T366" s="228"/>
    </row>
    <row r="367" spans="1:20" ht="14.1" customHeight="1">
      <c r="A367" s="199">
        <v>19</v>
      </c>
      <c r="B367" s="227"/>
      <c r="C367" s="226"/>
      <c r="I367" s="258"/>
      <c r="L367" s="228"/>
      <c r="M367" s="228"/>
      <c r="N367" s="258"/>
      <c r="Q367" s="228"/>
      <c r="R367" s="228"/>
      <c r="S367" s="228"/>
      <c r="T367" s="228"/>
    </row>
    <row r="368" spans="1:20" ht="14.1" customHeight="1">
      <c r="A368" s="199">
        <v>20</v>
      </c>
      <c r="B368" s="227"/>
      <c r="C368" s="226"/>
      <c r="E368" s="199" t="s">
        <v>143</v>
      </c>
      <c r="F368" s="164"/>
      <c r="G368" s="228"/>
      <c r="H368" s="228"/>
      <c r="I368" s="223">
        <v>-1.0200000000000001E-3</v>
      </c>
      <c r="J368" s="199" t="s">
        <v>142</v>
      </c>
      <c r="L368" s="228"/>
      <c r="M368" s="228"/>
      <c r="N368" s="223">
        <f>+ROUND('Scenario GSLDPR Rates'!Q45,5)</f>
        <v>-1.0200000000000001E-3</v>
      </c>
      <c r="O368" s="199" t="s">
        <v>142</v>
      </c>
      <c r="Q368" s="221">
        <f>IF(I368=0,0,+(N368-I368)/I368)</f>
        <v>0</v>
      </c>
      <c r="R368" s="228"/>
      <c r="S368" s="228"/>
      <c r="T368" s="228"/>
    </row>
    <row r="369" spans="1:20" ht="14.1" customHeight="1">
      <c r="A369" s="199">
        <v>21</v>
      </c>
      <c r="B369" s="227"/>
      <c r="C369" s="226"/>
      <c r="R369" s="228"/>
      <c r="S369" s="228"/>
      <c r="T369" s="228"/>
    </row>
    <row r="370" spans="1:20" ht="14.1" customHeight="1">
      <c r="A370" s="199">
        <v>22</v>
      </c>
      <c r="B370" s="227"/>
      <c r="C370" s="226"/>
      <c r="E370" s="232" t="s">
        <v>112</v>
      </c>
      <c r="H370" s="228"/>
      <c r="I370" s="215"/>
      <c r="J370" s="228"/>
      <c r="K370" s="228"/>
      <c r="L370" s="228"/>
      <c r="M370" s="228"/>
      <c r="N370" s="215"/>
      <c r="O370" s="228"/>
      <c r="Q370" s="228"/>
      <c r="R370" s="228"/>
      <c r="S370" s="228"/>
      <c r="T370" s="228"/>
    </row>
    <row r="371" spans="1:20" ht="14.1" customHeight="1">
      <c r="A371" s="199">
        <v>23</v>
      </c>
      <c r="B371" s="227"/>
      <c r="C371" s="226"/>
      <c r="F371" s="234" t="s">
        <v>152</v>
      </c>
      <c r="G371" s="226"/>
      <c r="H371" s="228"/>
      <c r="I371" s="256">
        <v>-1</v>
      </c>
      <c r="J371" s="228" t="s">
        <v>113</v>
      </c>
      <c r="K371" s="228"/>
      <c r="L371" s="228"/>
      <c r="M371" s="228"/>
      <c r="N371" s="256">
        <f>+'Scenario GSLDPR Rates'!Q50*100</f>
        <v>-1</v>
      </c>
      <c r="O371" s="228" t="s">
        <v>113</v>
      </c>
      <c r="Q371" s="221">
        <f>IF(I371=0,0,+(N371-I371)/I371)</f>
        <v>0</v>
      </c>
      <c r="R371" s="228"/>
      <c r="S371" s="228"/>
      <c r="T371" s="228"/>
    </row>
    <row r="372" spans="1:20" ht="14.1" customHeight="1">
      <c r="A372" s="199">
        <v>24</v>
      </c>
      <c r="B372" s="227"/>
      <c r="C372" s="226"/>
      <c r="F372" s="199" t="s">
        <v>153</v>
      </c>
      <c r="I372" s="256">
        <v>-1</v>
      </c>
      <c r="J372" s="228" t="s">
        <v>113</v>
      </c>
      <c r="K372" s="228"/>
      <c r="N372" s="256">
        <f>+'Scenario GSLDPR Rates'!Q51*100</f>
        <v>-1</v>
      </c>
      <c r="O372" s="228" t="s">
        <v>113</v>
      </c>
      <c r="Q372" s="221">
        <f>IF(I372=0,0,+(N372-I372)/I372)</f>
        <v>0</v>
      </c>
      <c r="R372" s="228"/>
      <c r="S372" s="228"/>
      <c r="T372" s="228"/>
    </row>
    <row r="373" spans="1:20" ht="14.1" customHeight="1">
      <c r="A373" s="199">
        <v>25</v>
      </c>
      <c r="B373" s="227"/>
      <c r="C373" s="226"/>
      <c r="Q373" s="221"/>
      <c r="R373" s="228"/>
      <c r="S373" s="228"/>
      <c r="T373" s="228"/>
    </row>
    <row r="374" spans="1:20" ht="14.1" customHeight="1">
      <c r="A374" s="199">
        <v>26</v>
      </c>
      <c r="B374" s="227"/>
      <c r="C374" s="226"/>
      <c r="R374" s="228"/>
      <c r="S374" s="228"/>
      <c r="T374" s="228"/>
    </row>
    <row r="375" spans="1:20" ht="14.1" customHeight="1">
      <c r="A375" s="199">
        <v>27</v>
      </c>
      <c r="B375" s="227"/>
      <c r="C375" s="226"/>
      <c r="R375" s="228"/>
      <c r="S375" s="228"/>
      <c r="T375" s="228"/>
    </row>
    <row r="376" spans="1:20" ht="14.1" customHeight="1">
      <c r="A376" s="199">
        <v>28</v>
      </c>
      <c r="B376" s="227"/>
      <c r="C376" s="226"/>
      <c r="R376" s="228"/>
      <c r="S376" s="228"/>
      <c r="T376" s="228"/>
    </row>
    <row r="377" spans="1:20" ht="14.1" customHeight="1">
      <c r="A377" s="199">
        <v>29</v>
      </c>
      <c r="B377" s="227"/>
      <c r="C377" s="226"/>
      <c r="I377" s="256"/>
      <c r="J377" s="228"/>
      <c r="K377" s="228"/>
      <c r="N377" s="256"/>
      <c r="O377" s="228"/>
      <c r="Q377" s="250"/>
      <c r="R377" s="228"/>
      <c r="S377" s="228"/>
      <c r="T377" s="228"/>
    </row>
    <row r="378" spans="1:20" ht="14.1" customHeight="1">
      <c r="A378" s="199">
        <v>30</v>
      </c>
      <c r="B378" s="227"/>
      <c r="C378" s="226"/>
      <c r="I378" s="256"/>
      <c r="J378" s="228"/>
      <c r="K378" s="228"/>
      <c r="N378" s="256"/>
      <c r="O378" s="228"/>
      <c r="Q378" s="250"/>
      <c r="R378" s="228"/>
      <c r="S378" s="228"/>
      <c r="T378" s="228"/>
    </row>
    <row r="379" spans="1:20" ht="14.1" customHeight="1">
      <c r="A379" s="199">
        <v>31</v>
      </c>
      <c r="B379" s="227"/>
      <c r="C379" s="226"/>
      <c r="I379" s="256"/>
      <c r="J379" s="228"/>
      <c r="K379" s="228"/>
      <c r="N379" s="256"/>
      <c r="O379" s="228"/>
      <c r="Q379" s="250"/>
      <c r="R379" s="228"/>
      <c r="S379" s="228"/>
      <c r="T379" s="228"/>
    </row>
    <row r="380" spans="1:20" ht="14.1" customHeight="1">
      <c r="A380" s="199">
        <v>32</v>
      </c>
      <c r="B380" s="227"/>
      <c r="C380" s="226"/>
      <c r="I380" s="256"/>
      <c r="J380" s="228"/>
      <c r="K380" s="228"/>
      <c r="N380" s="256"/>
      <c r="O380" s="228"/>
      <c r="Q380" s="250"/>
      <c r="R380" s="228"/>
      <c r="S380" s="228"/>
      <c r="T380" s="228"/>
    </row>
    <row r="381" spans="1:20" ht="14.1" customHeight="1">
      <c r="A381" s="199">
        <v>33</v>
      </c>
      <c r="B381" s="227"/>
      <c r="C381" s="226"/>
      <c r="I381" s="256"/>
      <c r="J381" s="228"/>
      <c r="K381" s="228"/>
      <c r="N381" s="256"/>
      <c r="O381" s="228"/>
      <c r="Q381" s="250"/>
      <c r="R381" s="228"/>
      <c r="S381" s="228"/>
      <c r="T381" s="228"/>
    </row>
    <row r="382" spans="1:20" ht="14.1" customHeight="1">
      <c r="A382" s="199">
        <v>34</v>
      </c>
      <c r="B382" s="227"/>
      <c r="C382" s="226"/>
      <c r="I382" s="256"/>
      <c r="J382" s="228"/>
      <c r="K382" s="228"/>
      <c r="N382" s="256"/>
      <c r="O382" s="228"/>
      <c r="Q382" s="250"/>
      <c r="R382" s="228"/>
      <c r="S382" s="228"/>
      <c r="T382" s="228"/>
    </row>
    <row r="383" spans="1:20" ht="14.1" customHeight="1">
      <c r="A383" s="199">
        <v>35</v>
      </c>
      <c r="B383" s="227"/>
      <c r="C383" s="226"/>
      <c r="I383" s="256"/>
      <c r="J383" s="228"/>
      <c r="K383" s="228"/>
      <c r="N383" s="256"/>
      <c r="O383" s="228"/>
      <c r="Q383" s="250"/>
      <c r="R383" s="228"/>
      <c r="S383" s="228"/>
      <c r="T383" s="228"/>
    </row>
    <row r="384" spans="1:20" ht="14.1" customHeight="1" thickBot="1">
      <c r="A384" s="200">
        <v>36</v>
      </c>
      <c r="B384" s="238"/>
      <c r="C384" s="239"/>
      <c r="D384" s="200"/>
      <c r="E384" s="200"/>
      <c r="F384" s="200"/>
      <c r="G384" s="200"/>
      <c r="H384" s="200"/>
      <c r="I384" s="259"/>
      <c r="J384" s="241"/>
      <c r="K384" s="241"/>
      <c r="L384" s="200"/>
      <c r="M384" s="200"/>
      <c r="N384" s="259"/>
      <c r="O384" s="241"/>
      <c r="P384" s="200"/>
      <c r="Q384" s="249"/>
      <c r="R384" s="241"/>
      <c r="S384" s="241"/>
      <c r="T384" s="241"/>
    </row>
    <row r="385" spans="1:20" ht="14.1" customHeight="1"/>
    <row r="386" spans="1:20" ht="14.1" customHeight="1" thickBot="1">
      <c r="A386" s="200"/>
      <c r="B386" s="200"/>
      <c r="C386" s="200"/>
      <c r="D386" s="200"/>
      <c r="E386" s="200"/>
      <c r="F386" s="200"/>
      <c r="G386" s="200"/>
      <c r="H386" s="200"/>
      <c r="I386" s="200" t="s">
        <v>45</v>
      </c>
      <c r="J386" s="200"/>
      <c r="K386" s="200"/>
      <c r="L386" s="200"/>
      <c r="M386" s="200"/>
      <c r="N386" s="200"/>
      <c r="O386" s="200"/>
      <c r="P386" s="200"/>
      <c r="Q386" s="200"/>
      <c r="R386" s="200"/>
      <c r="S386" s="200"/>
      <c r="T386" s="201"/>
    </row>
    <row r="387" spans="1:20" ht="14.1" customHeight="1">
      <c r="F387" s="202"/>
      <c r="L387" s="203"/>
      <c r="M387" s="203"/>
      <c r="O387" s="203"/>
      <c r="P387" s="203"/>
      <c r="Q387" s="203"/>
      <c r="T387" s="204"/>
    </row>
    <row r="388" spans="1:20" ht="14.1" customHeight="1">
      <c r="L388" s="202"/>
      <c r="M388" s="204"/>
      <c r="P388" s="202"/>
      <c r="Q388" s="32"/>
      <c r="R388" s="31"/>
      <c r="T388" s="202"/>
    </row>
    <row r="389" spans="1:20" ht="14.1" customHeight="1">
      <c r="L389" s="202"/>
      <c r="M389" s="204"/>
      <c r="N389" s="202"/>
      <c r="Q389" s="32"/>
      <c r="R389" s="31"/>
      <c r="T389" s="202"/>
    </row>
    <row r="390" spans="1:20" ht="14.1" customHeight="1">
      <c r="L390" s="202"/>
      <c r="M390" s="204"/>
      <c r="N390" s="202"/>
      <c r="Q390" s="32"/>
      <c r="R390" s="31"/>
      <c r="T390" s="202"/>
    </row>
    <row r="391" spans="1:20" ht="14.1" customHeight="1" thickBot="1">
      <c r="A391" s="200"/>
      <c r="B391" s="200"/>
      <c r="C391" s="200"/>
      <c r="D391" s="200"/>
      <c r="E391" s="200"/>
      <c r="F391" s="200"/>
      <c r="G391" s="200"/>
      <c r="H391" s="200"/>
      <c r="I391" s="205"/>
      <c r="J391" s="200"/>
      <c r="K391" s="200"/>
      <c r="L391" s="200"/>
      <c r="M391" s="200"/>
      <c r="N391" s="200"/>
      <c r="O391" s="200"/>
      <c r="P391" s="200"/>
      <c r="Q391" s="200"/>
      <c r="R391" s="200"/>
      <c r="S391" s="200"/>
      <c r="T391" s="200"/>
    </row>
    <row r="392" spans="1:20" ht="14.1" customHeight="1">
      <c r="A392" s="199" t="str">
        <f>IF(+A$8="","",A$8)</f>
        <v/>
      </c>
      <c r="B392" s="206" t="str">
        <f t="shared" ref="B392:T392" si="40">IF(+B$8="","",B$8)</f>
        <v/>
      </c>
      <c r="C392" s="206" t="str">
        <f t="shared" si="40"/>
        <v>(1)</v>
      </c>
      <c r="D392" s="206" t="str">
        <f t="shared" si="40"/>
        <v/>
      </c>
      <c r="E392" s="206" t="str">
        <f t="shared" si="40"/>
        <v/>
      </c>
      <c r="F392" s="206" t="str">
        <f t="shared" si="40"/>
        <v>(2)</v>
      </c>
      <c r="G392" s="206" t="str">
        <f t="shared" si="40"/>
        <v/>
      </c>
      <c r="H392" s="206" t="str">
        <f>IF(+H$8="","",H$8)</f>
        <v/>
      </c>
      <c r="I392" s="206" t="str">
        <f>IF(+I$8="","",I$8)</f>
        <v>(3)</v>
      </c>
      <c r="J392" s="206" t="str">
        <f>IF(+J$8="","",J$8)</f>
        <v/>
      </c>
      <c r="K392" s="206"/>
      <c r="L392" s="206" t="str">
        <f t="shared" si="40"/>
        <v>(4)</v>
      </c>
      <c r="M392" s="206" t="str">
        <f t="shared" si="40"/>
        <v/>
      </c>
      <c r="N392" s="206" t="str">
        <f t="shared" si="40"/>
        <v>(5)</v>
      </c>
      <c r="O392" s="206" t="str">
        <f t="shared" si="40"/>
        <v/>
      </c>
      <c r="Q392" s="206" t="str">
        <f>IF(+Q$8="","",Q$8)</f>
        <v>(6)</v>
      </c>
      <c r="R392" s="206" t="str">
        <f t="shared" si="40"/>
        <v/>
      </c>
      <c r="S392" s="206" t="str">
        <f t="shared" si="40"/>
        <v/>
      </c>
      <c r="T392" s="206" t="str">
        <f t="shared" si="40"/>
        <v/>
      </c>
    </row>
    <row r="393" spans="1:20" ht="14.1" customHeight="1">
      <c r="A393" s="199" t="str">
        <f>IF(+A$9="","",A$9)</f>
        <v/>
      </c>
      <c r="B393" s="206" t="str">
        <f t="shared" ref="B393:T393" si="41">IF(+B$9="","",B$9)</f>
        <v/>
      </c>
      <c r="C393" s="206" t="str">
        <f t="shared" si="41"/>
        <v/>
      </c>
      <c r="D393" s="206" t="str">
        <f t="shared" si="41"/>
        <v/>
      </c>
      <c r="E393" s="206" t="str">
        <f t="shared" si="41"/>
        <v/>
      </c>
      <c r="F393" s="206" t="str">
        <f t="shared" si="41"/>
        <v/>
      </c>
      <c r="G393" s="206" t="str">
        <f t="shared" si="41"/>
        <v/>
      </c>
      <c r="H393" s="206" t="str">
        <f>IF(+H$9="","",H$9)</f>
        <v/>
      </c>
      <c r="I393" s="206" t="str">
        <f>IF(+I$9="","",I$9)</f>
        <v/>
      </c>
      <c r="J393" s="206" t="str">
        <f>IF(+J$9="","",J$9)</f>
        <v/>
      </c>
      <c r="K393" s="206"/>
      <c r="L393" s="206" t="str">
        <f t="shared" si="41"/>
        <v/>
      </c>
      <c r="M393" s="206" t="str">
        <f t="shared" si="41"/>
        <v/>
      </c>
      <c r="N393" s="206" t="str">
        <f t="shared" si="41"/>
        <v/>
      </c>
      <c r="O393" s="206" t="str">
        <f t="shared" si="41"/>
        <v/>
      </c>
      <c r="Q393" s="206" t="str">
        <f>IF(+Q$9="","",Q$9)</f>
        <v/>
      </c>
      <c r="R393" s="206" t="str">
        <f t="shared" si="41"/>
        <v/>
      </c>
      <c r="S393" s="206" t="str">
        <f t="shared" si="41"/>
        <v/>
      </c>
      <c r="T393" s="206" t="str">
        <f t="shared" si="41"/>
        <v/>
      </c>
    </row>
    <row r="394" spans="1:20" ht="14.1" customHeight="1">
      <c r="A394" s="199" t="str">
        <f>IF(+A$10="","",A$10)</f>
        <v/>
      </c>
      <c r="B394" s="206" t="str">
        <f t="shared" ref="B394:T394" si="42">IF(+B$10="","",B$10)</f>
        <v/>
      </c>
      <c r="C394" s="206" t="str">
        <f t="shared" si="42"/>
        <v xml:space="preserve">Current </v>
      </c>
      <c r="D394" s="206" t="str">
        <f t="shared" si="42"/>
        <v/>
      </c>
      <c r="E394" s="206" t="str">
        <f t="shared" si="42"/>
        <v/>
      </c>
      <c r="F394" s="206" t="str">
        <f t="shared" si="42"/>
        <v/>
      </c>
      <c r="G394" s="206" t="str">
        <f t="shared" si="42"/>
        <v/>
      </c>
      <c r="H394" s="206" t="str">
        <f>IF(+H$10="","",H$10)</f>
        <v/>
      </c>
      <c r="I394" s="206" t="str">
        <f>IF(+I$10="","",I$10)</f>
        <v/>
      </c>
      <c r="J394" s="206" t="str">
        <f>IF(+J$10="","",J$10)</f>
        <v/>
      </c>
      <c r="K394" s="206"/>
      <c r="L394" s="206" t="str">
        <f t="shared" si="42"/>
        <v>Proposed</v>
      </c>
      <c r="M394" s="206" t="str">
        <f t="shared" si="42"/>
        <v/>
      </c>
      <c r="N394" s="206" t="str">
        <f t="shared" si="42"/>
        <v/>
      </c>
      <c r="O394" s="206" t="str">
        <f t="shared" si="42"/>
        <v/>
      </c>
      <c r="Q394" s="206" t="str">
        <f>IF(+Q$10="","",Q$10)</f>
        <v>Percent</v>
      </c>
      <c r="R394" s="206" t="str">
        <f t="shared" si="42"/>
        <v/>
      </c>
      <c r="S394" s="206" t="str">
        <f t="shared" si="42"/>
        <v/>
      </c>
      <c r="T394" s="206" t="str">
        <f t="shared" si="42"/>
        <v/>
      </c>
    </row>
    <row r="395" spans="1:20" ht="14.1" customHeight="1">
      <c r="A395" s="199" t="str">
        <f>IF(+A$11="","",A$11)</f>
        <v>Line</v>
      </c>
      <c r="B395" s="206" t="str">
        <f t="shared" ref="B395:T395" si="43">IF(+B$11="","",B$11)</f>
        <v/>
      </c>
      <c r="C395" s="206" t="str">
        <f t="shared" si="43"/>
        <v>Rate</v>
      </c>
      <c r="D395" s="206" t="str">
        <f t="shared" si="43"/>
        <v/>
      </c>
      <c r="E395" s="206" t="str">
        <f t="shared" si="43"/>
        <v/>
      </c>
      <c r="F395" s="206" t="str">
        <f t="shared" si="43"/>
        <v/>
      </c>
      <c r="G395" s="206" t="str">
        <f t="shared" si="43"/>
        <v/>
      </c>
      <c r="H395" s="206" t="str">
        <f>IF(+H$11="","",H$11)</f>
        <v/>
      </c>
      <c r="I395" s="206" t="str">
        <f>IF(+I$11="","",I$11)</f>
        <v>Current Proposed</v>
      </c>
      <c r="J395" s="206" t="str">
        <f>IF(+J$11="","",J$11)</f>
        <v/>
      </c>
      <c r="K395" s="206"/>
      <c r="L395" s="206" t="str">
        <f t="shared" si="43"/>
        <v>Rate</v>
      </c>
      <c r="M395" s="206" t="str">
        <f t="shared" si="43"/>
        <v/>
      </c>
      <c r="N395" s="206" t="str">
        <f t="shared" si="43"/>
        <v>Scenario Proposed</v>
      </c>
      <c r="O395" s="206" t="str">
        <f t="shared" si="43"/>
        <v/>
      </c>
      <c r="Q395" s="206" t="str">
        <f>IF(+Q$11="","",Q$11)</f>
        <v>Increase</v>
      </c>
      <c r="R395" s="206" t="str">
        <f t="shared" si="43"/>
        <v/>
      </c>
      <c r="S395" s="206" t="str">
        <f t="shared" si="43"/>
        <v/>
      </c>
      <c r="T395" s="206" t="str">
        <f t="shared" si="43"/>
        <v/>
      </c>
    </row>
    <row r="396" spans="1:20" ht="14.1" customHeight="1" thickBot="1">
      <c r="A396" s="200" t="str">
        <f>IF(+A$12="","",A$12)</f>
        <v>No.</v>
      </c>
      <c r="B396" s="205" t="str">
        <f t="shared" ref="B396:T396" si="44">IF(+B$12="","",B$12)</f>
        <v/>
      </c>
      <c r="C396" s="205" t="str">
        <f t="shared" si="44"/>
        <v>Schedule</v>
      </c>
      <c r="D396" s="205" t="str">
        <f t="shared" si="44"/>
        <v/>
      </c>
      <c r="E396" s="205"/>
      <c r="F396" s="205" t="str">
        <f t="shared" si="44"/>
        <v>Type of Charge</v>
      </c>
      <c r="G396" s="205"/>
      <c r="H396" s="205" t="str">
        <f>IF(+H$12="","",H$12)</f>
        <v/>
      </c>
      <c r="I396" s="205" t="str">
        <f>IF(+I$12="","",I$12)</f>
        <v>Rate</v>
      </c>
      <c r="J396" s="205" t="str">
        <f>IF(+J$12="","",J$12)</f>
        <v/>
      </c>
      <c r="K396" s="205"/>
      <c r="L396" s="205" t="str">
        <f t="shared" si="44"/>
        <v>Schedule</v>
      </c>
      <c r="M396" s="205" t="str">
        <f t="shared" si="44"/>
        <v/>
      </c>
      <c r="N396" s="205" t="str">
        <f t="shared" si="44"/>
        <v>Rate</v>
      </c>
      <c r="O396" s="205" t="str">
        <f t="shared" si="44"/>
        <v/>
      </c>
      <c r="P396" s="200"/>
      <c r="Q396" s="205" t="str">
        <f>IF(+Q$12="","",Q$12)</f>
        <v>((5)-(3))/(3)</v>
      </c>
      <c r="R396" s="205" t="str">
        <f t="shared" si="44"/>
        <v/>
      </c>
      <c r="S396" s="205" t="str">
        <f t="shared" si="44"/>
        <v/>
      </c>
      <c r="T396" s="205" t="str">
        <f t="shared" si="44"/>
        <v/>
      </c>
    </row>
    <row r="397" spans="1:20" ht="14.1" customHeight="1">
      <c r="A397" s="199">
        <v>1</v>
      </c>
      <c r="B397" s="225"/>
      <c r="C397" s="233" t="s">
        <v>154</v>
      </c>
      <c r="D397" s="226"/>
      <c r="E397" s="211" t="s">
        <v>65</v>
      </c>
      <c r="G397" s="164"/>
      <c r="H397" s="226"/>
      <c r="J397" s="226"/>
      <c r="K397" s="226"/>
      <c r="L397" s="233" t="s">
        <v>154</v>
      </c>
      <c r="M397" s="226"/>
      <c r="N397" s="226"/>
      <c r="O397" s="226"/>
      <c r="Q397" s="226"/>
      <c r="R397" s="226"/>
      <c r="S397" s="226"/>
      <c r="T397" s="226"/>
    </row>
    <row r="398" spans="1:20" ht="14.1" customHeight="1">
      <c r="A398" s="199">
        <v>2</v>
      </c>
      <c r="B398" s="227"/>
      <c r="F398" s="234" t="s">
        <v>87</v>
      </c>
      <c r="H398" s="226"/>
      <c r="I398" s="215">
        <v>127.62</v>
      </c>
      <c r="J398" s="226" t="s">
        <v>67</v>
      </c>
      <c r="K398" s="226"/>
      <c r="L398" s="226"/>
      <c r="M398" s="164"/>
      <c r="N398" s="215">
        <f>+ROUND('Scenario GSLDSU Rates'!Q18,2)</f>
        <v>127.62</v>
      </c>
      <c r="O398" s="226" t="s">
        <v>67</v>
      </c>
      <c r="Q398" s="221">
        <f>IF(I398=0,0,+(N398-I398)/I398)</f>
        <v>0</v>
      </c>
      <c r="R398" s="226"/>
      <c r="S398" s="226"/>
      <c r="T398" s="226"/>
    </row>
    <row r="399" spans="1:20" ht="14.1" customHeight="1">
      <c r="A399" s="199">
        <v>3</v>
      </c>
      <c r="B399" s="227"/>
      <c r="C399" s="164"/>
      <c r="F399" s="199" t="s">
        <v>93</v>
      </c>
      <c r="I399" s="215">
        <v>127.62</v>
      </c>
      <c r="J399" s="226" t="s">
        <v>67</v>
      </c>
      <c r="K399" s="226"/>
      <c r="N399" s="215">
        <f>+ROUND('Scenario GSLDSU Rates'!Q19,2)</f>
        <v>127.62</v>
      </c>
      <c r="O399" s="226" t="s">
        <v>67</v>
      </c>
      <c r="Q399" s="221">
        <f>IF(I399=0,0,+(N399-I399)/I399)</f>
        <v>0</v>
      </c>
      <c r="R399" s="228"/>
      <c r="S399" s="228"/>
      <c r="T399" s="228"/>
    </row>
    <row r="400" spans="1:20" ht="14.1" customHeight="1">
      <c r="A400" s="199">
        <v>4</v>
      </c>
      <c r="B400" s="227"/>
      <c r="C400" s="164"/>
      <c r="I400" s="215"/>
      <c r="N400" s="215"/>
      <c r="R400" s="228"/>
      <c r="S400" s="228"/>
      <c r="T400" s="228"/>
    </row>
    <row r="401" spans="1:20" ht="14.1" customHeight="1">
      <c r="A401" s="199">
        <v>5</v>
      </c>
      <c r="B401" s="227"/>
      <c r="C401" s="164"/>
      <c r="E401" s="232" t="s">
        <v>94</v>
      </c>
      <c r="G401" s="164"/>
      <c r="H401" s="228"/>
      <c r="I401" s="215"/>
      <c r="J401" s="235"/>
      <c r="K401" s="235"/>
      <c r="L401" s="228"/>
      <c r="M401" s="235"/>
      <c r="N401" s="215"/>
      <c r="O401" s="235"/>
      <c r="Q401" s="228"/>
      <c r="R401" s="228"/>
      <c r="S401" s="228"/>
      <c r="T401" s="228"/>
    </row>
    <row r="402" spans="1:20" ht="14.1" customHeight="1">
      <c r="A402" s="199">
        <v>6</v>
      </c>
      <c r="B402" s="227"/>
      <c r="C402" s="164"/>
      <c r="F402" s="234" t="s">
        <v>87</v>
      </c>
      <c r="I402" s="223">
        <v>1.163E-2</v>
      </c>
      <c r="J402" s="217" t="s">
        <v>71</v>
      </c>
      <c r="K402" s="228"/>
      <c r="N402" s="223">
        <f>+ROUND('Scenario GSLDSU Rates'!Q23,5)</f>
        <v>1.163E-2</v>
      </c>
      <c r="O402" s="217" t="s">
        <v>71</v>
      </c>
      <c r="Q402" s="221">
        <f t="shared" ref="Q402:Q404" si="45">IF(I402=0,0,+(N402-I402)/I402)</f>
        <v>0</v>
      </c>
      <c r="R402" s="228"/>
      <c r="S402" s="228"/>
      <c r="T402" s="228"/>
    </row>
    <row r="403" spans="1:20" ht="14.1" customHeight="1">
      <c r="A403" s="199">
        <v>7</v>
      </c>
      <c r="B403" s="227"/>
      <c r="C403" s="226"/>
      <c r="F403" s="199" t="s">
        <v>155</v>
      </c>
      <c r="I403" s="223">
        <v>2.095E-2</v>
      </c>
      <c r="J403" s="217" t="s">
        <v>71</v>
      </c>
      <c r="K403" s="228"/>
      <c r="N403" s="223">
        <f>+ROUND('Scenario GSLDSU Rates'!Q24,5)</f>
        <v>2.095E-2</v>
      </c>
      <c r="O403" s="217" t="s">
        <v>71</v>
      </c>
      <c r="Q403" s="221">
        <f t="shared" si="45"/>
        <v>0</v>
      </c>
      <c r="R403" s="228"/>
      <c r="S403" s="228"/>
      <c r="T403" s="228"/>
    </row>
    <row r="404" spans="1:20" ht="14.1" customHeight="1">
      <c r="A404" s="199">
        <v>8</v>
      </c>
      <c r="B404" s="227"/>
      <c r="C404" s="226"/>
      <c r="F404" s="199" t="s">
        <v>156</v>
      </c>
      <c r="I404" s="223">
        <v>1.023E-2</v>
      </c>
      <c r="J404" s="217" t="s">
        <v>71</v>
      </c>
      <c r="K404" s="228"/>
      <c r="N404" s="223">
        <f>+ROUND('Scenario GSLDSU Rates'!Q25,5)</f>
        <v>1.023E-2</v>
      </c>
      <c r="O404" s="217" t="s">
        <v>71</v>
      </c>
      <c r="Q404" s="221">
        <f t="shared" si="45"/>
        <v>0</v>
      </c>
      <c r="R404" s="228"/>
      <c r="S404" s="228"/>
      <c r="T404" s="228"/>
    </row>
    <row r="405" spans="1:20" ht="14.1" customHeight="1">
      <c r="A405" s="199">
        <v>9</v>
      </c>
      <c r="B405" s="227"/>
      <c r="C405" s="226"/>
      <c r="F405" s="199" t="s">
        <v>157</v>
      </c>
      <c r="I405" s="223">
        <v>7.1900000000000002E-3</v>
      </c>
      <c r="J405" s="217" t="s">
        <v>71</v>
      </c>
      <c r="N405" s="223">
        <f>+ROUND('Scenario GSLDSU Rates'!Q26,5)</f>
        <v>7.1900000000000002E-3</v>
      </c>
      <c r="O405" s="217" t="s">
        <v>71</v>
      </c>
      <c r="R405" s="228"/>
      <c r="S405" s="228"/>
      <c r="T405" s="228"/>
    </row>
    <row r="406" spans="1:20" ht="14.1" customHeight="1">
      <c r="A406" s="199">
        <v>10</v>
      </c>
      <c r="B406" s="227"/>
      <c r="C406" s="226"/>
      <c r="R406" s="228"/>
      <c r="S406" s="228"/>
      <c r="T406" s="228"/>
    </row>
    <row r="407" spans="1:20" ht="14.1" customHeight="1">
      <c r="A407" s="199">
        <v>11</v>
      </c>
      <c r="B407" s="227"/>
      <c r="C407" s="226"/>
      <c r="E407" s="204" t="s">
        <v>99</v>
      </c>
      <c r="R407" s="228"/>
      <c r="S407" s="228"/>
      <c r="T407" s="228"/>
    </row>
    <row r="408" spans="1:20" ht="14.1" customHeight="1">
      <c r="A408" s="199">
        <v>12</v>
      </c>
      <c r="B408" s="227"/>
      <c r="C408" s="226"/>
      <c r="F408" s="234" t="s">
        <v>100</v>
      </c>
      <c r="G408" s="226"/>
      <c r="H408" s="228"/>
      <c r="I408" s="215">
        <v>12.77</v>
      </c>
      <c r="J408" s="228" t="s">
        <v>101</v>
      </c>
      <c r="K408" s="228"/>
      <c r="L408" s="228"/>
      <c r="M408" s="228"/>
      <c r="N408" s="215">
        <f>+ROUND('Scenario GSLDSU Rates'!Q30,2)</f>
        <v>12.77</v>
      </c>
      <c r="O408" s="228" t="s">
        <v>101</v>
      </c>
      <c r="Q408" s="221">
        <f>IF(I408=0,0,+(N408-I408)/I408)</f>
        <v>0</v>
      </c>
      <c r="R408" s="228"/>
      <c r="S408" s="228"/>
      <c r="T408" s="228"/>
    </row>
    <row r="409" spans="1:20" ht="14.1" customHeight="1">
      <c r="A409" s="199">
        <v>13</v>
      </c>
      <c r="B409" s="227"/>
      <c r="C409" s="226"/>
      <c r="F409" s="199" t="s">
        <v>149</v>
      </c>
      <c r="I409" s="215">
        <v>1.55</v>
      </c>
      <c r="J409" s="228" t="s">
        <v>101</v>
      </c>
      <c r="K409" s="228"/>
      <c r="N409" s="215">
        <f>+ROUND('Scenario GSLDSU Rates'!Q31,2)</f>
        <v>1.55</v>
      </c>
      <c r="O409" s="228" t="s">
        <v>101</v>
      </c>
      <c r="Q409" s="221">
        <f>IF(I409=0,0,+(N409-I409)/I409)</f>
        <v>0</v>
      </c>
      <c r="R409" s="228"/>
      <c r="S409" s="228"/>
      <c r="T409" s="228"/>
    </row>
    <row r="410" spans="1:20" ht="14.1" customHeight="1">
      <c r="A410" s="199">
        <v>14</v>
      </c>
      <c r="B410" s="227"/>
      <c r="C410" s="226"/>
      <c r="F410" s="199" t="s">
        <v>150</v>
      </c>
      <c r="H410" s="228"/>
      <c r="I410" s="215">
        <v>11.22</v>
      </c>
      <c r="J410" s="228" t="s">
        <v>101</v>
      </c>
      <c r="K410" s="228"/>
      <c r="L410" s="228"/>
      <c r="M410" s="228"/>
      <c r="N410" s="215">
        <f>+ROUND('Scenario GSLDSU Rates'!Q32,2)</f>
        <v>11.22</v>
      </c>
      <c r="O410" s="228" t="s">
        <v>101</v>
      </c>
      <c r="Q410" s="221">
        <f>IF(I410=0,0,+(N410-I410)/I410)</f>
        <v>0</v>
      </c>
      <c r="R410" s="228"/>
      <c r="S410" s="228"/>
      <c r="T410" s="228"/>
    </row>
    <row r="411" spans="1:20" ht="14.1" customHeight="1">
      <c r="A411" s="199">
        <v>15</v>
      </c>
      <c r="B411" s="227"/>
      <c r="C411" s="226"/>
      <c r="G411" s="226"/>
      <c r="H411" s="228"/>
      <c r="I411" s="215"/>
      <c r="J411" s="228"/>
      <c r="K411" s="228"/>
      <c r="L411" s="228"/>
      <c r="M411" s="228"/>
      <c r="N411" s="215"/>
      <c r="O411" s="228"/>
      <c r="Q411" s="221"/>
      <c r="R411" s="228"/>
      <c r="S411" s="228"/>
      <c r="T411" s="228"/>
    </row>
    <row r="412" spans="1:20" ht="14.1" customHeight="1">
      <c r="A412" s="199">
        <v>16</v>
      </c>
      <c r="B412" s="227"/>
      <c r="C412" s="226"/>
      <c r="E412" s="237" t="s">
        <v>151</v>
      </c>
      <c r="G412" s="228"/>
      <c r="H412" s="228"/>
      <c r="I412" s="215">
        <v>1.02</v>
      </c>
      <c r="J412" s="228" t="s">
        <v>101</v>
      </c>
      <c r="K412" s="228"/>
      <c r="L412" s="228"/>
      <c r="M412" s="228"/>
      <c r="N412" s="215">
        <f>+ROUND('Scenario GSLDSU Rates'!Q36,2)</f>
        <v>1.02</v>
      </c>
      <c r="O412" s="228" t="s">
        <v>101</v>
      </c>
      <c r="Q412" s="221">
        <f>IF(I412=0,0,+(N412-I412)/I412)</f>
        <v>0</v>
      </c>
      <c r="R412" s="228"/>
      <c r="S412" s="228"/>
      <c r="T412" s="228"/>
    </row>
    <row r="413" spans="1:20" ht="14.1" customHeight="1">
      <c r="A413" s="199">
        <v>17</v>
      </c>
      <c r="B413" s="227"/>
      <c r="C413" s="226"/>
      <c r="R413" s="228"/>
      <c r="S413" s="228"/>
      <c r="T413" s="228"/>
    </row>
    <row r="414" spans="1:20" ht="14.1" customHeight="1">
      <c r="A414" s="199">
        <v>18</v>
      </c>
      <c r="B414" s="227"/>
      <c r="C414" s="226"/>
      <c r="E414" s="199" t="s">
        <v>141</v>
      </c>
      <c r="I414" s="255">
        <v>2.0300000000000001E-3</v>
      </c>
      <c r="J414" s="199" t="s">
        <v>142</v>
      </c>
      <c r="L414" s="228"/>
      <c r="M414" s="228"/>
      <c r="N414" s="255">
        <f>+ROUND('Scenario GSLDSU Rates'!Q41,5)</f>
        <v>2.0300000000000001E-3</v>
      </c>
      <c r="O414" s="199" t="s">
        <v>142</v>
      </c>
      <c r="Q414" s="221">
        <f>IF(I414=0,0,+(N414-I414)/I414)</f>
        <v>0</v>
      </c>
      <c r="R414" s="228"/>
      <c r="S414" s="228"/>
      <c r="T414" s="228"/>
    </row>
    <row r="415" spans="1:20" ht="14.1" customHeight="1">
      <c r="A415" s="199">
        <v>19</v>
      </c>
      <c r="B415" s="227"/>
      <c r="C415" s="226"/>
      <c r="I415" s="258"/>
      <c r="L415" s="228"/>
      <c r="M415" s="228"/>
      <c r="N415" s="258"/>
      <c r="Q415" s="228"/>
      <c r="R415" s="228"/>
      <c r="S415" s="228"/>
      <c r="T415" s="228"/>
    </row>
    <row r="416" spans="1:20" ht="14.1" customHeight="1">
      <c r="A416" s="199">
        <v>20</v>
      </c>
      <c r="B416" s="227"/>
      <c r="C416" s="226"/>
      <c r="E416" s="199" t="s">
        <v>143</v>
      </c>
      <c r="F416" s="164"/>
      <c r="G416" s="228"/>
      <c r="H416" s="228"/>
      <c r="I416" s="255">
        <v>-1.0200000000000001E-3</v>
      </c>
      <c r="J416" s="199" t="s">
        <v>142</v>
      </c>
      <c r="L416" s="228"/>
      <c r="M416" s="228"/>
      <c r="N416" s="255">
        <f>+ROUND('Scenario GSLDSU Rates'!Q45,5)</f>
        <v>-1.0200000000000001E-3</v>
      </c>
      <c r="O416" s="199" t="s">
        <v>142</v>
      </c>
      <c r="Q416" s="221">
        <f>IF(I416=0,0,+(N416-I416)/I416)</f>
        <v>0</v>
      </c>
      <c r="R416" s="228"/>
      <c r="S416" s="228"/>
      <c r="T416" s="228"/>
    </row>
    <row r="417" spans="1:20" ht="14.1" customHeight="1">
      <c r="A417" s="199">
        <v>21</v>
      </c>
      <c r="B417" s="227"/>
      <c r="C417" s="226"/>
      <c r="R417" s="228"/>
      <c r="S417" s="228"/>
      <c r="T417" s="228"/>
    </row>
    <row r="418" spans="1:20" ht="14.1" customHeight="1">
      <c r="A418" s="199">
        <v>22</v>
      </c>
      <c r="B418" s="227"/>
      <c r="C418" s="226"/>
      <c r="E418" s="232"/>
      <c r="H418" s="228"/>
      <c r="I418" s="215"/>
      <c r="J418" s="228"/>
      <c r="K418" s="228"/>
      <c r="L418" s="228"/>
      <c r="M418" s="228"/>
      <c r="N418" s="215"/>
      <c r="O418" s="228"/>
      <c r="Q418" s="228"/>
      <c r="R418" s="228"/>
      <c r="S418" s="228"/>
      <c r="T418" s="228"/>
    </row>
    <row r="419" spans="1:20" ht="14.1" customHeight="1">
      <c r="A419" s="199">
        <v>23</v>
      </c>
      <c r="B419" s="227"/>
      <c r="C419" s="226"/>
      <c r="F419" s="234"/>
      <c r="G419" s="228"/>
      <c r="H419" s="228"/>
      <c r="I419" s="256"/>
      <c r="J419" s="228"/>
      <c r="K419" s="228"/>
      <c r="L419" s="228"/>
      <c r="M419" s="228"/>
      <c r="N419" s="256"/>
      <c r="O419" s="228"/>
      <c r="Q419" s="221"/>
      <c r="R419" s="228"/>
      <c r="S419" s="228"/>
      <c r="T419" s="228"/>
    </row>
    <row r="420" spans="1:20" ht="14.1" customHeight="1">
      <c r="A420" s="199">
        <v>24</v>
      </c>
      <c r="B420" s="227"/>
      <c r="C420" s="226"/>
      <c r="F420" s="234"/>
      <c r="G420" s="228"/>
      <c r="H420" s="228"/>
      <c r="I420" s="256"/>
      <c r="J420" s="228"/>
      <c r="K420" s="228"/>
      <c r="L420" s="228"/>
      <c r="M420" s="228"/>
      <c r="N420" s="256"/>
      <c r="O420" s="228"/>
      <c r="Q420" s="221"/>
      <c r="R420" s="228"/>
      <c r="S420" s="228"/>
      <c r="T420" s="228"/>
    </row>
    <row r="421" spans="1:20" ht="14.1" customHeight="1">
      <c r="A421" s="199">
        <v>25</v>
      </c>
      <c r="B421" s="227"/>
      <c r="C421" s="226"/>
      <c r="G421" s="164"/>
      <c r="H421" s="228"/>
      <c r="I421" s="250"/>
      <c r="J421" s="228"/>
      <c r="K421" s="228"/>
      <c r="L421" s="228"/>
      <c r="M421" s="228"/>
      <c r="N421" s="215"/>
      <c r="O421" s="228"/>
      <c r="Q421" s="221"/>
      <c r="R421" s="228"/>
      <c r="S421" s="228"/>
      <c r="T421" s="228"/>
    </row>
    <row r="422" spans="1:20" ht="14.1" customHeight="1">
      <c r="A422" s="199">
        <v>26</v>
      </c>
      <c r="B422" s="227"/>
      <c r="C422" s="226"/>
      <c r="R422" s="228"/>
      <c r="S422" s="228"/>
      <c r="T422" s="228"/>
    </row>
    <row r="423" spans="1:20" ht="14.1" customHeight="1">
      <c r="A423" s="199">
        <v>27</v>
      </c>
      <c r="B423" s="227"/>
      <c r="C423" s="226"/>
      <c r="R423" s="228"/>
      <c r="S423" s="228"/>
      <c r="T423" s="228"/>
    </row>
    <row r="424" spans="1:20" ht="14.1" customHeight="1">
      <c r="A424" s="199">
        <v>28</v>
      </c>
      <c r="B424" s="227"/>
      <c r="C424" s="226"/>
      <c r="R424" s="228"/>
      <c r="S424" s="228"/>
      <c r="T424" s="228"/>
    </row>
    <row r="425" spans="1:20" ht="14.1" customHeight="1">
      <c r="A425" s="199">
        <v>29</v>
      </c>
      <c r="B425" s="227"/>
      <c r="C425" s="226"/>
      <c r="F425" s="234"/>
      <c r="G425" s="228"/>
      <c r="H425" s="228"/>
      <c r="I425" s="256"/>
      <c r="J425" s="228"/>
      <c r="K425" s="228"/>
      <c r="L425" s="228"/>
      <c r="M425" s="228"/>
      <c r="N425" s="256"/>
      <c r="O425" s="228"/>
      <c r="Q425" s="221"/>
      <c r="R425" s="228"/>
      <c r="S425" s="228"/>
      <c r="T425" s="228"/>
    </row>
    <row r="426" spans="1:20" ht="14.1" customHeight="1">
      <c r="A426" s="199">
        <v>30</v>
      </c>
      <c r="B426" s="227"/>
      <c r="C426" s="226"/>
      <c r="F426" s="234"/>
      <c r="G426" s="228"/>
      <c r="H426" s="228"/>
      <c r="I426" s="256"/>
      <c r="J426" s="228"/>
      <c r="K426" s="228"/>
      <c r="L426" s="228"/>
      <c r="M426" s="228"/>
      <c r="N426" s="256"/>
      <c r="O426" s="228"/>
      <c r="Q426" s="221"/>
      <c r="R426" s="228"/>
      <c r="S426" s="228"/>
      <c r="T426" s="228"/>
    </row>
    <row r="427" spans="1:20" ht="14.1" customHeight="1">
      <c r="A427" s="199">
        <v>31</v>
      </c>
      <c r="B427" s="227"/>
      <c r="C427" s="226"/>
      <c r="F427" s="234"/>
      <c r="G427" s="228"/>
      <c r="H427" s="228"/>
      <c r="I427" s="256"/>
      <c r="J427" s="228"/>
      <c r="K427" s="228"/>
      <c r="L427" s="228"/>
      <c r="M427" s="228"/>
      <c r="N427" s="256"/>
      <c r="O427" s="228"/>
      <c r="Q427" s="221"/>
      <c r="R427" s="228"/>
      <c r="S427" s="228"/>
      <c r="T427" s="228"/>
    </row>
    <row r="428" spans="1:20" ht="14.1" customHeight="1">
      <c r="A428" s="199">
        <v>32</v>
      </c>
      <c r="B428" s="227"/>
      <c r="C428" s="226"/>
      <c r="F428" s="234"/>
      <c r="G428" s="228"/>
      <c r="H428" s="228"/>
      <c r="I428" s="256"/>
      <c r="J428" s="228"/>
      <c r="K428" s="228"/>
      <c r="L428" s="228"/>
      <c r="M428" s="228"/>
      <c r="N428" s="256"/>
      <c r="O428" s="228"/>
      <c r="Q428" s="221"/>
      <c r="R428" s="228"/>
      <c r="S428" s="228"/>
      <c r="T428" s="228"/>
    </row>
    <row r="429" spans="1:20" ht="14.1" customHeight="1">
      <c r="A429" s="199">
        <v>33</v>
      </c>
      <c r="B429" s="227"/>
      <c r="C429" s="226"/>
      <c r="F429" s="234"/>
      <c r="G429" s="228"/>
      <c r="H429" s="228"/>
      <c r="I429" s="256"/>
      <c r="J429" s="228"/>
      <c r="K429" s="228"/>
      <c r="L429" s="228"/>
      <c r="M429" s="228"/>
      <c r="N429" s="256"/>
      <c r="O429" s="228"/>
      <c r="Q429" s="221"/>
      <c r="R429" s="228"/>
      <c r="S429" s="228"/>
      <c r="T429" s="228"/>
    </row>
    <row r="430" spans="1:20" ht="14.1" customHeight="1">
      <c r="A430" s="199">
        <v>34</v>
      </c>
      <c r="B430" s="227"/>
      <c r="C430" s="226"/>
      <c r="F430" s="234"/>
      <c r="G430" s="228"/>
      <c r="H430" s="228"/>
      <c r="I430" s="256"/>
      <c r="J430" s="228"/>
      <c r="K430" s="228"/>
      <c r="L430" s="228"/>
      <c r="M430" s="228"/>
      <c r="N430" s="256"/>
      <c r="O430" s="228"/>
      <c r="Q430" s="221"/>
      <c r="R430" s="228"/>
      <c r="S430" s="228"/>
      <c r="T430" s="228"/>
    </row>
    <row r="431" spans="1:20" ht="14.1" customHeight="1">
      <c r="A431" s="199">
        <v>35</v>
      </c>
      <c r="B431" s="227"/>
      <c r="C431" s="226"/>
      <c r="F431" s="234"/>
      <c r="G431" s="228"/>
      <c r="H431" s="228"/>
      <c r="I431" s="256"/>
      <c r="J431" s="228"/>
      <c r="K431" s="228"/>
      <c r="L431" s="228"/>
      <c r="M431" s="228"/>
      <c r="N431" s="256"/>
      <c r="O431" s="228"/>
      <c r="Q431" s="221"/>
      <c r="R431" s="228"/>
      <c r="S431" s="228"/>
      <c r="T431" s="228"/>
    </row>
    <row r="432" spans="1:20" ht="14.1" customHeight="1" thickBot="1">
      <c r="A432" s="238">
        <v>36</v>
      </c>
      <c r="B432" s="238"/>
      <c r="C432" s="239"/>
      <c r="D432" s="200"/>
      <c r="E432" s="200"/>
      <c r="F432" s="200"/>
      <c r="G432" s="200"/>
      <c r="H432" s="200"/>
      <c r="I432" s="259"/>
      <c r="J432" s="241"/>
      <c r="K432" s="241"/>
      <c r="L432" s="200"/>
      <c r="M432" s="200"/>
      <c r="N432" s="259"/>
      <c r="O432" s="241"/>
      <c r="P432" s="200"/>
      <c r="Q432" s="249"/>
      <c r="R432" s="241"/>
      <c r="S432" s="241"/>
      <c r="T432" s="241"/>
    </row>
    <row r="433" spans="1:20" ht="14.1" customHeight="1"/>
    <row r="434" spans="1:20" ht="14.1" customHeight="1" thickBot="1">
      <c r="A434" s="200"/>
      <c r="B434" s="200"/>
      <c r="C434" s="200"/>
      <c r="D434" s="200"/>
      <c r="E434" s="200"/>
      <c r="F434" s="200"/>
      <c r="G434" s="200"/>
      <c r="H434" s="200"/>
      <c r="I434" s="200" t="s">
        <v>45</v>
      </c>
      <c r="J434" s="200"/>
      <c r="K434" s="200"/>
      <c r="L434" s="200"/>
      <c r="M434" s="200"/>
      <c r="N434" s="200"/>
      <c r="O434" s="200"/>
      <c r="P434" s="200"/>
      <c r="Q434" s="200"/>
      <c r="R434" s="200"/>
      <c r="S434" s="200"/>
      <c r="T434" s="201"/>
    </row>
    <row r="435" spans="1:20" ht="14.1" customHeight="1">
      <c r="F435" s="202"/>
      <c r="L435" s="203"/>
      <c r="M435" s="203"/>
      <c r="O435" s="203"/>
      <c r="P435" s="203"/>
      <c r="Q435" s="203"/>
      <c r="T435" s="204"/>
    </row>
    <row r="436" spans="1:20" ht="14.1" customHeight="1">
      <c r="L436" s="202"/>
      <c r="M436" s="204"/>
      <c r="P436" s="202"/>
      <c r="Q436" s="32"/>
      <c r="R436" s="31"/>
      <c r="T436" s="202"/>
    </row>
    <row r="437" spans="1:20" ht="14.1" customHeight="1">
      <c r="L437" s="202"/>
      <c r="M437" s="204"/>
      <c r="N437" s="202"/>
      <c r="Q437" s="32"/>
      <c r="R437" s="31"/>
      <c r="T437" s="202"/>
    </row>
    <row r="438" spans="1:20" ht="14.1" customHeight="1">
      <c r="L438" s="202"/>
      <c r="M438" s="204"/>
      <c r="N438" s="202"/>
      <c r="Q438" s="32"/>
      <c r="R438" s="31"/>
      <c r="T438" s="202"/>
    </row>
    <row r="439" spans="1:20" ht="14.1" customHeight="1" thickBot="1">
      <c r="A439" s="200"/>
      <c r="B439" s="200"/>
      <c r="C439" s="200"/>
      <c r="D439" s="200"/>
      <c r="E439" s="200"/>
      <c r="F439" s="200"/>
      <c r="G439" s="200"/>
      <c r="H439" s="200"/>
      <c r="I439" s="205"/>
      <c r="J439" s="200"/>
      <c r="K439" s="200"/>
      <c r="L439" s="200"/>
      <c r="M439" s="200"/>
      <c r="N439" s="200"/>
      <c r="O439" s="200"/>
      <c r="P439" s="200"/>
      <c r="Q439" s="200"/>
      <c r="R439" s="200"/>
      <c r="S439" s="200"/>
      <c r="T439" s="200"/>
    </row>
    <row r="440" spans="1:20" ht="14.1" customHeight="1">
      <c r="A440" s="199" t="str">
        <f>IF(+A$8="","",A$8)</f>
        <v/>
      </c>
      <c r="B440" s="206" t="str">
        <f t="shared" ref="B440:T440" si="46">IF(+B$8="","",B$8)</f>
        <v/>
      </c>
      <c r="C440" s="206" t="str">
        <f t="shared" si="46"/>
        <v>(1)</v>
      </c>
      <c r="D440" s="206" t="str">
        <f t="shared" si="46"/>
        <v/>
      </c>
      <c r="E440" s="206" t="str">
        <f t="shared" si="46"/>
        <v/>
      </c>
      <c r="F440" s="206" t="str">
        <f t="shared" si="46"/>
        <v>(2)</v>
      </c>
      <c r="G440" s="206" t="str">
        <f t="shared" si="46"/>
        <v/>
      </c>
      <c r="H440" s="206" t="str">
        <f>IF(+H$8="","",H$8)</f>
        <v/>
      </c>
      <c r="I440" s="206" t="str">
        <f>IF(+I$8="","",I$8)</f>
        <v>(3)</v>
      </c>
      <c r="J440" s="206" t="str">
        <f>IF(+J$8="","",J$8)</f>
        <v/>
      </c>
      <c r="K440" s="206"/>
      <c r="L440" s="206" t="str">
        <f t="shared" si="46"/>
        <v>(4)</v>
      </c>
      <c r="M440" s="206" t="str">
        <f t="shared" si="46"/>
        <v/>
      </c>
      <c r="N440" s="206" t="str">
        <f t="shared" si="46"/>
        <v>(5)</v>
      </c>
      <c r="O440" s="206" t="str">
        <f t="shared" si="46"/>
        <v/>
      </c>
      <c r="Q440" s="206" t="str">
        <f>IF(+Q$8="","",Q$8)</f>
        <v>(6)</v>
      </c>
      <c r="R440" s="206" t="str">
        <f t="shared" si="46"/>
        <v/>
      </c>
      <c r="S440" s="206" t="str">
        <f t="shared" si="46"/>
        <v/>
      </c>
      <c r="T440" s="206" t="str">
        <f t="shared" si="46"/>
        <v/>
      </c>
    </row>
    <row r="441" spans="1:20" ht="14.1" customHeight="1">
      <c r="A441" s="199" t="str">
        <f>IF(+A$9="","",A$9)</f>
        <v/>
      </c>
      <c r="B441" s="206" t="str">
        <f t="shared" ref="B441:T441" si="47">IF(+B$9="","",B$9)</f>
        <v/>
      </c>
      <c r="C441" s="206" t="str">
        <f t="shared" si="47"/>
        <v/>
      </c>
      <c r="D441" s="206" t="str">
        <f t="shared" si="47"/>
        <v/>
      </c>
      <c r="E441" s="206" t="str">
        <f t="shared" si="47"/>
        <v/>
      </c>
      <c r="F441" s="206" t="str">
        <f t="shared" si="47"/>
        <v/>
      </c>
      <c r="G441" s="206" t="str">
        <f t="shared" si="47"/>
        <v/>
      </c>
      <c r="H441" s="206" t="str">
        <f>IF(+H$9="","",H$9)</f>
        <v/>
      </c>
      <c r="I441" s="206" t="str">
        <f>IF(+I$9="","",I$9)</f>
        <v/>
      </c>
      <c r="J441" s="206" t="str">
        <f>IF(+J$9="","",J$9)</f>
        <v/>
      </c>
      <c r="K441" s="206"/>
      <c r="L441" s="206" t="str">
        <f t="shared" si="47"/>
        <v/>
      </c>
      <c r="M441" s="206" t="str">
        <f t="shared" si="47"/>
        <v/>
      </c>
      <c r="N441" s="206" t="str">
        <f t="shared" si="47"/>
        <v/>
      </c>
      <c r="O441" s="206" t="str">
        <f t="shared" si="47"/>
        <v/>
      </c>
      <c r="Q441" s="206" t="str">
        <f>IF(+Q$9="","",Q$9)</f>
        <v/>
      </c>
      <c r="R441" s="206" t="str">
        <f t="shared" si="47"/>
        <v/>
      </c>
      <c r="S441" s="206" t="str">
        <f t="shared" si="47"/>
        <v/>
      </c>
      <c r="T441" s="206" t="str">
        <f t="shared" si="47"/>
        <v/>
      </c>
    </row>
    <row r="442" spans="1:20" ht="14.1" customHeight="1">
      <c r="A442" s="199" t="str">
        <f>IF(+A$10="","",A$10)</f>
        <v/>
      </c>
      <c r="B442" s="206" t="str">
        <f t="shared" ref="B442:T442" si="48">IF(+B$10="","",B$10)</f>
        <v/>
      </c>
      <c r="C442" s="206" t="str">
        <f t="shared" si="48"/>
        <v xml:space="preserve">Current </v>
      </c>
      <c r="D442" s="206" t="str">
        <f t="shared" si="48"/>
        <v/>
      </c>
      <c r="E442" s="206" t="str">
        <f t="shared" si="48"/>
        <v/>
      </c>
      <c r="F442" s="206" t="str">
        <f t="shared" si="48"/>
        <v/>
      </c>
      <c r="G442" s="206" t="str">
        <f t="shared" si="48"/>
        <v/>
      </c>
      <c r="H442" s="206" t="str">
        <f>IF(+H$10="","",H$10)</f>
        <v/>
      </c>
      <c r="I442" s="206" t="str">
        <f>IF(+I$10="","",I$10)</f>
        <v/>
      </c>
      <c r="J442" s="206" t="str">
        <f>IF(+J$10="","",J$10)</f>
        <v/>
      </c>
      <c r="K442" s="206"/>
      <c r="L442" s="206" t="str">
        <f t="shared" si="48"/>
        <v>Proposed</v>
      </c>
      <c r="M442" s="206" t="str">
        <f t="shared" si="48"/>
        <v/>
      </c>
      <c r="N442" s="206" t="str">
        <f t="shared" si="48"/>
        <v/>
      </c>
      <c r="O442" s="206" t="str">
        <f t="shared" si="48"/>
        <v/>
      </c>
      <c r="Q442" s="206" t="str">
        <f>IF(+Q$10="","",Q$10)</f>
        <v>Percent</v>
      </c>
      <c r="R442" s="206" t="str">
        <f t="shared" si="48"/>
        <v/>
      </c>
      <c r="S442" s="206" t="str">
        <f t="shared" si="48"/>
        <v/>
      </c>
      <c r="T442" s="206" t="str">
        <f t="shared" si="48"/>
        <v/>
      </c>
    </row>
    <row r="443" spans="1:20" ht="14.1" customHeight="1">
      <c r="A443" s="199" t="str">
        <f>IF(+A$11="","",A$11)</f>
        <v>Line</v>
      </c>
      <c r="B443" s="206" t="str">
        <f t="shared" ref="B443:T443" si="49">IF(+B$11="","",B$11)</f>
        <v/>
      </c>
      <c r="C443" s="206" t="str">
        <f t="shared" si="49"/>
        <v>Rate</v>
      </c>
      <c r="D443" s="206" t="str">
        <f t="shared" si="49"/>
        <v/>
      </c>
      <c r="E443" s="206" t="str">
        <f t="shared" si="49"/>
        <v/>
      </c>
      <c r="F443" s="206" t="str">
        <f t="shared" si="49"/>
        <v/>
      </c>
      <c r="G443" s="206" t="str">
        <f t="shared" si="49"/>
        <v/>
      </c>
      <c r="H443" s="206" t="str">
        <f>IF(+H$11="","",H$11)</f>
        <v/>
      </c>
      <c r="I443" s="206" t="str">
        <f>IF(+I$11="","",I$11)</f>
        <v>Current Proposed</v>
      </c>
      <c r="J443" s="206" t="str">
        <f>IF(+J$11="","",J$11)</f>
        <v/>
      </c>
      <c r="K443" s="206"/>
      <c r="L443" s="206" t="str">
        <f t="shared" si="49"/>
        <v>Rate</v>
      </c>
      <c r="M443" s="206" t="str">
        <f t="shared" si="49"/>
        <v/>
      </c>
      <c r="N443" s="206" t="str">
        <f t="shared" si="49"/>
        <v>Scenario Proposed</v>
      </c>
      <c r="O443" s="206" t="str">
        <f t="shared" si="49"/>
        <v/>
      </c>
      <c r="Q443" s="206" t="str">
        <f>IF(+Q$11="","",Q$11)</f>
        <v>Increase</v>
      </c>
      <c r="R443" s="206" t="str">
        <f t="shared" si="49"/>
        <v/>
      </c>
      <c r="S443" s="206" t="str">
        <f t="shared" si="49"/>
        <v/>
      </c>
      <c r="T443" s="206" t="str">
        <f t="shared" si="49"/>
        <v/>
      </c>
    </row>
    <row r="444" spans="1:20" ht="14.1" customHeight="1" thickBot="1">
      <c r="A444" s="200" t="str">
        <f>IF(+A$12="","",A$12)</f>
        <v>No.</v>
      </c>
      <c r="B444" s="205" t="str">
        <f t="shared" ref="B444:T444" si="50">IF(+B$12="","",B$12)</f>
        <v/>
      </c>
      <c r="C444" s="205" t="str">
        <f t="shared" si="50"/>
        <v>Schedule</v>
      </c>
      <c r="D444" s="205" t="str">
        <f t="shared" si="50"/>
        <v/>
      </c>
      <c r="E444" s="205"/>
      <c r="F444" s="205" t="str">
        <f t="shared" si="50"/>
        <v>Type of Charge</v>
      </c>
      <c r="G444" s="205"/>
      <c r="H444" s="205" t="str">
        <f>IF(+H$12="","",H$12)</f>
        <v/>
      </c>
      <c r="I444" s="205" t="str">
        <f>IF(+I$12="","",I$12)</f>
        <v>Rate</v>
      </c>
      <c r="J444" s="205" t="str">
        <f>IF(+J$12="","",J$12)</f>
        <v/>
      </c>
      <c r="K444" s="205"/>
      <c r="L444" s="205" t="str">
        <f t="shared" si="50"/>
        <v>Schedule</v>
      </c>
      <c r="M444" s="205" t="str">
        <f t="shared" si="50"/>
        <v/>
      </c>
      <c r="N444" s="205" t="str">
        <f t="shared" si="50"/>
        <v>Rate</v>
      </c>
      <c r="O444" s="205" t="str">
        <f t="shared" si="50"/>
        <v/>
      </c>
      <c r="P444" s="200"/>
      <c r="Q444" s="205" t="str">
        <f>IF(+Q$12="","",Q$12)</f>
        <v>((5)-(3))/(3)</v>
      </c>
      <c r="R444" s="205" t="str">
        <f t="shared" si="50"/>
        <v/>
      </c>
      <c r="S444" s="205" t="str">
        <f t="shared" si="50"/>
        <v/>
      </c>
      <c r="T444" s="205" t="str">
        <f t="shared" si="50"/>
        <v/>
      </c>
    </row>
    <row r="445" spans="1:20" ht="14.1" customHeight="1">
      <c r="A445" s="199">
        <v>1</v>
      </c>
      <c r="B445" s="225"/>
      <c r="C445" s="233" t="s">
        <v>158</v>
      </c>
      <c r="D445" s="226"/>
      <c r="G445" s="164"/>
      <c r="H445" s="226"/>
      <c r="J445" s="226"/>
      <c r="K445" s="226"/>
      <c r="L445" s="233" t="s">
        <v>158</v>
      </c>
      <c r="M445" s="226"/>
      <c r="N445" s="226"/>
      <c r="O445" s="226"/>
      <c r="Q445" s="226"/>
      <c r="R445" s="226"/>
      <c r="S445" s="226"/>
      <c r="T445" s="226"/>
    </row>
    <row r="446" spans="1:20" ht="14.1" customHeight="1">
      <c r="A446" s="199">
        <v>2</v>
      </c>
      <c r="B446" s="225"/>
      <c r="C446" s="233"/>
      <c r="D446" s="226"/>
      <c r="E446" s="211" t="s">
        <v>65</v>
      </c>
      <c r="G446" s="164"/>
      <c r="H446" s="226"/>
      <c r="J446" s="226"/>
      <c r="K446" s="226"/>
      <c r="L446" s="233"/>
      <c r="M446" s="226"/>
      <c r="N446" s="226"/>
      <c r="O446" s="226"/>
      <c r="Q446" s="226"/>
      <c r="R446" s="226"/>
      <c r="S446" s="226"/>
      <c r="T446" s="226"/>
    </row>
    <row r="447" spans="1:20" ht="14.1" customHeight="1">
      <c r="A447" s="199">
        <v>3</v>
      </c>
      <c r="B447" s="227"/>
      <c r="F447" s="234" t="s">
        <v>66</v>
      </c>
      <c r="G447" s="164"/>
      <c r="H447" s="226"/>
      <c r="I447" s="215">
        <v>22.24</v>
      </c>
      <c r="J447" s="226" t="s">
        <v>67</v>
      </c>
      <c r="K447" s="226"/>
      <c r="L447" s="226"/>
      <c r="M447" s="226"/>
      <c r="N447" s="215">
        <f>+ROUND('Scenario GSLDPR Rates'!Q73,2)</f>
        <v>22.24</v>
      </c>
      <c r="O447" s="226" t="s">
        <v>67</v>
      </c>
      <c r="Q447" s="221">
        <f>IF(I447=0,0,+(N447-I447)/I447)</f>
        <v>0</v>
      </c>
      <c r="R447" s="226"/>
      <c r="S447" s="226"/>
      <c r="T447" s="226"/>
    </row>
    <row r="448" spans="1:20" ht="14.1" customHeight="1">
      <c r="A448" s="199">
        <v>4</v>
      </c>
      <c r="B448" s="227"/>
      <c r="F448" s="199" t="s">
        <v>159</v>
      </c>
      <c r="H448" s="228"/>
      <c r="I448" s="215">
        <v>22.24</v>
      </c>
      <c r="J448" s="226" t="s">
        <v>67</v>
      </c>
      <c r="K448" s="226"/>
      <c r="L448" s="228"/>
      <c r="M448" s="235"/>
      <c r="N448" s="215">
        <f>+ROUND('Scenario GSLDPR Rates'!Q74,2)</f>
        <v>22.24</v>
      </c>
      <c r="O448" s="226" t="s">
        <v>67</v>
      </c>
      <c r="Q448" s="221">
        <f>IF(I448=0,0,+(N448-I448)/I448)</f>
        <v>0</v>
      </c>
      <c r="R448" s="228"/>
      <c r="S448" s="228"/>
      <c r="T448" s="228"/>
    </row>
    <row r="449" spans="1:20" ht="14.1" customHeight="1">
      <c r="A449" s="199">
        <v>5</v>
      </c>
      <c r="B449" s="227"/>
      <c r="C449" s="164"/>
      <c r="R449" s="228"/>
      <c r="S449" s="228"/>
      <c r="T449" s="228"/>
    </row>
    <row r="450" spans="1:20" ht="14.1" customHeight="1">
      <c r="A450" s="199">
        <v>6</v>
      </c>
      <c r="B450" s="227"/>
      <c r="C450" s="164"/>
      <c r="E450" s="204" t="s">
        <v>115</v>
      </c>
      <c r="G450" s="226"/>
      <c r="H450" s="228"/>
      <c r="I450" s="215"/>
      <c r="J450" s="228"/>
      <c r="K450" s="228"/>
      <c r="L450" s="228"/>
      <c r="M450" s="235"/>
      <c r="N450" s="215"/>
      <c r="O450" s="228"/>
      <c r="Q450" s="228"/>
      <c r="R450" s="228"/>
      <c r="S450" s="228"/>
      <c r="T450" s="228"/>
    </row>
    <row r="451" spans="1:20" ht="14.1" customHeight="1">
      <c r="A451" s="199">
        <v>7</v>
      </c>
      <c r="B451" s="227"/>
      <c r="C451" s="164"/>
      <c r="F451" s="234" t="s">
        <v>66</v>
      </c>
      <c r="G451" s="226"/>
      <c r="H451" s="228"/>
      <c r="I451" s="250">
        <v>13</v>
      </c>
      <c r="J451" s="228" t="s">
        <v>101</v>
      </c>
      <c r="K451" s="228"/>
      <c r="L451" s="228"/>
      <c r="M451" s="235"/>
      <c r="N451" s="250">
        <f>+ROUND('Scenario GSLDPR Rates'!Q92,2)</f>
        <v>12.99</v>
      </c>
      <c r="O451" s="228" t="s">
        <v>101</v>
      </c>
      <c r="Q451" s="221">
        <f>IF(I451=0,0,+(N451-I451)/I451)</f>
        <v>-7.6923076923075286E-4</v>
      </c>
      <c r="R451" s="228"/>
      <c r="S451" s="228"/>
      <c r="T451" s="228"/>
    </row>
    <row r="452" spans="1:20" ht="14.1" customHeight="1">
      <c r="A452" s="199">
        <v>8</v>
      </c>
      <c r="B452" s="227"/>
      <c r="C452" s="164"/>
      <c r="F452" s="199" t="s">
        <v>160</v>
      </c>
      <c r="I452" s="250">
        <v>2.93</v>
      </c>
      <c r="J452" s="228" t="s">
        <v>101</v>
      </c>
      <c r="K452" s="228"/>
      <c r="N452" s="250">
        <f>+ROUND('Scenario GSLDPR Rates'!Q93,2)</f>
        <v>2.92</v>
      </c>
      <c r="O452" s="228" t="s">
        <v>101</v>
      </c>
      <c r="Q452" s="221">
        <f>IF(I452=0,0,+(N452-I452)/I452)</f>
        <v>-3.412969283276529E-3</v>
      </c>
      <c r="R452" s="228"/>
      <c r="S452" s="228"/>
      <c r="T452" s="228"/>
    </row>
    <row r="453" spans="1:20" ht="14.1" customHeight="1">
      <c r="A453" s="199">
        <v>9</v>
      </c>
      <c r="B453" s="227"/>
      <c r="C453" s="226"/>
      <c r="F453" s="199" t="s">
        <v>161</v>
      </c>
      <c r="I453" s="250">
        <v>10.07</v>
      </c>
      <c r="J453" s="228" t="s">
        <v>101</v>
      </c>
      <c r="K453" s="228"/>
      <c r="N453" s="250">
        <f>+ROUND('Scenario GSLDPR Rates'!Q94,2)</f>
        <v>10.06</v>
      </c>
      <c r="O453" s="228" t="s">
        <v>101</v>
      </c>
      <c r="Q453" s="250">
        <f>IF(I453=0,0,+(N453-I453)/I453)</f>
        <v>-9.9304865938428855E-4</v>
      </c>
      <c r="R453" s="228"/>
      <c r="S453" s="228"/>
      <c r="T453" s="228"/>
    </row>
    <row r="454" spans="1:20" ht="14.1" customHeight="1">
      <c r="A454" s="199">
        <v>10</v>
      </c>
      <c r="B454" s="227"/>
      <c r="C454" s="226"/>
      <c r="I454" s="260"/>
      <c r="J454" s="228"/>
      <c r="K454" s="228"/>
      <c r="N454" s="260"/>
      <c r="O454" s="228"/>
      <c r="Q454" s="221"/>
      <c r="R454" s="228"/>
      <c r="S454" s="228"/>
      <c r="T454" s="228"/>
    </row>
    <row r="455" spans="1:20" ht="14.1" customHeight="1">
      <c r="A455" s="199">
        <v>11</v>
      </c>
      <c r="B455" s="227"/>
      <c r="C455" s="226"/>
      <c r="E455" s="232" t="s">
        <v>119</v>
      </c>
      <c r="R455" s="228"/>
      <c r="S455" s="228"/>
      <c r="T455" s="228"/>
    </row>
    <row r="456" spans="1:20" ht="14.1" customHeight="1">
      <c r="A456" s="199">
        <v>12</v>
      </c>
      <c r="B456" s="227"/>
      <c r="C456" s="226"/>
      <c r="F456" s="234" t="s">
        <v>66</v>
      </c>
      <c r="I456" s="255">
        <v>1.0630000000000001E-2</v>
      </c>
      <c r="J456" s="217" t="s">
        <v>71</v>
      </c>
      <c r="K456" s="228"/>
      <c r="N456" s="255">
        <f>+ROUND('Scenario GSLDPR Rates'!Q78,5)</f>
        <v>1.0630000000000001E-2</v>
      </c>
      <c r="O456" s="217" t="s">
        <v>71</v>
      </c>
      <c r="Q456" s="221">
        <f>IF(I456=0,0,+(N456-I456)/I456)</f>
        <v>0</v>
      </c>
      <c r="R456" s="228"/>
      <c r="S456" s="228"/>
      <c r="T456" s="228"/>
    </row>
    <row r="457" spans="1:20" ht="14.1" customHeight="1">
      <c r="A457" s="199">
        <v>13</v>
      </c>
      <c r="B457" s="227"/>
      <c r="C457" s="226"/>
      <c r="F457" s="199" t="s">
        <v>96</v>
      </c>
      <c r="I457" s="255">
        <v>1.7250000000000001E-2</v>
      </c>
      <c r="J457" s="217" t="s">
        <v>71</v>
      </c>
      <c r="K457" s="228"/>
      <c r="N457" s="255">
        <f>+ROUND('Scenario GSLDPR Rates'!Q79,5)</f>
        <v>1.7250000000000001E-2</v>
      </c>
      <c r="O457" s="217" t="s">
        <v>71</v>
      </c>
      <c r="Q457" s="221">
        <f>IF(I457=0,0,+(N457-I457)/I457)</f>
        <v>0</v>
      </c>
      <c r="R457" s="228"/>
      <c r="S457" s="228"/>
      <c r="T457" s="228"/>
    </row>
    <row r="458" spans="1:20" ht="14.1" customHeight="1">
      <c r="A458" s="199">
        <v>14</v>
      </c>
      <c r="B458" s="227"/>
      <c r="C458" s="226"/>
      <c r="F458" s="199" t="s">
        <v>97</v>
      </c>
      <c r="I458" s="255">
        <v>1.048E-2</v>
      </c>
      <c r="J458" s="217" t="s">
        <v>71</v>
      </c>
      <c r="K458" s="228"/>
      <c r="N458" s="255">
        <f>+ROUND('Scenario GSLDPR Rates'!Q80,5)</f>
        <v>1.048E-2</v>
      </c>
      <c r="O458" s="217" t="s">
        <v>71</v>
      </c>
      <c r="Q458" s="221">
        <f>+(N458-I458)/I458</f>
        <v>0</v>
      </c>
      <c r="R458" s="228"/>
      <c r="S458" s="228"/>
      <c r="T458" s="228"/>
    </row>
    <row r="459" spans="1:20" ht="14.1" customHeight="1">
      <c r="A459" s="199">
        <v>15</v>
      </c>
      <c r="B459" s="227"/>
      <c r="C459" s="226"/>
      <c r="F459" s="199" t="s">
        <v>98</v>
      </c>
      <c r="I459" s="255">
        <v>6.3E-3</v>
      </c>
      <c r="J459" s="217" t="s">
        <v>71</v>
      </c>
      <c r="N459" s="255">
        <f>+ROUND('Scenario GSLDPR Rates'!Q81,5)</f>
        <v>6.3E-3</v>
      </c>
      <c r="O459" s="217" t="s">
        <v>71</v>
      </c>
      <c r="Q459" s="221">
        <f>+(N459-I459)/I459</f>
        <v>0</v>
      </c>
      <c r="R459" s="228"/>
      <c r="S459" s="228"/>
      <c r="T459" s="228"/>
    </row>
    <row r="460" spans="1:20" ht="14.1" customHeight="1">
      <c r="A460" s="199">
        <v>16</v>
      </c>
      <c r="B460" s="227"/>
      <c r="C460" s="226"/>
      <c r="R460" s="228"/>
      <c r="S460" s="228"/>
      <c r="T460" s="228"/>
    </row>
    <row r="461" spans="1:20" ht="14.1" customHeight="1">
      <c r="A461" s="199">
        <v>17</v>
      </c>
      <c r="B461" s="227"/>
      <c r="C461" s="226"/>
      <c r="E461" s="204" t="s">
        <v>162</v>
      </c>
      <c r="G461" s="226"/>
      <c r="H461" s="228"/>
      <c r="I461" s="215"/>
      <c r="J461" s="228"/>
      <c r="K461" s="228"/>
      <c r="L461" s="228"/>
      <c r="M461" s="228"/>
      <c r="N461" s="215"/>
      <c r="O461" s="228"/>
      <c r="Q461" s="228"/>
      <c r="R461" s="228"/>
      <c r="S461" s="228"/>
      <c r="T461" s="228"/>
    </row>
    <row r="462" spans="1:20" ht="14.1" customHeight="1">
      <c r="A462" s="199">
        <v>18</v>
      </c>
      <c r="B462" s="227"/>
      <c r="C462" s="226"/>
      <c r="F462" s="199" t="s">
        <v>125</v>
      </c>
      <c r="G462" s="226"/>
      <c r="H462" s="228"/>
      <c r="I462" s="250">
        <v>1.71</v>
      </c>
      <c r="J462" s="228" t="s">
        <v>101</v>
      </c>
      <c r="K462" s="228"/>
      <c r="L462" s="228"/>
      <c r="M462" s="228"/>
      <c r="N462" s="250">
        <f>+ROUND('Scenario GSLDPR Rates'!Q98,2)</f>
        <v>1.71</v>
      </c>
      <c r="O462" s="228" t="s">
        <v>101</v>
      </c>
      <c r="Q462" s="221">
        <f>IF(I462=0,0,+(N462-I462)/I462)</f>
        <v>0</v>
      </c>
      <c r="R462" s="228"/>
      <c r="S462" s="228"/>
      <c r="T462" s="228"/>
    </row>
    <row r="463" spans="1:20" ht="14.1" customHeight="1">
      <c r="A463" s="199">
        <v>19</v>
      </c>
      <c r="B463" s="227"/>
      <c r="C463" s="226"/>
      <c r="F463" s="199" t="s">
        <v>126</v>
      </c>
      <c r="L463" s="228"/>
      <c r="M463" s="228"/>
      <c r="Q463" s="228"/>
      <c r="R463" s="228"/>
      <c r="S463" s="228"/>
      <c r="T463" s="228"/>
    </row>
    <row r="464" spans="1:20" ht="14.1" customHeight="1">
      <c r="A464" s="199">
        <v>20</v>
      </c>
      <c r="B464" s="227"/>
      <c r="C464" s="226"/>
      <c r="F464" s="199" t="s">
        <v>127</v>
      </c>
      <c r="I464" s="250">
        <v>1.56</v>
      </c>
      <c r="J464" s="199" t="s">
        <v>128</v>
      </c>
      <c r="L464" s="228"/>
      <c r="M464" s="228"/>
      <c r="N464" s="250">
        <f>+ROUND('Scenario GSLDPR Rates'!Q99,2)</f>
        <v>1.56</v>
      </c>
      <c r="O464" s="199" t="s">
        <v>128</v>
      </c>
      <c r="Q464" s="221">
        <f>IF(I464=0,0,+(N464-I464)/I464)</f>
        <v>0</v>
      </c>
      <c r="R464" s="228"/>
      <c r="S464" s="228"/>
      <c r="T464" s="228"/>
    </row>
    <row r="465" spans="1:20" ht="14.1" customHeight="1">
      <c r="A465" s="199">
        <v>21</v>
      </c>
      <c r="B465" s="227"/>
      <c r="C465" s="226"/>
      <c r="F465" s="199" t="s">
        <v>129</v>
      </c>
      <c r="I465" s="250">
        <v>0.62</v>
      </c>
      <c r="J465" s="199" t="s">
        <v>130</v>
      </c>
      <c r="L465" s="228"/>
      <c r="M465" s="228"/>
      <c r="N465" s="250">
        <f>+ROUND('Scenario GSLDPR Rates'!Q100,2)</f>
        <v>0.62</v>
      </c>
      <c r="O465" s="199" t="s">
        <v>130</v>
      </c>
      <c r="Q465" s="221">
        <f>IF(I465=0,0,+(N465-I465)/I465)</f>
        <v>0</v>
      </c>
      <c r="R465" s="228"/>
      <c r="S465" s="228"/>
      <c r="T465" s="228"/>
    </row>
    <row r="466" spans="1:20" ht="14.1" customHeight="1">
      <c r="A466" s="199">
        <v>22</v>
      </c>
      <c r="B466" s="227"/>
      <c r="C466" s="226"/>
      <c r="G466" s="164"/>
      <c r="H466" s="228"/>
      <c r="I466" s="220"/>
      <c r="J466" s="228"/>
      <c r="K466" s="228"/>
      <c r="L466" s="228"/>
      <c r="M466" s="228"/>
      <c r="N466" s="220"/>
      <c r="O466" s="228"/>
      <c r="Q466" s="221"/>
      <c r="R466" s="228"/>
      <c r="S466" s="228"/>
      <c r="T466" s="228"/>
    </row>
    <row r="467" spans="1:20" ht="14.1" customHeight="1">
      <c r="A467" s="199">
        <v>23</v>
      </c>
      <c r="B467" s="227"/>
      <c r="C467" s="226"/>
      <c r="E467" s="232" t="s">
        <v>131</v>
      </c>
      <c r="G467" s="164"/>
      <c r="H467" s="228"/>
      <c r="J467" s="228"/>
      <c r="K467" s="228"/>
      <c r="L467" s="228"/>
      <c r="M467" s="228"/>
      <c r="O467" s="228"/>
      <c r="Q467" s="228"/>
      <c r="R467" s="228"/>
      <c r="S467" s="228"/>
      <c r="T467" s="228"/>
    </row>
    <row r="468" spans="1:20" ht="14.1" customHeight="1">
      <c r="A468" s="199">
        <v>24</v>
      </c>
      <c r="B468" s="227"/>
      <c r="C468" s="226"/>
      <c r="F468" s="234" t="s">
        <v>66</v>
      </c>
      <c r="I468" s="255">
        <v>8.7399999999999995E-3</v>
      </c>
      <c r="J468" s="217" t="s">
        <v>71</v>
      </c>
      <c r="N468" s="255">
        <f>+ROUND('Scenario GSLDPR Rates'!Q85,5)</f>
        <v>8.7399999999999995E-3</v>
      </c>
      <c r="O468" s="217" t="s">
        <v>71</v>
      </c>
      <c r="Q468" s="221">
        <f>IF(I468=0,0,+(N468-I468)/I468)</f>
        <v>0</v>
      </c>
      <c r="R468" s="228"/>
      <c r="S468" s="228"/>
      <c r="T468" s="228"/>
    </row>
    <row r="469" spans="1:20" ht="14.1" customHeight="1">
      <c r="A469" s="199">
        <v>25</v>
      </c>
      <c r="B469" s="227"/>
      <c r="C469" s="226"/>
      <c r="F469" s="199" t="s">
        <v>163</v>
      </c>
      <c r="I469" s="255">
        <v>8.7399999999999995E-3</v>
      </c>
      <c r="J469" s="217" t="s">
        <v>71</v>
      </c>
      <c r="K469" s="228"/>
      <c r="L469" s="228"/>
      <c r="M469" s="228"/>
      <c r="N469" s="255">
        <f>+ROUND('Scenario GSLDPR Rates'!Q86,5)</f>
        <v>8.7399999999999995E-3</v>
      </c>
      <c r="O469" s="217" t="s">
        <v>71</v>
      </c>
      <c r="Q469" s="221">
        <f>IF(I469=0,0,+(N469-I469)/I469)</f>
        <v>0</v>
      </c>
      <c r="R469" s="228"/>
      <c r="S469" s="228"/>
      <c r="T469" s="228"/>
    </row>
    <row r="470" spans="1:20" ht="14.1" customHeight="1">
      <c r="A470" s="199">
        <v>26</v>
      </c>
      <c r="B470" s="227"/>
      <c r="C470" s="226"/>
      <c r="R470" s="228"/>
      <c r="S470" s="228"/>
      <c r="T470" s="228"/>
    </row>
    <row r="471" spans="1:20" ht="14.1" customHeight="1">
      <c r="A471" s="199">
        <v>27</v>
      </c>
      <c r="B471" s="227"/>
      <c r="C471" s="226"/>
      <c r="E471" s="232"/>
      <c r="G471" s="164"/>
      <c r="H471" s="228"/>
      <c r="I471" s="215"/>
      <c r="J471" s="228"/>
      <c r="K471" s="228"/>
      <c r="L471" s="228"/>
      <c r="M471" s="228"/>
      <c r="N471" s="215"/>
      <c r="O471" s="228"/>
      <c r="Q471" s="228"/>
      <c r="R471" s="228"/>
      <c r="S471" s="228"/>
      <c r="T471" s="228"/>
    </row>
    <row r="472" spans="1:20" ht="14.1" customHeight="1">
      <c r="A472" s="199">
        <v>28</v>
      </c>
      <c r="B472" s="227"/>
      <c r="C472" s="226"/>
      <c r="R472" s="228"/>
      <c r="S472" s="228"/>
      <c r="T472" s="228"/>
    </row>
    <row r="473" spans="1:20" ht="14.1" customHeight="1">
      <c r="A473" s="199">
        <v>29</v>
      </c>
      <c r="B473" s="227"/>
      <c r="C473" s="226"/>
      <c r="F473" s="222"/>
      <c r="H473" s="228"/>
      <c r="I473" s="215"/>
      <c r="J473" s="228"/>
      <c r="K473" s="228"/>
      <c r="L473" s="228"/>
      <c r="M473" s="228"/>
      <c r="N473" s="215"/>
      <c r="O473" s="228"/>
      <c r="Q473" s="250"/>
      <c r="R473" s="228"/>
      <c r="S473" s="228"/>
      <c r="T473" s="228"/>
    </row>
    <row r="474" spans="1:20" ht="14.1" customHeight="1">
      <c r="A474" s="199">
        <v>30</v>
      </c>
      <c r="B474" s="227"/>
      <c r="C474" s="226"/>
      <c r="F474" s="252"/>
      <c r="I474" s="215"/>
      <c r="J474" s="228"/>
      <c r="K474" s="228"/>
      <c r="N474" s="215"/>
      <c r="O474" s="228"/>
      <c r="Q474" s="250"/>
      <c r="R474" s="228"/>
      <c r="S474" s="228"/>
      <c r="T474" s="228"/>
    </row>
    <row r="475" spans="1:20" ht="14.1" customHeight="1">
      <c r="A475" s="199">
        <v>31</v>
      </c>
      <c r="B475" s="227"/>
      <c r="C475" s="226"/>
      <c r="J475" s="228"/>
      <c r="K475" s="228"/>
      <c r="Q475" s="228"/>
      <c r="R475" s="228"/>
      <c r="S475" s="228"/>
      <c r="T475" s="228"/>
    </row>
    <row r="476" spans="1:20" ht="14.1" customHeight="1">
      <c r="A476" s="199">
        <v>32</v>
      </c>
      <c r="B476" s="227"/>
      <c r="C476" s="226"/>
      <c r="F476" s="222"/>
      <c r="I476" s="250"/>
      <c r="J476" s="228"/>
      <c r="K476" s="228"/>
      <c r="N476" s="250"/>
      <c r="O476" s="228"/>
      <c r="Q476" s="250"/>
      <c r="R476" s="228"/>
      <c r="S476" s="228"/>
      <c r="T476" s="228"/>
    </row>
    <row r="477" spans="1:20" ht="14.1" customHeight="1">
      <c r="A477" s="199">
        <v>33</v>
      </c>
      <c r="B477" s="227"/>
      <c r="C477" s="226"/>
      <c r="F477" s="222"/>
      <c r="I477" s="250"/>
      <c r="J477" s="228"/>
      <c r="K477" s="228"/>
      <c r="N477" s="250"/>
      <c r="O477" s="228"/>
      <c r="Q477" s="250"/>
      <c r="R477" s="228"/>
      <c r="S477" s="228"/>
      <c r="T477" s="228"/>
    </row>
    <row r="478" spans="1:20" ht="14.1" customHeight="1">
      <c r="A478" s="199">
        <v>34</v>
      </c>
      <c r="B478" s="227"/>
      <c r="C478" s="226"/>
      <c r="F478" s="222"/>
      <c r="I478" s="250"/>
      <c r="J478" s="228"/>
      <c r="K478" s="228"/>
      <c r="N478" s="250"/>
      <c r="O478" s="228"/>
      <c r="Q478" s="250"/>
      <c r="R478" s="228"/>
      <c r="S478" s="228"/>
      <c r="T478" s="228"/>
    </row>
    <row r="479" spans="1:20" ht="14.1" customHeight="1">
      <c r="A479" s="199">
        <v>35</v>
      </c>
      <c r="B479" s="227"/>
      <c r="C479" s="226"/>
      <c r="F479" s="222"/>
      <c r="I479" s="250"/>
      <c r="J479" s="228"/>
      <c r="K479" s="228"/>
      <c r="N479" s="250"/>
      <c r="O479" s="228"/>
      <c r="Q479" s="250"/>
      <c r="R479" s="228"/>
      <c r="S479" s="228"/>
      <c r="T479" s="228"/>
    </row>
    <row r="480" spans="1:20" ht="14.1" customHeight="1" thickBot="1">
      <c r="A480" s="238">
        <v>36</v>
      </c>
      <c r="B480" s="238"/>
      <c r="C480" s="239"/>
      <c r="D480" s="200"/>
      <c r="E480" s="200"/>
      <c r="F480" s="200"/>
      <c r="G480" s="200"/>
      <c r="H480" s="200"/>
      <c r="I480" s="200"/>
      <c r="J480" s="200"/>
      <c r="K480" s="200"/>
      <c r="L480" s="200"/>
      <c r="M480" s="200"/>
      <c r="N480" s="200"/>
      <c r="O480" s="200"/>
      <c r="P480" s="200"/>
      <c r="Q480" s="200"/>
      <c r="R480" s="241"/>
      <c r="S480" s="241"/>
      <c r="T480" s="243" t="s">
        <v>164</v>
      </c>
    </row>
    <row r="481" spans="1:20" ht="14.1" customHeight="1"/>
    <row r="482" spans="1:20" ht="14.1" customHeight="1" thickBot="1">
      <c r="A482" s="200"/>
      <c r="B482" s="200"/>
      <c r="C482" s="200"/>
      <c r="D482" s="200"/>
      <c r="E482" s="200"/>
      <c r="F482" s="200"/>
      <c r="G482" s="200"/>
      <c r="H482" s="200"/>
      <c r="I482" s="200" t="s">
        <v>45</v>
      </c>
      <c r="J482" s="200"/>
      <c r="K482" s="200"/>
      <c r="L482" s="200"/>
      <c r="M482" s="200"/>
      <c r="N482" s="200"/>
      <c r="O482" s="200"/>
      <c r="P482" s="200"/>
      <c r="Q482" s="200"/>
      <c r="R482" s="200"/>
      <c r="S482" s="200"/>
      <c r="T482" s="201"/>
    </row>
    <row r="483" spans="1:20" ht="14.1" customHeight="1">
      <c r="F483" s="202"/>
      <c r="L483" s="203"/>
      <c r="M483" s="203"/>
      <c r="O483" s="203"/>
      <c r="P483" s="203"/>
      <c r="Q483" s="203"/>
      <c r="T483" s="204"/>
    </row>
    <row r="484" spans="1:20" ht="14.1" customHeight="1">
      <c r="L484" s="202"/>
      <c r="M484" s="204"/>
      <c r="P484" s="202"/>
      <c r="Q484" s="32"/>
      <c r="R484" s="31"/>
      <c r="T484" s="202"/>
    </row>
    <row r="485" spans="1:20" ht="14.1" customHeight="1">
      <c r="L485" s="202"/>
      <c r="M485" s="204"/>
      <c r="N485" s="202"/>
      <c r="Q485" s="32"/>
      <c r="R485" s="31"/>
      <c r="T485" s="202"/>
    </row>
    <row r="486" spans="1:20" ht="14.1" customHeight="1">
      <c r="L486" s="202"/>
      <c r="M486" s="204"/>
      <c r="N486" s="202"/>
      <c r="Q486" s="32"/>
      <c r="R486" s="31"/>
      <c r="T486" s="202"/>
    </row>
    <row r="487" spans="1:20" ht="14.1" customHeight="1" thickBot="1">
      <c r="A487" s="200"/>
      <c r="B487" s="200"/>
      <c r="C487" s="200"/>
      <c r="D487" s="200"/>
      <c r="E487" s="200"/>
      <c r="F487" s="200"/>
      <c r="G487" s="200"/>
      <c r="H487" s="200"/>
      <c r="I487" s="205"/>
      <c r="J487" s="200"/>
      <c r="K487" s="200"/>
      <c r="L487" s="200"/>
      <c r="M487" s="200"/>
      <c r="N487" s="200"/>
      <c r="O487" s="200"/>
      <c r="P487" s="200"/>
      <c r="Q487" s="200"/>
      <c r="R487" s="200"/>
      <c r="S487" s="200"/>
      <c r="T487" s="200"/>
    </row>
    <row r="488" spans="1:20" ht="14.1" customHeight="1">
      <c r="A488" s="199" t="str">
        <f>IF(+A$8="","",A$8)</f>
        <v/>
      </c>
      <c r="B488" s="206" t="str">
        <f t="shared" ref="B488:T488" si="51">IF(+B$8="","",B$8)</f>
        <v/>
      </c>
      <c r="C488" s="206" t="str">
        <f t="shared" si="51"/>
        <v>(1)</v>
      </c>
      <c r="D488" s="206" t="str">
        <f t="shared" si="51"/>
        <v/>
      </c>
      <c r="E488" s="206" t="str">
        <f t="shared" si="51"/>
        <v/>
      </c>
      <c r="F488" s="206" t="str">
        <f t="shared" si="51"/>
        <v>(2)</v>
      </c>
      <c r="G488" s="206" t="str">
        <f t="shared" si="51"/>
        <v/>
      </c>
      <c r="H488" s="206" t="str">
        <f>IF(+H$8="","",H$8)</f>
        <v/>
      </c>
      <c r="I488" s="206" t="str">
        <f>IF(+I$8="","",I$8)</f>
        <v>(3)</v>
      </c>
      <c r="J488" s="206" t="str">
        <f>IF(+J$8="","",J$8)</f>
        <v/>
      </c>
      <c r="K488" s="206"/>
      <c r="L488" s="206" t="str">
        <f t="shared" si="51"/>
        <v>(4)</v>
      </c>
      <c r="M488" s="206" t="str">
        <f t="shared" si="51"/>
        <v/>
      </c>
      <c r="N488" s="206" t="str">
        <f t="shared" si="51"/>
        <v>(5)</v>
      </c>
      <c r="O488" s="206" t="str">
        <f t="shared" si="51"/>
        <v/>
      </c>
      <c r="Q488" s="206" t="str">
        <f>IF(+Q$8="","",Q$8)</f>
        <v>(6)</v>
      </c>
      <c r="R488" s="206" t="str">
        <f t="shared" si="51"/>
        <v/>
      </c>
      <c r="S488" s="206" t="str">
        <f t="shared" si="51"/>
        <v/>
      </c>
      <c r="T488" s="206" t="str">
        <f t="shared" si="51"/>
        <v/>
      </c>
    </row>
    <row r="489" spans="1:20" ht="14.1" customHeight="1">
      <c r="A489" s="199" t="str">
        <f>IF(+A$9="","",A$9)</f>
        <v/>
      </c>
      <c r="B489" s="206" t="str">
        <f t="shared" ref="B489:T489" si="52">IF(+B$9="","",B$9)</f>
        <v/>
      </c>
      <c r="C489" s="206" t="str">
        <f t="shared" si="52"/>
        <v/>
      </c>
      <c r="D489" s="206" t="str">
        <f t="shared" si="52"/>
        <v/>
      </c>
      <c r="E489" s="206" t="str">
        <f t="shared" si="52"/>
        <v/>
      </c>
      <c r="F489" s="206" t="str">
        <f t="shared" si="52"/>
        <v/>
      </c>
      <c r="G489" s="206" t="str">
        <f t="shared" si="52"/>
        <v/>
      </c>
      <c r="H489" s="206" t="str">
        <f>IF(+H$9="","",H$9)</f>
        <v/>
      </c>
      <c r="I489" s="206" t="str">
        <f>IF(+I$9="","",I$9)</f>
        <v/>
      </c>
      <c r="J489" s="206" t="str">
        <f>IF(+J$9="","",J$9)</f>
        <v/>
      </c>
      <c r="K489" s="206"/>
      <c r="L489" s="206" t="str">
        <f t="shared" si="52"/>
        <v/>
      </c>
      <c r="M489" s="206" t="str">
        <f t="shared" si="52"/>
        <v/>
      </c>
      <c r="N489" s="206" t="str">
        <f t="shared" si="52"/>
        <v/>
      </c>
      <c r="O489" s="206" t="str">
        <f t="shared" si="52"/>
        <v/>
      </c>
      <c r="Q489" s="206" t="str">
        <f>IF(+Q$9="","",Q$9)</f>
        <v/>
      </c>
      <c r="R489" s="206" t="str">
        <f t="shared" si="52"/>
        <v/>
      </c>
      <c r="S489" s="206" t="str">
        <f t="shared" si="52"/>
        <v/>
      </c>
      <c r="T489" s="206" t="str">
        <f t="shared" si="52"/>
        <v/>
      </c>
    </row>
    <row r="490" spans="1:20" ht="14.1" customHeight="1">
      <c r="A490" s="199" t="str">
        <f>IF(+A$10="","",A$10)</f>
        <v/>
      </c>
      <c r="B490" s="206" t="str">
        <f t="shared" ref="B490:T490" si="53">IF(+B$10="","",B$10)</f>
        <v/>
      </c>
      <c r="C490" s="206" t="str">
        <f t="shared" si="53"/>
        <v xml:space="preserve">Current </v>
      </c>
      <c r="D490" s="206" t="str">
        <f t="shared" si="53"/>
        <v/>
      </c>
      <c r="E490" s="206" t="str">
        <f t="shared" si="53"/>
        <v/>
      </c>
      <c r="F490" s="206" t="str">
        <f t="shared" si="53"/>
        <v/>
      </c>
      <c r="G490" s="206" t="str">
        <f t="shared" si="53"/>
        <v/>
      </c>
      <c r="H490" s="206" t="str">
        <f>IF(+H$10="","",H$10)</f>
        <v/>
      </c>
      <c r="I490" s="206" t="str">
        <f>IF(+I$10="","",I$10)</f>
        <v/>
      </c>
      <c r="J490" s="206" t="str">
        <f>IF(+J$10="","",J$10)</f>
        <v/>
      </c>
      <c r="K490" s="206"/>
      <c r="L490" s="206" t="str">
        <f t="shared" si="53"/>
        <v>Proposed</v>
      </c>
      <c r="M490" s="206" t="str">
        <f t="shared" si="53"/>
        <v/>
      </c>
      <c r="N490" s="206" t="str">
        <f t="shared" si="53"/>
        <v/>
      </c>
      <c r="O490" s="206" t="str">
        <f t="shared" si="53"/>
        <v/>
      </c>
      <c r="Q490" s="206" t="str">
        <f>IF(+Q$10="","",Q$10)</f>
        <v>Percent</v>
      </c>
      <c r="R490" s="206" t="str">
        <f t="shared" si="53"/>
        <v/>
      </c>
      <c r="S490" s="206" t="str">
        <f t="shared" si="53"/>
        <v/>
      </c>
      <c r="T490" s="206" t="str">
        <f t="shared" si="53"/>
        <v/>
      </c>
    </row>
    <row r="491" spans="1:20" ht="14.1" customHeight="1">
      <c r="A491" s="199" t="str">
        <f>IF(+A$11="","",A$11)</f>
        <v>Line</v>
      </c>
      <c r="B491" s="206" t="str">
        <f t="shared" ref="B491:T491" si="54">IF(+B$11="","",B$11)</f>
        <v/>
      </c>
      <c r="C491" s="206" t="str">
        <f t="shared" si="54"/>
        <v>Rate</v>
      </c>
      <c r="D491" s="206" t="str">
        <f t="shared" si="54"/>
        <v/>
      </c>
      <c r="E491" s="206" t="str">
        <f t="shared" si="54"/>
        <v/>
      </c>
      <c r="F491" s="206" t="str">
        <f t="shared" si="54"/>
        <v/>
      </c>
      <c r="G491" s="206" t="str">
        <f t="shared" si="54"/>
        <v/>
      </c>
      <c r="H491" s="206" t="str">
        <f>IF(+H$11="","",H$11)</f>
        <v/>
      </c>
      <c r="I491" s="206" t="str">
        <f>IF(+I$11="","",I$11)</f>
        <v>Current Proposed</v>
      </c>
      <c r="J491" s="206" t="str">
        <f>IF(+J$11="","",J$11)</f>
        <v/>
      </c>
      <c r="K491" s="206"/>
      <c r="L491" s="206" t="str">
        <f t="shared" si="54"/>
        <v>Rate</v>
      </c>
      <c r="M491" s="206" t="str">
        <f t="shared" si="54"/>
        <v/>
      </c>
      <c r="N491" s="206" t="str">
        <f t="shared" si="54"/>
        <v>Scenario Proposed</v>
      </c>
      <c r="O491" s="206" t="str">
        <f t="shared" si="54"/>
        <v/>
      </c>
      <c r="Q491" s="206" t="str">
        <f>IF(+Q$11="","",Q$11)</f>
        <v>Increase</v>
      </c>
      <c r="R491" s="206" t="str">
        <f t="shared" si="54"/>
        <v/>
      </c>
      <c r="S491" s="206" t="str">
        <f t="shared" si="54"/>
        <v/>
      </c>
      <c r="T491" s="206" t="str">
        <f t="shared" si="54"/>
        <v/>
      </c>
    </row>
    <row r="492" spans="1:20" ht="14.1" customHeight="1" thickBot="1">
      <c r="A492" s="200" t="str">
        <f>IF(+A$12="","",A$12)</f>
        <v>No.</v>
      </c>
      <c r="B492" s="205" t="str">
        <f t="shared" ref="B492:T492" si="55">IF(+B$12="","",B$12)</f>
        <v/>
      </c>
      <c r="C492" s="205" t="str">
        <f t="shared" si="55"/>
        <v>Schedule</v>
      </c>
      <c r="D492" s="205" t="str">
        <f t="shared" si="55"/>
        <v/>
      </c>
      <c r="E492" s="205"/>
      <c r="F492" s="205" t="str">
        <f t="shared" si="55"/>
        <v>Type of Charge</v>
      </c>
      <c r="G492" s="205"/>
      <c r="H492" s="205" t="str">
        <f>IF(+H$12="","",H$12)</f>
        <v/>
      </c>
      <c r="I492" s="205" t="str">
        <f>IF(+I$12="","",I$12)</f>
        <v>Rate</v>
      </c>
      <c r="J492" s="205" t="str">
        <f>IF(+J$12="","",J$12)</f>
        <v/>
      </c>
      <c r="K492" s="205"/>
      <c r="L492" s="205" t="str">
        <f t="shared" si="55"/>
        <v>Schedule</v>
      </c>
      <c r="M492" s="205" t="str">
        <f t="shared" si="55"/>
        <v/>
      </c>
      <c r="N492" s="205" t="str">
        <f t="shared" si="55"/>
        <v>Rate</v>
      </c>
      <c r="O492" s="205" t="str">
        <f t="shared" si="55"/>
        <v/>
      </c>
      <c r="P492" s="200"/>
      <c r="Q492" s="205" t="str">
        <f>IF(+Q$12="","",Q$12)</f>
        <v>((5)-(3))/(3)</v>
      </c>
      <c r="R492" s="205" t="str">
        <f t="shared" si="55"/>
        <v/>
      </c>
      <c r="S492" s="205" t="str">
        <f t="shared" si="55"/>
        <v/>
      </c>
      <c r="T492" s="205" t="str">
        <f t="shared" si="55"/>
        <v/>
      </c>
    </row>
    <row r="493" spans="1:20" ht="14.1" customHeight="1">
      <c r="A493" s="199">
        <v>1</v>
      </c>
      <c r="B493" s="324" t="s">
        <v>165</v>
      </c>
      <c r="C493" s="324"/>
      <c r="D493" s="324"/>
      <c r="E493" s="324"/>
      <c r="F493" s="324"/>
      <c r="G493" s="164"/>
      <c r="H493" s="226"/>
      <c r="J493" s="226"/>
      <c r="K493" s="226"/>
      <c r="L493" s="233"/>
      <c r="M493" s="226"/>
      <c r="N493" s="226"/>
      <c r="O493" s="226"/>
      <c r="Q493" s="226"/>
      <c r="R493" s="226"/>
      <c r="S493" s="226"/>
      <c r="T493" s="226"/>
    </row>
    <row r="494" spans="1:20" ht="14.1" customHeight="1">
      <c r="A494" s="199">
        <v>2</v>
      </c>
      <c r="B494" s="227"/>
      <c r="G494" s="164"/>
      <c r="H494" s="226"/>
      <c r="I494" s="215"/>
      <c r="J494" s="226"/>
      <c r="K494" s="226"/>
      <c r="L494" s="226"/>
      <c r="M494" s="226"/>
      <c r="N494" s="215"/>
      <c r="O494" s="226"/>
      <c r="Q494" s="221"/>
      <c r="R494" s="226"/>
      <c r="S494" s="226"/>
      <c r="T494" s="226"/>
    </row>
    <row r="495" spans="1:20" ht="14.1" customHeight="1">
      <c r="A495" s="199">
        <v>3</v>
      </c>
      <c r="B495" s="227"/>
      <c r="C495" s="233" t="str">
        <f>C445</f>
        <v>SBLDPR/SBLDTPR</v>
      </c>
      <c r="H495" s="226"/>
      <c r="I495" s="215"/>
      <c r="J495" s="226"/>
      <c r="K495" s="226"/>
      <c r="L495" s="233" t="str">
        <f>C495</f>
        <v>SBLDPR/SBLDTPR</v>
      </c>
      <c r="M495" s="164"/>
      <c r="N495" s="215"/>
      <c r="O495" s="226"/>
      <c r="Q495" s="221"/>
      <c r="R495" s="226"/>
      <c r="S495" s="226"/>
      <c r="T495" s="226"/>
    </row>
    <row r="496" spans="1:20" ht="14.1" customHeight="1">
      <c r="A496" s="199">
        <v>4</v>
      </c>
      <c r="B496" s="227"/>
      <c r="E496" s="237" t="s">
        <v>166</v>
      </c>
      <c r="G496" s="228"/>
      <c r="H496" s="228"/>
      <c r="R496" s="228"/>
      <c r="S496" s="228"/>
      <c r="T496" s="228"/>
    </row>
    <row r="497" spans="1:20" ht="14.1" customHeight="1">
      <c r="A497" s="199">
        <v>5</v>
      </c>
      <c r="B497" s="227"/>
      <c r="C497" s="164"/>
      <c r="F497" s="199" t="s">
        <v>167</v>
      </c>
      <c r="I497" s="215">
        <v>1.02</v>
      </c>
      <c r="J497" s="228" t="s">
        <v>101</v>
      </c>
      <c r="K497" s="228"/>
      <c r="L497" s="228"/>
      <c r="M497" s="228"/>
      <c r="N497" s="215">
        <f>+ROUND('Scenario GSLDPR Rates'!Q133,2)</f>
        <v>1.02</v>
      </c>
      <c r="O497" s="228" t="s">
        <v>101</v>
      </c>
      <c r="Q497" s="221">
        <f>IF(I497=0,0,+(N497-I497)/I497)</f>
        <v>0</v>
      </c>
      <c r="R497" s="228"/>
      <c r="S497" s="228"/>
      <c r="T497" s="228"/>
    </row>
    <row r="498" spans="1:20" ht="14.1" customHeight="1">
      <c r="A498" s="199">
        <v>6</v>
      </c>
      <c r="B498" s="227"/>
      <c r="C498" s="164"/>
      <c r="F498" s="199" t="s">
        <v>168</v>
      </c>
      <c r="I498" s="215">
        <v>1.02</v>
      </c>
      <c r="J498" s="228" t="s">
        <v>101</v>
      </c>
      <c r="N498" s="215">
        <f>+ROUND('Scenario GSLDPR Rates'!Q134,2)</f>
        <v>1.02</v>
      </c>
      <c r="O498" s="228" t="s">
        <v>101</v>
      </c>
      <c r="Q498" s="221">
        <f>IF(I498=0,0,+(N498-I498)/I498)</f>
        <v>0</v>
      </c>
      <c r="R498" s="228"/>
      <c r="S498" s="228"/>
      <c r="T498" s="228"/>
    </row>
    <row r="499" spans="1:20" ht="14.1" customHeight="1">
      <c r="A499" s="199">
        <v>7</v>
      </c>
      <c r="B499" s="227"/>
      <c r="C499" s="164"/>
      <c r="R499" s="228"/>
      <c r="S499" s="228"/>
      <c r="T499" s="228"/>
    </row>
    <row r="500" spans="1:20" ht="14.1" customHeight="1">
      <c r="A500" s="199">
        <v>8</v>
      </c>
      <c r="B500" s="227"/>
      <c r="C500" s="164"/>
      <c r="E500" s="199" t="s">
        <v>141</v>
      </c>
      <c r="I500" s="255">
        <v>2.0300000000000001E-3</v>
      </c>
      <c r="J500" s="199" t="s">
        <v>142</v>
      </c>
      <c r="L500" s="228"/>
      <c r="M500" s="228"/>
      <c r="N500" s="255">
        <f>+ROUND('Scenario GSLDPR Rates'!Q107,5)</f>
        <v>2.0300000000000001E-3</v>
      </c>
      <c r="O500" s="199" t="s">
        <v>142</v>
      </c>
      <c r="Q500" s="221">
        <f>IF(I500=0,0,+(N500-I500)/I500)</f>
        <v>0</v>
      </c>
      <c r="R500" s="228"/>
      <c r="S500" s="228"/>
      <c r="T500" s="228"/>
    </row>
    <row r="501" spans="1:20" ht="14.1" customHeight="1">
      <c r="A501" s="199">
        <v>9</v>
      </c>
      <c r="B501" s="227"/>
      <c r="C501" s="164"/>
      <c r="I501" s="258"/>
      <c r="L501" s="228"/>
      <c r="M501" s="228"/>
      <c r="N501" s="258"/>
      <c r="Q501" s="228"/>
      <c r="R501" s="228"/>
      <c r="S501" s="228"/>
      <c r="T501" s="228"/>
    </row>
    <row r="502" spans="1:20" ht="14.1" customHeight="1">
      <c r="A502" s="199">
        <v>10</v>
      </c>
      <c r="B502" s="227"/>
      <c r="C502" s="226"/>
      <c r="E502" s="199" t="s">
        <v>143</v>
      </c>
      <c r="F502" s="164"/>
      <c r="G502" s="228"/>
      <c r="H502" s="228"/>
      <c r="I502" s="223">
        <v>-1.0200000000000001E-3</v>
      </c>
      <c r="J502" s="199" t="s">
        <v>142</v>
      </c>
      <c r="L502" s="228"/>
      <c r="M502" s="228"/>
      <c r="N502" s="223">
        <f>+ROUND('Scenario GSLDPR Rates'!Q128,5)</f>
        <v>-1.0200000000000001E-3</v>
      </c>
      <c r="O502" s="199" t="s">
        <v>142</v>
      </c>
      <c r="Q502" s="221">
        <f>IF(I502=0,0,+(N502-I502)/I502)</f>
        <v>0</v>
      </c>
      <c r="R502" s="228"/>
      <c r="S502" s="228"/>
      <c r="T502" s="228"/>
    </row>
    <row r="503" spans="1:20" ht="14.1" customHeight="1">
      <c r="A503" s="199">
        <v>11</v>
      </c>
      <c r="B503" s="227"/>
      <c r="C503" s="226"/>
      <c r="R503" s="228"/>
      <c r="S503" s="228"/>
      <c r="T503" s="228"/>
    </row>
    <row r="504" spans="1:20" ht="14.1" customHeight="1">
      <c r="A504" s="199">
        <v>12</v>
      </c>
      <c r="B504" s="227"/>
      <c r="C504" s="226"/>
      <c r="E504" s="232" t="s">
        <v>112</v>
      </c>
      <c r="H504" s="228"/>
      <c r="I504" s="215"/>
      <c r="J504" s="228"/>
      <c r="K504" s="228"/>
      <c r="L504" s="228"/>
      <c r="M504" s="228"/>
      <c r="N504" s="215"/>
      <c r="O504" s="228"/>
      <c r="Q504" s="228"/>
      <c r="R504" s="228"/>
      <c r="S504" s="228"/>
      <c r="T504" s="228"/>
    </row>
    <row r="505" spans="1:20" ht="14.1" customHeight="1">
      <c r="A505" s="199">
        <v>13</v>
      </c>
      <c r="B505" s="227"/>
      <c r="C505" s="226"/>
      <c r="F505" s="199" t="s">
        <v>140</v>
      </c>
      <c r="R505" s="228"/>
      <c r="S505" s="228"/>
      <c r="T505" s="228"/>
    </row>
    <row r="506" spans="1:20" ht="14.1" customHeight="1">
      <c r="A506" s="199">
        <v>14</v>
      </c>
      <c r="B506" s="227"/>
      <c r="C506" s="226"/>
      <c r="F506" s="222" t="s">
        <v>86</v>
      </c>
      <c r="G506" s="226"/>
      <c r="H506" s="228"/>
      <c r="I506" s="256">
        <v>-1</v>
      </c>
      <c r="J506" s="228" t="s">
        <v>113</v>
      </c>
      <c r="K506" s="228"/>
      <c r="L506" s="228"/>
      <c r="M506" s="228"/>
      <c r="N506" s="256">
        <f>+'Scenario GSLDPR Rates'!Q139*100</f>
        <v>-1</v>
      </c>
      <c r="O506" s="228" t="s">
        <v>113</v>
      </c>
      <c r="Q506" s="221">
        <f>IF(I506=0,0,+(N506-I506)/I506)</f>
        <v>0</v>
      </c>
      <c r="R506" s="228"/>
      <c r="S506" s="228"/>
      <c r="T506" s="228"/>
    </row>
    <row r="507" spans="1:20" ht="14.1" customHeight="1">
      <c r="A507" s="199">
        <v>16</v>
      </c>
      <c r="B507" s="227"/>
      <c r="C507" s="226"/>
      <c r="F507" s="252" t="s">
        <v>92</v>
      </c>
      <c r="I507" s="256">
        <v>-1</v>
      </c>
      <c r="J507" s="228" t="s">
        <v>113</v>
      </c>
      <c r="K507" s="228"/>
      <c r="N507" s="256">
        <f>+'Scenario GSLDPR Rates'!Q140*100</f>
        <v>-1</v>
      </c>
      <c r="O507" s="228" t="s">
        <v>113</v>
      </c>
      <c r="Q507" s="221">
        <f>IF(I507=0,0,+(N507-I507)/I507)</f>
        <v>0</v>
      </c>
      <c r="R507" s="228"/>
      <c r="S507" s="228"/>
      <c r="T507" s="228"/>
    </row>
    <row r="508" spans="1:20" ht="14.1" customHeight="1">
      <c r="A508" s="199">
        <v>18</v>
      </c>
      <c r="B508" s="227"/>
      <c r="C508" s="226"/>
      <c r="I508" s="256"/>
      <c r="J508" s="228"/>
      <c r="K508" s="228"/>
      <c r="N508" s="256"/>
      <c r="O508" s="228"/>
      <c r="Q508" s="261"/>
      <c r="R508" s="228"/>
      <c r="S508" s="228"/>
      <c r="T508" s="228"/>
    </row>
    <row r="509" spans="1:20" ht="14.1" customHeight="1">
      <c r="A509" s="199">
        <v>19</v>
      </c>
      <c r="B509" s="227"/>
      <c r="C509" s="226"/>
      <c r="F509" s="222"/>
      <c r="I509" s="256"/>
      <c r="J509" s="228"/>
      <c r="K509" s="228"/>
      <c r="N509" s="256"/>
      <c r="O509" s="228"/>
      <c r="Q509" s="250"/>
      <c r="R509" s="228"/>
      <c r="S509" s="228"/>
      <c r="T509" s="228"/>
    </row>
    <row r="510" spans="1:20" ht="14.1" customHeight="1">
      <c r="A510" s="199">
        <v>20</v>
      </c>
      <c r="B510" s="227"/>
      <c r="C510" s="226"/>
      <c r="F510" s="222"/>
      <c r="I510" s="256"/>
      <c r="J510" s="228"/>
      <c r="K510" s="228"/>
      <c r="N510" s="256"/>
      <c r="O510" s="228"/>
      <c r="Q510" s="221"/>
      <c r="R510" s="228"/>
      <c r="S510" s="228"/>
      <c r="T510" s="228"/>
    </row>
    <row r="511" spans="1:20" ht="14.1" customHeight="1">
      <c r="A511" s="199">
        <v>21</v>
      </c>
      <c r="B511" s="227"/>
      <c r="C511" s="226"/>
      <c r="R511" s="228"/>
      <c r="S511" s="228"/>
      <c r="T511" s="228"/>
    </row>
    <row r="512" spans="1:20" ht="14.1" customHeight="1">
      <c r="A512" s="199">
        <v>22</v>
      </c>
      <c r="B512" s="227"/>
      <c r="C512" s="226"/>
      <c r="R512" s="228"/>
      <c r="S512" s="228"/>
      <c r="T512" s="228"/>
    </row>
    <row r="513" spans="1:20" ht="14.1" customHeight="1">
      <c r="A513" s="199">
        <v>23</v>
      </c>
      <c r="B513" s="227"/>
      <c r="C513" s="226"/>
      <c r="R513" s="228"/>
      <c r="S513" s="228"/>
      <c r="T513" s="228"/>
    </row>
    <row r="514" spans="1:20" ht="14.1" customHeight="1">
      <c r="A514" s="199">
        <v>24</v>
      </c>
      <c r="B514" s="227"/>
      <c r="C514" s="226"/>
      <c r="G514" s="226"/>
      <c r="H514" s="228"/>
      <c r="I514" s="224"/>
      <c r="J514" s="228"/>
      <c r="K514" s="228"/>
      <c r="L514" s="228"/>
      <c r="M514" s="228"/>
      <c r="N514" s="224"/>
      <c r="O514" s="228"/>
      <c r="Q514" s="228"/>
      <c r="R514" s="228"/>
      <c r="S514" s="228"/>
      <c r="T514" s="228"/>
    </row>
    <row r="515" spans="1:20" ht="14.1" customHeight="1">
      <c r="A515" s="199">
        <v>25</v>
      </c>
      <c r="B515" s="227"/>
      <c r="C515" s="226"/>
      <c r="R515" s="228"/>
      <c r="S515" s="228"/>
      <c r="T515" s="228"/>
    </row>
    <row r="516" spans="1:20" ht="14.1" customHeight="1">
      <c r="A516" s="199">
        <v>26</v>
      </c>
      <c r="B516" s="227"/>
      <c r="C516" s="226"/>
      <c r="R516" s="228"/>
      <c r="S516" s="228"/>
      <c r="T516" s="228"/>
    </row>
    <row r="517" spans="1:20" ht="14.1" customHeight="1">
      <c r="A517" s="199">
        <v>27</v>
      </c>
      <c r="B517" s="227"/>
      <c r="C517" s="226"/>
      <c r="R517" s="228"/>
      <c r="S517" s="228"/>
      <c r="T517" s="228"/>
    </row>
    <row r="518" spans="1:20" ht="14.1" customHeight="1">
      <c r="A518" s="199">
        <v>28</v>
      </c>
      <c r="B518" s="227"/>
      <c r="C518" s="226"/>
      <c r="R518" s="228"/>
      <c r="S518" s="228"/>
      <c r="T518" s="228"/>
    </row>
    <row r="519" spans="1:20" ht="14.1" customHeight="1">
      <c r="A519" s="199">
        <v>29</v>
      </c>
      <c r="B519" s="227"/>
      <c r="C519" s="226"/>
      <c r="R519" s="228"/>
      <c r="S519" s="228"/>
      <c r="T519" s="228"/>
    </row>
    <row r="520" spans="1:20" ht="14.1" customHeight="1">
      <c r="A520" s="199">
        <v>30</v>
      </c>
      <c r="B520" s="227"/>
      <c r="C520" s="226"/>
      <c r="R520" s="228"/>
      <c r="S520" s="228"/>
      <c r="T520" s="228"/>
    </row>
    <row r="521" spans="1:20" ht="14.1" customHeight="1">
      <c r="A521" s="199">
        <v>31</v>
      </c>
      <c r="B521" s="227"/>
      <c r="C521" s="226"/>
      <c r="R521" s="228"/>
      <c r="S521" s="228"/>
      <c r="T521" s="228"/>
    </row>
    <row r="522" spans="1:20" ht="14.1" customHeight="1">
      <c r="A522" s="199">
        <v>32</v>
      </c>
      <c r="B522" s="227"/>
      <c r="C522" s="226"/>
      <c r="R522" s="228"/>
      <c r="S522" s="228"/>
      <c r="T522" s="228"/>
    </row>
    <row r="523" spans="1:20" ht="14.1" customHeight="1">
      <c r="A523" s="199">
        <v>33</v>
      </c>
      <c r="B523" s="227"/>
      <c r="C523" s="226"/>
      <c r="R523" s="228"/>
      <c r="S523" s="228"/>
      <c r="T523" s="228"/>
    </row>
    <row r="524" spans="1:20" ht="14.1" customHeight="1">
      <c r="A524" s="199">
        <v>34</v>
      </c>
      <c r="B524" s="227"/>
      <c r="C524" s="226"/>
      <c r="Q524" s="228"/>
      <c r="R524" s="228"/>
      <c r="S524" s="228"/>
      <c r="T524" s="228"/>
    </row>
    <row r="525" spans="1:20" ht="14.1" customHeight="1">
      <c r="A525" s="199">
        <v>35</v>
      </c>
      <c r="B525" s="227"/>
      <c r="C525" s="226"/>
      <c r="R525" s="228"/>
      <c r="S525" s="228"/>
      <c r="T525" s="228"/>
    </row>
    <row r="526" spans="1:20" ht="14.1" customHeight="1" thickBot="1">
      <c r="A526" s="200">
        <v>36</v>
      </c>
      <c r="B526" s="238"/>
      <c r="C526" s="239"/>
      <c r="D526" s="200"/>
      <c r="E526" s="200"/>
      <c r="F526" s="200"/>
      <c r="G526" s="200"/>
      <c r="H526" s="200"/>
      <c r="I526" s="200"/>
      <c r="J526" s="200"/>
      <c r="K526" s="200"/>
      <c r="L526" s="200"/>
      <c r="M526" s="200"/>
      <c r="N526" s="200"/>
      <c r="O526" s="200"/>
      <c r="P526" s="200"/>
      <c r="Q526" s="200"/>
      <c r="R526" s="241"/>
      <c r="S526" s="241"/>
      <c r="T526" s="241"/>
    </row>
    <row r="527" spans="1:20" ht="14.1" customHeight="1"/>
    <row r="528" spans="1:20" ht="14.1" customHeight="1" thickBot="1">
      <c r="A528" s="200"/>
      <c r="B528" s="200"/>
      <c r="C528" s="200"/>
      <c r="D528" s="200"/>
      <c r="E528" s="200"/>
      <c r="F528" s="200"/>
      <c r="G528" s="200"/>
      <c r="H528" s="200"/>
      <c r="I528" s="200" t="s">
        <v>45</v>
      </c>
      <c r="J528" s="200"/>
      <c r="K528" s="200"/>
      <c r="L528" s="200"/>
      <c r="M528" s="200"/>
      <c r="N528" s="200"/>
      <c r="O528" s="200"/>
      <c r="P528" s="200"/>
      <c r="Q528" s="200"/>
      <c r="R528" s="200"/>
      <c r="S528" s="200"/>
      <c r="T528" s="201"/>
    </row>
    <row r="529" spans="1:20" ht="14.1" customHeight="1">
      <c r="F529" s="202"/>
      <c r="L529" s="203"/>
      <c r="M529" s="203"/>
      <c r="O529" s="203"/>
      <c r="P529" s="203"/>
      <c r="Q529" s="203"/>
      <c r="T529" s="204"/>
    </row>
    <row r="530" spans="1:20" ht="14.1" customHeight="1">
      <c r="L530" s="202"/>
      <c r="M530" s="204"/>
      <c r="P530" s="202"/>
      <c r="Q530" s="32"/>
      <c r="R530" s="31"/>
      <c r="T530" s="202"/>
    </row>
    <row r="531" spans="1:20" ht="14.1" customHeight="1">
      <c r="L531" s="202"/>
      <c r="M531" s="204"/>
      <c r="N531" s="202"/>
      <c r="Q531" s="32"/>
      <c r="R531" s="31"/>
      <c r="T531" s="202"/>
    </row>
    <row r="532" spans="1:20" ht="14.1" customHeight="1">
      <c r="L532" s="202"/>
      <c r="M532" s="204"/>
      <c r="N532" s="202"/>
      <c r="Q532" s="32"/>
      <c r="R532" s="31"/>
      <c r="T532" s="202"/>
    </row>
    <row r="533" spans="1:20" ht="14.1" customHeight="1" thickBot="1">
      <c r="A533" s="200"/>
      <c r="B533" s="200"/>
      <c r="C533" s="200"/>
      <c r="D533" s="200"/>
      <c r="E533" s="200"/>
      <c r="F533" s="200"/>
      <c r="G533" s="200"/>
      <c r="H533" s="200"/>
      <c r="I533" s="205"/>
      <c r="J533" s="200"/>
      <c r="K533" s="200"/>
      <c r="L533" s="200"/>
      <c r="M533" s="200"/>
      <c r="N533" s="200"/>
      <c r="O533" s="200"/>
      <c r="P533" s="200"/>
      <c r="Q533" s="200"/>
      <c r="R533" s="200"/>
      <c r="S533" s="200"/>
      <c r="T533" s="200"/>
    </row>
    <row r="534" spans="1:20" ht="14.1" customHeight="1">
      <c r="A534" s="199" t="str">
        <f>IF(+A$8="","",A$8)</f>
        <v/>
      </c>
      <c r="B534" s="206" t="str">
        <f t="shared" ref="B534:T534" si="56">IF(+B$8="","",B$8)</f>
        <v/>
      </c>
      <c r="C534" s="206" t="str">
        <f t="shared" si="56"/>
        <v>(1)</v>
      </c>
      <c r="D534" s="206" t="str">
        <f t="shared" si="56"/>
        <v/>
      </c>
      <c r="E534" s="206" t="str">
        <f t="shared" si="56"/>
        <v/>
      </c>
      <c r="F534" s="206" t="str">
        <f t="shared" si="56"/>
        <v>(2)</v>
      </c>
      <c r="G534" s="206" t="str">
        <f t="shared" si="56"/>
        <v/>
      </c>
      <c r="H534" s="206" t="str">
        <f>IF(+H$8="","",H$8)</f>
        <v/>
      </c>
      <c r="I534" s="206" t="str">
        <f>IF(+I$8="","",I$8)</f>
        <v>(3)</v>
      </c>
      <c r="J534" s="206" t="str">
        <f>IF(+J$8="","",J$8)</f>
        <v/>
      </c>
      <c r="K534" s="206"/>
      <c r="L534" s="206" t="str">
        <f t="shared" si="56"/>
        <v>(4)</v>
      </c>
      <c r="M534" s="206" t="str">
        <f t="shared" si="56"/>
        <v/>
      </c>
      <c r="N534" s="206" t="str">
        <f t="shared" si="56"/>
        <v>(5)</v>
      </c>
      <c r="O534" s="206" t="str">
        <f t="shared" si="56"/>
        <v/>
      </c>
      <c r="Q534" s="206" t="str">
        <f>IF(+Q$8="","",Q$8)</f>
        <v>(6)</v>
      </c>
      <c r="R534" s="206" t="str">
        <f t="shared" si="56"/>
        <v/>
      </c>
      <c r="S534" s="206" t="str">
        <f t="shared" si="56"/>
        <v/>
      </c>
      <c r="T534" s="206" t="str">
        <f t="shared" si="56"/>
        <v/>
      </c>
    </row>
    <row r="535" spans="1:20" ht="14.1" customHeight="1">
      <c r="A535" s="199" t="str">
        <f>IF(+A$9="","",A$9)</f>
        <v/>
      </c>
      <c r="B535" s="206" t="str">
        <f t="shared" ref="B535:T535" si="57">IF(+B$9="","",B$9)</f>
        <v/>
      </c>
      <c r="C535" s="206" t="str">
        <f t="shared" si="57"/>
        <v/>
      </c>
      <c r="D535" s="206" t="str">
        <f t="shared" si="57"/>
        <v/>
      </c>
      <c r="E535" s="206" t="str">
        <f t="shared" si="57"/>
        <v/>
      </c>
      <c r="F535" s="206" t="str">
        <f t="shared" si="57"/>
        <v/>
      </c>
      <c r="G535" s="206" t="str">
        <f t="shared" si="57"/>
        <v/>
      </c>
      <c r="H535" s="206" t="str">
        <f>IF(+H$9="","",H$9)</f>
        <v/>
      </c>
      <c r="I535" s="206" t="str">
        <f>IF(+I$9="","",I$9)</f>
        <v/>
      </c>
      <c r="J535" s="206" t="str">
        <f>IF(+J$9="","",J$9)</f>
        <v/>
      </c>
      <c r="K535" s="206"/>
      <c r="L535" s="206" t="str">
        <f t="shared" si="57"/>
        <v/>
      </c>
      <c r="M535" s="206" t="str">
        <f t="shared" si="57"/>
        <v/>
      </c>
      <c r="N535" s="206" t="str">
        <f t="shared" si="57"/>
        <v/>
      </c>
      <c r="O535" s="206" t="str">
        <f t="shared" si="57"/>
        <v/>
      </c>
      <c r="Q535" s="206" t="str">
        <f>IF(+Q$9="","",Q$9)</f>
        <v/>
      </c>
      <c r="R535" s="206" t="str">
        <f t="shared" si="57"/>
        <v/>
      </c>
      <c r="S535" s="206" t="str">
        <f t="shared" si="57"/>
        <v/>
      </c>
      <c r="T535" s="206" t="str">
        <f t="shared" si="57"/>
        <v/>
      </c>
    </row>
    <row r="536" spans="1:20" ht="14.1" customHeight="1">
      <c r="A536" s="199" t="str">
        <f>IF(+A$10="","",A$10)</f>
        <v/>
      </c>
      <c r="B536" s="206" t="str">
        <f t="shared" ref="B536:T536" si="58">IF(+B$10="","",B$10)</f>
        <v/>
      </c>
      <c r="C536" s="206" t="str">
        <f t="shared" si="58"/>
        <v xml:space="preserve">Current </v>
      </c>
      <c r="D536" s="206" t="str">
        <f t="shared" si="58"/>
        <v/>
      </c>
      <c r="E536" s="206" t="str">
        <f t="shared" si="58"/>
        <v/>
      </c>
      <c r="F536" s="206" t="str">
        <f t="shared" si="58"/>
        <v/>
      </c>
      <c r="G536" s="206" t="str">
        <f t="shared" si="58"/>
        <v/>
      </c>
      <c r="H536" s="206" t="str">
        <f>IF(+H$10="","",H$10)</f>
        <v/>
      </c>
      <c r="I536" s="206" t="str">
        <f>IF(+I$10="","",I$10)</f>
        <v/>
      </c>
      <c r="J536" s="206" t="str">
        <f>IF(+J$10="","",J$10)</f>
        <v/>
      </c>
      <c r="K536" s="206"/>
      <c r="L536" s="206" t="str">
        <f t="shared" si="58"/>
        <v>Proposed</v>
      </c>
      <c r="M536" s="206" t="str">
        <f t="shared" si="58"/>
        <v/>
      </c>
      <c r="N536" s="206" t="str">
        <f t="shared" si="58"/>
        <v/>
      </c>
      <c r="O536" s="206" t="str">
        <f t="shared" si="58"/>
        <v/>
      </c>
      <c r="Q536" s="206" t="str">
        <f>IF(+Q$10="","",Q$10)</f>
        <v>Percent</v>
      </c>
      <c r="R536" s="206" t="str">
        <f t="shared" si="58"/>
        <v/>
      </c>
      <c r="S536" s="206" t="str">
        <f t="shared" si="58"/>
        <v/>
      </c>
      <c r="T536" s="206" t="str">
        <f t="shared" si="58"/>
        <v/>
      </c>
    </row>
    <row r="537" spans="1:20" ht="14.1" customHeight="1">
      <c r="A537" s="199" t="str">
        <f>IF(+A$11="","",A$11)</f>
        <v>Line</v>
      </c>
      <c r="B537" s="206" t="str">
        <f t="shared" ref="B537:T537" si="59">IF(+B$11="","",B$11)</f>
        <v/>
      </c>
      <c r="C537" s="206" t="str">
        <f t="shared" si="59"/>
        <v>Rate</v>
      </c>
      <c r="D537" s="206" t="str">
        <f t="shared" si="59"/>
        <v/>
      </c>
      <c r="E537" s="206" t="str">
        <f t="shared" si="59"/>
        <v/>
      </c>
      <c r="F537" s="206" t="str">
        <f t="shared" si="59"/>
        <v/>
      </c>
      <c r="G537" s="206" t="str">
        <f t="shared" si="59"/>
        <v/>
      </c>
      <c r="H537" s="206" t="str">
        <f>IF(+H$11="","",H$11)</f>
        <v/>
      </c>
      <c r="I537" s="206" t="str">
        <f>IF(+I$11="","",I$11)</f>
        <v>Current Proposed</v>
      </c>
      <c r="J537" s="206" t="str">
        <f>IF(+J$11="","",J$11)</f>
        <v/>
      </c>
      <c r="K537" s="206"/>
      <c r="L537" s="206" t="str">
        <f t="shared" si="59"/>
        <v>Rate</v>
      </c>
      <c r="M537" s="206" t="str">
        <f t="shared" si="59"/>
        <v/>
      </c>
      <c r="N537" s="206" t="str">
        <f t="shared" si="59"/>
        <v>Scenario Proposed</v>
      </c>
      <c r="O537" s="206" t="str">
        <f t="shared" si="59"/>
        <v/>
      </c>
      <c r="Q537" s="206" t="str">
        <f>IF(+Q$11="","",Q$11)</f>
        <v>Increase</v>
      </c>
      <c r="R537" s="206" t="str">
        <f t="shared" si="59"/>
        <v/>
      </c>
      <c r="S537" s="206" t="str">
        <f t="shared" si="59"/>
        <v/>
      </c>
      <c r="T537" s="206" t="str">
        <f t="shared" si="59"/>
        <v/>
      </c>
    </row>
    <row r="538" spans="1:20" ht="14.1" customHeight="1" thickBot="1">
      <c r="A538" s="200" t="str">
        <f>IF(+A$12="","",A$12)</f>
        <v>No.</v>
      </c>
      <c r="B538" s="205" t="str">
        <f t="shared" ref="B538:T538" si="60">IF(+B$12="","",B$12)</f>
        <v/>
      </c>
      <c r="C538" s="205" t="str">
        <f t="shared" si="60"/>
        <v>Schedule</v>
      </c>
      <c r="D538" s="205" t="str">
        <f t="shared" si="60"/>
        <v/>
      </c>
      <c r="E538" s="205"/>
      <c r="F538" s="205" t="str">
        <f t="shared" si="60"/>
        <v>Type of Charge</v>
      </c>
      <c r="G538" s="205"/>
      <c r="H538" s="205" t="str">
        <f>IF(+H$12="","",H$12)</f>
        <v/>
      </c>
      <c r="I538" s="205" t="str">
        <f>IF(+I$12="","",I$12)</f>
        <v>Rate</v>
      </c>
      <c r="J538" s="205" t="str">
        <f>IF(+J$12="","",J$12)</f>
        <v/>
      </c>
      <c r="K538" s="205"/>
      <c r="L538" s="205" t="str">
        <f t="shared" si="60"/>
        <v>Schedule</v>
      </c>
      <c r="M538" s="205" t="str">
        <f t="shared" si="60"/>
        <v/>
      </c>
      <c r="N538" s="205" t="str">
        <f t="shared" si="60"/>
        <v>Rate</v>
      </c>
      <c r="O538" s="205" t="str">
        <f t="shared" si="60"/>
        <v/>
      </c>
      <c r="P538" s="200"/>
      <c r="Q538" s="205" t="str">
        <f>IF(+Q$12="","",Q$12)</f>
        <v>((5)-(3))/(3)</v>
      </c>
      <c r="R538" s="205" t="str">
        <f t="shared" si="60"/>
        <v/>
      </c>
      <c r="S538" s="205" t="str">
        <f t="shared" si="60"/>
        <v/>
      </c>
      <c r="T538" s="205" t="str">
        <f t="shared" si="60"/>
        <v/>
      </c>
    </row>
    <row r="539" spans="1:20" ht="14.1" customHeight="1">
      <c r="A539" s="199">
        <v>1</v>
      </c>
      <c r="B539" s="225"/>
      <c r="C539" s="233" t="s">
        <v>169</v>
      </c>
      <c r="D539" s="226"/>
      <c r="G539" s="164"/>
      <c r="H539" s="226"/>
      <c r="J539" s="226"/>
      <c r="K539" s="226"/>
      <c r="L539" s="233" t="s">
        <v>169</v>
      </c>
      <c r="M539" s="226"/>
      <c r="N539" s="226"/>
      <c r="O539" s="226"/>
      <c r="Q539" s="226"/>
      <c r="R539" s="226"/>
      <c r="S539" s="226"/>
      <c r="T539" s="226"/>
    </row>
    <row r="540" spans="1:20" ht="14.1" customHeight="1">
      <c r="A540" s="199">
        <v>2</v>
      </c>
      <c r="B540" s="225"/>
      <c r="C540" s="233"/>
      <c r="D540" s="226"/>
      <c r="E540" s="211" t="s">
        <v>65</v>
      </c>
      <c r="G540" s="164"/>
      <c r="H540" s="226"/>
      <c r="J540" s="226"/>
      <c r="K540" s="226"/>
      <c r="L540" s="233"/>
      <c r="M540" s="226"/>
      <c r="N540" s="226"/>
      <c r="O540" s="226"/>
      <c r="Q540" s="226"/>
      <c r="R540" s="226"/>
      <c r="S540" s="226"/>
      <c r="T540" s="226"/>
    </row>
    <row r="541" spans="1:20" ht="14.1" customHeight="1">
      <c r="A541" s="199">
        <v>3</v>
      </c>
      <c r="B541" s="227"/>
      <c r="F541" s="234" t="s">
        <v>66</v>
      </c>
      <c r="H541" s="226"/>
      <c r="I541" s="215">
        <v>128.44</v>
      </c>
      <c r="J541" s="226" t="s">
        <v>67</v>
      </c>
      <c r="K541" s="226"/>
      <c r="L541" s="226"/>
      <c r="M541" s="164"/>
      <c r="N541" s="215">
        <f>+ROUND('Scenario GSLDSU Rates'!Q73,2)</f>
        <v>128.44</v>
      </c>
      <c r="O541" s="226" t="s">
        <v>67</v>
      </c>
      <c r="Q541" s="221">
        <f>IF(I541=0,0,+(N541-I541)/I541)</f>
        <v>0</v>
      </c>
      <c r="R541" s="226"/>
      <c r="S541" s="226"/>
      <c r="T541" s="226"/>
    </row>
    <row r="542" spans="1:20" ht="14.1" customHeight="1">
      <c r="A542" s="199">
        <v>4</v>
      </c>
      <c r="B542" s="227"/>
      <c r="C542" s="164"/>
      <c r="F542" s="199" t="s">
        <v>159</v>
      </c>
      <c r="I542" s="215">
        <v>128.44</v>
      </c>
      <c r="J542" s="226" t="s">
        <v>67</v>
      </c>
      <c r="K542" s="226"/>
      <c r="N542" s="215">
        <f>+ROUND('Scenario GSLDSU Rates'!Q74,2)</f>
        <v>128.44</v>
      </c>
      <c r="O542" s="226" t="s">
        <v>67</v>
      </c>
      <c r="Q542" s="221">
        <f>IF(I542=0,0,+(N542-I542)/I542)</f>
        <v>0</v>
      </c>
      <c r="R542" s="228"/>
      <c r="S542" s="228"/>
      <c r="T542" s="228"/>
    </row>
    <row r="543" spans="1:20" ht="14.1" customHeight="1">
      <c r="A543" s="199">
        <v>5</v>
      </c>
      <c r="B543" s="227"/>
      <c r="C543" s="164"/>
      <c r="R543" s="228"/>
      <c r="S543" s="228"/>
      <c r="T543" s="228"/>
    </row>
    <row r="544" spans="1:20" ht="14.1" customHeight="1">
      <c r="A544" s="199">
        <v>6</v>
      </c>
      <c r="B544" s="227"/>
      <c r="C544" s="164"/>
      <c r="E544" s="204" t="s">
        <v>115</v>
      </c>
      <c r="G544" s="226"/>
      <c r="H544" s="228"/>
      <c r="I544" s="215"/>
      <c r="J544" s="228"/>
      <c r="K544" s="228"/>
      <c r="L544" s="228"/>
      <c r="M544" s="235"/>
      <c r="N544" s="215"/>
      <c r="O544" s="228"/>
      <c r="Q544" s="228"/>
      <c r="R544" s="228"/>
      <c r="S544" s="228"/>
      <c r="T544" s="228"/>
    </row>
    <row r="545" spans="1:20" ht="14.1" customHeight="1">
      <c r="A545" s="199">
        <v>7</v>
      </c>
      <c r="B545" s="227"/>
      <c r="C545" s="164"/>
      <c r="F545" s="234" t="s">
        <v>66</v>
      </c>
      <c r="G545" s="226"/>
      <c r="H545" s="228"/>
      <c r="I545" s="250">
        <v>12.77</v>
      </c>
      <c r="J545" s="228" t="s">
        <v>101</v>
      </c>
      <c r="K545" s="228"/>
      <c r="L545" s="228"/>
      <c r="M545" s="235"/>
      <c r="N545" s="250">
        <f>+ROUND('Scenario GSLDSU Rates'!Q92,2)</f>
        <v>12.77</v>
      </c>
      <c r="O545" s="228" t="s">
        <v>101</v>
      </c>
      <c r="Q545" s="221">
        <f>IF(I545=0,0,+(N545-I545)/I545)</f>
        <v>0</v>
      </c>
      <c r="R545" s="228"/>
      <c r="S545" s="228"/>
      <c r="T545" s="228"/>
    </row>
    <row r="546" spans="1:20" ht="14.1" customHeight="1">
      <c r="A546" s="199">
        <v>8</v>
      </c>
      <c r="B546" s="227"/>
      <c r="C546" s="164"/>
      <c r="F546" s="199" t="s">
        <v>160</v>
      </c>
      <c r="I546" s="250">
        <v>1.55</v>
      </c>
      <c r="J546" s="228" t="s">
        <v>101</v>
      </c>
      <c r="K546" s="228"/>
      <c r="N546" s="250">
        <f>+ROUND('Scenario GSLDSU Rates'!Q93,2)</f>
        <v>1.55</v>
      </c>
      <c r="O546" s="228" t="s">
        <v>101</v>
      </c>
      <c r="Q546" s="221">
        <f>IF(I546=0,0,+(N546-I546)/I546)</f>
        <v>0</v>
      </c>
      <c r="R546" s="228"/>
      <c r="S546" s="228"/>
      <c r="T546" s="228"/>
    </row>
    <row r="547" spans="1:20" ht="14.1" customHeight="1">
      <c r="A547" s="199">
        <v>9</v>
      </c>
      <c r="B547" s="227"/>
      <c r="C547" s="226"/>
      <c r="F547" s="199" t="s">
        <v>161</v>
      </c>
      <c r="I547" s="250">
        <v>11.22</v>
      </c>
      <c r="J547" s="228" t="s">
        <v>101</v>
      </c>
      <c r="K547" s="228"/>
      <c r="N547" s="250">
        <f>+ROUND('Scenario GSLDSU Rates'!Q94,2)</f>
        <v>11.22</v>
      </c>
      <c r="O547" s="228" t="s">
        <v>101</v>
      </c>
      <c r="Q547" s="250">
        <f>IF(I547=0,0,+(N547-I547)/I547)</f>
        <v>0</v>
      </c>
      <c r="R547" s="228"/>
      <c r="S547" s="228"/>
      <c r="T547" s="228"/>
    </row>
    <row r="548" spans="1:20" ht="14.1" customHeight="1">
      <c r="A548" s="199">
        <v>10</v>
      </c>
      <c r="B548" s="227"/>
      <c r="C548" s="226"/>
      <c r="I548" s="260"/>
      <c r="J548" s="228"/>
      <c r="K548" s="228"/>
      <c r="N548" s="260"/>
      <c r="O548" s="228"/>
      <c r="Q548" s="221"/>
      <c r="R548" s="228"/>
      <c r="S548" s="228"/>
      <c r="T548" s="228"/>
    </row>
    <row r="549" spans="1:20" ht="14.1" customHeight="1">
      <c r="A549" s="199">
        <v>11</v>
      </c>
      <c r="B549" s="227"/>
      <c r="C549" s="226"/>
      <c r="E549" s="232" t="s">
        <v>119</v>
      </c>
      <c r="R549" s="228"/>
      <c r="S549" s="228"/>
      <c r="T549" s="228"/>
    </row>
    <row r="550" spans="1:20" ht="14.1" customHeight="1">
      <c r="A550" s="199">
        <v>12</v>
      </c>
      <c r="B550" s="227"/>
      <c r="C550" s="226"/>
      <c r="F550" s="234" t="s">
        <v>66</v>
      </c>
      <c r="I550" s="255">
        <v>1.163E-2</v>
      </c>
      <c r="J550" s="217" t="s">
        <v>71</v>
      </c>
      <c r="K550" s="228"/>
      <c r="N550" s="255">
        <f>+ROUND('Scenario GSLDSU Rates'!Q78,5)</f>
        <v>1.163E-2</v>
      </c>
      <c r="O550" s="217" t="s">
        <v>71</v>
      </c>
      <c r="Q550" s="221">
        <f>IF(I550=0,0,+(N550-I550)/I550)</f>
        <v>0</v>
      </c>
      <c r="R550" s="228"/>
      <c r="S550" s="228"/>
      <c r="T550" s="228"/>
    </row>
    <row r="551" spans="1:20" ht="14.1" customHeight="1">
      <c r="A551" s="199">
        <v>13</v>
      </c>
      <c r="B551" s="227"/>
      <c r="C551" s="226"/>
      <c r="F551" s="199" t="s">
        <v>96</v>
      </c>
      <c r="I551" s="255">
        <v>2.0930000000000001E-2</v>
      </c>
      <c r="J551" s="217" t="s">
        <v>71</v>
      </c>
      <c r="K551" s="228"/>
      <c r="N551" s="255">
        <f>+ROUND('Scenario GSLDSU Rates'!Q79,5)</f>
        <v>2.0930000000000001E-2</v>
      </c>
      <c r="O551" s="217" t="s">
        <v>71</v>
      </c>
      <c r="Q551" s="221">
        <f>IF(I551=0,0,+(N551-I551)/I551)</f>
        <v>0</v>
      </c>
      <c r="R551" s="228"/>
      <c r="S551" s="228"/>
      <c r="T551" s="228"/>
    </row>
    <row r="552" spans="1:20" ht="14.1" customHeight="1">
      <c r="A552" s="199">
        <v>14</v>
      </c>
      <c r="B552" s="227"/>
      <c r="C552" s="226"/>
      <c r="F552" s="199" t="s">
        <v>97</v>
      </c>
      <c r="I552" s="255">
        <v>1.021E-2</v>
      </c>
      <c r="J552" s="217" t="s">
        <v>71</v>
      </c>
      <c r="K552" s="228"/>
      <c r="N552" s="255">
        <f>+ROUND('Scenario GSLDSU Rates'!Q80,5)</f>
        <v>1.021E-2</v>
      </c>
      <c r="O552" s="217" t="s">
        <v>71</v>
      </c>
      <c r="Q552" s="221">
        <f>+(N552-I552)/I552</f>
        <v>0</v>
      </c>
      <c r="R552" s="228"/>
      <c r="S552" s="228"/>
      <c r="T552" s="228"/>
    </row>
    <row r="553" spans="1:20" ht="14.1" customHeight="1">
      <c r="A553" s="199">
        <v>15</v>
      </c>
      <c r="B553" s="227"/>
      <c r="C553" s="226"/>
      <c r="F553" s="199" t="s">
        <v>98</v>
      </c>
      <c r="I553" s="255">
        <v>7.1700000000000002E-3</v>
      </c>
      <c r="J553" s="217" t="s">
        <v>71</v>
      </c>
      <c r="N553" s="255">
        <f>+ROUND('Scenario GSLDSU Rates'!Q81,5)</f>
        <v>7.1700000000000002E-3</v>
      </c>
      <c r="O553" s="217" t="s">
        <v>71</v>
      </c>
      <c r="Q553" s="261" t="s">
        <v>170</v>
      </c>
      <c r="R553" s="228"/>
      <c r="S553" s="228"/>
      <c r="T553" s="228"/>
    </row>
    <row r="554" spans="1:20" ht="14.1" customHeight="1">
      <c r="A554" s="199">
        <v>16</v>
      </c>
      <c r="B554" s="227"/>
      <c r="C554" s="226"/>
      <c r="R554" s="228"/>
      <c r="S554" s="228"/>
      <c r="T554" s="228"/>
    </row>
    <row r="555" spans="1:20" ht="14.1" customHeight="1">
      <c r="A555" s="199">
        <v>17</v>
      </c>
      <c r="B555" s="227"/>
      <c r="C555" s="226"/>
      <c r="E555" s="204" t="s">
        <v>162</v>
      </c>
      <c r="G555" s="226"/>
      <c r="H555" s="228"/>
      <c r="I555" s="215"/>
      <c r="J555" s="228"/>
      <c r="K555" s="228"/>
      <c r="L555" s="228"/>
      <c r="M555" s="228"/>
      <c r="N555" s="215"/>
      <c r="O555" s="228"/>
      <c r="Q555" s="228"/>
      <c r="R555" s="228"/>
      <c r="S555" s="228"/>
      <c r="T555" s="228"/>
    </row>
    <row r="556" spans="1:20" ht="14.1" customHeight="1">
      <c r="A556" s="199">
        <v>18</v>
      </c>
      <c r="B556" s="227"/>
      <c r="C556" s="226"/>
      <c r="F556" s="199" t="s">
        <v>125</v>
      </c>
      <c r="G556" s="226"/>
      <c r="H556" s="228"/>
      <c r="I556" s="250">
        <v>1.3</v>
      </c>
      <c r="J556" s="228" t="s">
        <v>101</v>
      </c>
      <c r="K556" s="228"/>
      <c r="L556" s="228"/>
      <c r="M556" s="228"/>
      <c r="N556" s="250">
        <f>+ROUND('Scenario GSLDSU Rates'!Q98,2)</f>
        <v>1.3</v>
      </c>
      <c r="O556" s="228" t="s">
        <v>101</v>
      </c>
      <c r="Q556" s="221">
        <f>IF(I556=0,0,+(N556-I556)/I556)</f>
        <v>0</v>
      </c>
      <c r="R556" s="228"/>
      <c r="S556" s="228"/>
      <c r="T556" s="228"/>
    </row>
    <row r="557" spans="1:20" ht="14.1" customHeight="1">
      <c r="A557" s="199">
        <v>19</v>
      </c>
      <c r="B557" s="227"/>
      <c r="C557" s="226"/>
      <c r="F557" s="199" t="s">
        <v>126</v>
      </c>
      <c r="L557" s="228"/>
      <c r="M557" s="228"/>
      <c r="Q557" s="228"/>
      <c r="R557" s="228"/>
      <c r="S557" s="228"/>
      <c r="T557" s="228"/>
    </row>
    <row r="558" spans="1:20" ht="14.1" customHeight="1">
      <c r="A558" s="199">
        <v>20</v>
      </c>
      <c r="B558" s="227"/>
      <c r="C558" s="226"/>
      <c r="F558" s="199" t="s">
        <v>127</v>
      </c>
      <c r="I558" s="250">
        <v>1.54</v>
      </c>
      <c r="J558" s="199" t="s">
        <v>128</v>
      </c>
      <c r="L558" s="228"/>
      <c r="M558" s="228"/>
      <c r="N558" s="250">
        <f>+ROUND('Scenario GSLDSU Rates'!Q99,2)</f>
        <v>1.54</v>
      </c>
      <c r="O558" s="199" t="s">
        <v>128</v>
      </c>
      <c r="Q558" s="221">
        <f>IF(I558=0,0,+(N558-I558)/I558)</f>
        <v>0</v>
      </c>
      <c r="R558" s="228"/>
      <c r="S558" s="228"/>
      <c r="T558" s="228"/>
    </row>
    <row r="559" spans="1:20" ht="14.1" customHeight="1">
      <c r="A559" s="199">
        <v>21</v>
      </c>
      <c r="B559" s="227"/>
      <c r="C559" s="226"/>
      <c r="F559" s="199" t="s">
        <v>129</v>
      </c>
      <c r="I559" s="250">
        <v>0.61</v>
      </c>
      <c r="J559" s="199" t="s">
        <v>130</v>
      </c>
      <c r="L559" s="228"/>
      <c r="M559" s="228"/>
      <c r="N559" s="250">
        <f>+ROUND('Scenario GSLDSU Rates'!Q100,2)</f>
        <v>0.61</v>
      </c>
      <c r="O559" s="199" t="s">
        <v>130</v>
      </c>
      <c r="Q559" s="221">
        <f>IF(I559=0,0,+(N559-I559)/I559)</f>
        <v>0</v>
      </c>
      <c r="R559" s="228"/>
      <c r="S559" s="228"/>
      <c r="T559" s="228"/>
    </row>
    <row r="560" spans="1:20" ht="14.1" customHeight="1">
      <c r="A560" s="199">
        <v>22</v>
      </c>
      <c r="B560" s="227"/>
      <c r="C560" s="226"/>
      <c r="G560" s="164"/>
      <c r="H560" s="228"/>
      <c r="I560" s="220"/>
      <c r="J560" s="228"/>
      <c r="K560" s="228"/>
      <c r="L560" s="228"/>
      <c r="M560" s="228"/>
      <c r="N560" s="220"/>
      <c r="O560" s="228"/>
      <c r="Q560" s="221"/>
      <c r="R560" s="228"/>
      <c r="S560" s="228"/>
      <c r="T560" s="228"/>
    </row>
    <row r="561" spans="1:20" ht="14.1" customHeight="1">
      <c r="A561" s="199">
        <v>23</v>
      </c>
      <c r="B561" s="227"/>
      <c r="C561" s="226"/>
      <c r="E561" s="232" t="s">
        <v>131</v>
      </c>
      <c r="G561" s="164"/>
      <c r="H561" s="228"/>
      <c r="J561" s="228"/>
      <c r="K561" s="228"/>
      <c r="L561" s="228"/>
      <c r="M561" s="228"/>
      <c r="O561" s="228"/>
      <c r="Q561" s="228"/>
      <c r="R561" s="228"/>
      <c r="S561" s="228"/>
      <c r="T561" s="228"/>
    </row>
    <row r="562" spans="1:20" ht="14.1" customHeight="1">
      <c r="A562" s="199">
        <v>24</v>
      </c>
      <c r="B562" s="227"/>
      <c r="C562" s="226"/>
      <c r="F562" s="199" t="s">
        <v>171</v>
      </c>
      <c r="I562" s="223">
        <v>8.6599999999999993E-3</v>
      </c>
      <c r="J562" s="217" t="s">
        <v>71</v>
      </c>
      <c r="K562" s="228"/>
      <c r="L562" s="228"/>
      <c r="M562" s="228"/>
      <c r="N562" s="223">
        <f>+ROUND('Scenario GSLDSU Rates'!Q85,5)</f>
        <v>8.6599999999999993E-3</v>
      </c>
      <c r="O562" s="217" t="s">
        <v>71</v>
      </c>
      <c r="Q562" s="221">
        <f>IF(I562=0,0,+(N562-I562)/I562)</f>
        <v>0</v>
      </c>
      <c r="R562" s="228"/>
      <c r="S562" s="228"/>
      <c r="T562" s="228"/>
    </row>
    <row r="563" spans="1:20" ht="14.1" customHeight="1">
      <c r="A563" s="199">
        <v>25</v>
      </c>
      <c r="B563" s="227"/>
      <c r="C563" s="226"/>
      <c r="R563" s="228"/>
      <c r="S563" s="228"/>
      <c r="T563" s="228"/>
    </row>
    <row r="564" spans="1:20" ht="14.1" customHeight="1">
      <c r="A564" s="199">
        <v>26</v>
      </c>
      <c r="B564" s="227"/>
      <c r="C564" s="226"/>
      <c r="E564" s="237" t="s">
        <v>166</v>
      </c>
      <c r="G564" s="228"/>
      <c r="H564" s="228"/>
      <c r="R564" s="228"/>
      <c r="S564" s="228"/>
      <c r="T564" s="228"/>
    </row>
    <row r="565" spans="1:20" ht="14.1" customHeight="1">
      <c r="A565" s="199">
        <v>27</v>
      </c>
      <c r="B565" s="227"/>
      <c r="C565" s="226"/>
      <c r="F565" s="199" t="s">
        <v>167</v>
      </c>
      <c r="I565" s="215">
        <v>1.02</v>
      </c>
      <c r="J565" s="228" t="s">
        <v>101</v>
      </c>
      <c r="K565" s="228"/>
      <c r="L565" s="228"/>
      <c r="M565" s="228"/>
      <c r="N565" s="215">
        <f>+ROUND('Scenario GSLDSU Rates'!Q133,2)</f>
        <v>1.02</v>
      </c>
      <c r="O565" s="228" t="s">
        <v>101</v>
      </c>
      <c r="Q565" s="221">
        <f>IF(I565=0,0,+(N565-I565)/I565)</f>
        <v>0</v>
      </c>
      <c r="R565" s="228"/>
      <c r="S565" s="228"/>
      <c r="T565" s="228"/>
    </row>
    <row r="566" spans="1:20" ht="14.1" customHeight="1">
      <c r="A566" s="199">
        <v>28</v>
      </c>
      <c r="B566" s="227"/>
      <c r="C566" s="226"/>
      <c r="F566" s="199" t="s">
        <v>168</v>
      </c>
      <c r="I566" s="215">
        <v>1.02</v>
      </c>
      <c r="J566" s="228" t="s">
        <v>101</v>
      </c>
      <c r="N566" s="215">
        <f>+ROUND('Scenario GSLDSU Rates'!Q134,2)</f>
        <v>1.02</v>
      </c>
      <c r="O566" s="228" t="s">
        <v>101</v>
      </c>
      <c r="Q566" s="221">
        <f>IF(I566=0,0,+(N566-I566)/I566)</f>
        <v>0</v>
      </c>
      <c r="R566" s="228"/>
      <c r="S566" s="228"/>
      <c r="T566" s="228"/>
    </row>
    <row r="567" spans="1:20" ht="14.1" customHeight="1">
      <c r="A567" s="199">
        <v>29</v>
      </c>
      <c r="B567" s="227"/>
      <c r="C567" s="226"/>
      <c r="R567" s="228"/>
      <c r="S567" s="228"/>
      <c r="T567" s="228"/>
    </row>
    <row r="568" spans="1:20" ht="14.1" customHeight="1">
      <c r="A568" s="199">
        <v>30</v>
      </c>
      <c r="B568" s="227"/>
      <c r="C568" s="226"/>
      <c r="E568" s="199" t="s">
        <v>141</v>
      </c>
      <c r="I568" s="223">
        <v>2.0300000000000001E-3</v>
      </c>
      <c r="J568" s="199" t="s">
        <v>142</v>
      </c>
      <c r="L568" s="228"/>
      <c r="M568" s="228"/>
      <c r="N568" s="223">
        <f>+ROUND('Scenario GSLDSU Rates'!Q41,5)</f>
        <v>2.0300000000000001E-3</v>
      </c>
      <c r="O568" s="199" t="s">
        <v>142</v>
      </c>
      <c r="Q568" s="221">
        <f>IF(I568=0,0,+(N568-I568)/I568)</f>
        <v>0</v>
      </c>
      <c r="R568" s="228"/>
      <c r="S568" s="228"/>
      <c r="T568" s="228"/>
    </row>
    <row r="569" spans="1:20" ht="14.1" customHeight="1">
      <c r="A569" s="199">
        <v>31</v>
      </c>
      <c r="B569" s="227"/>
      <c r="C569" s="226"/>
      <c r="I569" s="258"/>
      <c r="L569" s="228"/>
      <c r="M569" s="228"/>
      <c r="N569" s="258"/>
      <c r="Q569" s="228"/>
      <c r="R569" s="228"/>
      <c r="S569" s="228"/>
      <c r="T569" s="228"/>
    </row>
    <row r="570" spans="1:20" ht="14.1" customHeight="1">
      <c r="A570" s="199">
        <v>32</v>
      </c>
      <c r="B570" s="227"/>
      <c r="C570" s="226"/>
      <c r="E570" s="199" t="s">
        <v>143</v>
      </c>
      <c r="F570" s="164"/>
      <c r="G570" s="228"/>
      <c r="H570" s="228"/>
      <c r="I570" s="223">
        <v>-1.0200000000000001E-3</v>
      </c>
      <c r="J570" s="199" t="s">
        <v>142</v>
      </c>
      <c r="L570" s="228"/>
      <c r="M570" s="228"/>
      <c r="N570" s="223">
        <f>+ROUND('Scenario GSLDSU Rates'!Q45,5)</f>
        <v>-1.0200000000000001E-3</v>
      </c>
      <c r="O570" s="199" t="s">
        <v>142</v>
      </c>
      <c r="Q570" s="221">
        <f>IF(I570=0,0,+(N570-I570)/I570)</f>
        <v>0</v>
      </c>
      <c r="R570" s="228"/>
      <c r="S570" s="228"/>
      <c r="T570" s="228"/>
    </row>
    <row r="571" spans="1:20" ht="14.1" customHeight="1">
      <c r="A571" s="199">
        <v>33</v>
      </c>
      <c r="B571" s="227"/>
      <c r="C571" s="226"/>
      <c r="F571" s="222"/>
      <c r="G571" s="228"/>
      <c r="H571" s="228"/>
      <c r="I571" s="250"/>
      <c r="J571" s="228"/>
      <c r="K571" s="228"/>
      <c r="L571" s="228"/>
      <c r="M571" s="228"/>
      <c r="N571" s="250"/>
      <c r="O571" s="228"/>
      <c r="Q571" s="221"/>
      <c r="R571" s="228"/>
      <c r="S571" s="228"/>
      <c r="T571" s="228"/>
    </row>
    <row r="572" spans="1:20" ht="14.1" customHeight="1">
      <c r="A572" s="199">
        <v>34</v>
      </c>
      <c r="B572" s="227"/>
      <c r="C572" s="226"/>
      <c r="F572" s="222"/>
      <c r="G572" s="228"/>
      <c r="H572" s="228"/>
      <c r="I572" s="250"/>
      <c r="J572" s="228"/>
      <c r="K572" s="228"/>
      <c r="L572" s="228"/>
      <c r="M572" s="228"/>
      <c r="N572" s="250"/>
      <c r="O572" s="228"/>
      <c r="Q572" s="221"/>
      <c r="R572" s="228"/>
      <c r="S572" s="228"/>
      <c r="T572" s="228"/>
    </row>
    <row r="573" spans="1:20" ht="14.1" customHeight="1">
      <c r="A573" s="199">
        <v>35</v>
      </c>
      <c r="B573" s="227"/>
      <c r="C573" s="226"/>
      <c r="F573" s="222"/>
      <c r="G573" s="228"/>
      <c r="H573" s="228"/>
      <c r="I573" s="250"/>
      <c r="J573" s="228"/>
      <c r="K573" s="228"/>
      <c r="L573" s="228"/>
      <c r="M573" s="228"/>
      <c r="N573" s="250"/>
      <c r="O573" s="228"/>
      <c r="Q573" s="221"/>
      <c r="R573" s="228"/>
      <c r="S573" s="228"/>
      <c r="T573" s="228"/>
    </row>
    <row r="574" spans="1:20" ht="14.1" customHeight="1" thickBot="1">
      <c r="A574" s="238">
        <v>36</v>
      </c>
      <c r="B574" s="238"/>
      <c r="C574" s="239"/>
      <c r="D574" s="200"/>
      <c r="E574" s="200"/>
      <c r="F574" s="200"/>
      <c r="G574" s="200"/>
      <c r="H574" s="200"/>
      <c r="I574" s="200"/>
      <c r="J574" s="200"/>
      <c r="K574" s="200"/>
      <c r="L574" s="200"/>
      <c r="M574" s="200"/>
      <c r="N574" s="200"/>
      <c r="O574" s="200"/>
      <c r="P574" s="200"/>
      <c r="Q574" s="200"/>
      <c r="R574" s="241"/>
      <c r="S574" s="241"/>
      <c r="T574" s="243"/>
    </row>
    <row r="575" spans="1:20" ht="14.1" customHeight="1"/>
    <row r="576" spans="1:20" ht="14.1" customHeight="1" thickBot="1">
      <c r="A576" s="200"/>
      <c r="B576" s="200"/>
      <c r="C576" s="200"/>
      <c r="D576" s="200"/>
      <c r="E576" s="200"/>
      <c r="F576" s="200"/>
      <c r="G576" s="200"/>
      <c r="H576" s="200"/>
      <c r="I576" s="200" t="s">
        <v>45</v>
      </c>
      <c r="J576" s="200"/>
      <c r="K576" s="200"/>
      <c r="L576" s="200"/>
      <c r="M576" s="200"/>
      <c r="N576" s="200"/>
      <c r="O576" s="200"/>
      <c r="P576" s="200"/>
      <c r="Q576" s="200"/>
      <c r="R576" s="200"/>
      <c r="S576" s="200"/>
      <c r="T576" s="201"/>
    </row>
    <row r="577" spans="1:20" ht="14.1" customHeight="1">
      <c r="F577" s="202"/>
      <c r="L577" s="203"/>
      <c r="M577" s="203"/>
      <c r="O577" s="203"/>
      <c r="P577" s="203"/>
      <c r="Q577" s="203"/>
      <c r="T577" s="204"/>
    </row>
    <row r="578" spans="1:20" ht="14.1" customHeight="1">
      <c r="L578" s="202"/>
      <c r="M578" s="204"/>
      <c r="P578" s="202"/>
      <c r="Q578" s="32"/>
      <c r="R578" s="31"/>
      <c r="T578" s="202"/>
    </row>
    <row r="579" spans="1:20" ht="14.1" customHeight="1">
      <c r="L579" s="202"/>
      <c r="M579" s="204"/>
      <c r="N579" s="202"/>
      <c r="Q579" s="32"/>
      <c r="R579" s="31"/>
      <c r="T579" s="202"/>
    </row>
    <row r="580" spans="1:20" ht="14.1" customHeight="1">
      <c r="L580" s="202"/>
      <c r="M580" s="204"/>
      <c r="N580" s="202"/>
      <c r="Q580" s="32"/>
      <c r="R580" s="31"/>
      <c r="T580" s="202"/>
    </row>
    <row r="581" spans="1:20" ht="14.1" customHeight="1" thickBot="1">
      <c r="A581" s="200"/>
      <c r="B581" s="200"/>
      <c r="C581" s="200"/>
      <c r="D581" s="200"/>
      <c r="E581" s="200"/>
      <c r="F581" s="200"/>
      <c r="G581" s="200"/>
      <c r="H581" s="200"/>
      <c r="I581" s="205"/>
      <c r="J581" s="200"/>
      <c r="K581" s="200"/>
      <c r="L581" s="200"/>
      <c r="M581" s="200"/>
      <c r="N581" s="200"/>
      <c r="O581" s="200"/>
      <c r="P581" s="200"/>
      <c r="Q581" s="200"/>
      <c r="R581" s="200"/>
      <c r="S581" s="200"/>
      <c r="T581" s="200"/>
    </row>
    <row r="582" spans="1:20" ht="14.1" customHeight="1">
      <c r="A582" s="199" t="str">
        <f>IF(+A$8="","",A$8)</f>
        <v/>
      </c>
      <c r="B582" s="206" t="str">
        <f t="shared" ref="B582:T582" si="61">IF(+B$8="","",B$8)</f>
        <v/>
      </c>
      <c r="C582" s="206" t="str">
        <f t="shared" si="61"/>
        <v>(1)</v>
      </c>
      <c r="D582" s="206" t="str">
        <f t="shared" si="61"/>
        <v/>
      </c>
      <c r="E582" s="206" t="str">
        <f t="shared" si="61"/>
        <v/>
      </c>
      <c r="F582" s="206" t="str">
        <f t="shared" si="61"/>
        <v>(2)</v>
      </c>
      <c r="G582" s="206" t="str">
        <f t="shared" si="61"/>
        <v/>
      </c>
      <c r="H582" s="206" t="str">
        <f>IF(+H$8="","",H$8)</f>
        <v/>
      </c>
      <c r="I582" s="206" t="str">
        <f>IF(+I$8="","",I$8)</f>
        <v>(3)</v>
      </c>
      <c r="J582" s="206" t="str">
        <f>IF(+J$8="","",J$8)</f>
        <v/>
      </c>
      <c r="K582" s="206"/>
      <c r="L582" s="206" t="str">
        <f t="shared" si="61"/>
        <v>(4)</v>
      </c>
      <c r="M582" s="206" t="str">
        <f t="shared" si="61"/>
        <v/>
      </c>
      <c r="N582" s="206" t="str">
        <f t="shared" si="61"/>
        <v>(5)</v>
      </c>
      <c r="O582" s="206" t="str">
        <f t="shared" si="61"/>
        <v/>
      </c>
      <c r="Q582" s="206" t="str">
        <f>IF(+Q$8="","",Q$8)</f>
        <v>(6)</v>
      </c>
      <c r="R582" s="206" t="str">
        <f t="shared" si="61"/>
        <v/>
      </c>
      <c r="S582" s="206" t="str">
        <f t="shared" si="61"/>
        <v/>
      </c>
      <c r="T582" s="206" t="str">
        <f t="shared" si="61"/>
        <v/>
      </c>
    </row>
    <row r="583" spans="1:20" ht="14.1" customHeight="1">
      <c r="A583" s="199" t="str">
        <f>IF(+A$9="","",A$9)</f>
        <v/>
      </c>
      <c r="B583" s="206" t="str">
        <f t="shared" ref="B583:T583" si="62">IF(+B$9="","",B$9)</f>
        <v/>
      </c>
      <c r="C583" s="206" t="str">
        <f t="shared" si="62"/>
        <v/>
      </c>
      <c r="D583" s="206" t="str">
        <f t="shared" si="62"/>
        <v/>
      </c>
      <c r="E583" s="206" t="str">
        <f t="shared" si="62"/>
        <v/>
      </c>
      <c r="F583" s="206" t="str">
        <f t="shared" si="62"/>
        <v/>
      </c>
      <c r="G583" s="206" t="str">
        <f t="shared" si="62"/>
        <v/>
      </c>
      <c r="H583" s="206" t="str">
        <f>IF(+H$9="","",H$9)</f>
        <v/>
      </c>
      <c r="I583" s="206" t="str">
        <f>IF(+I$9="","",I$9)</f>
        <v/>
      </c>
      <c r="J583" s="206" t="str">
        <f>IF(+J$9="","",J$9)</f>
        <v/>
      </c>
      <c r="K583" s="206"/>
      <c r="L583" s="206" t="str">
        <f t="shared" si="62"/>
        <v/>
      </c>
      <c r="M583" s="206" t="str">
        <f t="shared" si="62"/>
        <v/>
      </c>
      <c r="N583" s="206" t="str">
        <f t="shared" si="62"/>
        <v/>
      </c>
      <c r="O583" s="206" t="str">
        <f t="shared" si="62"/>
        <v/>
      </c>
      <c r="Q583" s="206" t="str">
        <f>IF(+Q$9="","",Q$9)</f>
        <v/>
      </c>
      <c r="R583" s="206" t="str">
        <f t="shared" si="62"/>
        <v/>
      </c>
      <c r="S583" s="206" t="str">
        <f t="shared" si="62"/>
        <v/>
      </c>
      <c r="T583" s="206" t="str">
        <f t="shared" si="62"/>
        <v/>
      </c>
    </row>
    <row r="584" spans="1:20" ht="14.1" customHeight="1">
      <c r="A584" s="199" t="str">
        <f>IF(+A$10="","",A$10)</f>
        <v/>
      </c>
      <c r="B584" s="206" t="str">
        <f t="shared" ref="B584:T584" si="63">IF(+B$10="","",B$10)</f>
        <v/>
      </c>
      <c r="C584" s="206" t="str">
        <f t="shared" si="63"/>
        <v xml:space="preserve">Current </v>
      </c>
      <c r="D584" s="206" t="str">
        <f t="shared" si="63"/>
        <v/>
      </c>
      <c r="E584" s="206" t="str">
        <f t="shared" si="63"/>
        <v/>
      </c>
      <c r="F584" s="206" t="str">
        <f t="shared" si="63"/>
        <v/>
      </c>
      <c r="G584" s="206" t="str">
        <f t="shared" si="63"/>
        <v/>
      </c>
      <c r="H584" s="206" t="str">
        <f>IF(+H$10="","",H$10)</f>
        <v/>
      </c>
      <c r="I584" s="206" t="str">
        <f>IF(+I$10="","",I$10)</f>
        <v/>
      </c>
      <c r="J584" s="206" t="str">
        <f>IF(+J$10="","",J$10)</f>
        <v/>
      </c>
      <c r="K584" s="206"/>
      <c r="L584" s="206" t="str">
        <f t="shared" si="63"/>
        <v>Proposed</v>
      </c>
      <c r="M584" s="206" t="str">
        <f t="shared" si="63"/>
        <v/>
      </c>
      <c r="N584" s="206" t="str">
        <f t="shared" si="63"/>
        <v/>
      </c>
      <c r="O584" s="206" t="str">
        <f t="shared" si="63"/>
        <v/>
      </c>
      <c r="Q584" s="206" t="str">
        <f>IF(+Q$10="","",Q$10)</f>
        <v>Percent</v>
      </c>
      <c r="R584" s="206" t="str">
        <f t="shared" si="63"/>
        <v/>
      </c>
      <c r="S584" s="206" t="str">
        <f t="shared" si="63"/>
        <v/>
      </c>
      <c r="T584" s="206" t="str">
        <f t="shared" si="63"/>
        <v/>
      </c>
    </row>
    <row r="585" spans="1:20" ht="14.1" customHeight="1">
      <c r="A585" s="199" t="str">
        <f>IF(+A$11="","",A$11)</f>
        <v>Line</v>
      </c>
      <c r="B585" s="206" t="str">
        <f t="shared" ref="B585:T585" si="64">IF(+B$11="","",B$11)</f>
        <v/>
      </c>
      <c r="C585" s="206" t="str">
        <f t="shared" si="64"/>
        <v>Rate</v>
      </c>
      <c r="D585" s="206" t="str">
        <f t="shared" si="64"/>
        <v/>
      </c>
      <c r="E585" s="206" t="str">
        <f t="shared" si="64"/>
        <v/>
      </c>
      <c r="F585" s="206" t="str">
        <f t="shared" si="64"/>
        <v/>
      </c>
      <c r="G585" s="206" t="str">
        <f t="shared" si="64"/>
        <v/>
      </c>
      <c r="H585" s="206" t="str">
        <f>IF(+H$11="","",H$11)</f>
        <v/>
      </c>
      <c r="I585" s="206" t="str">
        <f>IF(+I$11="","",I$11)</f>
        <v>Current Proposed</v>
      </c>
      <c r="J585" s="206" t="str">
        <f>IF(+J$11="","",J$11)</f>
        <v/>
      </c>
      <c r="K585" s="206"/>
      <c r="L585" s="206" t="str">
        <f t="shared" si="64"/>
        <v>Rate</v>
      </c>
      <c r="M585" s="206" t="str">
        <f t="shared" si="64"/>
        <v/>
      </c>
      <c r="N585" s="206" t="str">
        <f t="shared" si="64"/>
        <v>Scenario Proposed</v>
      </c>
      <c r="O585" s="206" t="str">
        <f t="shared" si="64"/>
        <v/>
      </c>
      <c r="Q585" s="206" t="str">
        <f>IF(+Q$11="","",Q$11)</f>
        <v>Increase</v>
      </c>
      <c r="R585" s="206" t="str">
        <f t="shared" si="64"/>
        <v/>
      </c>
      <c r="S585" s="206" t="str">
        <f t="shared" si="64"/>
        <v/>
      </c>
      <c r="T585" s="206" t="str">
        <f t="shared" si="64"/>
        <v/>
      </c>
    </row>
    <row r="586" spans="1:20" ht="14.1" customHeight="1" thickBot="1">
      <c r="A586" s="200" t="str">
        <f>IF(+A$12="","",A$12)</f>
        <v>No.</v>
      </c>
      <c r="B586" s="205" t="str">
        <f t="shared" ref="B586:T586" si="65">IF(+B$12="","",B$12)</f>
        <v/>
      </c>
      <c r="C586" s="205" t="str">
        <f t="shared" si="65"/>
        <v>Schedule</v>
      </c>
      <c r="D586" s="205" t="str">
        <f t="shared" si="65"/>
        <v/>
      </c>
      <c r="E586" s="205"/>
      <c r="F586" s="205" t="str">
        <f t="shared" si="65"/>
        <v>Type of Charge</v>
      </c>
      <c r="G586" s="205"/>
      <c r="H586" s="205" t="str">
        <f>IF(+H$12="","",H$12)</f>
        <v/>
      </c>
      <c r="I586" s="205" t="str">
        <f>IF(+I$12="","",I$12)</f>
        <v>Rate</v>
      </c>
      <c r="J586" s="205" t="str">
        <f>IF(+J$12="","",J$12)</f>
        <v/>
      </c>
      <c r="K586" s="205"/>
      <c r="L586" s="205" t="str">
        <f t="shared" si="65"/>
        <v>Schedule</v>
      </c>
      <c r="M586" s="205" t="str">
        <f t="shared" si="65"/>
        <v/>
      </c>
      <c r="N586" s="205" t="str">
        <f t="shared" si="65"/>
        <v>Rate</v>
      </c>
      <c r="O586" s="205" t="str">
        <f t="shared" si="65"/>
        <v/>
      </c>
      <c r="P586" s="200"/>
      <c r="Q586" s="205" t="str">
        <f>IF(+Q$12="","",Q$12)</f>
        <v>((5)-(3))/(3)</v>
      </c>
      <c r="R586" s="205" t="str">
        <f t="shared" si="65"/>
        <v/>
      </c>
      <c r="S586" s="205" t="str">
        <f t="shared" si="65"/>
        <v/>
      </c>
      <c r="T586" s="205" t="str">
        <f t="shared" si="65"/>
        <v/>
      </c>
    </row>
    <row r="587" spans="1:20" ht="14.1" customHeight="1">
      <c r="A587" s="199">
        <v>1</v>
      </c>
      <c r="B587" s="324"/>
      <c r="C587" s="324"/>
      <c r="D587" s="324"/>
      <c r="E587" s="324"/>
      <c r="F587" s="324"/>
      <c r="G587" s="164"/>
      <c r="H587" s="226"/>
      <c r="J587" s="226"/>
      <c r="K587" s="226"/>
      <c r="L587" s="233"/>
      <c r="M587" s="226"/>
      <c r="N587" s="226"/>
      <c r="O587" s="226"/>
      <c r="Q587" s="226"/>
      <c r="R587" s="226"/>
      <c r="S587" s="226"/>
      <c r="T587" s="226"/>
    </row>
    <row r="588" spans="1:20" ht="14.1" customHeight="1">
      <c r="A588" s="199">
        <v>2</v>
      </c>
      <c r="B588" s="227"/>
      <c r="C588" s="199" t="s">
        <v>172</v>
      </c>
      <c r="G588" s="164"/>
      <c r="H588" s="226"/>
      <c r="I588" s="215"/>
      <c r="J588" s="226"/>
      <c r="K588" s="226"/>
      <c r="L588" s="226" t="s">
        <v>173</v>
      </c>
      <c r="M588" s="226"/>
      <c r="N588" s="215"/>
      <c r="O588" s="226"/>
      <c r="Q588" s="221"/>
      <c r="R588" s="226"/>
      <c r="S588" s="226"/>
      <c r="T588" s="226"/>
    </row>
    <row r="589" spans="1:20" ht="14.1" customHeight="1">
      <c r="A589" s="199">
        <v>3</v>
      </c>
      <c r="B589" s="227"/>
      <c r="C589" s="233"/>
      <c r="E589" s="211" t="s">
        <v>174</v>
      </c>
      <c r="H589" s="226"/>
      <c r="I589" s="215">
        <v>0.71</v>
      </c>
      <c r="J589" s="226" t="s">
        <v>67</v>
      </c>
      <c r="K589" s="226"/>
      <c r="L589" s="233"/>
      <c r="M589" s="164"/>
      <c r="N589" s="215">
        <f>+ROUND('Scenario LS Energy Rates'!Q18,2)</f>
        <v>0.71</v>
      </c>
      <c r="O589" s="226" t="s">
        <v>67</v>
      </c>
      <c r="Q589" s="216">
        <f>+(N589-I589)/I589</f>
        <v>0</v>
      </c>
      <c r="R589" s="226"/>
      <c r="S589" s="226"/>
      <c r="T589" s="226"/>
    </row>
    <row r="590" spans="1:20" ht="14.1" customHeight="1">
      <c r="A590" s="199">
        <v>4</v>
      </c>
      <c r="B590" s="227"/>
      <c r="E590" s="237" t="s">
        <v>175</v>
      </c>
      <c r="G590" s="228"/>
      <c r="H590" s="228"/>
      <c r="Q590" s="229"/>
      <c r="R590" s="228"/>
      <c r="S590" s="228"/>
      <c r="T590" s="228"/>
    </row>
    <row r="591" spans="1:20" ht="14.1" customHeight="1">
      <c r="A591" s="199">
        <v>5</v>
      </c>
      <c r="B591" s="227"/>
      <c r="C591" s="164"/>
      <c r="I591" s="215"/>
      <c r="J591" s="228"/>
      <c r="K591" s="228"/>
      <c r="L591" s="228"/>
      <c r="M591" s="228"/>
      <c r="N591" s="215"/>
      <c r="O591" s="228"/>
      <c r="Q591" s="216"/>
      <c r="R591" s="228"/>
      <c r="S591" s="228"/>
      <c r="T591" s="228"/>
    </row>
    <row r="592" spans="1:20" ht="14.1" customHeight="1">
      <c r="A592" s="199">
        <v>6</v>
      </c>
      <c r="B592" s="227"/>
      <c r="C592" s="164"/>
      <c r="E592" s="199" t="s">
        <v>94</v>
      </c>
      <c r="I592" s="262">
        <v>3.2599999999999997E-2</v>
      </c>
      <c r="J592" s="217" t="s">
        <v>71</v>
      </c>
      <c r="N592" s="262">
        <f>+ROUND('Scenario LS Energy Rates'!Q20,5)</f>
        <v>3.2599999999999997E-2</v>
      </c>
      <c r="O592" s="217" t="s">
        <v>71</v>
      </c>
      <c r="Q592" s="216">
        <f>+(N592-I592)/I592</f>
        <v>0</v>
      </c>
      <c r="R592" s="228"/>
      <c r="S592" s="228"/>
      <c r="T592" s="228"/>
    </row>
    <row r="593" spans="1:20" ht="14.1" customHeight="1">
      <c r="A593" s="199">
        <v>7</v>
      </c>
      <c r="B593" s="227"/>
      <c r="C593" s="164"/>
      <c r="R593" s="228"/>
      <c r="S593" s="228"/>
      <c r="T593" s="228"/>
    </row>
    <row r="594" spans="1:20" ht="14.1" customHeight="1">
      <c r="A594" s="199">
        <v>8</v>
      </c>
      <c r="B594" s="227"/>
      <c r="C594" s="164"/>
      <c r="I594" s="250"/>
      <c r="L594" s="228"/>
      <c r="M594" s="228"/>
      <c r="N594" s="250"/>
      <c r="Q594" s="221"/>
      <c r="R594" s="228"/>
      <c r="S594" s="228"/>
      <c r="T594" s="228"/>
    </row>
    <row r="595" spans="1:20" ht="14.1" customHeight="1">
      <c r="A595" s="199">
        <v>9</v>
      </c>
      <c r="B595" s="227"/>
      <c r="C595" s="164"/>
      <c r="I595" s="258"/>
      <c r="L595" s="228"/>
      <c r="M595" s="228"/>
      <c r="N595" s="258"/>
      <c r="Q595" s="228"/>
      <c r="R595" s="228"/>
      <c r="S595" s="228"/>
      <c r="T595" s="228"/>
    </row>
    <row r="596" spans="1:20" ht="14.1" customHeight="1">
      <c r="A596" s="199">
        <v>10</v>
      </c>
      <c r="B596" s="227"/>
      <c r="C596" s="226"/>
      <c r="F596" s="164"/>
      <c r="G596" s="228"/>
      <c r="H596" s="228"/>
      <c r="I596" s="215"/>
      <c r="L596" s="228"/>
      <c r="M596" s="228"/>
      <c r="N596" s="250"/>
      <c r="Q596" s="221"/>
      <c r="R596" s="228"/>
      <c r="S596" s="228"/>
      <c r="T596" s="228"/>
    </row>
    <row r="597" spans="1:20" ht="14.1" customHeight="1">
      <c r="A597" s="199">
        <v>11</v>
      </c>
      <c r="B597" s="227"/>
      <c r="C597" s="226"/>
      <c r="R597" s="228"/>
      <c r="S597" s="228"/>
      <c r="T597" s="228"/>
    </row>
    <row r="598" spans="1:20" ht="14.1" customHeight="1">
      <c r="A598" s="199">
        <v>12</v>
      </c>
      <c r="B598" s="227"/>
      <c r="C598" s="226"/>
      <c r="E598" s="232"/>
      <c r="H598" s="228"/>
      <c r="I598" s="215"/>
      <c r="J598" s="228"/>
      <c r="K598" s="228"/>
      <c r="L598" s="228"/>
      <c r="M598" s="228"/>
      <c r="N598" s="215"/>
      <c r="O598" s="228"/>
      <c r="Q598" s="228"/>
      <c r="R598" s="228"/>
      <c r="S598" s="228"/>
      <c r="T598" s="228"/>
    </row>
    <row r="599" spans="1:20" ht="14.1" customHeight="1">
      <c r="A599" s="199">
        <v>13</v>
      </c>
      <c r="B599" s="227"/>
      <c r="C599" s="226"/>
      <c r="R599" s="228"/>
      <c r="S599" s="228"/>
      <c r="T599" s="228"/>
    </row>
    <row r="600" spans="1:20" ht="14.1" customHeight="1">
      <c r="A600" s="199">
        <v>14</v>
      </c>
      <c r="B600" s="227"/>
      <c r="C600" s="226"/>
      <c r="F600" s="222"/>
      <c r="G600" s="226"/>
      <c r="H600" s="228"/>
      <c r="I600" s="256"/>
      <c r="J600" s="228"/>
      <c r="K600" s="228"/>
      <c r="L600" s="228"/>
      <c r="M600" s="228"/>
      <c r="N600" s="256"/>
      <c r="O600" s="228"/>
      <c r="Q600" s="250"/>
      <c r="R600" s="228"/>
      <c r="S600" s="228"/>
      <c r="T600" s="228"/>
    </row>
    <row r="601" spans="1:20" ht="14.1" customHeight="1">
      <c r="A601" s="199">
        <v>15</v>
      </c>
      <c r="B601" s="227"/>
      <c r="C601" s="226"/>
      <c r="F601" s="222"/>
      <c r="I601" s="256"/>
      <c r="J601" s="228"/>
      <c r="K601" s="228"/>
      <c r="L601" s="228"/>
      <c r="M601" s="228"/>
      <c r="N601" s="256"/>
      <c r="O601" s="228"/>
      <c r="Q601" s="221"/>
      <c r="R601" s="228"/>
      <c r="S601" s="228"/>
      <c r="T601" s="228"/>
    </row>
    <row r="602" spans="1:20" ht="14.1" customHeight="1">
      <c r="A602" s="199">
        <v>16</v>
      </c>
      <c r="B602" s="227"/>
      <c r="C602" s="226"/>
      <c r="F602" s="252"/>
      <c r="I602" s="256"/>
      <c r="J602" s="228"/>
      <c r="K602" s="228"/>
      <c r="N602" s="256"/>
      <c r="O602" s="228"/>
      <c r="Q602" s="250"/>
      <c r="R602" s="228"/>
      <c r="S602" s="228"/>
      <c r="T602" s="228"/>
    </row>
    <row r="603" spans="1:20" ht="14.1" customHeight="1">
      <c r="A603" s="199">
        <v>17</v>
      </c>
      <c r="B603" s="227"/>
      <c r="C603" s="226"/>
      <c r="F603" s="252"/>
      <c r="I603" s="256"/>
      <c r="J603" s="228"/>
      <c r="K603" s="228"/>
      <c r="N603" s="256"/>
      <c r="O603" s="228"/>
      <c r="Q603" s="221"/>
      <c r="R603" s="228"/>
      <c r="S603" s="228"/>
      <c r="T603" s="228"/>
    </row>
    <row r="604" spans="1:20" ht="14.1" customHeight="1">
      <c r="A604" s="199">
        <v>18</v>
      </c>
      <c r="B604" s="227"/>
      <c r="C604" s="226"/>
      <c r="I604" s="256"/>
      <c r="J604" s="228"/>
      <c r="K604" s="228"/>
      <c r="N604" s="256"/>
      <c r="O604" s="228"/>
      <c r="Q604" s="261"/>
      <c r="R604" s="228"/>
      <c r="S604" s="228"/>
      <c r="T604" s="228"/>
    </row>
    <row r="605" spans="1:20" ht="14.1" customHeight="1">
      <c r="A605" s="199">
        <v>19</v>
      </c>
      <c r="B605" s="227"/>
      <c r="C605" s="226"/>
      <c r="F605" s="222"/>
      <c r="I605" s="256"/>
      <c r="J605" s="228"/>
      <c r="K605" s="228"/>
      <c r="N605" s="256"/>
      <c r="O605" s="228"/>
      <c r="Q605" s="250"/>
      <c r="R605" s="228"/>
      <c r="S605" s="228"/>
      <c r="T605" s="228"/>
    </row>
    <row r="606" spans="1:20" ht="14.1" customHeight="1">
      <c r="A606" s="199">
        <v>20</v>
      </c>
      <c r="B606" s="227"/>
      <c r="C606" s="226"/>
      <c r="F606" s="222"/>
      <c r="I606" s="256"/>
      <c r="J606" s="228"/>
      <c r="K606" s="228"/>
      <c r="N606" s="256"/>
      <c r="O606" s="228"/>
      <c r="Q606" s="221"/>
      <c r="R606" s="228"/>
      <c r="S606" s="228"/>
      <c r="T606" s="228"/>
    </row>
    <row r="607" spans="1:20" ht="14.1" customHeight="1">
      <c r="A607" s="199">
        <v>21</v>
      </c>
      <c r="B607" s="227"/>
      <c r="C607" s="226"/>
      <c r="R607" s="228"/>
      <c r="S607" s="228"/>
      <c r="T607" s="228"/>
    </row>
    <row r="608" spans="1:20" ht="14.1" customHeight="1">
      <c r="A608" s="199">
        <v>22</v>
      </c>
      <c r="B608" s="227"/>
      <c r="C608" s="226"/>
      <c r="R608" s="228"/>
      <c r="S608" s="228"/>
      <c r="T608" s="228"/>
    </row>
    <row r="609" spans="1:20" ht="14.1" customHeight="1">
      <c r="A609" s="199">
        <v>23</v>
      </c>
      <c r="B609" s="227"/>
      <c r="C609" s="226"/>
      <c r="R609" s="228"/>
      <c r="S609" s="228"/>
      <c r="T609" s="228"/>
    </row>
    <row r="610" spans="1:20" ht="14.1" customHeight="1">
      <c r="A610" s="199">
        <v>24</v>
      </c>
      <c r="B610" s="227"/>
      <c r="C610" s="226"/>
      <c r="G610" s="226"/>
      <c r="H610" s="228"/>
      <c r="I610" s="224"/>
      <c r="J610" s="228"/>
      <c r="K610" s="228"/>
      <c r="L610" s="228"/>
      <c r="M610" s="228"/>
      <c r="N610" s="224"/>
      <c r="O610" s="228"/>
      <c r="Q610" s="228"/>
      <c r="R610" s="228"/>
      <c r="S610" s="228"/>
      <c r="T610" s="228"/>
    </row>
    <row r="611" spans="1:20" ht="14.1" customHeight="1">
      <c r="A611" s="199">
        <v>25</v>
      </c>
      <c r="B611" s="227"/>
      <c r="C611" s="226"/>
      <c r="R611" s="228"/>
      <c r="S611" s="228"/>
      <c r="T611" s="228"/>
    </row>
    <row r="612" spans="1:20" ht="14.1" customHeight="1">
      <c r="A612" s="199">
        <v>26</v>
      </c>
      <c r="B612" s="227"/>
      <c r="C612" s="226"/>
      <c r="R612" s="228"/>
      <c r="S612" s="228"/>
      <c r="T612" s="228"/>
    </row>
    <row r="613" spans="1:20" ht="14.1" customHeight="1">
      <c r="A613" s="199">
        <v>27</v>
      </c>
      <c r="B613" s="227"/>
      <c r="C613" s="226"/>
      <c r="R613" s="228"/>
      <c r="S613" s="228"/>
      <c r="T613" s="228"/>
    </row>
    <row r="614" spans="1:20" ht="14.1" customHeight="1">
      <c r="A614" s="199">
        <v>28</v>
      </c>
      <c r="B614" s="227"/>
      <c r="C614" s="226"/>
      <c r="R614" s="228"/>
      <c r="S614" s="228"/>
      <c r="T614" s="228"/>
    </row>
    <row r="615" spans="1:20" ht="14.1" customHeight="1">
      <c r="A615" s="199">
        <v>29</v>
      </c>
      <c r="B615" s="227"/>
      <c r="C615" s="226"/>
      <c r="R615" s="228"/>
      <c r="S615" s="228"/>
      <c r="T615" s="228"/>
    </row>
    <row r="616" spans="1:20" ht="14.1" customHeight="1">
      <c r="A616" s="199">
        <v>30</v>
      </c>
      <c r="B616" s="227"/>
      <c r="C616" s="226"/>
      <c r="R616" s="228"/>
      <c r="S616" s="228"/>
      <c r="T616" s="228"/>
    </row>
    <row r="617" spans="1:20" ht="14.1" customHeight="1">
      <c r="A617" s="199">
        <v>31</v>
      </c>
      <c r="B617" s="227"/>
      <c r="C617" s="226"/>
      <c r="R617" s="228"/>
      <c r="S617" s="228"/>
      <c r="T617" s="228"/>
    </row>
    <row r="618" spans="1:20" ht="14.1" customHeight="1">
      <c r="A618" s="199">
        <v>32</v>
      </c>
      <c r="B618" s="227"/>
      <c r="C618" s="226"/>
      <c r="R618" s="228"/>
      <c r="S618" s="228"/>
      <c r="T618" s="228"/>
    </row>
    <row r="619" spans="1:20" ht="14.1" customHeight="1">
      <c r="A619" s="199">
        <v>33</v>
      </c>
      <c r="B619" s="227"/>
      <c r="C619" s="226"/>
      <c r="R619" s="228"/>
      <c r="S619" s="228"/>
      <c r="T619" s="228"/>
    </row>
    <row r="620" spans="1:20" ht="14.1" customHeight="1">
      <c r="A620" s="199">
        <v>34</v>
      </c>
      <c r="B620" s="227"/>
      <c r="C620" s="226"/>
      <c r="R620" s="228"/>
      <c r="S620" s="228"/>
      <c r="T620" s="228"/>
    </row>
    <row r="621" spans="1:20" ht="14.1" customHeight="1">
      <c r="A621" s="199">
        <v>35</v>
      </c>
      <c r="B621" s="227"/>
      <c r="C621" s="226"/>
      <c r="R621" s="228"/>
      <c r="S621" s="228"/>
      <c r="T621" s="228"/>
    </row>
    <row r="622" spans="1:20" ht="14.1" customHeight="1" thickBot="1">
      <c r="A622" s="238">
        <v>36</v>
      </c>
      <c r="B622" s="238"/>
      <c r="C622" s="239"/>
      <c r="D622" s="200"/>
      <c r="E622" s="200"/>
      <c r="F622" s="200"/>
      <c r="G622" s="200"/>
      <c r="H622" s="200"/>
      <c r="I622" s="200"/>
      <c r="J622" s="200"/>
      <c r="K622" s="200"/>
      <c r="L622" s="200"/>
      <c r="M622" s="200"/>
      <c r="N622" s="200"/>
      <c r="O622" s="200"/>
      <c r="P622" s="200"/>
      <c r="Q622" s="200"/>
      <c r="R622" s="241"/>
      <c r="S622" s="241"/>
      <c r="T622" s="241"/>
    </row>
    <row r="623" spans="1:20" ht="14.1" customHeight="1"/>
  </sheetData>
  <mergeCells count="3">
    <mergeCell ref="B301:D301"/>
    <mergeCell ref="B493:F493"/>
    <mergeCell ref="B587:F58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EE2AC-DE72-4127-914A-93EE90678E31}">
  <dimension ref="A1:Z362"/>
  <sheetViews>
    <sheetView workbookViewId="0"/>
  </sheetViews>
  <sheetFormatPr defaultColWidth="9.140625" defaultRowHeight="12.75"/>
  <cols>
    <col min="1" max="1" width="4.42578125" style="264" customWidth="1"/>
    <col min="2" max="2" width="4.5703125" style="264" customWidth="1"/>
    <col min="3" max="3" width="9.42578125" style="264" customWidth="1"/>
    <col min="4" max="5" width="10.140625" style="264" customWidth="1"/>
    <col min="6" max="6" width="9.7109375" style="264" customWidth="1"/>
    <col min="7" max="7" width="7.42578125" style="264" customWidth="1"/>
    <col min="8" max="8" width="8.7109375" style="264" customWidth="1"/>
    <col min="9" max="9" width="12.28515625" style="264" bestFit="1" customWidth="1"/>
    <col min="10" max="11" width="9.5703125" style="264" customWidth="1"/>
    <col min="12" max="12" width="9.85546875" style="264" customWidth="1"/>
    <col min="13" max="13" width="9.5703125" style="264" customWidth="1"/>
    <col min="14" max="14" width="10.140625" style="264" customWidth="1"/>
    <col min="15" max="15" width="10" style="264" customWidth="1"/>
    <col min="16" max="16" width="9" style="264" customWidth="1"/>
    <col min="17" max="17" width="8.140625" style="264" customWidth="1"/>
    <col min="18" max="18" width="9.85546875" style="264" customWidth="1"/>
    <col min="19" max="19" width="12.28515625" style="264" bestFit="1" customWidth="1"/>
    <col min="20" max="20" width="9.85546875" style="264" bestFit="1" customWidth="1"/>
    <col min="21" max="21" width="9.85546875" style="264" customWidth="1"/>
    <col min="22" max="22" width="11.85546875" style="264" customWidth="1"/>
    <col min="23" max="23" width="10" style="264" customWidth="1"/>
    <col min="24" max="24" width="8.28515625" style="264" customWidth="1"/>
    <col min="25" max="25" width="9.42578125" style="264" bestFit="1" customWidth="1"/>
    <col min="26" max="16384" width="9.140625" style="264"/>
  </cols>
  <sheetData>
    <row r="1" spans="1:26" ht="13.5" thickBot="1">
      <c r="A1" s="200"/>
      <c r="B1" s="200"/>
      <c r="C1" s="200"/>
      <c r="D1" s="200"/>
      <c r="E1" s="200"/>
      <c r="F1" s="200"/>
      <c r="G1" s="200"/>
      <c r="H1" s="200" t="s">
        <v>176</v>
      </c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1"/>
      <c r="Z1" s="263"/>
    </row>
    <row r="2" spans="1:26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203"/>
      <c r="N2" s="203"/>
      <c r="O2" s="199"/>
      <c r="P2" s="203"/>
      <c r="Q2" s="203"/>
      <c r="R2" s="203"/>
      <c r="S2" s="203"/>
      <c r="T2" s="203"/>
      <c r="V2" s="203"/>
      <c r="W2" s="199"/>
      <c r="X2" s="199"/>
      <c r="Y2" s="204"/>
    </row>
    <row r="3" spans="1:26">
      <c r="A3" s="199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202"/>
      <c r="N3" s="204"/>
      <c r="O3" s="199"/>
      <c r="P3" s="199"/>
      <c r="Q3" s="199"/>
      <c r="R3" s="199"/>
      <c r="S3" s="199"/>
      <c r="T3" s="199"/>
      <c r="V3" s="202"/>
      <c r="W3" s="204"/>
      <c r="X3" s="199"/>
      <c r="Y3" s="202"/>
    </row>
    <row r="4" spans="1:26">
      <c r="A4" s="199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202"/>
      <c r="N4" s="204"/>
      <c r="O4" s="202"/>
      <c r="P4" s="199"/>
      <c r="Q4" s="199"/>
      <c r="R4" s="199"/>
      <c r="S4" s="199"/>
      <c r="T4" s="199"/>
      <c r="U4" s="199"/>
      <c r="W4" s="204"/>
      <c r="X4" s="199"/>
      <c r="Y4" s="202"/>
    </row>
    <row r="5" spans="1:26">
      <c r="A5" s="199"/>
      <c r="B5" s="199"/>
      <c r="C5" s="199"/>
      <c r="D5" s="199"/>
      <c r="E5" s="199"/>
      <c r="F5" s="199"/>
      <c r="G5" s="326" t="s">
        <v>177</v>
      </c>
      <c r="H5" s="326"/>
      <c r="I5" s="326"/>
      <c r="J5" s="326"/>
      <c r="K5" s="326"/>
      <c r="L5" s="326"/>
      <c r="M5" s="326"/>
      <c r="N5" s="326"/>
      <c r="O5" s="326"/>
      <c r="P5" s="326"/>
      <c r="Q5" s="326"/>
      <c r="R5" s="199"/>
      <c r="S5" s="199"/>
      <c r="T5" s="199"/>
      <c r="U5" s="199"/>
      <c r="W5" s="204"/>
      <c r="X5" s="199"/>
      <c r="Y5" s="202"/>
    </row>
    <row r="6" spans="1:26" ht="13.5" thickBot="1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5"/>
      <c r="N6" s="200"/>
      <c r="O6" s="200"/>
      <c r="P6" s="200"/>
      <c r="Q6" s="200"/>
      <c r="R6" s="200"/>
      <c r="S6" s="200"/>
      <c r="T6" s="200"/>
      <c r="U6" s="200"/>
      <c r="V6" s="263"/>
      <c r="W6" s="200"/>
      <c r="X6" s="200"/>
      <c r="Y6" s="200"/>
      <c r="Z6" s="263"/>
    </row>
    <row r="7" spans="1:26">
      <c r="A7" s="199"/>
      <c r="B7" s="328" t="s">
        <v>178</v>
      </c>
      <c r="C7" s="328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65"/>
    </row>
    <row r="8" spans="1:26">
      <c r="B8" s="325" t="s">
        <v>36</v>
      </c>
      <c r="C8" s="325"/>
      <c r="D8" s="327" t="s">
        <v>179</v>
      </c>
      <c r="E8" s="327"/>
      <c r="F8" s="327"/>
      <c r="G8" s="327"/>
      <c r="H8" s="327"/>
      <c r="I8" s="327"/>
      <c r="J8" s="327"/>
      <c r="K8" s="327"/>
      <c r="L8" s="327"/>
      <c r="M8" s="327"/>
      <c r="N8" s="327" t="s">
        <v>180</v>
      </c>
      <c r="O8" s="327"/>
      <c r="P8" s="327"/>
      <c r="Q8" s="327"/>
      <c r="R8" s="327"/>
      <c r="S8" s="327"/>
      <c r="T8" s="327"/>
      <c r="U8" s="327"/>
      <c r="W8" s="327" t="s">
        <v>181</v>
      </c>
      <c r="X8" s="327"/>
      <c r="Y8" s="327" t="s">
        <v>182</v>
      </c>
      <c r="Z8" s="327"/>
    </row>
    <row r="9" spans="1:26">
      <c r="A9" s="199"/>
      <c r="B9" s="206" t="s">
        <v>46</v>
      </c>
      <c r="C9" s="206" t="s">
        <v>47</v>
      </c>
      <c r="D9" s="266" t="s">
        <v>48</v>
      </c>
      <c r="E9" s="206" t="s">
        <v>49</v>
      </c>
      <c r="F9" s="206" t="s">
        <v>50</v>
      </c>
      <c r="G9" s="207" t="s">
        <v>51</v>
      </c>
      <c r="H9" s="207" t="s">
        <v>183</v>
      </c>
      <c r="I9" s="207" t="s">
        <v>184</v>
      </c>
      <c r="J9" s="207" t="s">
        <v>185</v>
      </c>
      <c r="K9" s="267" t="s">
        <v>186</v>
      </c>
      <c r="L9" s="267" t="s">
        <v>187</v>
      </c>
      <c r="M9" s="268" t="s">
        <v>188</v>
      </c>
      <c r="N9" s="207" t="s">
        <v>189</v>
      </c>
      <c r="O9" s="207" t="s">
        <v>190</v>
      </c>
      <c r="P9" s="207" t="s">
        <v>191</v>
      </c>
      <c r="Q9" s="207" t="s">
        <v>192</v>
      </c>
      <c r="R9" s="207" t="s">
        <v>193</v>
      </c>
      <c r="S9" s="207" t="s">
        <v>194</v>
      </c>
      <c r="T9" s="207" t="s">
        <v>195</v>
      </c>
      <c r="U9" s="267" t="s">
        <v>196</v>
      </c>
      <c r="V9" s="268" t="s">
        <v>197</v>
      </c>
      <c r="W9" s="268" t="s">
        <v>198</v>
      </c>
      <c r="X9" s="207" t="s">
        <v>199</v>
      </c>
      <c r="Y9" s="207" t="s">
        <v>200</v>
      </c>
      <c r="Z9" s="207" t="s">
        <v>201</v>
      </c>
    </row>
    <row r="10" spans="1:26">
      <c r="A10" s="199" t="s">
        <v>55</v>
      </c>
      <c r="B10" s="206" t="s">
        <v>202</v>
      </c>
      <c r="C10" s="206"/>
      <c r="D10" s="288" t="s">
        <v>203</v>
      </c>
      <c r="E10" s="206" t="s">
        <v>204</v>
      </c>
      <c r="F10" s="206" t="s">
        <v>205</v>
      </c>
      <c r="G10" s="207" t="s">
        <v>206</v>
      </c>
      <c r="H10" s="206" t="s">
        <v>207</v>
      </c>
      <c r="I10" s="206" t="s">
        <v>208</v>
      </c>
      <c r="J10" s="206" t="s">
        <v>209</v>
      </c>
      <c r="K10" s="206" t="s">
        <v>210</v>
      </c>
      <c r="L10" s="206" t="s">
        <v>211</v>
      </c>
      <c r="M10" s="269" t="s">
        <v>212</v>
      </c>
      <c r="N10" s="206" t="s">
        <v>203</v>
      </c>
      <c r="O10" s="206" t="s">
        <v>204</v>
      </c>
      <c r="P10" s="207" t="s">
        <v>205</v>
      </c>
      <c r="Q10" s="207" t="s">
        <v>206</v>
      </c>
      <c r="R10" s="206" t="s">
        <v>207</v>
      </c>
      <c r="S10" s="206" t="s">
        <v>208</v>
      </c>
      <c r="T10" s="206" t="s">
        <v>209</v>
      </c>
      <c r="U10" s="206" t="s">
        <v>211</v>
      </c>
      <c r="V10" s="269" t="s">
        <v>212</v>
      </c>
      <c r="W10" s="207" t="s">
        <v>213</v>
      </c>
      <c r="X10" s="269" t="s">
        <v>214</v>
      </c>
      <c r="Y10" s="206" t="s">
        <v>215</v>
      </c>
      <c r="Z10" s="206" t="s">
        <v>216</v>
      </c>
    </row>
    <row r="11" spans="1:26" ht="13.5" thickBot="1">
      <c r="A11" s="200" t="s">
        <v>60</v>
      </c>
      <c r="B11" s="270" t="s">
        <v>217</v>
      </c>
      <c r="C11" s="271" t="s">
        <v>218</v>
      </c>
      <c r="D11" s="272" t="s">
        <v>219</v>
      </c>
      <c r="E11" s="271" t="s">
        <v>220</v>
      </c>
      <c r="F11" s="271" t="s">
        <v>220</v>
      </c>
      <c r="G11" s="208" t="s">
        <v>220</v>
      </c>
      <c r="H11" s="271" t="s">
        <v>220</v>
      </c>
      <c r="I11" s="271" t="s">
        <v>221</v>
      </c>
      <c r="J11" s="271" t="s">
        <v>220</v>
      </c>
      <c r="K11" s="271" t="s">
        <v>222</v>
      </c>
      <c r="L11" s="271" t="s">
        <v>220</v>
      </c>
      <c r="M11" s="273"/>
      <c r="N11" s="208" t="s">
        <v>219</v>
      </c>
      <c r="O11" s="208" t="s">
        <v>220</v>
      </c>
      <c r="P11" s="208" t="s">
        <v>220</v>
      </c>
      <c r="Q11" s="208" t="s">
        <v>220</v>
      </c>
      <c r="R11" s="271" t="s">
        <v>220</v>
      </c>
      <c r="S11" s="271" t="s">
        <v>221</v>
      </c>
      <c r="T11" s="271" t="s">
        <v>220</v>
      </c>
      <c r="U11" s="271" t="s">
        <v>220</v>
      </c>
      <c r="V11" s="273"/>
      <c r="W11" s="271" t="s">
        <v>223</v>
      </c>
      <c r="X11" s="273" t="s">
        <v>224</v>
      </c>
      <c r="Y11" s="205" t="s">
        <v>225</v>
      </c>
      <c r="Z11" s="205" t="s">
        <v>226</v>
      </c>
    </row>
    <row r="12" spans="1:26">
      <c r="A12" s="199">
        <v>1</v>
      </c>
      <c r="B12" s="227">
        <v>0</v>
      </c>
      <c r="C12" s="228">
        <v>0</v>
      </c>
      <c r="D12" s="274">
        <f>IF($C12&gt;1000,($C12-1000)*$F$40/100+1000*$F$39/100+$F$36,$C12*$F$39/100+$F$36)</f>
        <v>32.1</v>
      </c>
      <c r="E12" s="275">
        <f>IF($C12&gt;1000,($C12-1000)*$F$43/100+1000*$F$42/100,$C12*$F$42/100)</f>
        <v>0</v>
      </c>
      <c r="F12" s="275">
        <f>+$C12*$F$44/100</f>
        <v>0</v>
      </c>
      <c r="G12" s="275">
        <f>+$C12*$F$45/100</f>
        <v>0</v>
      </c>
      <c r="H12" s="275">
        <f>$C12*$F$47/100</f>
        <v>0</v>
      </c>
      <c r="I12" s="275">
        <f>$C12*$F$46/100</f>
        <v>0</v>
      </c>
      <c r="J12" s="275">
        <f>$C12*$F$48/100</f>
        <v>0</v>
      </c>
      <c r="K12" s="275">
        <f>+C12*$F$49/100</f>
        <v>0</v>
      </c>
      <c r="L12" s="275">
        <f>+SUM(D12:K12)*0.025641</f>
        <v>0.82307610000000009</v>
      </c>
      <c r="M12" s="275">
        <f>SUM(D12:L12)</f>
        <v>32.923076100000003</v>
      </c>
      <c r="N12" s="276">
        <f>IF($C12&gt;1000,($C12-1000)*$I$40/100+1000*$I$39/100+$I$36,$C12*$I$39/100+$I$36)</f>
        <v>32.1</v>
      </c>
      <c r="O12" s="275">
        <f>IF($C12&gt;1000,($C12-1000)*$I$43/100+1000*$I$42/100,$C12*$I$42/100)</f>
        <v>0</v>
      </c>
      <c r="P12" s="275">
        <f>+$C12*$I$44/100</f>
        <v>0</v>
      </c>
      <c r="Q12" s="275">
        <f>+$C12*$I$45/100</f>
        <v>0</v>
      </c>
      <c r="R12" s="275">
        <f>$C12*$I$47/100</f>
        <v>0</v>
      </c>
      <c r="S12" s="275">
        <f>$C12*$I$46/100</f>
        <v>0</v>
      </c>
      <c r="T12" s="275">
        <f>$C12*$I$48/100</f>
        <v>0</v>
      </c>
      <c r="U12" s="275">
        <f>+SUM(N12:T12)*0.025641</f>
        <v>0.82307610000000009</v>
      </c>
      <c r="V12" s="275">
        <f>SUM(N12:U12)</f>
        <v>32.923076100000003</v>
      </c>
      <c r="W12" s="276">
        <f>+V12-M12</f>
        <v>0</v>
      </c>
      <c r="X12" s="277">
        <f>+W12/M12</f>
        <v>0</v>
      </c>
      <c r="Y12" s="278">
        <v>0</v>
      </c>
      <c r="Z12" s="246">
        <v>0</v>
      </c>
    </row>
    <row r="13" spans="1:26">
      <c r="A13" s="199">
        <v>2</v>
      </c>
      <c r="B13" s="227"/>
      <c r="C13" s="228"/>
      <c r="D13" s="274"/>
      <c r="E13" s="275"/>
      <c r="F13" s="275"/>
      <c r="G13" s="275"/>
      <c r="H13" s="275"/>
      <c r="I13" s="275"/>
      <c r="J13" s="275"/>
      <c r="K13" s="275"/>
      <c r="L13" s="275"/>
      <c r="M13" s="275"/>
      <c r="N13" s="274"/>
      <c r="O13" s="275"/>
      <c r="P13" s="275"/>
      <c r="Q13" s="275"/>
      <c r="R13" s="275"/>
      <c r="S13" s="275"/>
      <c r="T13" s="275"/>
      <c r="U13" s="275"/>
      <c r="V13" s="275"/>
      <c r="W13" s="274"/>
      <c r="X13" s="277"/>
      <c r="Y13" s="279"/>
      <c r="Z13" s="246"/>
    </row>
    <row r="14" spans="1:26">
      <c r="A14" s="199">
        <v>3</v>
      </c>
      <c r="B14" s="227">
        <v>0</v>
      </c>
      <c r="C14" s="228">
        <v>100</v>
      </c>
      <c r="D14" s="274">
        <f>IF(C14&gt;1000,(C14-1000)*$F$40/100+1000*$F$39/100+$F$36,C14*$F$39/100+$F$36)</f>
        <v>39.591000000000001</v>
      </c>
      <c r="E14" s="275">
        <f>IF($C14&gt;1000,($C14-1000)*$F$43/100+1000*$F$42/100,$C14*$F$42/100)</f>
        <v>3.536</v>
      </c>
      <c r="F14" s="275">
        <f>+$C14*$F$44/100</f>
        <v>0.215</v>
      </c>
      <c r="G14" s="275">
        <f>+$C14*$F$45/100</f>
        <v>6.2E-2</v>
      </c>
      <c r="H14" s="275">
        <f>$C14*$F$47/100</f>
        <v>8.900000000000001E-2</v>
      </c>
      <c r="I14" s="275">
        <f>$C14*$F$46/100</f>
        <v>0.43</v>
      </c>
      <c r="J14" s="275">
        <f>$C14*$F$48/100</f>
        <v>0.65799999999999992</v>
      </c>
      <c r="K14" s="275">
        <f>+C14*$F$49/100</f>
        <v>0</v>
      </c>
      <c r="L14" s="275">
        <f>+SUM(D14:K14)*0.025641</f>
        <v>1.1431014210000001</v>
      </c>
      <c r="M14" s="275">
        <f>SUM(D14:L14)</f>
        <v>45.724101421</v>
      </c>
      <c r="N14" s="274">
        <f>IF($C14&gt;1000,($C14-1000)*$I$40/100+1000*$I$39/100+$I$36,$C14*$I$39/100+$I$36)</f>
        <v>39.588999999999999</v>
      </c>
      <c r="O14" s="275">
        <f>IF($C14&gt;1000,($C14-1000)*$I$43/100+1000*$I$42/100,$C14*$I$42/100)</f>
        <v>3.536</v>
      </c>
      <c r="P14" s="275">
        <f>+$C14*$I$44/100</f>
        <v>0.215</v>
      </c>
      <c r="Q14" s="275">
        <f>+$C14*$I$45/100</f>
        <v>6.2E-2</v>
      </c>
      <c r="R14" s="275">
        <f>$C14*$I$47/100</f>
        <v>8.900000000000001E-2</v>
      </c>
      <c r="S14" s="275">
        <f>$C14*$I$46/100</f>
        <v>0.43</v>
      </c>
      <c r="T14" s="275">
        <f>$C14*$I$48/100</f>
        <v>0.65799999999999992</v>
      </c>
      <c r="U14" s="275">
        <f>+SUM(N14:T14)*0.025641</f>
        <v>1.1430501390000001</v>
      </c>
      <c r="V14" s="275">
        <f>SUM(N14:U14)</f>
        <v>45.722050139000004</v>
      </c>
      <c r="W14" s="274">
        <f>+V14-M14</f>
        <v>-2.0512819999964904E-3</v>
      </c>
      <c r="X14" s="277">
        <f>+W14/M14</f>
        <v>-4.4862161010219113E-5</v>
      </c>
      <c r="Y14" s="280">
        <f>+M14/C14*100</f>
        <v>45.724101421</v>
      </c>
      <c r="Z14" s="281">
        <f>+V14/C14*100</f>
        <v>45.722050139000004</v>
      </c>
    </row>
    <row r="15" spans="1:26">
      <c r="A15" s="199">
        <v>4</v>
      </c>
      <c r="B15" s="227"/>
      <c r="C15" s="228"/>
      <c r="D15" s="274"/>
      <c r="E15" s="275"/>
      <c r="F15" s="275"/>
      <c r="G15" s="275"/>
      <c r="H15" s="275"/>
      <c r="I15" s="275"/>
      <c r="J15" s="275"/>
      <c r="K15" s="275"/>
      <c r="L15" s="275"/>
      <c r="M15" s="275"/>
      <c r="N15" s="274"/>
      <c r="O15" s="275"/>
      <c r="P15" s="275"/>
      <c r="Q15" s="275"/>
      <c r="R15" s="275"/>
      <c r="S15" s="275"/>
      <c r="T15" s="275"/>
      <c r="U15" s="275"/>
      <c r="V15" s="275"/>
      <c r="W15" s="274"/>
      <c r="X15" s="277"/>
      <c r="Y15" s="280"/>
      <c r="Z15" s="281"/>
    </row>
    <row r="16" spans="1:26">
      <c r="A16" s="199">
        <v>5</v>
      </c>
      <c r="B16" s="227">
        <v>0</v>
      </c>
      <c r="C16" s="228">
        <v>250</v>
      </c>
      <c r="D16" s="274">
        <f>IF(C16&gt;1000,(C16-1000)*$F$40/100+1000*$F$39/100+$F$36,C16*$F$39/100+$F$36)</f>
        <v>50.827500000000001</v>
      </c>
      <c r="E16" s="275">
        <f>IF($C16&gt;1000,($C16-1000)*$F$43/100+1000*$F$42/100,$C16*$F$42/100)</f>
        <v>8.8400000000000016</v>
      </c>
      <c r="F16" s="275">
        <f>+$C16*$F$44/100</f>
        <v>0.53749999999999998</v>
      </c>
      <c r="G16" s="275">
        <f>+$C16*$F$45/100</f>
        <v>0.155</v>
      </c>
      <c r="H16" s="275">
        <f>$C16*$F$47/100</f>
        <v>0.2225</v>
      </c>
      <c r="I16" s="275">
        <f>$C16*$F$46/100</f>
        <v>1.075</v>
      </c>
      <c r="J16" s="275">
        <f>$C16*$F$48/100</f>
        <v>1.645</v>
      </c>
      <c r="K16" s="275">
        <f>+C16*$F$49/100</f>
        <v>0</v>
      </c>
      <c r="L16" s="275">
        <f>+SUM(D16:K16)*0.025641</f>
        <v>1.6231394025000003</v>
      </c>
      <c r="M16" s="275">
        <f>SUM(D16:L16)</f>
        <v>64.925639402500011</v>
      </c>
      <c r="N16" s="274">
        <f>IF($C16&gt;1000,($C16-1000)*$I$40/100+1000*$I$39/100+$I$36,$C16*$I$39/100+$I$36)</f>
        <v>50.822500000000005</v>
      </c>
      <c r="O16" s="275">
        <f>IF($C16&gt;1000,($C16-1000)*$I$43/100+1000*$I$42/100,$C16*$I$42/100)</f>
        <v>8.8400000000000016</v>
      </c>
      <c r="P16" s="275">
        <f>+$C16*$I$44/100</f>
        <v>0.53749999999999998</v>
      </c>
      <c r="Q16" s="275">
        <f>+$C16*$I$45/100</f>
        <v>0.155</v>
      </c>
      <c r="R16" s="275">
        <f>$C16*$I$47/100</f>
        <v>0.2225</v>
      </c>
      <c r="S16" s="275">
        <f>$C16*$I$46/100</f>
        <v>1.075</v>
      </c>
      <c r="T16" s="275">
        <f>$C16*$I$48/100</f>
        <v>1.645</v>
      </c>
      <c r="U16" s="275">
        <f>+SUM(N16:T16)*0.025641</f>
        <v>1.6230111975000003</v>
      </c>
      <c r="V16" s="275">
        <f>SUM(N16:U16)</f>
        <v>64.920511197500019</v>
      </c>
      <c r="W16" s="274">
        <f>+V16-M16</f>
        <v>-5.128204999991226E-3</v>
      </c>
      <c r="X16" s="277">
        <f>+W16/M16</f>
        <v>-7.8985822044807784E-5</v>
      </c>
      <c r="Y16" s="280">
        <f>+M16/C16*100</f>
        <v>25.970255761000004</v>
      </c>
      <c r="Z16" s="281">
        <f>+V16/C16*100</f>
        <v>25.968204479000008</v>
      </c>
    </row>
    <row r="17" spans="1:26">
      <c r="A17" s="199">
        <v>6</v>
      </c>
      <c r="B17" s="227"/>
      <c r="C17" s="228"/>
      <c r="D17" s="274"/>
      <c r="E17" s="275"/>
      <c r="F17" s="275"/>
      <c r="G17" s="275"/>
      <c r="H17" s="275"/>
      <c r="I17" s="275"/>
      <c r="J17" s="275"/>
      <c r="K17" s="275"/>
      <c r="L17" s="275"/>
      <c r="M17" s="275"/>
      <c r="N17" s="274"/>
      <c r="O17" s="275"/>
      <c r="P17" s="275"/>
      <c r="Q17" s="275"/>
      <c r="R17" s="275"/>
      <c r="S17" s="275"/>
      <c r="T17" s="275"/>
      <c r="U17" s="275"/>
      <c r="V17" s="275"/>
      <c r="W17" s="274"/>
      <c r="X17" s="277"/>
      <c r="Y17" s="280"/>
      <c r="Z17" s="281"/>
    </row>
    <row r="18" spans="1:26">
      <c r="A18" s="199">
        <v>7</v>
      </c>
      <c r="B18" s="227">
        <v>0</v>
      </c>
      <c r="C18" s="228">
        <v>500</v>
      </c>
      <c r="D18" s="274">
        <f>IF(C18&gt;1000,(C18-1000)*$F$40/100+1000*$F$39/100+$F$36,C18*$F$39/100+$F$36)</f>
        <v>69.555000000000007</v>
      </c>
      <c r="E18" s="275">
        <f>IF($C18&gt;1000,($C18-1000)*$F$43/100+1000*$F$42/100,$C18*$F$42/100)</f>
        <v>17.680000000000003</v>
      </c>
      <c r="F18" s="275">
        <f>+$C18*$F$44/100</f>
        <v>1.075</v>
      </c>
      <c r="G18" s="275">
        <f>+$C18*$F$45/100</f>
        <v>0.31</v>
      </c>
      <c r="H18" s="275">
        <f>$C18*$F$47/100</f>
        <v>0.44500000000000001</v>
      </c>
      <c r="I18" s="275">
        <f>$C18*$F$46/100</f>
        <v>2.15</v>
      </c>
      <c r="J18" s="275">
        <f>$C18*$F$48/100</f>
        <v>3.29</v>
      </c>
      <c r="K18" s="275">
        <f>+C18*$F$49/100</f>
        <v>0</v>
      </c>
      <c r="L18" s="275">
        <f>+SUM(D18:K18)*0.025641</f>
        <v>2.4232027050000005</v>
      </c>
      <c r="M18" s="275">
        <f>SUM(D18:L18)</f>
        <v>96.928202705000018</v>
      </c>
      <c r="N18" s="274">
        <f>IF($C18&gt;1000,($C18-1000)*$I$40/100+1000*$I$39/100+$I$36,$C18*$I$39/100+$I$36)</f>
        <v>69.545000000000002</v>
      </c>
      <c r="O18" s="275">
        <f>IF($C18&gt;1000,($C18-1000)*$I$43/100+1000*$I$42/100,$C18*$I$42/100)</f>
        <v>17.680000000000003</v>
      </c>
      <c r="P18" s="275">
        <f>+$C18*$I$44/100</f>
        <v>1.075</v>
      </c>
      <c r="Q18" s="275">
        <f>+$C18*$I$45/100</f>
        <v>0.31</v>
      </c>
      <c r="R18" s="275">
        <f>$C18*$I$47/100</f>
        <v>0.44500000000000001</v>
      </c>
      <c r="S18" s="275">
        <f>$C18*$I$46/100</f>
        <v>2.15</v>
      </c>
      <c r="T18" s="275">
        <f>$C18*$I$48/100</f>
        <v>3.29</v>
      </c>
      <c r="U18" s="275">
        <f>+SUM(N18:T18)*0.025641</f>
        <v>2.4229462950000005</v>
      </c>
      <c r="V18" s="275">
        <f>SUM(N18:U18)</f>
        <v>96.917946295000021</v>
      </c>
      <c r="W18" s="274">
        <f>+V18-M18</f>
        <v>-1.0256409999996663E-2</v>
      </c>
      <c r="X18" s="277">
        <f>+W18/M18</f>
        <v>-1.0581450716889842E-4</v>
      </c>
      <c r="Y18" s="280">
        <f>+M18/C18*100</f>
        <v>19.385640541000004</v>
      </c>
      <c r="Z18" s="281">
        <f>+V18/C18*100</f>
        <v>19.383589259000004</v>
      </c>
    </row>
    <row r="19" spans="1:26">
      <c r="A19" s="199">
        <v>8</v>
      </c>
      <c r="B19" s="227"/>
      <c r="C19" s="228"/>
      <c r="D19" s="274"/>
      <c r="E19" s="275"/>
      <c r="F19" s="275"/>
      <c r="G19" s="275"/>
      <c r="H19" s="275"/>
      <c r="I19" s="275"/>
      <c r="J19" s="275"/>
      <c r="K19" s="275"/>
      <c r="L19" s="275"/>
      <c r="M19" s="275"/>
      <c r="N19" s="274"/>
      <c r="O19" s="275"/>
      <c r="P19" s="275"/>
      <c r="Q19" s="275"/>
      <c r="R19" s="275"/>
      <c r="S19" s="275"/>
      <c r="T19" s="275"/>
      <c r="U19" s="275"/>
      <c r="V19" s="275"/>
      <c r="W19" s="274"/>
      <c r="X19" s="277"/>
      <c r="Y19" s="280"/>
      <c r="Z19" s="281"/>
    </row>
    <row r="20" spans="1:26">
      <c r="A20" s="199">
        <v>9</v>
      </c>
      <c r="B20" s="227">
        <v>0</v>
      </c>
      <c r="C20" s="228">
        <v>750</v>
      </c>
      <c r="D20" s="274">
        <f>IF(C20&gt;1000,(C20-1000)*$F$40/100+1000*$F$39/100+$F$36,C20*$F$39/100+$F$36)</f>
        <v>88.282499999999999</v>
      </c>
      <c r="E20" s="275">
        <f>IF($C20&gt;1000,($C20-1000)*$F$43/100+1000*$F$42/100,$C20*$F$42/100)</f>
        <v>26.520000000000003</v>
      </c>
      <c r="F20" s="275">
        <f>+$C20*$F$44/100</f>
        <v>1.6125</v>
      </c>
      <c r="G20" s="275">
        <f>+$C20*$F$45/100</f>
        <v>0.46500000000000002</v>
      </c>
      <c r="H20" s="275">
        <f>$C20*$F$47/100</f>
        <v>0.66749999999999998</v>
      </c>
      <c r="I20" s="275">
        <f>$C20*$F$46/100</f>
        <v>3.2250000000000001</v>
      </c>
      <c r="J20" s="275">
        <f>$C20*$F$48/100</f>
        <v>4.9349999999999996</v>
      </c>
      <c r="K20" s="275">
        <f>+C20*$F$49/100</f>
        <v>0</v>
      </c>
      <c r="L20" s="275">
        <f>+SUM(D20:K20)*0.025641</f>
        <v>3.2232660075000004</v>
      </c>
      <c r="M20" s="275">
        <f>SUM(D20:L20)</f>
        <v>128.93076600750001</v>
      </c>
      <c r="N20" s="274">
        <f>IF($C20&gt;1000,($C20-1000)*$I$40/100+1000*$I$39/100+$I$36,$C20*$I$39/100+$I$36)</f>
        <v>88.267499999999998</v>
      </c>
      <c r="O20" s="275">
        <f>IF($C20&gt;1000,($C20-1000)*$I$43/100+1000*$I$42/100,$C20*$I$42/100)</f>
        <v>26.520000000000003</v>
      </c>
      <c r="P20" s="275">
        <f>+$C20*$I$44/100</f>
        <v>1.6125</v>
      </c>
      <c r="Q20" s="275">
        <f>+$C20*$I$45/100</f>
        <v>0.46500000000000002</v>
      </c>
      <c r="R20" s="275">
        <f>$C20*$I$47/100</f>
        <v>0.66749999999999998</v>
      </c>
      <c r="S20" s="275">
        <f>$C20*$I$46/100</f>
        <v>3.2250000000000001</v>
      </c>
      <c r="T20" s="275">
        <f>$C20*$I$48/100</f>
        <v>4.9349999999999996</v>
      </c>
      <c r="U20" s="275">
        <f>+SUM(N20:T20)*0.025641</f>
        <v>3.2228813925000002</v>
      </c>
      <c r="V20" s="275">
        <f>SUM(N20:U20)</f>
        <v>128.9153813925</v>
      </c>
      <c r="W20" s="274">
        <f>+V20-M20</f>
        <v>-1.5384615000016311E-2</v>
      </c>
      <c r="X20" s="277">
        <f>+W20/M20</f>
        <v>-1.1932462263600741E-4</v>
      </c>
      <c r="Y20" s="280">
        <f>+M20/C20*100</f>
        <v>17.190768801000001</v>
      </c>
      <c r="Z20" s="281">
        <f>+V20/C20*100</f>
        <v>17.188717519000001</v>
      </c>
    </row>
    <row r="21" spans="1:26">
      <c r="A21" s="199">
        <v>10</v>
      </c>
      <c r="B21" s="227"/>
      <c r="C21" s="228"/>
      <c r="D21" s="274"/>
      <c r="E21" s="275"/>
      <c r="F21" s="275"/>
      <c r="G21" s="275"/>
      <c r="H21" s="275"/>
      <c r="I21" s="275"/>
      <c r="J21" s="275"/>
      <c r="K21" s="275"/>
      <c r="L21" s="275"/>
      <c r="M21" s="275"/>
      <c r="N21" s="274"/>
      <c r="O21" s="275"/>
      <c r="P21" s="275"/>
      <c r="Q21" s="275"/>
      <c r="R21" s="275"/>
      <c r="S21" s="275"/>
      <c r="T21" s="275"/>
      <c r="U21" s="275"/>
      <c r="V21" s="275"/>
      <c r="W21" s="274"/>
      <c r="X21" s="277"/>
      <c r="Y21" s="280"/>
      <c r="Z21" s="281"/>
    </row>
    <row r="22" spans="1:26">
      <c r="A22" s="199">
        <v>11</v>
      </c>
      <c r="B22" s="227">
        <v>0</v>
      </c>
      <c r="C22" s="228">
        <v>1000</v>
      </c>
      <c r="D22" s="274">
        <f>IF(C22&gt;1000,(C22-1000)*$F$40/100+1000*$F$39/100+$F$36,C22*$F$39/100+$F$36)</f>
        <v>107.01000000000002</v>
      </c>
      <c r="E22" s="275">
        <f>IF($C22&gt;1000,($C22-1000)*$F$43/100+1000*$F$42/100,$C22*$F$42/100)</f>
        <v>35.360000000000007</v>
      </c>
      <c r="F22" s="275">
        <f>+$C22*$F$44/100</f>
        <v>2.15</v>
      </c>
      <c r="G22" s="275">
        <f>+$C22*$F$45/100</f>
        <v>0.62</v>
      </c>
      <c r="H22" s="275">
        <f>$C22*$F$47/100</f>
        <v>0.89</v>
      </c>
      <c r="I22" s="275">
        <f>$C22*$F$46/100</f>
        <v>4.3</v>
      </c>
      <c r="J22" s="275">
        <f>$C22*$F$48/100</f>
        <v>6.58</v>
      </c>
      <c r="K22" s="275">
        <f>+C22*$F$49/100</f>
        <v>0</v>
      </c>
      <c r="L22" s="275">
        <f>+SUM(D22:K22)*0.025641</f>
        <v>4.0233293100000012</v>
      </c>
      <c r="M22" s="275">
        <f>SUM(D22:L22)</f>
        <v>160.93332931000006</v>
      </c>
      <c r="N22" s="274">
        <f>IF($C22&gt;1000,($C22-1000)*$I$40/100+1000*$I$39/100+$I$36,$C22*$I$39/100+$I$36)</f>
        <v>106.99000000000001</v>
      </c>
      <c r="O22" s="275">
        <f>IF($C22&gt;1000,($C22-1000)*$I$43/100+1000*$I$42/100,$C22*$I$42/100)</f>
        <v>35.360000000000007</v>
      </c>
      <c r="P22" s="275">
        <f>+$C22*$I$44/100</f>
        <v>2.15</v>
      </c>
      <c r="Q22" s="275">
        <f>+$C22*$I$45/100</f>
        <v>0.62</v>
      </c>
      <c r="R22" s="275">
        <f>$C22*$I$47/100</f>
        <v>0.89</v>
      </c>
      <c r="S22" s="275">
        <f>$C22*$I$46/100</f>
        <v>4.3</v>
      </c>
      <c r="T22" s="275">
        <f>$C22*$I$48/100</f>
        <v>6.58</v>
      </c>
      <c r="U22" s="275">
        <f>+SUM(N22:T22)*0.025641</f>
        <v>4.0228164900000012</v>
      </c>
      <c r="V22" s="275">
        <f>SUM(N22:U22)</f>
        <v>160.91281649000004</v>
      </c>
      <c r="W22" s="274">
        <f>+V22-M22</f>
        <v>-2.0512820000021748E-2</v>
      </c>
      <c r="X22" s="277">
        <f>+W22/M22</f>
        <v>-1.2746160219247464E-4</v>
      </c>
      <c r="Y22" s="280">
        <f>+M22/C22*100</f>
        <v>16.093332931000006</v>
      </c>
      <c r="Z22" s="281">
        <f>+V22/C22*100</f>
        <v>16.091281649000003</v>
      </c>
    </row>
    <row r="23" spans="1:26">
      <c r="A23" s="199">
        <v>12</v>
      </c>
      <c r="B23" s="227"/>
      <c r="C23" s="228"/>
      <c r="D23" s="274"/>
      <c r="E23" s="275"/>
      <c r="F23" s="275"/>
      <c r="G23" s="275"/>
      <c r="H23" s="275"/>
      <c r="I23" s="275"/>
      <c r="J23" s="275"/>
      <c r="K23" s="275"/>
      <c r="L23" s="275"/>
      <c r="M23" s="275"/>
      <c r="N23" s="274"/>
      <c r="O23" s="275"/>
      <c r="P23" s="275"/>
      <c r="Q23" s="275"/>
      <c r="R23" s="275"/>
      <c r="S23" s="275"/>
      <c r="T23" s="275"/>
      <c r="U23" s="275"/>
      <c r="V23" s="275"/>
      <c r="W23" s="274"/>
      <c r="X23" s="277"/>
      <c r="Y23" s="280"/>
      <c r="Z23" s="281"/>
    </row>
    <row r="24" spans="1:26">
      <c r="A24" s="199">
        <v>13</v>
      </c>
      <c r="B24" s="227">
        <v>0</v>
      </c>
      <c r="C24" s="228">
        <v>1250</v>
      </c>
      <c r="D24" s="274">
        <f>IF(C24&gt;1000,(C24-1000)*$F$40/100+1000*$F$39/100+$F$36,C24*$F$39/100+$F$36)</f>
        <v>128.23750000000001</v>
      </c>
      <c r="E24" s="275">
        <f>IF($C24&gt;1000,($C24-1000)*$F$43/100+1000*$F$42/100,$C24*$F$42/100)</f>
        <v>46.7</v>
      </c>
      <c r="F24" s="275">
        <f>+$C24*$F$44/100</f>
        <v>2.6875</v>
      </c>
      <c r="G24" s="275">
        <f>+$C24*$F$45/100</f>
        <v>0.77500000000000002</v>
      </c>
      <c r="H24" s="275">
        <f>$C24*$F$47/100</f>
        <v>1.1125</v>
      </c>
      <c r="I24" s="275">
        <f>$C24*$F$46/100</f>
        <v>5.375</v>
      </c>
      <c r="J24" s="275">
        <f>$C24*$F$48/100</f>
        <v>8.2249999999999996</v>
      </c>
      <c r="K24" s="275">
        <f>+C24*$F$49/100</f>
        <v>0</v>
      </c>
      <c r="L24" s="275">
        <f>+SUM(D24:K24)*0.025641</f>
        <v>4.9515976125000005</v>
      </c>
      <c r="M24" s="275">
        <f>SUM(D24:L24)</f>
        <v>198.06409761250001</v>
      </c>
      <c r="N24" s="274">
        <f>IF($C24&gt;1000,($C24-1000)*$I$40/100+1000*$I$39/100+$I$36,$C24*$I$39/100+$I$36)</f>
        <v>128.21250000000001</v>
      </c>
      <c r="O24" s="275">
        <f>IF($C24&gt;1000,($C24-1000)*$I$43/100+1000*$I$42/100,$C24*$I$42/100)</f>
        <v>46.7</v>
      </c>
      <c r="P24" s="275">
        <f>+$C24*$I$44/100</f>
        <v>2.6875</v>
      </c>
      <c r="Q24" s="275">
        <f>+$C24*$I$45/100</f>
        <v>0.77500000000000002</v>
      </c>
      <c r="R24" s="275">
        <f>$C24*$I$47/100</f>
        <v>1.1125</v>
      </c>
      <c r="S24" s="275">
        <f>$C24*$I$46/100</f>
        <v>5.375</v>
      </c>
      <c r="T24" s="275">
        <f>$C24*$I$48/100</f>
        <v>8.2249999999999996</v>
      </c>
      <c r="U24" s="275">
        <f>+SUM(N24:T24)*0.025641</f>
        <v>4.9509565875000012</v>
      </c>
      <c r="V24" s="275">
        <f>SUM(N24:U24)</f>
        <v>198.03845658750004</v>
      </c>
      <c r="W24" s="274">
        <f>+V24-M24</f>
        <v>-2.5641024999970341E-2</v>
      </c>
      <c r="X24" s="277">
        <f>+W24/M24</f>
        <v>-1.2945821736019719E-4</v>
      </c>
      <c r="Y24" s="280">
        <f>+M24/C24*100</f>
        <v>15.845127809000001</v>
      </c>
      <c r="Z24" s="281">
        <f>+V24/C24*100</f>
        <v>15.843076527000003</v>
      </c>
    </row>
    <row r="25" spans="1:26">
      <c r="A25" s="199">
        <v>14</v>
      </c>
      <c r="B25" s="227"/>
      <c r="C25" s="228"/>
      <c r="D25" s="274"/>
      <c r="E25" s="275"/>
      <c r="F25" s="275"/>
      <c r="G25" s="275"/>
      <c r="H25" s="275"/>
      <c r="I25" s="275"/>
      <c r="J25" s="275"/>
      <c r="K25" s="275"/>
      <c r="L25" s="275"/>
      <c r="M25" s="275"/>
      <c r="N25" s="274"/>
      <c r="O25" s="275"/>
      <c r="P25" s="275"/>
      <c r="Q25" s="275"/>
      <c r="R25" s="275"/>
      <c r="S25" s="275"/>
      <c r="T25" s="275"/>
      <c r="U25" s="275"/>
      <c r="V25" s="275"/>
      <c r="W25" s="274"/>
      <c r="X25" s="277"/>
      <c r="Y25" s="280"/>
      <c r="Z25" s="281"/>
    </row>
    <row r="26" spans="1:26">
      <c r="A26" s="199">
        <v>15</v>
      </c>
      <c r="B26" s="227">
        <v>0</v>
      </c>
      <c r="C26" s="228">
        <v>1500</v>
      </c>
      <c r="D26" s="274">
        <f>IF(C26&gt;1000,(C26-1000)*$F$40/100+1000*$F$39/100+$F$36,C26*$F$39/100+$F$36)</f>
        <v>149.465</v>
      </c>
      <c r="E26" s="275">
        <f>IF($C26&gt;1000,($C26-1000)*$F$43/100+1000*$F$42/100,$C26*$F$42/100)</f>
        <v>58.040000000000006</v>
      </c>
      <c r="F26" s="275">
        <f>+$C26*$F$44/100</f>
        <v>3.2250000000000001</v>
      </c>
      <c r="G26" s="275">
        <f>+$C26*$F$45/100</f>
        <v>0.93</v>
      </c>
      <c r="H26" s="275">
        <f>$C26*$F$47/100</f>
        <v>1.335</v>
      </c>
      <c r="I26" s="275">
        <f>$C26*$F$46/100</f>
        <v>6.45</v>
      </c>
      <c r="J26" s="275">
        <f>$C26*$F$48/100</f>
        <v>9.8699999999999992</v>
      </c>
      <c r="K26" s="275">
        <f>+C26*$F$49/100</f>
        <v>0</v>
      </c>
      <c r="L26" s="275">
        <f>+SUM(D26:K26)*0.025641</f>
        <v>5.8798659149999999</v>
      </c>
      <c r="M26" s="275">
        <f>SUM(D26:L26)</f>
        <v>235.19486591500001</v>
      </c>
      <c r="N26" s="274">
        <f>IF($C26&gt;1000,($C26-1000)*$I$40/100+1000*$I$39/100+$I$36,$C26*$I$39/100+$I$36)</f>
        <v>149.435</v>
      </c>
      <c r="O26" s="275">
        <f>IF($C26&gt;1000,($C26-1000)*$I$43/100+1000*$I$42/100,$C26*$I$42/100)</f>
        <v>58.040000000000006</v>
      </c>
      <c r="P26" s="275">
        <f>+$C26*$I$44/100</f>
        <v>3.2250000000000001</v>
      </c>
      <c r="Q26" s="275">
        <f>+$C26*$I$45/100</f>
        <v>0.93</v>
      </c>
      <c r="R26" s="275">
        <f>$C26*$I$47/100</f>
        <v>1.335</v>
      </c>
      <c r="S26" s="275">
        <f>$C26*$I$46/100</f>
        <v>6.45</v>
      </c>
      <c r="T26" s="275">
        <f>$C26*$I$48/100</f>
        <v>9.8699999999999992</v>
      </c>
      <c r="U26" s="275">
        <f>+SUM(N26:T26)*0.025641</f>
        <v>5.8790966850000004</v>
      </c>
      <c r="V26" s="275">
        <f>SUM(N26:U26)</f>
        <v>235.16409668500003</v>
      </c>
      <c r="W26" s="274">
        <f>+V26-M26</f>
        <v>-3.0769229999975778E-2</v>
      </c>
      <c r="X26" s="277">
        <f>+W26/M26</f>
        <v>-1.3082441183514547E-4</v>
      </c>
      <c r="Y26" s="280">
        <f>+M26/C26*100</f>
        <v>15.679657727666669</v>
      </c>
      <c r="Z26" s="281">
        <f>+V26/C26*100</f>
        <v>15.677606445666669</v>
      </c>
    </row>
    <row r="27" spans="1:26">
      <c r="A27" s="199">
        <v>16</v>
      </c>
      <c r="B27" s="227"/>
      <c r="C27" s="228"/>
      <c r="D27" s="274"/>
      <c r="E27" s="275"/>
      <c r="F27" s="275"/>
      <c r="G27" s="275"/>
      <c r="H27" s="275"/>
      <c r="I27" s="275"/>
      <c r="J27" s="275"/>
      <c r="K27" s="275"/>
      <c r="L27" s="275"/>
      <c r="M27" s="275"/>
      <c r="N27" s="274"/>
      <c r="O27" s="275"/>
      <c r="P27" s="275"/>
      <c r="Q27" s="275"/>
      <c r="R27" s="275"/>
      <c r="S27" s="275"/>
      <c r="T27" s="275"/>
      <c r="U27" s="275"/>
      <c r="V27" s="275"/>
      <c r="W27" s="274"/>
      <c r="X27" s="277"/>
      <c r="Y27" s="280"/>
      <c r="Z27" s="281"/>
    </row>
    <row r="28" spans="1:26">
      <c r="A28" s="199">
        <v>17</v>
      </c>
      <c r="B28" s="227">
        <v>0</v>
      </c>
      <c r="C28" s="228">
        <v>2000</v>
      </c>
      <c r="D28" s="274">
        <f>IF(C28&gt;1000,(C28-1000)*$F$40/100+1000*$F$39/100+$F$36,C28*$F$39/100+$F$36)</f>
        <v>191.92</v>
      </c>
      <c r="E28" s="275">
        <f>IF($C28&gt;1000,($C28-1000)*$F$43/100+1000*$F$42/100,$C28*$F$42/100)</f>
        <v>80.72</v>
      </c>
      <c r="F28" s="275">
        <f>+$C28*$F$44/100</f>
        <v>4.3</v>
      </c>
      <c r="G28" s="275">
        <f>+$C28*$F$45/100</f>
        <v>1.24</v>
      </c>
      <c r="H28" s="275">
        <f>$C28*$F$47/100</f>
        <v>1.78</v>
      </c>
      <c r="I28" s="275">
        <f>$C28*$F$46/100</f>
        <v>8.6</v>
      </c>
      <c r="J28" s="275">
        <f>$C28*$F$48/100</f>
        <v>13.16</v>
      </c>
      <c r="K28" s="275">
        <f>+C28*$F$49/100</f>
        <v>0</v>
      </c>
      <c r="L28" s="275">
        <f>+SUM(D28:K28)*0.025641</f>
        <v>7.7364025200000013</v>
      </c>
      <c r="M28" s="275">
        <f>SUM(D28:L28)</f>
        <v>309.45640252000004</v>
      </c>
      <c r="N28" s="274">
        <f>IF($C28&gt;1000,($C28-1000)*$I$40/100+1000*$I$39/100+$I$36,$C28*$I$39/100+$I$36)</f>
        <v>191.88</v>
      </c>
      <c r="O28" s="275">
        <f>IF($C28&gt;1000,($C28-1000)*$I$43/100+1000*$I$42/100,$C28*$I$42/100)</f>
        <v>80.72</v>
      </c>
      <c r="P28" s="275">
        <f>+$C28*$I$44/100</f>
        <v>4.3</v>
      </c>
      <c r="Q28" s="275">
        <f>+$C28*$I$45/100</f>
        <v>1.24</v>
      </c>
      <c r="R28" s="275">
        <f>$C28*$I$47/100</f>
        <v>1.78</v>
      </c>
      <c r="S28" s="275">
        <f>$C28*$I$46/100</f>
        <v>8.6</v>
      </c>
      <c r="T28" s="275">
        <f>$C28*$I$48/100</f>
        <v>13.16</v>
      </c>
      <c r="U28" s="275">
        <f>+SUM(N28:T28)*0.025641</f>
        <v>7.7353768800000022</v>
      </c>
      <c r="V28" s="275">
        <f>SUM(N28:U28)</f>
        <v>309.41537688000005</v>
      </c>
      <c r="W28" s="274">
        <f>+V28-M28</f>
        <v>-4.1025639999986652E-2</v>
      </c>
      <c r="X28" s="277">
        <f>+W28/M28</f>
        <v>-1.3257324671876898E-4</v>
      </c>
      <c r="Y28" s="280">
        <f>+M28/C28*100</f>
        <v>15.472820126000004</v>
      </c>
      <c r="Z28" s="281">
        <f>+V28/C28*100</f>
        <v>15.470768844000002</v>
      </c>
    </row>
    <row r="29" spans="1:26">
      <c r="A29" s="199">
        <v>18</v>
      </c>
      <c r="B29" s="227"/>
      <c r="C29" s="228"/>
      <c r="D29" s="274"/>
      <c r="E29" s="275"/>
      <c r="F29" s="275"/>
      <c r="G29" s="275"/>
      <c r="H29" s="275"/>
      <c r="I29" s="275"/>
      <c r="J29" s="275"/>
      <c r="K29" s="275"/>
      <c r="L29" s="275"/>
      <c r="M29" s="275"/>
      <c r="N29" s="274"/>
      <c r="O29" s="275"/>
      <c r="P29" s="275"/>
      <c r="Q29" s="275"/>
      <c r="R29" s="275"/>
      <c r="S29" s="275"/>
      <c r="T29" s="275"/>
      <c r="U29" s="275"/>
      <c r="V29" s="275"/>
      <c r="W29" s="274"/>
      <c r="X29" s="277"/>
      <c r="Y29" s="280"/>
      <c r="Z29" s="281"/>
    </row>
    <row r="30" spans="1:26">
      <c r="A30" s="199">
        <v>19</v>
      </c>
      <c r="B30" s="227">
        <v>0</v>
      </c>
      <c r="C30" s="228">
        <v>3000</v>
      </c>
      <c r="D30" s="274">
        <f>IF(C30&gt;1000,(C30-1000)*$F$40/100+1000*$F$39/100+$F$36,C30*$F$39/100+$F$36)</f>
        <v>276.83000000000004</v>
      </c>
      <c r="E30" s="275">
        <f>IF($C30&gt;1000,($C30-1000)*$F$43/100+1000*$F$42/100,$C30*$F$42/100)</f>
        <v>126.08000000000001</v>
      </c>
      <c r="F30" s="275">
        <f>+$C30*$F$44/100</f>
        <v>6.45</v>
      </c>
      <c r="G30" s="275">
        <f>+$C30*$F$45/100</f>
        <v>1.86</v>
      </c>
      <c r="H30" s="275">
        <f>$C30*$F$47/100</f>
        <v>2.67</v>
      </c>
      <c r="I30" s="275">
        <f>$C30*$F$46/100</f>
        <v>12.9</v>
      </c>
      <c r="J30" s="275">
        <f>$C30*$F$48/100</f>
        <v>19.739999999999998</v>
      </c>
      <c r="K30" s="275">
        <f>+C30*$F$49/100</f>
        <v>0</v>
      </c>
      <c r="L30" s="275">
        <f>+SUM(D30:K30)*0.025641</f>
        <v>11.449475730000003</v>
      </c>
      <c r="M30" s="275">
        <f>SUM(D30:L30)</f>
        <v>457.9794757300001</v>
      </c>
      <c r="N30" s="274">
        <f>IF($C30&gt;1000,($C30-1000)*$I$40/100+1000*$I$39/100+$I$36,$C30*$I$39/100+$I$36)</f>
        <v>276.77000000000004</v>
      </c>
      <c r="O30" s="275">
        <f>IF($C30&gt;1000,($C30-1000)*$I$43/100+1000*$I$42/100,$C30*$I$42/100)</f>
        <v>126.08000000000001</v>
      </c>
      <c r="P30" s="275">
        <f>+$C30*$I$44/100</f>
        <v>6.45</v>
      </c>
      <c r="Q30" s="275">
        <f>+$C30*$I$45/100</f>
        <v>1.86</v>
      </c>
      <c r="R30" s="275">
        <f>$C30*$I$47/100</f>
        <v>2.67</v>
      </c>
      <c r="S30" s="275">
        <f>$C30*$I$46/100</f>
        <v>12.9</v>
      </c>
      <c r="T30" s="275">
        <f>$C30*$I$48/100</f>
        <v>19.739999999999998</v>
      </c>
      <c r="U30" s="275">
        <f>+SUM(N30:T30)*0.025641</f>
        <v>11.447937270000001</v>
      </c>
      <c r="V30" s="275">
        <f>SUM(N30:U30)</f>
        <v>457.91793727000004</v>
      </c>
      <c r="W30" s="274">
        <f>+V30-M30</f>
        <v>-6.1538460000065243E-2</v>
      </c>
      <c r="X30" s="277">
        <f>+W30/M30</f>
        <v>-1.3436947125627303E-4</v>
      </c>
      <c r="Y30" s="280">
        <f>+M30/C30*100</f>
        <v>15.265982524333339</v>
      </c>
      <c r="Z30" s="281">
        <f>+V30/C30*100</f>
        <v>15.263931242333333</v>
      </c>
    </row>
    <row r="31" spans="1:26">
      <c r="A31" s="199">
        <v>20</v>
      </c>
      <c r="B31" s="227"/>
      <c r="C31" s="228"/>
      <c r="D31" s="274"/>
      <c r="E31" s="275"/>
      <c r="F31" s="275"/>
      <c r="G31" s="275"/>
      <c r="H31" s="275"/>
      <c r="I31" s="275"/>
      <c r="J31" s="275"/>
      <c r="K31" s="275"/>
      <c r="L31" s="275"/>
      <c r="M31" s="275"/>
      <c r="N31" s="274"/>
      <c r="O31" s="275"/>
      <c r="P31" s="275"/>
      <c r="Q31" s="275"/>
      <c r="R31" s="275"/>
      <c r="S31" s="275"/>
      <c r="T31" s="275"/>
      <c r="U31" s="275"/>
      <c r="V31" s="275"/>
      <c r="W31" s="274"/>
      <c r="X31" s="277"/>
      <c r="Y31" s="280"/>
      <c r="Z31" s="281"/>
    </row>
    <row r="32" spans="1:26">
      <c r="A32" s="199">
        <v>21</v>
      </c>
      <c r="B32" s="227">
        <v>0</v>
      </c>
      <c r="C32" s="228">
        <v>5000</v>
      </c>
      <c r="D32" s="274">
        <f>IF(C32&gt;1000,(C32-1000)*$F$40/100+1000*$F$39/100+$F$36,C32*$F$39/100+$F$36)</f>
        <v>446.65000000000003</v>
      </c>
      <c r="E32" s="275">
        <f>IF($C32&gt;1000,($C32-1000)*$F$43/100+1000*$F$42/100,$C32*$F$42/100)</f>
        <v>216.8</v>
      </c>
      <c r="F32" s="275">
        <f>+$C32*$F$44/100</f>
        <v>10.75</v>
      </c>
      <c r="G32" s="275">
        <f>+$C32*$F$45/100</f>
        <v>3.1</v>
      </c>
      <c r="H32" s="275">
        <f>$C32*$F$47/100</f>
        <v>4.45</v>
      </c>
      <c r="I32" s="275">
        <f>$C32*$F$46/100</f>
        <v>21.5</v>
      </c>
      <c r="J32" s="275">
        <f>$C32*$F$48/100</f>
        <v>32.9</v>
      </c>
      <c r="K32" s="275">
        <f>+C32*$F$49/100</f>
        <v>0</v>
      </c>
      <c r="L32" s="275">
        <f>+SUM(D32:K32)*0.025641</f>
        <v>18.875622150000002</v>
      </c>
      <c r="M32" s="275">
        <f>SUM(D32:L32)</f>
        <v>755.02562215000012</v>
      </c>
      <c r="N32" s="274">
        <f>IF($C32&gt;1000,($C32-1000)*$I$40/100+1000*$I$39/100+$I$36,$C32*$I$39/100+$I$36)</f>
        <v>446.55</v>
      </c>
      <c r="O32" s="275">
        <f>IF($C32&gt;1000,($C32-1000)*$I$43/100+1000*$I$42/100,$C32*$I$42/100)</f>
        <v>216.8</v>
      </c>
      <c r="P32" s="275">
        <f>+$C32*$I$44/100</f>
        <v>10.75</v>
      </c>
      <c r="Q32" s="275">
        <f>+$C32*$I$45/100</f>
        <v>3.1</v>
      </c>
      <c r="R32" s="275">
        <f>$C32*$I$47/100</f>
        <v>4.45</v>
      </c>
      <c r="S32" s="275">
        <f>$C32*$I$46/100</f>
        <v>21.5</v>
      </c>
      <c r="T32" s="275">
        <f>$C32*$I$48/100</f>
        <v>32.9</v>
      </c>
      <c r="U32" s="275">
        <f>+SUM(N32:T32)*0.025641</f>
        <v>18.873058050000001</v>
      </c>
      <c r="V32" s="275">
        <f>SUM(N32:U32)</f>
        <v>754.92305805000012</v>
      </c>
      <c r="W32" s="274">
        <f>+V32-M32</f>
        <v>-0.10256409999999505</v>
      </c>
      <c r="X32" s="277">
        <f>+W32/M32</f>
        <v>-1.3584188005161333E-4</v>
      </c>
      <c r="Y32" s="280">
        <f>+M32/C32*100</f>
        <v>15.100512443000003</v>
      </c>
      <c r="Z32" s="281">
        <f>+V32/C32*100</f>
        <v>15.098461161000001</v>
      </c>
    </row>
    <row r="33" spans="1:25">
      <c r="A33" s="199">
        <v>22</v>
      </c>
      <c r="B33" s="227"/>
      <c r="C33" s="228"/>
      <c r="D33" s="275"/>
      <c r="E33" s="275"/>
      <c r="F33" s="275"/>
      <c r="G33" s="275"/>
      <c r="H33" s="275"/>
      <c r="I33" s="275"/>
      <c r="J33" s="275"/>
      <c r="K33" s="275"/>
      <c r="L33" s="275"/>
      <c r="M33" s="275"/>
      <c r="N33" s="275"/>
      <c r="O33" s="275"/>
      <c r="P33" s="275"/>
      <c r="Q33" s="275"/>
      <c r="R33" s="275"/>
      <c r="S33" s="275"/>
      <c r="T33" s="275"/>
      <c r="U33" s="275"/>
      <c r="V33" s="275"/>
      <c r="W33" s="277"/>
      <c r="X33" s="281"/>
      <c r="Y33" s="281"/>
    </row>
    <row r="34" spans="1:25">
      <c r="A34" s="199">
        <v>23</v>
      </c>
      <c r="B34" s="227"/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28"/>
    </row>
    <row r="35" spans="1:25">
      <c r="A35" s="199">
        <v>24</v>
      </c>
      <c r="B35" s="227"/>
      <c r="C35" s="206"/>
      <c r="D35" s="206"/>
      <c r="E35" s="206"/>
      <c r="F35" s="325" t="s">
        <v>215</v>
      </c>
      <c r="G35" s="325"/>
      <c r="I35" s="325" t="s">
        <v>227</v>
      </c>
      <c r="J35" s="325"/>
      <c r="K35" s="206"/>
      <c r="N35" s="199"/>
      <c r="P35" s="228"/>
      <c r="Q35" s="228"/>
      <c r="R35" s="228"/>
      <c r="S35" s="228"/>
      <c r="T35" s="228"/>
      <c r="U35" s="228"/>
      <c r="V35" s="228"/>
      <c r="W35" s="228"/>
      <c r="X35" s="228"/>
      <c r="Y35" s="228"/>
    </row>
    <row r="36" spans="1:25">
      <c r="A36" s="199">
        <v>25</v>
      </c>
      <c r="B36" s="227"/>
      <c r="C36" s="204" t="s">
        <v>228</v>
      </c>
      <c r="D36" s="206"/>
      <c r="E36" s="206"/>
      <c r="F36" s="282">
        <f>+ROUND('Rate Impacts'!I14,2)*30</f>
        <v>32.1</v>
      </c>
      <c r="G36" s="204" t="s">
        <v>229</v>
      </c>
      <c r="H36" s="206"/>
      <c r="I36" s="282">
        <f>ROUND(+'Scenario RS Rates'!Q19,2)*30</f>
        <v>32.1</v>
      </c>
      <c r="J36" s="204" t="s">
        <v>229</v>
      </c>
      <c r="K36" s="204"/>
      <c r="P36" s="228"/>
      <c r="Q36" s="228"/>
      <c r="R36" s="228"/>
      <c r="S36" s="228"/>
      <c r="T36" s="228"/>
      <c r="U36" s="228"/>
      <c r="V36" s="228"/>
      <c r="W36" s="228"/>
      <c r="X36" s="228"/>
      <c r="Y36" s="228"/>
    </row>
    <row r="37" spans="1:25">
      <c r="A37" s="199">
        <v>26</v>
      </c>
      <c r="B37" s="227"/>
      <c r="C37" s="204" t="s">
        <v>230</v>
      </c>
      <c r="D37" s="206"/>
      <c r="E37" s="206"/>
      <c r="F37" s="282">
        <v>0</v>
      </c>
      <c r="G37" s="204" t="s">
        <v>101</v>
      </c>
      <c r="H37" s="206"/>
      <c r="I37" s="283">
        <v>0</v>
      </c>
      <c r="J37" s="204" t="s">
        <v>101</v>
      </c>
      <c r="K37" s="204"/>
      <c r="P37" s="228"/>
      <c r="Q37" s="228"/>
      <c r="R37" s="228"/>
      <c r="S37" s="246"/>
      <c r="T37" s="215"/>
      <c r="U37" s="228"/>
      <c r="V37" s="228"/>
      <c r="W37" s="228"/>
      <c r="X37" s="228"/>
      <c r="Y37" s="228"/>
    </row>
    <row r="38" spans="1:25">
      <c r="A38" s="199">
        <v>27</v>
      </c>
      <c r="B38" s="227"/>
      <c r="C38" s="204" t="s">
        <v>231</v>
      </c>
      <c r="D38" s="206"/>
      <c r="E38" s="206"/>
      <c r="F38" s="282"/>
      <c r="H38" s="206"/>
      <c r="I38" s="284"/>
      <c r="P38" s="228"/>
      <c r="Q38" s="228"/>
      <c r="R38" s="228"/>
      <c r="S38" s="228"/>
      <c r="T38" s="228"/>
      <c r="U38" s="228"/>
      <c r="V38" s="228"/>
      <c r="W38" s="228"/>
      <c r="X38" s="228"/>
      <c r="Y38" s="228"/>
    </row>
    <row r="39" spans="1:25">
      <c r="A39" s="199">
        <v>28</v>
      </c>
      <c r="B39" s="227"/>
      <c r="C39" s="285" t="s">
        <v>232</v>
      </c>
      <c r="F39" s="284">
        <f>+ROUND('Rate Impacts'!I19,5)*100</f>
        <v>7.4910000000000005</v>
      </c>
      <c r="G39" s="204" t="s">
        <v>109</v>
      </c>
      <c r="I39" s="286">
        <f>ROUND(+'Scenario RS Rates'!Q27,5)*100</f>
        <v>7.4889999999999999</v>
      </c>
      <c r="J39" s="204" t="s">
        <v>109</v>
      </c>
      <c r="K39" s="204"/>
      <c r="P39" s="228"/>
      <c r="Q39" s="228"/>
      <c r="R39" s="228"/>
      <c r="S39" s="228"/>
      <c r="T39" s="228"/>
      <c r="U39" s="254"/>
      <c r="V39" s="228"/>
      <c r="W39" s="228"/>
      <c r="X39" s="228"/>
      <c r="Y39" s="228"/>
    </row>
    <row r="40" spans="1:25">
      <c r="A40" s="199">
        <v>29</v>
      </c>
      <c r="B40" s="227"/>
      <c r="C40" s="285" t="s">
        <v>233</v>
      </c>
      <c r="F40" s="284">
        <f>+ROUND('Rate Impacts'!I20,5)*100</f>
        <v>8.4909999999999997</v>
      </c>
      <c r="G40" s="204" t="s">
        <v>109</v>
      </c>
      <c r="I40" s="286">
        <f>ROUND(+'Scenario RS Rates'!Q28*100,3)</f>
        <v>8.4890000000000008</v>
      </c>
      <c r="J40" s="204" t="s">
        <v>109</v>
      </c>
      <c r="K40" s="204"/>
      <c r="P40" s="228"/>
      <c r="Q40" s="228"/>
      <c r="R40" s="228"/>
      <c r="S40" s="228"/>
      <c r="T40" s="228"/>
      <c r="U40" s="228"/>
      <c r="V40" s="228"/>
      <c r="W40" s="228"/>
      <c r="X40" s="228"/>
      <c r="Y40" s="228"/>
    </row>
    <row r="41" spans="1:25">
      <c r="A41" s="199">
        <v>30</v>
      </c>
      <c r="B41" s="227"/>
      <c r="C41" s="204" t="s">
        <v>234</v>
      </c>
      <c r="D41" s="206"/>
      <c r="E41" s="206"/>
      <c r="F41" s="284"/>
      <c r="G41" s="204"/>
      <c r="H41" s="206"/>
      <c r="I41" s="206"/>
      <c r="J41" s="204"/>
      <c r="K41" s="204"/>
      <c r="P41" s="228"/>
      <c r="Q41" s="228"/>
      <c r="R41" s="228"/>
      <c r="S41" s="228"/>
      <c r="T41" s="228"/>
      <c r="U41" s="228"/>
      <c r="V41" s="228"/>
      <c r="W41" s="228"/>
      <c r="X41" s="228"/>
      <c r="Y41" s="228"/>
    </row>
    <row r="42" spans="1:25">
      <c r="A42" s="199">
        <v>31</v>
      </c>
      <c r="B42" s="227"/>
      <c r="C42" s="285" t="s">
        <v>232</v>
      </c>
      <c r="F42" s="284">
        <v>3.5360000000000005</v>
      </c>
      <c r="G42" s="204" t="s">
        <v>109</v>
      </c>
      <c r="H42" s="206"/>
      <c r="I42" s="284">
        <f>+F42</f>
        <v>3.5360000000000005</v>
      </c>
      <c r="J42" s="204" t="s">
        <v>109</v>
      </c>
      <c r="K42" s="204"/>
      <c r="P42" s="228"/>
      <c r="Q42" s="228"/>
      <c r="R42" s="228"/>
      <c r="S42" s="228"/>
      <c r="T42" s="228"/>
      <c r="U42" s="228"/>
      <c r="V42" s="228"/>
      <c r="W42" s="228"/>
      <c r="X42" s="228"/>
      <c r="Y42" s="228"/>
    </row>
    <row r="43" spans="1:25">
      <c r="A43" s="199">
        <v>32</v>
      </c>
      <c r="B43" s="227"/>
      <c r="C43" s="285" t="s">
        <v>233</v>
      </c>
      <c r="F43" s="284">
        <v>4.5359999999999996</v>
      </c>
      <c r="G43" s="204" t="s">
        <v>109</v>
      </c>
      <c r="H43" s="206"/>
      <c r="I43" s="284">
        <f t="shared" ref="I43:I48" si="0">+F43</f>
        <v>4.5359999999999996</v>
      </c>
      <c r="J43" s="204" t="s">
        <v>109</v>
      </c>
      <c r="K43" s="204"/>
      <c r="P43" s="228"/>
      <c r="Q43" s="228"/>
      <c r="R43" s="228"/>
      <c r="S43" s="228"/>
      <c r="T43" s="228"/>
      <c r="U43" s="228"/>
      <c r="V43" s="228"/>
      <c r="W43" s="228"/>
      <c r="X43" s="228"/>
      <c r="Y43" s="228"/>
    </row>
    <row r="44" spans="1:25">
      <c r="A44" s="199">
        <v>33</v>
      </c>
      <c r="B44" s="227"/>
      <c r="C44" s="204" t="s">
        <v>235</v>
      </c>
      <c r="D44" s="206"/>
      <c r="E44" s="206"/>
      <c r="F44" s="284">
        <v>0.215</v>
      </c>
      <c r="G44" s="204" t="s">
        <v>109</v>
      </c>
      <c r="H44" s="206"/>
      <c r="I44" s="284">
        <f t="shared" si="0"/>
        <v>0.215</v>
      </c>
      <c r="J44" s="204" t="s">
        <v>109</v>
      </c>
      <c r="K44" s="204"/>
      <c r="P44" s="228"/>
      <c r="Q44" s="228"/>
      <c r="R44" s="228"/>
      <c r="S44" s="228"/>
      <c r="T44" s="228"/>
      <c r="U44" s="228"/>
      <c r="V44" s="228"/>
      <c r="W44" s="228"/>
      <c r="X44" s="228"/>
      <c r="Y44" s="228"/>
    </row>
    <row r="45" spans="1:25">
      <c r="A45" s="199">
        <v>34</v>
      </c>
      <c r="B45" s="227"/>
      <c r="C45" s="204" t="s">
        <v>236</v>
      </c>
      <c r="D45" s="206"/>
      <c r="E45" s="206"/>
      <c r="F45" s="284">
        <v>6.2E-2</v>
      </c>
      <c r="G45" s="204" t="s">
        <v>109</v>
      </c>
      <c r="I45" s="284">
        <f t="shared" si="0"/>
        <v>6.2E-2</v>
      </c>
      <c r="J45" s="204" t="s">
        <v>109</v>
      </c>
      <c r="K45" s="204"/>
      <c r="P45" s="228"/>
      <c r="Q45" s="228"/>
      <c r="R45" s="228"/>
      <c r="S45" s="228"/>
      <c r="T45" s="228"/>
      <c r="U45" s="228"/>
      <c r="V45" s="228"/>
      <c r="W45" s="228"/>
      <c r="X45" s="228"/>
      <c r="Y45" s="228"/>
    </row>
    <row r="46" spans="1:25">
      <c r="A46" s="199">
        <v>35</v>
      </c>
      <c r="B46" s="227"/>
      <c r="C46" s="204" t="s">
        <v>237</v>
      </c>
      <c r="D46" s="206"/>
      <c r="E46" s="206"/>
      <c r="F46" s="284">
        <v>0.43</v>
      </c>
      <c r="G46" s="204" t="s">
        <v>109</v>
      </c>
      <c r="I46" s="284">
        <f t="shared" si="0"/>
        <v>0.43</v>
      </c>
      <c r="J46" s="204" t="s">
        <v>109</v>
      </c>
      <c r="K46" s="204"/>
      <c r="P46" s="228"/>
      <c r="Q46" s="228"/>
      <c r="R46" s="228"/>
      <c r="S46" s="228"/>
      <c r="T46" s="228"/>
      <c r="U46" s="228"/>
      <c r="V46" s="228"/>
      <c r="W46" s="228"/>
      <c r="X46" s="228"/>
      <c r="Y46" s="228"/>
    </row>
    <row r="47" spans="1:25">
      <c r="A47" s="199">
        <v>36</v>
      </c>
      <c r="B47" s="199"/>
      <c r="C47" s="204" t="s">
        <v>238</v>
      </c>
      <c r="D47" s="206"/>
      <c r="E47" s="206"/>
      <c r="F47" s="284">
        <v>8.8999999999999996E-2</v>
      </c>
      <c r="G47" s="204" t="s">
        <v>109</v>
      </c>
      <c r="H47" s="287"/>
      <c r="I47" s="284">
        <f t="shared" si="0"/>
        <v>8.8999999999999996E-2</v>
      </c>
      <c r="J47" s="204" t="s">
        <v>109</v>
      </c>
      <c r="K47" s="204"/>
      <c r="P47" s="287"/>
      <c r="Q47" s="287"/>
      <c r="R47" s="287"/>
      <c r="S47" s="287"/>
      <c r="T47" s="287"/>
      <c r="U47" s="287"/>
      <c r="V47" s="287"/>
      <c r="W47" s="287"/>
      <c r="X47" s="287"/>
      <c r="Y47" s="287"/>
    </row>
    <row r="48" spans="1:25">
      <c r="A48" s="199">
        <v>37</v>
      </c>
      <c r="B48" s="199"/>
      <c r="C48" s="204" t="s">
        <v>239</v>
      </c>
      <c r="F48" s="284">
        <v>0.65800000000000003</v>
      </c>
      <c r="G48" s="204" t="s">
        <v>109</v>
      </c>
      <c r="H48" s="287"/>
      <c r="I48" s="284">
        <f t="shared" si="0"/>
        <v>0.65800000000000003</v>
      </c>
      <c r="J48" s="204" t="s">
        <v>109</v>
      </c>
      <c r="K48" s="204"/>
      <c r="P48" s="287"/>
      <c r="Q48" s="287"/>
      <c r="R48" s="287"/>
      <c r="S48" s="287"/>
      <c r="T48" s="287"/>
      <c r="U48" s="287"/>
      <c r="V48" s="287"/>
      <c r="W48" s="287"/>
      <c r="X48" s="287"/>
      <c r="Y48" s="287"/>
    </row>
    <row r="49" spans="1:26">
      <c r="A49" s="199">
        <v>38</v>
      </c>
      <c r="B49" s="199"/>
      <c r="C49" s="228" t="s">
        <v>240</v>
      </c>
      <c r="E49" s="199"/>
      <c r="F49" s="284">
        <v>0</v>
      </c>
      <c r="G49" s="204" t="s">
        <v>109</v>
      </c>
      <c r="H49" s="287"/>
      <c r="I49" s="287"/>
      <c r="J49" s="287"/>
      <c r="K49" s="287"/>
      <c r="L49" s="287"/>
      <c r="M49" s="287"/>
      <c r="N49" s="287"/>
      <c r="O49" s="287"/>
      <c r="P49" s="287"/>
      <c r="Q49" s="287"/>
      <c r="R49" s="287"/>
      <c r="S49" s="287"/>
      <c r="T49" s="287"/>
      <c r="U49" s="287"/>
      <c r="V49" s="287"/>
      <c r="W49" s="287"/>
      <c r="X49" s="287"/>
      <c r="Y49" s="287"/>
    </row>
    <row r="50" spans="1:26">
      <c r="A50" s="199">
        <v>39</v>
      </c>
      <c r="B50" s="199"/>
      <c r="C50" s="228" t="s">
        <v>241</v>
      </c>
      <c r="E50" s="199"/>
      <c r="F50" s="287"/>
      <c r="G50" s="287"/>
      <c r="H50" s="287"/>
      <c r="I50" s="287"/>
      <c r="J50" s="287"/>
      <c r="K50" s="287"/>
      <c r="L50" s="287"/>
      <c r="M50" s="287"/>
      <c r="N50" s="287"/>
      <c r="O50" s="287"/>
      <c r="P50" s="287"/>
      <c r="Q50" s="287"/>
      <c r="R50" s="287"/>
      <c r="S50" s="287"/>
      <c r="T50" s="287"/>
      <c r="U50" s="287"/>
      <c r="V50" s="287"/>
      <c r="W50" s="287"/>
      <c r="X50" s="287"/>
      <c r="Y50" s="287"/>
    </row>
    <row r="51" spans="1:26" ht="13.5" thickBot="1">
      <c r="A51" s="199">
        <v>42</v>
      </c>
      <c r="B51" s="200"/>
      <c r="C51" s="200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63"/>
    </row>
    <row r="52" spans="1:26">
      <c r="A52" s="199"/>
      <c r="B52" s="199"/>
      <c r="C52" s="199"/>
      <c r="D52" s="199"/>
      <c r="E52" s="199"/>
      <c r="F52" s="199"/>
      <c r="G52" s="199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  <c r="T52" s="199"/>
      <c r="U52" s="199"/>
      <c r="V52" s="199"/>
      <c r="W52" s="199"/>
      <c r="X52" s="199"/>
      <c r="Y52" s="199"/>
    </row>
    <row r="53" spans="1:26" ht="13.5" thickBot="1">
      <c r="A53" s="200"/>
      <c r="B53" s="200"/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63"/>
    </row>
    <row r="54" spans="1:26">
      <c r="A54" s="199"/>
      <c r="B54" s="199"/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203"/>
      <c r="N54" s="203"/>
      <c r="O54" s="199"/>
      <c r="P54" s="203"/>
      <c r="Q54" s="203"/>
      <c r="R54" s="203"/>
      <c r="S54" s="203"/>
      <c r="T54" s="203"/>
      <c r="U54" s="203"/>
      <c r="V54" s="203"/>
      <c r="W54" s="199"/>
      <c r="X54" s="199"/>
      <c r="Y54" s="204"/>
    </row>
    <row r="55" spans="1:26">
      <c r="A55" s="199"/>
      <c r="B55" s="199"/>
      <c r="C55" s="199"/>
      <c r="D55" s="199"/>
      <c r="E55" s="199"/>
      <c r="F55" s="199"/>
      <c r="G55" s="199"/>
      <c r="H55" s="199"/>
      <c r="I55" s="199"/>
      <c r="J55" s="199"/>
      <c r="K55" s="199"/>
      <c r="L55" s="199"/>
      <c r="M55" s="202"/>
      <c r="N55" s="204"/>
      <c r="O55" s="199"/>
      <c r="P55" s="199"/>
      <c r="Q55" s="199"/>
      <c r="R55" s="199"/>
      <c r="S55" s="199"/>
      <c r="T55" s="199"/>
      <c r="U55" s="202"/>
      <c r="V55" s="202"/>
      <c r="W55" s="204"/>
      <c r="X55" s="199"/>
      <c r="Y55" s="202"/>
    </row>
    <row r="56" spans="1:26">
      <c r="A56" s="199"/>
      <c r="B56" s="199"/>
      <c r="C56" s="199"/>
      <c r="D56" s="199"/>
      <c r="E56" s="199"/>
      <c r="F56" s="199"/>
      <c r="G56" s="199"/>
      <c r="H56" s="199"/>
      <c r="I56" s="199"/>
      <c r="J56" s="199"/>
      <c r="K56" s="199"/>
      <c r="L56" s="199"/>
      <c r="M56" s="202"/>
      <c r="N56" s="204"/>
      <c r="O56" s="202"/>
      <c r="P56" s="199"/>
      <c r="Q56" s="199"/>
      <c r="R56" s="199"/>
      <c r="S56" s="199"/>
      <c r="T56" s="199"/>
      <c r="U56" s="199"/>
      <c r="V56" s="204"/>
      <c r="W56" s="204"/>
      <c r="X56" s="199"/>
      <c r="Y56" s="202"/>
    </row>
    <row r="57" spans="1:26">
      <c r="A57" s="199"/>
      <c r="B57" s="199"/>
      <c r="C57" s="199"/>
      <c r="D57" s="199"/>
      <c r="E57" s="199"/>
      <c r="F57" s="199"/>
      <c r="G57" s="326" t="s">
        <v>242</v>
      </c>
      <c r="H57" s="326"/>
      <c r="I57" s="326"/>
      <c r="J57" s="326"/>
      <c r="K57" s="326"/>
      <c r="L57" s="326"/>
      <c r="M57" s="326"/>
      <c r="N57" s="326"/>
      <c r="O57" s="326"/>
      <c r="P57" s="326"/>
      <c r="Q57" s="326"/>
      <c r="R57" s="199"/>
      <c r="S57" s="199"/>
      <c r="T57" s="199"/>
      <c r="U57" s="199"/>
      <c r="V57" s="202"/>
      <c r="W57" s="204"/>
      <c r="X57" s="199"/>
      <c r="Y57" s="202"/>
    </row>
    <row r="58" spans="1:26" ht="13.5" thickBot="1">
      <c r="A58" s="200"/>
      <c r="B58" s="200"/>
      <c r="C58" s="200"/>
      <c r="D58" s="200"/>
      <c r="E58" s="200"/>
      <c r="F58" s="200"/>
      <c r="G58" s="200"/>
      <c r="H58" s="200"/>
      <c r="I58" s="200"/>
      <c r="J58" s="200"/>
      <c r="K58" s="200"/>
      <c r="L58" s="200"/>
      <c r="M58" s="205"/>
      <c r="N58" s="200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200"/>
      <c r="Z58" s="263"/>
    </row>
    <row r="59" spans="1:26">
      <c r="A59" s="199"/>
      <c r="B59" s="328" t="s">
        <v>178</v>
      </c>
      <c r="C59" s="328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7"/>
      <c r="U59" s="207"/>
      <c r="V59" s="207"/>
      <c r="W59" s="207"/>
      <c r="X59" s="207"/>
      <c r="Y59" s="207"/>
    </row>
    <row r="60" spans="1:26">
      <c r="A60" s="199"/>
      <c r="B60" s="325" t="s">
        <v>37</v>
      </c>
      <c r="C60" s="325"/>
      <c r="D60" s="327" t="s">
        <v>179</v>
      </c>
      <c r="E60" s="327"/>
      <c r="F60" s="327"/>
      <c r="G60" s="327"/>
      <c r="H60" s="327"/>
      <c r="I60" s="327"/>
      <c r="J60" s="327"/>
      <c r="K60" s="327"/>
      <c r="L60" s="327"/>
      <c r="M60" s="327"/>
      <c r="N60" s="327" t="s">
        <v>180</v>
      </c>
      <c r="O60" s="327"/>
      <c r="P60" s="327"/>
      <c r="Q60" s="327"/>
      <c r="R60" s="327"/>
      <c r="S60" s="327"/>
      <c r="T60" s="327"/>
      <c r="U60" s="327"/>
      <c r="W60" s="327" t="s">
        <v>181</v>
      </c>
      <c r="X60" s="327"/>
      <c r="Y60" s="327" t="s">
        <v>182</v>
      </c>
      <c r="Z60" s="327"/>
    </row>
    <row r="61" spans="1:26">
      <c r="A61" s="199"/>
      <c r="B61" s="206" t="s">
        <v>46</v>
      </c>
      <c r="C61" s="206" t="s">
        <v>47</v>
      </c>
      <c r="D61" s="266" t="s">
        <v>48</v>
      </c>
      <c r="E61" s="206" t="s">
        <v>49</v>
      </c>
      <c r="F61" s="206" t="s">
        <v>50</v>
      </c>
      <c r="G61" s="207" t="s">
        <v>51</v>
      </c>
      <c r="H61" s="207" t="s">
        <v>183</v>
      </c>
      <c r="I61" s="207" t="s">
        <v>184</v>
      </c>
      <c r="J61" s="207" t="s">
        <v>185</v>
      </c>
      <c r="K61" s="267" t="s">
        <v>186</v>
      </c>
      <c r="L61" s="267" t="s">
        <v>187</v>
      </c>
      <c r="M61" s="268" t="s">
        <v>188</v>
      </c>
      <c r="N61" s="207" t="s">
        <v>189</v>
      </c>
      <c r="O61" s="207" t="s">
        <v>190</v>
      </c>
      <c r="P61" s="207" t="s">
        <v>191</v>
      </c>
      <c r="Q61" s="207" t="s">
        <v>192</v>
      </c>
      <c r="R61" s="207" t="s">
        <v>193</v>
      </c>
      <c r="S61" s="207" t="s">
        <v>194</v>
      </c>
      <c r="T61" s="207" t="s">
        <v>195</v>
      </c>
      <c r="U61" s="267" t="s">
        <v>196</v>
      </c>
      <c r="V61" s="268" t="s">
        <v>197</v>
      </c>
      <c r="W61" s="268" t="s">
        <v>198</v>
      </c>
      <c r="X61" s="207" t="s">
        <v>199</v>
      </c>
      <c r="Y61" s="207" t="s">
        <v>200</v>
      </c>
      <c r="Z61" s="207" t="s">
        <v>201</v>
      </c>
    </row>
    <row r="62" spans="1:26">
      <c r="A62" s="199" t="s">
        <v>55</v>
      </c>
      <c r="B62" s="206" t="s">
        <v>202</v>
      </c>
      <c r="C62" s="206"/>
      <c r="D62" s="288" t="s">
        <v>203</v>
      </c>
      <c r="E62" s="206" t="s">
        <v>204</v>
      </c>
      <c r="F62" s="206" t="s">
        <v>205</v>
      </c>
      <c r="G62" s="207" t="s">
        <v>206</v>
      </c>
      <c r="H62" s="206" t="s">
        <v>207</v>
      </c>
      <c r="I62" s="206" t="s">
        <v>208</v>
      </c>
      <c r="J62" s="206" t="s">
        <v>209</v>
      </c>
      <c r="K62" s="206" t="s">
        <v>210</v>
      </c>
      <c r="L62" s="206" t="s">
        <v>211</v>
      </c>
      <c r="M62" s="269" t="s">
        <v>212</v>
      </c>
      <c r="N62" s="206" t="s">
        <v>203</v>
      </c>
      <c r="O62" s="206" t="s">
        <v>204</v>
      </c>
      <c r="P62" s="207" t="s">
        <v>205</v>
      </c>
      <c r="Q62" s="207" t="s">
        <v>206</v>
      </c>
      <c r="R62" s="206" t="s">
        <v>207</v>
      </c>
      <c r="S62" s="206" t="s">
        <v>208</v>
      </c>
      <c r="T62" s="206" t="s">
        <v>209</v>
      </c>
      <c r="U62" s="206" t="s">
        <v>211</v>
      </c>
      <c r="V62" s="269" t="s">
        <v>212</v>
      </c>
      <c r="W62" s="207" t="s">
        <v>213</v>
      </c>
      <c r="X62" s="269" t="s">
        <v>214</v>
      </c>
      <c r="Y62" s="206" t="s">
        <v>215</v>
      </c>
      <c r="Z62" s="206" t="s">
        <v>216</v>
      </c>
    </row>
    <row r="63" spans="1:26" ht="13.5" thickBot="1">
      <c r="A63" s="200" t="s">
        <v>60</v>
      </c>
      <c r="B63" s="270" t="s">
        <v>217</v>
      </c>
      <c r="C63" s="271" t="s">
        <v>218</v>
      </c>
      <c r="D63" s="272" t="s">
        <v>219</v>
      </c>
      <c r="E63" s="271" t="s">
        <v>220</v>
      </c>
      <c r="F63" s="271" t="s">
        <v>220</v>
      </c>
      <c r="G63" s="208" t="s">
        <v>220</v>
      </c>
      <c r="H63" s="271" t="s">
        <v>220</v>
      </c>
      <c r="I63" s="271" t="s">
        <v>221</v>
      </c>
      <c r="J63" s="271" t="s">
        <v>220</v>
      </c>
      <c r="K63" s="271" t="s">
        <v>222</v>
      </c>
      <c r="L63" s="271" t="s">
        <v>220</v>
      </c>
      <c r="M63" s="273"/>
      <c r="N63" s="208" t="s">
        <v>219</v>
      </c>
      <c r="O63" s="208" t="s">
        <v>220</v>
      </c>
      <c r="P63" s="208" t="s">
        <v>220</v>
      </c>
      <c r="Q63" s="208" t="s">
        <v>220</v>
      </c>
      <c r="R63" s="271" t="s">
        <v>220</v>
      </c>
      <c r="S63" s="271" t="s">
        <v>221</v>
      </c>
      <c r="T63" s="271" t="s">
        <v>220</v>
      </c>
      <c r="U63" s="271" t="s">
        <v>220</v>
      </c>
      <c r="V63" s="273"/>
      <c r="W63" s="271" t="s">
        <v>223</v>
      </c>
      <c r="X63" s="273" t="s">
        <v>224</v>
      </c>
      <c r="Y63" s="205" t="s">
        <v>225</v>
      </c>
      <c r="Z63" s="205" t="s">
        <v>226</v>
      </c>
    </row>
    <row r="64" spans="1:26">
      <c r="A64" s="199">
        <v>1</v>
      </c>
      <c r="B64" s="227">
        <v>0</v>
      </c>
      <c r="C64" s="228">
        <v>0</v>
      </c>
      <c r="D64" s="276">
        <f>+$F$90+C64*$F$92/100</f>
        <v>38.1</v>
      </c>
      <c r="E64" s="275">
        <f>+C64*$F$93/100</f>
        <v>0</v>
      </c>
      <c r="F64" s="275">
        <f>+C64*$F$94/100</f>
        <v>0</v>
      </c>
      <c r="G64" s="275">
        <f>+C64*$F$95/100</f>
        <v>0</v>
      </c>
      <c r="H64" s="275">
        <f>+C64*$F$97/100</f>
        <v>0</v>
      </c>
      <c r="I64" s="275">
        <f>+$C64*$F$96/100</f>
        <v>0</v>
      </c>
      <c r="J64" s="275">
        <f>+$C64*$F$98/100</f>
        <v>0</v>
      </c>
      <c r="K64" s="275">
        <f>+$C64*$F$99/100</f>
        <v>0</v>
      </c>
      <c r="L64" s="275">
        <f>+SUM(D64:K64)*0.025641</f>
        <v>0.97692210000000002</v>
      </c>
      <c r="M64" s="275">
        <f>SUM(D64:L64)</f>
        <v>39.076922100000004</v>
      </c>
      <c r="N64" s="276">
        <f>(+$C64*$I$92)/100+$I$90</f>
        <v>38.1</v>
      </c>
      <c r="O64" s="275">
        <f>+$I$93*$C64/100</f>
        <v>0</v>
      </c>
      <c r="P64" s="275">
        <f>+$C64*$I$94/100</f>
        <v>0</v>
      </c>
      <c r="Q64" s="275">
        <f>+$C64*$I$95/100</f>
        <v>0</v>
      </c>
      <c r="R64" s="275">
        <f>+$C64*$I$97/100</f>
        <v>0</v>
      </c>
      <c r="S64" s="275">
        <f>+$C64*$I$96/100</f>
        <v>0</v>
      </c>
      <c r="T64" s="275">
        <f>+$C64*$I$98/100</f>
        <v>0</v>
      </c>
      <c r="U64" s="275">
        <f>+SUM(N64:T64)*0.025641</f>
        <v>0.97692210000000002</v>
      </c>
      <c r="V64" s="275">
        <f>SUM(N64:U64)</f>
        <v>39.076922100000004</v>
      </c>
      <c r="W64" s="276">
        <f>+V64-M64</f>
        <v>0</v>
      </c>
      <c r="X64" s="277">
        <f>+W64/M64</f>
        <v>0</v>
      </c>
      <c r="Y64" s="278">
        <v>0</v>
      </c>
      <c r="Z64" s="246">
        <v>0</v>
      </c>
    </row>
    <row r="65" spans="1:26">
      <c r="A65" s="199">
        <v>2</v>
      </c>
      <c r="B65" s="227"/>
      <c r="C65" s="228"/>
      <c r="D65" s="274"/>
      <c r="E65" s="275"/>
      <c r="F65" s="275"/>
      <c r="G65" s="275"/>
      <c r="H65" s="275"/>
      <c r="I65" s="275"/>
      <c r="J65" s="275"/>
      <c r="K65" s="275"/>
      <c r="L65" s="275"/>
      <c r="M65" s="275"/>
      <c r="N65" s="274"/>
      <c r="O65" s="275"/>
      <c r="P65" s="275"/>
      <c r="Q65" s="275"/>
      <c r="R65" s="275"/>
      <c r="S65" s="275"/>
      <c r="T65" s="275"/>
      <c r="U65" s="275"/>
      <c r="V65" s="275"/>
      <c r="W65" s="274"/>
      <c r="X65" s="277"/>
      <c r="Y65" s="279"/>
      <c r="Z65" s="246"/>
    </row>
    <row r="66" spans="1:26">
      <c r="A66" s="199">
        <v>3</v>
      </c>
      <c r="B66" s="227">
        <v>0</v>
      </c>
      <c r="C66" s="228">
        <v>100</v>
      </c>
      <c r="D66" s="274">
        <f>+$F$90+C66*$F$92/100</f>
        <v>44.905999999999999</v>
      </c>
      <c r="E66" s="275">
        <f>+C66*$F$93/100</f>
        <v>3.843</v>
      </c>
      <c r="F66" s="275">
        <f>+C66*$F$94/100</f>
        <v>0.192</v>
      </c>
      <c r="G66" s="275">
        <f>+C66*$F$95/100</f>
        <v>5.4000000000000006E-2</v>
      </c>
      <c r="H66" s="275">
        <f>+C66*$F$97/100</f>
        <v>8.4000000000000005E-2</v>
      </c>
      <c r="I66" s="275">
        <f>+$C66*$F$96/100</f>
        <v>0.42700000000000005</v>
      </c>
      <c r="J66" s="275">
        <f>+$C66*$F$98/100</f>
        <v>0.77500000000000002</v>
      </c>
      <c r="K66" s="275">
        <f>+$C66*$F$99/100</f>
        <v>0</v>
      </c>
      <c r="L66" s="275">
        <f>+SUM(D66:K66)*0.025641</f>
        <v>1.2892551210000001</v>
      </c>
      <c r="M66" s="275">
        <f>SUM(D66:L66)</f>
        <v>51.570255121000002</v>
      </c>
      <c r="N66" s="274">
        <f>(+C66*$I$92)/100+$I$90</f>
        <v>44.904000000000003</v>
      </c>
      <c r="O66" s="275">
        <f>+$I$93*$C66/100</f>
        <v>3.843</v>
      </c>
      <c r="P66" s="275">
        <f>+$C66*$I$94/100</f>
        <v>0.192</v>
      </c>
      <c r="Q66" s="275">
        <f>+$C66*$I$95/100</f>
        <v>5.4000000000000006E-2</v>
      </c>
      <c r="R66" s="275">
        <f>+$C66*$I$97/100</f>
        <v>8.4000000000000005E-2</v>
      </c>
      <c r="S66" s="275">
        <f>+$C66*$I$96/100</f>
        <v>0.42700000000000005</v>
      </c>
      <c r="T66" s="275">
        <f>+$C66*$I$98/100</f>
        <v>0.77500000000000002</v>
      </c>
      <c r="U66" s="275">
        <f>+SUM(N66:T66)*0.025641</f>
        <v>1.289203839</v>
      </c>
      <c r="V66" s="275">
        <f>SUM(N66:U66)</f>
        <v>51.568203839000006</v>
      </c>
      <c r="W66" s="274">
        <f>+V66-M66</f>
        <v>-2.0512819999964904E-3</v>
      </c>
      <c r="X66" s="277">
        <f>+W66/M66</f>
        <v>-3.9776456315438797E-5</v>
      </c>
      <c r="Y66" s="280">
        <f>+M66/C66*100</f>
        <v>51.570255120999995</v>
      </c>
      <c r="Z66" s="281">
        <f>+V66/C66*100</f>
        <v>51.568203839000006</v>
      </c>
    </row>
    <row r="67" spans="1:26">
      <c r="A67" s="199">
        <v>4</v>
      </c>
      <c r="B67" s="227"/>
      <c r="C67" s="228"/>
      <c r="D67" s="274"/>
      <c r="E67" s="275"/>
      <c r="F67" s="275"/>
      <c r="G67" s="275"/>
      <c r="H67" s="275"/>
      <c r="I67" s="275"/>
      <c r="J67" s="275"/>
      <c r="K67" s="275"/>
      <c r="L67" s="275"/>
      <c r="M67" s="275"/>
      <c r="N67" s="274"/>
      <c r="O67" s="275"/>
      <c r="P67" s="275"/>
      <c r="Q67" s="275"/>
      <c r="R67" s="275"/>
      <c r="S67" s="275"/>
      <c r="T67" s="275"/>
      <c r="U67" s="275"/>
      <c r="V67" s="275"/>
      <c r="W67" s="274"/>
      <c r="X67" s="277"/>
      <c r="Y67" s="279"/>
      <c r="Z67" s="246"/>
    </row>
    <row r="68" spans="1:26">
      <c r="A68" s="199">
        <v>5</v>
      </c>
      <c r="B68" s="227">
        <v>0</v>
      </c>
      <c r="C68" s="228">
        <v>250</v>
      </c>
      <c r="D68" s="274">
        <f>+$F$90+C68*$F$92/100</f>
        <v>55.114999999999995</v>
      </c>
      <c r="E68" s="275">
        <f>+C68*$F$93/100</f>
        <v>9.6074999999999999</v>
      </c>
      <c r="F68" s="275">
        <f>+C68*$F$94/100</f>
        <v>0.48</v>
      </c>
      <c r="G68" s="275">
        <f>+C68*$F$95/100</f>
        <v>0.13500000000000001</v>
      </c>
      <c r="H68" s="275">
        <f>+C68*$F$97/100</f>
        <v>0.21</v>
      </c>
      <c r="I68" s="275">
        <f>+$C68*$F$96/100</f>
        <v>1.0675000000000001</v>
      </c>
      <c r="J68" s="275">
        <f>+$C68*$F$98/100</f>
        <v>1.9375</v>
      </c>
      <c r="K68" s="275">
        <f>+$C68*$F$99/100</f>
        <v>0</v>
      </c>
      <c r="L68" s="275">
        <f>+SUM(D68:K68)*0.025641</f>
        <v>1.7577546524999998</v>
      </c>
      <c r="M68" s="275">
        <f>SUM(D68:L68)</f>
        <v>70.310254652499992</v>
      </c>
      <c r="N68" s="274">
        <f>(+C68*$I$92)/100+$I$90</f>
        <v>55.11</v>
      </c>
      <c r="O68" s="275">
        <f>+$I$93*$C68/100</f>
        <v>9.6074999999999999</v>
      </c>
      <c r="P68" s="275">
        <f>+$C68*$I$94/100</f>
        <v>0.48</v>
      </c>
      <c r="Q68" s="275">
        <f>+$C68*$I$95/100</f>
        <v>0.13500000000000001</v>
      </c>
      <c r="R68" s="275">
        <f>+$C68*$I$97/100</f>
        <v>0.21</v>
      </c>
      <c r="S68" s="275">
        <f>+$C68*$I$96/100</f>
        <v>1.0675000000000001</v>
      </c>
      <c r="T68" s="275">
        <f>+$C68*$I$98/100</f>
        <v>1.9375</v>
      </c>
      <c r="U68" s="275">
        <f>+SUM(N68:T68)*0.025641</f>
        <v>1.7576264475000001</v>
      </c>
      <c r="V68" s="275">
        <f>SUM(N68:U68)</f>
        <v>70.305126447500001</v>
      </c>
      <c r="W68" s="274">
        <f>+V68-M68</f>
        <v>-5.128204999991226E-3</v>
      </c>
      <c r="X68" s="277">
        <f>+W68/M68</f>
        <v>-7.2936800262447693E-5</v>
      </c>
      <c r="Y68" s="280">
        <f>+M68/C68*100</f>
        <v>28.124101860999996</v>
      </c>
      <c r="Z68" s="281">
        <f>+V68/C68*100</f>
        <v>28.122050579000003</v>
      </c>
    </row>
    <row r="69" spans="1:26">
      <c r="A69" s="199">
        <v>6</v>
      </c>
      <c r="B69" s="227"/>
      <c r="C69" s="228"/>
      <c r="D69" s="274"/>
      <c r="E69" s="275"/>
      <c r="F69" s="275"/>
      <c r="G69" s="275"/>
      <c r="H69" s="275"/>
      <c r="I69" s="275"/>
      <c r="J69" s="275"/>
      <c r="K69" s="275"/>
      <c r="L69" s="275"/>
      <c r="M69" s="275"/>
      <c r="N69" s="274"/>
      <c r="O69" s="275"/>
      <c r="P69" s="275"/>
      <c r="Q69" s="275"/>
      <c r="R69" s="275"/>
      <c r="S69" s="275"/>
      <c r="T69" s="275"/>
      <c r="U69" s="275"/>
      <c r="V69" s="275"/>
      <c r="W69" s="274"/>
      <c r="X69" s="277"/>
      <c r="Y69" s="279"/>
      <c r="Z69" s="246"/>
    </row>
    <row r="70" spans="1:26">
      <c r="A70" s="199">
        <v>7</v>
      </c>
      <c r="B70" s="227">
        <v>0</v>
      </c>
      <c r="C70" s="228">
        <v>500</v>
      </c>
      <c r="D70" s="274">
        <f>+$F$90+C70*$F$92/100</f>
        <v>72.13</v>
      </c>
      <c r="E70" s="275">
        <f>+C70*$F$93/100</f>
        <v>19.215</v>
      </c>
      <c r="F70" s="275">
        <f>+C70*$F$94/100</f>
        <v>0.96</v>
      </c>
      <c r="G70" s="275">
        <f>+C70*$F$95/100</f>
        <v>0.27</v>
      </c>
      <c r="H70" s="275">
        <f>+C70*$F$97/100</f>
        <v>0.42</v>
      </c>
      <c r="I70" s="275">
        <f>+$C70*$F$96/100</f>
        <v>2.1350000000000002</v>
      </c>
      <c r="J70" s="275">
        <f>+$C70*$F$98/100</f>
        <v>3.875</v>
      </c>
      <c r="K70" s="275">
        <f>+$C70*$F$99/100</f>
        <v>0</v>
      </c>
      <c r="L70" s="275">
        <f>+SUM(D70:K70)*0.025641</f>
        <v>2.5385872049999998</v>
      </c>
      <c r="M70" s="275">
        <f>SUM(D70:L70)</f>
        <v>101.54358720499999</v>
      </c>
      <c r="N70" s="274">
        <f>(+C70*$I$92)/100+$I$90</f>
        <v>72.12</v>
      </c>
      <c r="O70" s="275">
        <f>+$I$93*$C70/100</f>
        <v>19.215</v>
      </c>
      <c r="P70" s="275">
        <f>+$C70*$I$94/100</f>
        <v>0.96</v>
      </c>
      <c r="Q70" s="275">
        <f>+$C70*$I$95/100</f>
        <v>0.27</v>
      </c>
      <c r="R70" s="275">
        <f>+$C70*$I$97/100</f>
        <v>0.42</v>
      </c>
      <c r="S70" s="275">
        <f>+$C70*$I$96/100</f>
        <v>2.1350000000000002</v>
      </c>
      <c r="T70" s="275">
        <f>+$C70*$I$98/100</f>
        <v>3.875</v>
      </c>
      <c r="U70" s="275">
        <f>+SUM(N70:T70)*0.025641</f>
        <v>2.5383307950000003</v>
      </c>
      <c r="V70" s="275">
        <f>SUM(N70:U70)</f>
        <v>101.53333079500001</v>
      </c>
      <c r="W70" s="274">
        <f>+V70-M70</f>
        <v>-1.0256409999982452E-2</v>
      </c>
      <c r="X70" s="277">
        <f>+W70/M70</f>
        <v>-1.0100499974731469E-4</v>
      </c>
      <c r="Y70" s="280">
        <f>+M70/C70*100</f>
        <v>20.308717440999999</v>
      </c>
      <c r="Z70" s="281">
        <f>+V70/C70*100</f>
        <v>20.306666159000002</v>
      </c>
    </row>
    <row r="71" spans="1:26">
      <c r="A71" s="199">
        <v>8</v>
      </c>
      <c r="B71" s="227"/>
      <c r="C71" s="228"/>
      <c r="D71" s="274"/>
      <c r="E71" s="275"/>
      <c r="F71" s="275"/>
      <c r="G71" s="275"/>
      <c r="H71" s="275"/>
      <c r="I71" s="275"/>
      <c r="J71" s="275"/>
      <c r="K71" s="275"/>
      <c r="L71" s="275"/>
      <c r="M71" s="275"/>
      <c r="N71" s="274"/>
      <c r="O71" s="275"/>
      <c r="P71" s="275"/>
      <c r="Q71" s="275"/>
      <c r="R71" s="275"/>
      <c r="S71" s="275"/>
      <c r="T71" s="275"/>
      <c r="U71" s="275"/>
      <c r="V71" s="275"/>
      <c r="W71" s="274"/>
      <c r="X71" s="277"/>
      <c r="Y71" s="279"/>
      <c r="Z71" s="246"/>
    </row>
    <row r="72" spans="1:26">
      <c r="A72" s="199">
        <v>9</v>
      </c>
      <c r="B72" s="227">
        <v>0</v>
      </c>
      <c r="C72" s="228">
        <v>750</v>
      </c>
      <c r="D72" s="274">
        <f>+$F$90+C72*$F$92/100</f>
        <v>89.144999999999982</v>
      </c>
      <c r="E72" s="275">
        <f>+C72*$F$93/100</f>
        <v>28.822500000000002</v>
      </c>
      <c r="F72" s="275">
        <f>+C72*$F$94/100</f>
        <v>1.44</v>
      </c>
      <c r="G72" s="275">
        <f>+C72*$F$95/100</f>
        <v>0.40500000000000003</v>
      </c>
      <c r="H72" s="275">
        <f>+C72*$F$97/100</f>
        <v>0.63000000000000012</v>
      </c>
      <c r="I72" s="275">
        <f>+$C72*$F$96/100</f>
        <v>3.2025000000000006</v>
      </c>
      <c r="J72" s="275">
        <f>+$C72*$F$98/100</f>
        <v>5.8125</v>
      </c>
      <c r="K72" s="275">
        <f>+$C72*$F$99/100</f>
        <v>0</v>
      </c>
      <c r="L72" s="275">
        <f>+SUM(D72:K72)*0.025641</f>
        <v>3.3194197574999995</v>
      </c>
      <c r="M72" s="275">
        <f>SUM(D72:L72)</f>
        <v>132.77691975749997</v>
      </c>
      <c r="N72" s="274">
        <f>(+C72*$I$92)/100+$I$90</f>
        <v>89.13</v>
      </c>
      <c r="O72" s="275">
        <f>+$I$93*$C72/100</f>
        <v>28.822500000000002</v>
      </c>
      <c r="P72" s="275">
        <f>+$C72*$I$94/100</f>
        <v>1.44</v>
      </c>
      <c r="Q72" s="275">
        <f>+$C72*$I$95/100</f>
        <v>0.40500000000000003</v>
      </c>
      <c r="R72" s="275">
        <f>+$C72*$I$97/100</f>
        <v>0.63000000000000012</v>
      </c>
      <c r="S72" s="275">
        <f>+$C72*$I$96/100</f>
        <v>3.2025000000000006</v>
      </c>
      <c r="T72" s="275">
        <f>+$C72*$I$98/100</f>
        <v>5.8125</v>
      </c>
      <c r="U72" s="275">
        <f>+SUM(N72:T72)*0.025641</f>
        <v>3.3190351424999998</v>
      </c>
      <c r="V72" s="275">
        <f>SUM(N72:U72)</f>
        <v>132.76153514250001</v>
      </c>
      <c r="W72" s="274">
        <f>+V72-M72</f>
        <v>-1.5384614999959467E-2</v>
      </c>
      <c r="X72" s="277">
        <f>+W72/M72</f>
        <v>-1.1586814205403692E-4</v>
      </c>
      <c r="Y72" s="280">
        <f>+M72/C72*100</f>
        <v>17.703589300999994</v>
      </c>
      <c r="Z72" s="281">
        <f>+V72/C72*100</f>
        <v>17.701538019000001</v>
      </c>
    </row>
    <row r="73" spans="1:26">
      <c r="A73" s="199">
        <v>10</v>
      </c>
      <c r="B73" s="227"/>
      <c r="C73" s="228"/>
      <c r="D73" s="274"/>
      <c r="E73" s="275"/>
      <c r="F73" s="275"/>
      <c r="G73" s="275"/>
      <c r="H73" s="275"/>
      <c r="I73" s="275"/>
      <c r="J73" s="275"/>
      <c r="K73" s="275"/>
      <c r="L73" s="275"/>
      <c r="M73" s="275"/>
      <c r="N73" s="274"/>
      <c r="O73" s="275"/>
      <c r="P73" s="275"/>
      <c r="Q73" s="275"/>
      <c r="R73" s="275"/>
      <c r="S73" s="275"/>
      <c r="T73" s="275"/>
      <c r="U73" s="275"/>
      <c r="V73" s="275"/>
      <c r="W73" s="274"/>
      <c r="X73" s="277"/>
      <c r="Y73" s="279"/>
      <c r="Z73" s="246"/>
    </row>
    <row r="74" spans="1:26">
      <c r="A74" s="199">
        <v>11</v>
      </c>
      <c r="B74" s="227">
        <v>0</v>
      </c>
      <c r="C74" s="228">
        <v>1000</v>
      </c>
      <c r="D74" s="274">
        <f>+$F$90+C74*$F$92/100</f>
        <v>106.16</v>
      </c>
      <c r="E74" s="275">
        <f>+C74*$F$93/100</f>
        <v>38.43</v>
      </c>
      <c r="F74" s="275">
        <f>+C74*$F$94/100</f>
        <v>1.92</v>
      </c>
      <c r="G74" s="275">
        <f>+C74*$F$95/100</f>
        <v>0.54</v>
      </c>
      <c r="H74" s="275">
        <f>+C74*$F$97/100</f>
        <v>0.84</v>
      </c>
      <c r="I74" s="275">
        <f>+$C74*$F$96/100</f>
        <v>4.2700000000000005</v>
      </c>
      <c r="J74" s="275">
        <f>+$C74*$F$98/100</f>
        <v>7.75</v>
      </c>
      <c r="K74" s="275">
        <f>+$C74*$F$99/100</f>
        <v>0</v>
      </c>
      <c r="L74" s="275">
        <f>+SUM(D74:K74)*0.025641</f>
        <v>4.1002523100000001</v>
      </c>
      <c r="M74" s="275">
        <f>SUM(D74:L74)</f>
        <v>164.01025231</v>
      </c>
      <c r="N74" s="274">
        <f>(+C74*$I$92)/100+$I$90</f>
        <v>106.14000000000001</v>
      </c>
      <c r="O74" s="275">
        <f>+$I$93*$C74/100</f>
        <v>38.43</v>
      </c>
      <c r="P74" s="275">
        <f>+$C74*$I$94/100</f>
        <v>1.92</v>
      </c>
      <c r="Q74" s="275">
        <f>+$C74*$I$95/100</f>
        <v>0.54</v>
      </c>
      <c r="R74" s="275">
        <f>+$C74*$I$97/100</f>
        <v>0.84</v>
      </c>
      <c r="S74" s="275">
        <f>+$C74*$I$96/100</f>
        <v>4.2700000000000005</v>
      </c>
      <c r="T74" s="275">
        <f>+$C74*$I$98/100</f>
        <v>7.75</v>
      </c>
      <c r="U74" s="275">
        <f>+SUM(N74:T74)*0.025641</f>
        <v>4.0997394900000002</v>
      </c>
      <c r="V74" s="275">
        <f>SUM(N74:U74)</f>
        <v>163.98973949000001</v>
      </c>
      <c r="W74" s="274">
        <f>+V74-M74</f>
        <v>-2.0512819999993326E-2</v>
      </c>
      <c r="X74" s="277">
        <f>+W74/M74</f>
        <v>-1.2507035207300039E-4</v>
      </c>
      <c r="Y74" s="280">
        <f>+M74/C74*100</f>
        <v>16.401025230999998</v>
      </c>
      <c r="Z74" s="281">
        <f>+V74/C74*100</f>
        <v>16.398973949000002</v>
      </c>
    </row>
    <row r="75" spans="1:26">
      <c r="A75" s="199">
        <v>12</v>
      </c>
      <c r="B75" s="227"/>
      <c r="C75" s="228"/>
      <c r="D75" s="274"/>
      <c r="E75" s="275"/>
      <c r="F75" s="275"/>
      <c r="G75" s="275"/>
      <c r="H75" s="275"/>
      <c r="I75" s="275"/>
      <c r="J75" s="275"/>
      <c r="K75" s="275"/>
      <c r="L75" s="275"/>
      <c r="M75" s="275"/>
      <c r="N75" s="274"/>
      <c r="O75" s="275"/>
      <c r="P75" s="275"/>
      <c r="Q75" s="275"/>
      <c r="R75" s="275"/>
      <c r="S75" s="275"/>
      <c r="T75" s="275"/>
      <c r="U75" s="275"/>
      <c r="V75" s="275"/>
      <c r="W75" s="274"/>
      <c r="X75" s="277"/>
      <c r="Y75" s="279"/>
      <c r="Z75" s="246"/>
    </row>
    <row r="76" spans="1:26">
      <c r="A76" s="199">
        <v>13</v>
      </c>
      <c r="B76" s="227">
        <v>0</v>
      </c>
      <c r="C76" s="228">
        <v>1250</v>
      </c>
      <c r="D76" s="274">
        <f>+$F$90+C76*$F$92/100</f>
        <v>123.17499999999998</v>
      </c>
      <c r="E76" s="275">
        <f>+C76*$F$93/100</f>
        <v>48.037500000000001</v>
      </c>
      <c r="F76" s="275">
        <f>+C76*$F$94/100</f>
        <v>2.4</v>
      </c>
      <c r="G76" s="275">
        <f>+C76*$F$95/100</f>
        <v>0.67500000000000004</v>
      </c>
      <c r="H76" s="275">
        <f>+C76*$F$97/100</f>
        <v>1.05</v>
      </c>
      <c r="I76" s="275">
        <f>+$C76*$F$96/100</f>
        <v>5.3375000000000012</v>
      </c>
      <c r="J76" s="275">
        <f>+$C76*$F$98/100</f>
        <v>9.6875</v>
      </c>
      <c r="K76" s="275">
        <f>+$C76*$F$99/100</f>
        <v>0</v>
      </c>
      <c r="L76" s="275">
        <f>+SUM(D76:K76)*0.025641</f>
        <v>4.8810848625000007</v>
      </c>
      <c r="M76" s="275">
        <f>SUM(D76:L76)</f>
        <v>195.2435848625</v>
      </c>
      <c r="N76" s="274">
        <f>(+C76*$I$92)/100+$I$90</f>
        <v>123.15</v>
      </c>
      <c r="O76" s="275">
        <f>+$I$93*$C76/100</f>
        <v>48.037500000000001</v>
      </c>
      <c r="P76" s="275">
        <f>+$C76*$I$94/100</f>
        <v>2.4</v>
      </c>
      <c r="Q76" s="275">
        <f>+$C76*$I$95/100</f>
        <v>0.67500000000000004</v>
      </c>
      <c r="R76" s="275">
        <f>+$C76*$I$97/100</f>
        <v>1.05</v>
      </c>
      <c r="S76" s="275">
        <f>+$C76*$I$96/100</f>
        <v>5.3375000000000012</v>
      </c>
      <c r="T76" s="275">
        <f>+$C76*$I$98/100</f>
        <v>9.6875</v>
      </c>
      <c r="U76" s="275">
        <f>+SUM(N76:T76)*0.025641</f>
        <v>4.8804438375000005</v>
      </c>
      <c r="V76" s="275">
        <f>SUM(N76:U76)</f>
        <v>195.21794383750003</v>
      </c>
      <c r="W76" s="274">
        <f>+V76-M76</f>
        <v>-2.5641024999970341E-2</v>
      </c>
      <c r="X76" s="277">
        <f>+W76/M76</f>
        <v>-1.3132838663061834E-4</v>
      </c>
      <c r="Y76" s="280">
        <f>+M76/C76*100</f>
        <v>15.619486789</v>
      </c>
      <c r="Z76" s="281">
        <f>+V76/C76*100</f>
        <v>15.617435507000001</v>
      </c>
    </row>
    <row r="77" spans="1:26">
      <c r="A77" s="199">
        <v>14</v>
      </c>
      <c r="B77" s="227"/>
      <c r="C77" s="228"/>
      <c r="D77" s="274"/>
      <c r="E77" s="275"/>
      <c r="F77" s="275"/>
      <c r="G77" s="275"/>
      <c r="H77" s="275"/>
      <c r="I77" s="275"/>
      <c r="J77" s="275"/>
      <c r="K77" s="275"/>
      <c r="L77" s="275"/>
      <c r="M77" s="275"/>
      <c r="N77" s="274"/>
      <c r="O77" s="275"/>
      <c r="P77" s="275"/>
      <c r="Q77" s="275"/>
      <c r="R77" s="275"/>
      <c r="S77" s="275"/>
      <c r="T77" s="275"/>
      <c r="U77" s="275"/>
      <c r="V77" s="275"/>
      <c r="W77" s="274"/>
      <c r="X77" s="277"/>
      <c r="Y77" s="279"/>
      <c r="Z77" s="246"/>
    </row>
    <row r="78" spans="1:26">
      <c r="A78" s="199">
        <v>15</v>
      </c>
      <c r="B78" s="227">
        <v>0</v>
      </c>
      <c r="C78" s="228">
        <v>1500</v>
      </c>
      <c r="D78" s="274">
        <f>+$F$90+C78*$F$92/100</f>
        <v>140.18999999999997</v>
      </c>
      <c r="E78" s="275">
        <f>+C78*$F$93/100</f>
        <v>57.645000000000003</v>
      </c>
      <c r="F78" s="275">
        <f>+C78*$F$94/100</f>
        <v>2.88</v>
      </c>
      <c r="G78" s="275">
        <f>+C78*$F$95/100</f>
        <v>0.81</v>
      </c>
      <c r="H78" s="275">
        <f>+C78*$F$97/100</f>
        <v>1.2600000000000002</v>
      </c>
      <c r="I78" s="275">
        <f>+$C78*$F$96/100</f>
        <v>6.4050000000000011</v>
      </c>
      <c r="J78" s="275">
        <f>+$C78*$F$98/100</f>
        <v>11.625</v>
      </c>
      <c r="K78" s="275">
        <f>+$C78*$F$99/100</f>
        <v>0</v>
      </c>
      <c r="L78" s="275">
        <f>+SUM(D78:K78)*0.025641</f>
        <v>5.6619174149999996</v>
      </c>
      <c r="M78" s="275">
        <f>SUM(D78:L78)</f>
        <v>226.47691741499997</v>
      </c>
      <c r="N78" s="274">
        <f>(+C78*$I$92)/100+$I$90</f>
        <v>140.16</v>
      </c>
      <c r="O78" s="275">
        <f>+$I$93*$C78/100</f>
        <v>57.645000000000003</v>
      </c>
      <c r="P78" s="275">
        <f>+$C78*$I$94/100</f>
        <v>2.88</v>
      </c>
      <c r="Q78" s="275">
        <f>+$C78*$I$95/100</f>
        <v>0.81</v>
      </c>
      <c r="R78" s="275">
        <f>+$C78*$I$97/100</f>
        <v>1.2600000000000002</v>
      </c>
      <c r="S78" s="275">
        <f>+$C78*$I$96/100</f>
        <v>6.4050000000000011</v>
      </c>
      <c r="T78" s="275">
        <f>+$C78*$I$98/100</f>
        <v>11.625</v>
      </c>
      <c r="U78" s="275">
        <f>+SUM(N78:T78)*0.025641</f>
        <v>5.6611481850000001</v>
      </c>
      <c r="V78" s="275">
        <f>SUM(N78:U78)</f>
        <v>226.446148185</v>
      </c>
      <c r="W78" s="274">
        <f>+V78-M78</f>
        <v>-3.0769229999975778E-2</v>
      </c>
      <c r="X78" s="277">
        <f>+W78/M78</f>
        <v>-1.3586033557492193E-4</v>
      </c>
      <c r="Y78" s="280">
        <f>+M78/C78*100</f>
        <v>15.098461160999999</v>
      </c>
      <c r="Z78" s="281">
        <f>+V78/C78*100</f>
        <v>15.096409878999999</v>
      </c>
    </row>
    <row r="79" spans="1:26">
      <c r="A79" s="199">
        <v>16</v>
      </c>
      <c r="B79" s="227"/>
      <c r="C79" s="228"/>
      <c r="D79" s="274"/>
      <c r="E79" s="275"/>
      <c r="F79" s="275"/>
      <c r="G79" s="275"/>
      <c r="H79" s="275"/>
      <c r="I79" s="275"/>
      <c r="J79" s="275"/>
      <c r="K79" s="275"/>
      <c r="L79" s="275"/>
      <c r="M79" s="275"/>
      <c r="N79" s="274"/>
      <c r="O79" s="275"/>
      <c r="P79" s="275"/>
      <c r="Q79" s="275"/>
      <c r="R79" s="275"/>
      <c r="S79" s="275"/>
      <c r="T79" s="275"/>
      <c r="U79" s="275"/>
      <c r="V79" s="275"/>
      <c r="W79" s="274"/>
      <c r="X79" s="277"/>
      <c r="Y79" s="279"/>
      <c r="Z79" s="246"/>
    </row>
    <row r="80" spans="1:26">
      <c r="A80" s="199">
        <v>17</v>
      </c>
      <c r="B80" s="227">
        <v>0</v>
      </c>
      <c r="C80" s="228">
        <v>2000</v>
      </c>
      <c r="D80" s="274">
        <f>+$F$90+C80*$F$92/100</f>
        <v>174.21999999999997</v>
      </c>
      <c r="E80" s="275">
        <f>+C80*$F$93/100</f>
        <v>76.86</v>
      </c>
      <c r="F80" s="275">
        <f>+C80*$F$94/100</f>
        <v>3.84</v>
      </c>
      <c r="G80" s="275">
        <f>+C80*$F$95/100</f>
        <v>1.08</v>
      </c>
      <c r="H80" s="275">
        <f>+C80*$F$97/100</f>
        <v>1.68</v>
      </c>
      <c r="I80" s="275">
        <f>+$C80*$F$96/100</f>
        <v>8.5400000000000009</v>
      </c>
      <c r="J80" s="275">
        <f>+$C80*$F$98/100</f>
        <v>15.5</v>
      </c>
      <c r="K80" s="275">
        <f>+$C80*$F$99/100</f>
        <v>0</v>
      </c>
      <c r="L80" s="275">
        <f>+SUM(D80:K80)*0.025641</f>
        <v>7.2235825200000008</v>
      </c>
      <c r="M80" s="275">
        <f>SUM(D80:L80)</f>
        <v>288.94358252000001</v>
      </c>
      <c r="N80" s="274">
        <f>(+C80*$I$92)/100+$I$90</f>
        <v>174.18</v>
      </c>
      <c r="O80" s="275">
        <f>+$I$93*$C80/100</f>
        <v>76.86</v>
      </c>
      <c r="P80" s="275">
        <f>+$C80*$I$94/100</f>
        <v>3.84</v>
      </c>
      <c r="Q80" s="275">
        <f>+$C80*$I$95/100</f>
        <v>1.08</v>
      </c>
      <c r="R80" s="275">
        <f>+$C80*$I$97/100</f>
        <v>1.68</v>
      </c>
      <c r="S80" s="275">
        <f>+$C80*$I$96/100</f>
        <v>8.5400000000000009</v>
      </c>
      <c r="T80" s="275">
        <f>+$C80*$I$98/100</f>
        <v>15.5</v>
      </c>
      <c r="U80" s="275">
        <f>+SUM(N80:T80)*0.025641</f>
        <v>7.2225568800000017</v>
      </c>
      <c r="V80" s="275">
        <f>SUM(N80:U80)</f>
        <v>288.90255688000008</v>
      </c>
      <c r="W80" s="274">
        <f>+V80-M80</f>
        <v>-4.1025639999929808E-2</v>
      </c>
      <c r="X80" s="277">
        <f>+W80/M80</f>
        <v>-1.4198494959509996E-4</v>
      </c>
      <c r="Y80" s="280">
        <f>+M80/C80*100</f>
        <v>14.447179126000002</v>
      </c>
      <c r="Z80" s="281">
        <f>+V80/C80*100</f>
        <v>14.445127844000002</v>
      </c>
    </row>
    <row r="81" spans="1:26">
      <c r="A81" s="199">
        <v>18</v>
      </c>
      <c r="B81" s="227"/>
      <c r="C81" s="228"/>
      <c r="D81" s="274"/>
      <c r="E81" s="275"/>
      <c r="F81" s="275"/>
      <c r="G81" s="275"/>
      <c r="H81" s="275"/>
      <c r="I81" s="275"/>
      <c r="J81" s="275"/>
      <c r="K81" s="275"/>
      <c r="L81" s="275"/>
      <c r="M81" s="275"/>
      <c r="N81" s="274"/>
      <c r="O81" s="275"/>
      <c r="P81" s="275"/>
      <c r="Q81" s="275"/>
      <c r="R81" s="275"/>
      <c r="S81" s="275"/>
      <c r="T81" s="275"/>
      <c r="U81" s="275"/>
      <c r="V81" s="275"/>
      <c r="W81" s="274"/>
      <c r="X81" s="277"/>
      <c r="Y81" s="279"/>
      <c r="Z81" s="246"/>
    </row>
    <row r="82" spans="1:26">
      <c r="A82" s="199">
        <v>19</v>
      </c>
      <c r="B82" s="227">
        <v>0</v>
      </c>
      <c r="C82" s="228">
        <v>3000</v>
      </c>
      <c r="D82" s="274">
        <f>+$F$90+C82*$F$92/100</f>
        <v>242.27999999999994</v>
      </c>
      <c r="E82" s="275">
        <f>+C82*$F$93/100</f>
        <v>115.29</v>
      </c>
      <c r="F82" s="275">
        <f>+C82*$F$94/100</f>
        <v>5.76</v>
      </c>
      <c r="G82" s="275">
        <f>+C82*$F$95/100</f>
        <v>1.62</v>
      </c>
      <c r="H82" s="275">
        <f>+C82*$F$97/100</f>
        <v>2.5200000000000005</v>
      </c>
      <c r="I82" s="275">
        <f>+$C82*$F$96/100</f>
        <v>12.810000000000002</v>
      </c>
      <c r="J82" s="275">
        <f>+$C82*$F$98/100</f>
        <v>23.25</v>
      </c>
      <c r="K82" s="275">
        <f>+$C82*$F$99/100</f>
        <v>0</v>
      </c>
      <c r="L82" s="275">
        <f>+SUM(D82:K82)*0.025641</f>
        <v>10.346912729999998</v>
      </c>
      <c r="M82" s="275">
        <f>SUM(D82:L82)</f>
        <v>413.8769127299999</v>
      </c>
      <c r="N82" s="274">
        <f>(+C82*$I$92)/100+$I$90</f>
        <v>242.22</v>
      </c>
      <c r="O82" s="275">
        <f>+$I$93*$C82/100</f>
        <v>115.29</v>
      </c>
      <c r="P82" s="275">
        <f>+$C82*$I$94/100</f>
        <v>5.76</v>
      </c>
      <c r="Q82" s="275">
        <f>+$C82*$I$95/100</f>
        <v>1.62</v>
      </c>
      <c r="R82" s="275">
        <f>+$C82*$I$97/100</f>
        <v>2.5200000000000005</v>
      </c>
      <c r="S82" s="275">
        <f>+$C82*$I$96/100</f>
        <v>12.810000000000002</v>
      </c>
      <c r="T82" s="275">
        <f>+$C82*$I$98/100</f>
        <v>23.25</v>
      </c>
      <c r="U82" s="275">
        <f>+SUM(N82:T82)*0.025641</f>
        <v>10.345374269999999</v>
      </c>
      <c r="V82" s="275">
        <f>SUM(N82:U82)</f>
        <v>413.81537426999995</v>
      </c>
      <c r="W82" s="274">
        <f>+V82-M82</f>
        <v>-6.1538459999951556E-2</v>
      </c>
      <c r="X82" s="277">
        <f>+W82/M82</f>
        <v>-1.4868782990100558E-4</v>
      </c>
      <c r="Y82" s="280">
        <f>+M82/C82*100</f>
        <v>13.795897090999997</v>
      </c>
      <c r="Z82" s="281">
        <f>+V82/C82*100</f>
        <v>13.793845808999999</v>
      </c>
    </row>
    <row r="83" spans="1:26">
      <c r="A83" s="199">
        <v>20</v>
      </c>
      <c r="B83" s="227"/>
      <c r="C83" s="228"/>
      <c r="D83" s="274"/>
      <c r="E83" s="275"/>
      <c r="F83" s="275"/>
      <c r="G83" s="275"/>
      <c r="H83" s="275"/>
      <c r="I83" s="275"/>
      <c r="J83" s="275"/>
      <c r="K83" s="275"/>
      <c r="L83" s="275"/>
      <c r="M83" s="275"/>
      <c r="N83" s="274"/>
      <c r="O83" s="275"/>
      <c r="P83" s="275"/>
      <c r="Q83" s="275"/>
      <c r="R83" s="275"/>
      <c r="S83" s="275"/>
      <c r="T83" s="275"/>
      <c r="U83" s="275"/>
      <c r="V83" s="275"/>
      <c r="W83" s="274"/>
      <c r="X83" s="277"/>
      <c r="Y83" s="279"/>
      <c r="Z83" s="246"/>
    </row>
    <row r="84" spans="1:26">
      <c r="A84" s="199">
        <v>21</v>
      </c>
      <c r="B84" s="227">
        <v>0</v>
      </c>
      <c r="C84" s="228">
        <v>5000</v>
      </c>
      <c r="D84" s="274">
        <f>+$F$90+C84*$F$92/100</f>
        <v>378.4</v>
      </c>
      <c r="E84" s="275">
        <f>+C84*$F$93/100</f>
        <v>192.15</v>
      </c>
      <c r="F84" s="275">
        <f>+C84*$F$94/100</f>
        <v>9.6</v>
      </c>
      <c r="G84" s="275">
        <f>+C84*$F$95/100</f>
        <v>2.7</v>
      </c>
      <c r="H84" s="275">
        <f>+C84*$F$97/100</f>
        <v>4.2</v>
      </c>
      <c r="I84" s="275">
        <f>+$C84*$F$96/100</f>
        <v>21.350000000000005</v>
      </c>
      <c r="J84" s="275">
        <f>+$C84*$F$98/100</f>
        <v>38.75</v>
      </c>
      <c r="K84" s="275">
        <f>+$C84*$F$99/100</f>
        <v>0</v>
      </c>
      <c r="L84" s="275">
        <f>+SUM(D84:K84)*0.025641</f>
        <v>16.593573150000001</v>
      </c>
      <c r="M84" s="275">
        <f>SUM(D84:L84)</f>
        <v>663.74357315000009</v>
      </c>
      <c r="N84" s="274">
        <f>(+C84*$I$92)/100+$I$90</f>
        <v>378.3</v>
      </c>
      <c r="O84" s="275">
        <f>+$I$93*$C84/100</f>
        <v>192.15</v>
      </c>
      <c r="P84" s="275">
        <f>+$C84*$I$94/100</f>
        <v>9.6</v>
      </c>
      <c r="Q84" s="275">
        <f>+$C84*$I$95/100</f>
        <v>2.7</v>
      </c>
      <c r="R84" s="275">
        <f>+$C84*$I$97/100</f>
        <v>4.2</v>
      </c>
      <c r="S84" s="275">
        <f>+$C84*$I$96/100</f>
        <v>21.350000000000005</v>
      </c>
      <c r="T84" s="275">
        <f>+$C84*$I$98/100</f>
        <v>38.75</v>
      </c>
      <c r="U84" s="275">
        <f>+SUM(N84:T84)*0.025641</f>
        <v>16.591009050000004</v>
      </c>
      <c r="V84" s="275">
        <f>SUM(N84:U84)</f>
        <v>663.64100905000021</v>
      </c>
      <c r="W84" s="274">
        <f>+V84-M84</f>
        <v>-0.10256409999988136</v>
      </c>
      <c r="X84" s="277">
        <f>+W84/M84</f>
        <v>-1.545236807538968E-4</v>
      </c>
      <c r="Y84" s="280">
        <f>+M84/C84*100</f>
        <v>13.274871463000002</v>
      </c>
      <c r="Z84" s="281">
        <f>+V84/C84*100</f>
        <v>13.272820181000004</v>
      </c>
    </row>
    <row r="85" spans="1:26">
      <c r="A85" s="199">
        <v>22</v>
      </c>
      <c r="B85" s="227"/>
      <c r="C85" s="228"/>
      <c r="D85" s="274"/>
      <c r="E85" s="275"/>
      <c r="F85" s="275"/>
      <c r="G85" s="275"/>
      <c r="H85" s="275"/>
      <c r="I85" s="275"/>
      <c r="J85" s="275"/>
      <c r="K85" s="275"/>
      <c r="L85" s="275"/>
      <c r="M85" s="275"/>
      <c r="N85" s="274"/>
      <c r="O85" s="275"/>
      <c r="P85" s="275"/>
      <c r="Q85" s="275"/>
      <c r="R85" s="275"/>
      <c r="S85" s="275"/>
      <c r="T85" s="275"/>
      <c r="U85" s="275"/>
      <c r="V85" s="275"/>
      <c r="W85" s="274"/>
      <c r="X85" s="277"/>
      <c r="Y85" s="279"/>
      <c r="Z85" s="246"/>
    </row>
    <row r="86" spans="1:26">
      <c r="A86" s="199">
        <v>23</v>
      </c>
      <c r="B86" s="227">
        <v>0</v>
      </c>
      <c r="C86" s="228">
        <v>8500</v>
      </c>
      <c r="D86" s="274">
        <f>+$F$90+C86*$F$92/100</f>
        <v>616.6099999999999</v>
      </c>
      <c r="E86" s="275">
        <f>+C86*$F$93/100</f>
        <v>326.65499999999997</v>
      </c>
      <c r="F86" s="275">
        <f>+C86*$F$94/100</f>
        <v>16.32</v>
      </c>
      <c r="G86" s="275">
        <f>+C86*$F$95/100</f>
        <v>4.59</v>
      </c>
      <c r="H86" s="275">
        <f>+C86*$F$97/100</f>
        <v>7.14</v>
      </c>
      <c r="I86" s="275">
        <f>+$C86*$F$96/100</f>
        <v>36.295000000000002</v>
      </c>
      <c r="J86" s="275">
        <f>+$C86*$F$98/100</f>
        <v>65.875</v>
      </c>
      <c r="K86" s="275">
        <f>+$C86*$F$99/100</f>
        <v>0</v>
      </c>
      <c r="L86" s="275">
        <f>+SUM(D86:K86)*0.025641</f>
        <v>27.525228884999997</v>
      </c>
      <c r="M86" s="275">
        <f>SUM(D86:L86)</f>
        <v>1101.0102288849998</v>
      </c>
      <c r="N86" s="274">
        <f>(+C86*$I$92)/100+$I$90</f>
        <v>616.44000000000005</v>
      </c>
      <c r="O86" s="275">
        <f>+$I$93*$C86/100</f>
        <v>326.65499999999997</v>
      </c>
      <c r="P86" s="275">
        <f>+$C86*$I$94/100</f>
        <v>16.32</v>
      </c>
      <c r="Q86" s="275">
        <f>+$C86*$I$95/100</f>
        <v>4.59</v>
      </c>
      <c r="R86" s="275">
        <f>+$C86*$I$97/100</f>
        <v>7.14</v>
      </c>
      <c r="S86" s="275">
        <f>+$C86*$I$96/100</f>
        <v>36.295000000000002</v>
      </c>
      <c r="T86" s="275">
        <f>+$C86*$I$98/100</f>
        <v>65.875</v>
      </c>
      <c r="U86" s="275">
        <f>+SUM(N86:T86)*0.025641</f>
        <v>27.520869915000002</v>
      </c>
      <c r="V86" s="275">
        <f>SUM(N86:U86)</f>
        <v>1100.8358699150001</v>
      </c>
      <c r="W86" s="274">
        <f>+V86-M86</f>
        <v>-0.17435896999973011</v>
      </c>
      <c r="X86" s="277">
        <f>+W86/M86</f>
        <v>-1.583627158271768E-4</v>
      </c>
      <c r="Y86" s="280">
        <f>+M86/C86*100</f>
        <v>12.953061516294115</v>
      </c>
      <c r="Z86" s="281">
        <f>+V86/C86*100</f>
        <v>12.951010234294118</v>
      </c>
    </row>
    <row r="87" spans="1:26">
      <c r="A87" s="199">
        <v>24</v>
      </c>
      <c r="B87" s="227"/>
      <c r="C87" s="228"/>
      <c r="D87" s="275"/>
      <c r="E87" s="275"/>
      <c r="F87" s="275"/>
      <c r="G87" s="275"/>
      <c r="H87" s="275"/>
      <c r="I87" s="275"/>
      <c r="J87" s="275"/>
      <c r="K87" s="275"/>
      <c r="L87" s="275"/>
      <c r="M87" s="275"/>
      <c r="N87" s="275"/>
      <c r="O87" s="275"/>
      <c r="P87" s="275"/>
      <c r="Q87" s="275"/>
      <c r="R87" s="275"/>
      <c r="S87" s="275"/>
      <c r="T87" s="275"/>
      <c r="U87" s="275"/>
      <c r="V87" s="275"/>
      <c r="W87" s="277"/>
      <c r="X87" s="281"/>
      <c r="Y87" s="281"/>
    </row>
    <row r="88" spans="1:26">
      <c r="A88" s="199">
        <v>25</v>
      </c>
      <c r="B88" s="227"/>
      <c r="C88" s="228"/>
      <c r="D88" s="215"/>
      <c r="E88" s="215"/>
      <c r="F88" s="215"/>
      <c r="G88" s="215"/>
      <c r="H88" s="215"/>
      <c r="I88" s="215"/>
      <c r="J88" s="215"/>
      <c r="K88" s="215"/>
      <c r="L88" s="215"/>
      <c r="M88" s="215"/>
      <c r="N88" s="215"/>
      <c r="O88" s="215"/>
      <c r="P88" s="215"/>
      <c r="Q88" s="215"/>
      <c r="R88" s="215"/>
      <c r="S88" s="215"/>
      <c r="T88" s="215"/>
      <c r="U88" s="215"/>
      <c r="V88" s="215"/>
      <c r="W88" s="254"/>
      <c r="X88" s="289"/>
      <c r="Y88" s="246"/>
    </row>
    <row r="89" spans="1:26">
      <c r="A89" s="199">
        <v>26</v>
      </c>
      <c r="B89" s="227"/>
      <c r="C89" s="206"/>
      <c r="D89" s="206"/>
      <c r="E89" s="206"/>
      <c r="F89" s="325" t="s">
        <v>215</v>
      </c>
      <c r="G89" s="325"/>
      <c r="H89" s="206"/>
      <c r="I89" s="325" t="s">
        <v>227</v>
      </c>
      <c r="J89" s="325"/>
      <c r="K89" s="206"/>
      <c r="O89" s="199"/>
      <c r="P89" s="228"/>
      <c r="Q89" s="228"/>
      <c r="R89" s="228"/>
      <c r="S89" s="228"/>
      <c r="T89" s="228"/>
      <c r="U89" s="228"/>
      <c r="V89" s="228"/>
      <c r="W89" s="228"/>
      <c r="X89" s="228"/>
      <c r="Y89" s="228"/>
    </row>
    <row r="90" spans="1:26">
      <c r="A90" s="199">
        <v>27</v>
      </c>
      <c r="B90" s="227"/>
      <c r="C90" s="204" t="s">
        <v>228</v>
      </c>
      <c r="D90" s="206"/>
      <c r="E90" s="206"/>
      <c r="F90" s="282">
        <f>+ROUND('Rate Impacts'!I62,2)*30</f>
        <v>38.1</v>
      </c>
      <c r="G90" s="204" t="s">
        <v>229</v>
      </c>
      <c r="H90" s="206"/>
      <c r="I90" s="282">
        <f>+ROUND('Scenario GS Rates'!Q19,2)*30</f>
        <v>38.1</v>
      </c>
      <c r="J90" s="204" t="s">
        <v>229</v>
      </c>
      <c r="K90" s="204"/>
      <c r="L90" s="282"/>
      <c r="P90" s="228"/>
      <c r="Q90" s="228"/>
      <c r="T90" s="228"/>
      <c r="U90" s="228"/>
      <c r="V90" s="228"/>
      <c r="W90" s="228"/>
      <c r="X90" s="228"/>
      <c r="Y90" s="228"/>
    </row>
    <row r="91" spans="1:26">
      <c r="A91" s="199">
        <v>28</v>
      </c>
      <c r="B91" s="227"/>
      <c r="C91" s="204" t="s">
        <v>230</v>
      </c>
      <c r="D91" s="206"/>
      <c r="E91" s="206"/>
      <c r="F91" s="282">
        <v>0</v>
      </c>
      <c r="G91" s="204" t="s">
        <v>101</v>
      </c>
      <c r="H91" s="206"/>
      <c r="I91" s="282">
        <v>0</v>
      </c>
      <c r="J91" s="204" t="s">
        <v>101</v>
      </c>
      <c r="K91" s="204"/>
      <c r="L91" s="283"/>
      <c r="P91" s="228"/>
      <c r="T91" s="228"/>
      <c r="U91" s="228"/>
      <c r="V91" s="228"/>
      <c r="W91" s="228"/>
      <c r="X91" s="228"/>
      <c r="Y91" s="228"/>
    </row>
    <row r="92" spans="1:26">
      <c r="A92" s="199">
        <v>29</v>
      </c>
      <c r="B92" s="227"/>
      <c r="C92" s="204" t="s">
        <v>231</v>
      </c>
      <c r="D92" s="206"/>
      <c r="E92" s="206"/>
      <c r="F92" s="284">
        <f>+ROUND('Rate Impacts'!I67,5)*100</f>
        <v>6.8059999999999992</v>
      </c>
      <c r="G92" s="204" t="s">
        <v>109</v>
      </c>
      <c r="H92" s="206"/>
      <c r="I92" s="284">
        <f>+ROUND('Scenario GS Rates'!Q25,5)*100</f>
        <v>6.8040000000000003</v>
      </c>
      <c r="J92" s="204" t="s">
        <v>109</v>
      </c>
      <c r="K92" s="204"/>
      <c r="L92" s="284"/>
      <c r="P92" s="228"/>
      <c r="Q92" s="228"/>
      <c r="T92" s="228"/>
      <c r="U92" s="228"/>
      <c r="V92" s="228"/>
      <c r="W92" s="228"/>
      <c r="X92" s="228"/>
      <c r="Y92" s="228"/>
    </row>
    <row r="93" spans="1:26">
      <c r="A93" s="199">
        <v>30</v>
      </c>
      <c r="B93" s="227"/>
      <c r="C93" s="204" t="s">
        <v>243</v>
      </c>
      <c r="F93" s="284">
        <f>0.03843*100</f>
        <v>3.843</v>
      </c>
      <c r="G93" s="204" t="s">
        <v>109</v>
      </c>
      <c r="I93" s="284">
        <f t="shared" ref="I93:I98" si="1">+F93</f>
        <v>3.843</v>
      </c>
      <c r="J93" s="204" t="s">
        <v>109</v>
      </c>
      <c r="K93" s="204"/>
      <c r="L93" s="284"/>
      <c r="P93" s="228"/>
      <c r="Q93" s="228"/>
      <c r="T93" s="228"/>
      <c r="U93" s="228"/>
      <c r="V93" s="228"/>
      <c r="W93" s="228"/>
      <c r="X93" s="228"/>
      <c r="Y93" s="228"/>
    </row>
    <row r="94" spans="1:26">
      <c r="A94" s="199">
        <v>31</v>
      </c>
      <c r="B94" s="227"/>
      <c r="C94" s="204" t="s">
        <v>235</v>
      </c>
      <c r="D94" s="206"/>
      <c r="E94" s="206"/>
      <c r="F94" s="284">
        <f>0.00192*100</f>
        <v>0.192</v>
      </c>
      <c r="G94" s="204" t="s">
        <v>109</v>
      </c>
      <c r="H94" s="206"/>
      <c r="I94" s="284">
        <f t="shared" si="1"/>
        <v>0.192</v>
      </c>
      <c r="J94" s="204" t="s">
        <v>109</v>
      </c>
      <c r="K94" s="204"/>
      <c r="L94" s="284"/>
      <c r="P94" s="228"/>
      <c r="Q94" s="228"/>
      <c r="T94" s="228"/>
      <c r="U94" s="228"/>
      <c r="V94" s="228"/>
      <c r="W94" s="228"/>
      <c r="X94" s="228"/>
      <c r="Y94" s="228"/>
    </row>
    <row r="95" spans="1:26">
      <c r="A95" s="199">
        <v>32</v>
      </c>
      <c r="B95" s="227"/>
      <c r="C95" s="204" t="s">
        <v>236</v>
      </c>
      <c r="D95" s="206"/>
      <c r="E95" s="206"/>
      <c r="F95" s="284">
        <f>0.00054*100</f>
        <v>5.3999999999999999E-2</v>
      </c>
      <c r="G95" s="204" t="s">
        <v>109</v>
      </c>
      <c r="I95" s="284">
        <f t="shared" si="1"/>
        <v>5.3999999999999999E-2</v>
      </c>
      <c r="J95" s="204" t="s">
        <v>109</v>
      </c>
      <c r="K95" s="204"/>
      <c r="L95" s="284"/>
      <c r="P95" s="228"/>
      <c r="Q95" s="228"/>
      <c r="R95" s="228"/>
      <c r="S95" s="228"/>
      <c r="T95" s="228"/>
      <c r="U95" s="228"/>
      <c r="V95" s="228"/>
      <c r="W95" s="228"/>
      <c r="X95" s="228"/>
      <c r="Y95" s="228"/>
    </row>
    <row r="96" spans="1:26">
      <c r="A96" s="199">
        <v>33</v>
      </c>
      <c r="B96" s="227"/>
      <c r="C96" s="204" t="s">
        <v>237</v>
      </c>
      <c r="D96" s="206"/>
      <c r="E96" s="206"/>
      <c r="F96" s="284">
        <f>0.00427*100</f>
        <v>0.42700000000000005</v>
      </c>
      <c r="G96" s="204" t="s">
        <v>109</v>
      </c>
      <c r="I96" s="284">
        <f t="shared" si="1"/>
        <v>0.42700000000000005</v>
      </c>
      <c r="J96" s="204" t="s">
        <v>109</v>
      </c>
      <c r="K96" s="204"/>
      <c r="L96" s="284"/>
      <c r="P96" s="228"/>
      <c r="Q96" s="228"/>
      <c r="R96" s="228"/>
      <c r="S96" s="228"/>
      <c r="T96" s="228"/>
      <c r="U96" s="228"/>
      <c r="V96" s="228"/>
      <c r="W96" s="228"/>
      <c r="X96" s="228"/>
      <c r="Y96" s="228"/>
    </row>
    <row r="97" spans="1:26">
      <c r="A97" s="199">
        <v>34</v>
      </c>
      <c r="B97" s="227"/>
      <c r="C97" s="204" t="s">
        <v>238</v>
      </c>
      <c r="D97" s="206"/>
      <c r="E97" s="206"/>
      <c r="F97" s="284">
        <f>0.00084*100</f>
        <v>8.4000000000000005E-2</v>
      </c>
      <c r="G97" s="204" t="s">
        <v>109</v>
      </c>
      <c r="H97" s="287"/>
      <c r="I97" s="284">
        <f t="shared" si="1"/>
        <v>8.4000000000000005E-2</v>
      </c>
      <c r="J97" s="204" t="s">
        <v>109</v>
      </c>
      <c r="K97" s="204"/>
      <c r="L97" s="284"/>
      <c r="P97" s="228"/>
      <c r="Q97" s="228"/>
      <c r="R97" s="228"/>
      <c r="S97" s="228"/>
      <c r="T97" s="228"/>
      <c r="U97" s="228"/>
      <c r="V97" s="228"/>
      <c r="W97" s="228"/>
      <c r="X97" s="228"/>
      <c r="Y97" s="228"/>
    </row>
    <row r="98" spans="1:26">
      <c r="A98" s="199">
        <v>35</v>
      </c>
      <c r="B98" s="227"/>
      <c r="C98" s="204" t="s">
        <v>239</v>
      </c>
      <c r="D98" s="206"/>
      <c r="E98" s="206"/>
      <c r="F98" s="284">
        <f>0.00775*100</f>
        <v>0.77500000000000002</v>
      </c>
      <c r="G98" s="204" t="s">
        <v>109</v>
      </c>
      <c r="H98" s="287"/>
      <c r="I98" s="284">
        <f t="shared" si="1"/>
        <v>0.77500000000000002</v>
      </c>
      <c r="J98" s="204" t="s">
        <v>109</v>
      </c>
      <c r="K98" s="204"/>
      <c r="L98" s="284"/>
      <c r="P98" s="228"/>
      <c r="Q98" s="228"/>
      <c r="R98" s="228"/>
      <c r="S98" s="228"/>
      <c r="T98" s="228"/>
      <c r="U98" s="228"/>
      <c r="V98" s="228"/>
      <c r="W98" s="228"/>
      <c r="X98" s="228"/>
      <c r="Y98" s="228"/>
    </row>
    <row r="99" spans="1:26">
      <c r="A99" s="199">
        <v>36</v>
      </c>
      <c r="B99" s="199"/>
      <c r="C99" s="204" t="s">
        <v>240</v>
      </c>
      <c r="D99" s="206"/>
      <c r="E99" s="206"/>
      <c r="F99" s="284">
        <v>0</v>
      </c>
      <c r="G99" s="204" t="s">
        <v>109</v>
      </c>
      <c r="H99" s="287"/>
      <c r="I99" s="284"/>
      <c r="J99" s="204"/>
      <c r="P99" s="287"/>
      <c r="Q99" s="287"/>
      <c r="R99" s="287"/>
      <c r="S99" s="287"/>
      <c r="T99" s="287"/>
      <c r="U99" s="287"/>
      <c r="V99" s="287"/>
      <c r="W99" s="287"/>
      <c r="X99" s="287"/>
      <c r="Y99" s="287"/>
    </row>
    <row r="100" spans="1:26">
      <c r="A100" s="199">
        <v>37</v>
      </c>
      <c r="B100" s="199"/>
      <c r="C100" s="228"/>
      <c r="P100" s="287"/>
      <c r="Q100" s="287"/>
      <c r="R100" s="287"/>
      <c r="S100" s="287"/>
      <c r="T100" s="287"/>
      <c r="U100" s="287"/>
      <c r="V100" s="287"/>
      <c r="W100" s="287"/>
      <c r="X100" s="287"/>
      <c r="Y100" s="287"/>
    </row>
    <row r="101" spans="1:26">
      <c r="A101" s="199">
        <v>38</v>
      </c>
      <c r="B101" s="199"/>
      <c r="C101" s="228" t="s">
        <v>241</v>
      </c>
      <c r="O101" s="287"/>
      <c r="P101" s="287"/>
      <c r="Q101" s="287"/>
      <c r="R101" s="287"/>
      <c r="S101" s="287"/>
      <c r="T101" s="287"/>
      <c r="U101" s="287"/>
      <c r="V101" s="287"/>
      <c r="W101" s="287"/>
      <c r="X101" s="287"/>
      <c r="Y101" s="287"/>
    </row>
    <row r="102" spans="1:26">
      <c r="A102" s="199">
        <v>41</v>
      </c>
      <c r="B102" s="199"/>
      <c r="C102" s="228"/>
      <c r="E102" s="199"/>
      <c r="F102" s="287"/>
      <c r="G102" s="287"/>
      <c r="H102" s="287"/>
      <c r="I102" s="287"/>
      <c r="J102" s="287"/>
      <c r="K102" s="287"/>
      <c r="L102" s="287"/>
      <c r="M102" s="287"/>
      <c r="N102" s="287"/>
      <c r="O102" s="287"/>
      <c r="P102" s="287"/>
      <c r="Q102" s="287"/>
      <c r="R102" s="287"/>
      <c r="S102" s="287"/>
      <c r="T102" s="287"/>
      <c r="U102" s="287"/>
      <c r="V102" s="287"/>
      <c r="W102" s="287"/>
      <c r="X102" s="287"/>
      <c r="Y102" s="287"/>
    </row>
    <row r="103" spans="1:26" ht="13.5" thickBot="1">
      <c r="A103" s="199">
        <v>42</v>
      </c>
      <c r="B103" s="200"/>
      <c r="C103" s="200"/>
      <c r="D103" s="200"/>
      <c r="E103" s="200"/>
      <c r="F103" s="200"/>
      <c r="G103" s="200"/>
      <c r="H103" s="200"/>
      <c r="I103" s="200"/>
      <c r="J103" s="200"/>
      <c r="K103" s="200"/>
      <c r="L103" s="200"/>
      <c r="M103" s="200"/>
      <c r="N103" s="200"/>
      <c r="O103" s="200"/>
      <c r="P103" s="200"/>
      <c r="Q103" s="200"/>
      <c r="R103" s="200"/>
      <c r="S103" s="200"/>
      <c r="T103" s="200"/>
      <c r="U103" s="200"/>
      <c r="V103" s="200"/>
      <c r="W103" s="200"/>
      <c r="X103" s="200"/>
      <c r="Y103" s="200"/>
      <c r="Z103" s="263"/>
    </row>
    <row r="104" spans="1:26">
      <c r="A104" s="199"/>
      <c r="B104" s="199"/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  <c r="W104" s="199"/>
      <c r="X104" s="199"/>
      <c r="Y104" s="199"/>
    </row>
    <row r="105" spans="1:26" ht="13.5" thickBot="1">
      <c r="A105" s="200"/>
      <c r="B105" s="200"/>
      <c r="C105" s="200"/>
      <c r="D105" s="200"/>
      <c r="E105" s="200"/>
      <c r="F105" s="200"/>
      <c r="G105" s="200"/>
      <c r="H105" s="200"/>
      <c r="I105" s="200"/>
      <c r="J105" s="200"/>
      <c r="K105" s="200"/>
      <c r="L105" s="200"/>
      <c r="M105" s="200"/>
      <c r="N105" s="200"/>
      <c r="O105" s="200"/>
      <c r="P105" s="200"/>
      <c r="Q105" s="200"/>
      <c r="R105" s="200"/>
      <c r="S105" s="200"/>
      <c r="T105" s="200"/>
      <c r="U105" s="200"/>
      <c r="V105" s="200"/>
      <c r="W105" s="200"/>
      <c r="X105" s="200"/>
      <c r="Y105" s="200"/>
      <c r="Z105" s="263"/>
    </row>
    <row r="106" spans="1:26">
      <c r="A106" s="199"/>
      <c r="B106" s="199"/>
      <c r="C106" s="199"/>
      <c r="D106" s="199"/>
      <c r="E106" s="199"/>
      <c r="F106" s="199"/>
      <c r="G106" s="199"/>
      <c r="H106" s="199"/>
      <c r="I106" s="199"/>
      <c r="J106" s="199"/>
      <c r="K106" s="199"/>
      <c r="L106" s="199"/>
      <c r="M106" s="203"/>
      <c r="N106" s="203"/>
      <c r="O106" s="199"/>
      <c r="P106" s="203"/>
      <c r="Q106" s="203"/>
      <c r="R106" s="203"/>
      <c r="S106" s="203"/>
      <c r="T106" s="203"/>
      <c r="U106" s="203"/>
      <c r="V106" s="203"/>
      <c r="W106" s="199"/>
      <c r="X106" s="199"/>
      <c r="Y106" s="204"/>
    </row>
    <row r="107" spans="1:26">
      <c r="A107" s="199"/>
      <c r="B107" s="199"/>
      <c r="C107" s="199"/>
      <c r="D107" s="199"/>
      <c r="E107" s="199"/>
      <c r="F107" s="199"/>
      <c r="G107" s="199"/>
      <c r="H107" s="199"/>
      <c r="I107" s="199"/>
      <c r="J107" s="199"/>
      <c r="K107" s="199"/>
      <c r="L107" s="199"/>
      <c r="M107" s="202"/>
      <c r="N107" s="204"/>
      <c r="O107" s="199"/>
      <c r="P107" s="199"/>
      <c r="Q107" s="199"/>
      <c r="R107" s="199"/>
      <c r="S107" s="199"/>
      <c r="T107" s="199"/>
      <c r="U107" s="202"/>
      <c r="V107" s="202"/>
      <c r="W107" s="204"/>
      <c r="X107" s="199"/>
      <c r="Y107" s="202"/>
    </row>
    <row r="108" spans="1:26">
      <c r="A108" s="199"/>
      <c r="B108" s="199"/>
      <c r="C108" s="199"/>
      <c r="D108" s="199"/>
      <c r="E108" s="199"/>
      <c r="F108" s="199"/>
      <c r="G108" s="199"/>
      <c r="H108" s="199"/>
      <c r="I108" s="199"/>
      <c r="J108" s="199"/>
      <c r="K108" s="199"/>
      <c r="L108" s="199"/>
      <c r="M108" s="202"/>
      <c r="N108" s="204"/>
      <c r="O108" s="202"/>
      <c r="P108" s="199"/>
      <c r="Q108" s="199"/>
      <c r="R108" s="199"/>
      <c r="S108" s="199"/>
      <c r="T108" s="199"/>
      <c r="U108" s="199"/>
      <c r="V108" s="204"/>
      <c r="W108" s="204"/>
      <c r="X108" s="199"/>
      <c r="Y108" s="202"/>
    </row>
    <row r="109" spans="1:26">
      <c r="A109" s="199"/>
      <c r="B109" s="199"/>
      <c r="C109" s="199"/>
      <c r="D109" s="199"/>
      <c r="E109" s="199"/>
      <c r="F109" s="199"/>
      <c r="G109" s="326" t="s">
        <v>244</v>
      </c>
      <c r="H109" s="326"/>
      <c r="I109" s="326"/>
      <c r="J109" s="326"/>
      <c r="K109" s="326"/>
      <c r="L109" s="326"/>
      <c r="M109" s="326"/>
      <c r="N109" s="326"/>
      <c r="O109" s="326"/>
      <c r="P109" s="326"/>
      <c r="Q109" s="326"/>
      <c r="R109" s="199"/>
      <c r="S109" s="199"/>
      <c r="T109" s="199"/>
      <c r="U109" s="199"/>
      <c r="V109" s="202"/>
      <c r="W109" s="204"/>
      <c r="X109" s="199"/>
      <c r="Y109" s="202"/>
    </row>
    <row r="110" spans="1:26" ht="13.5" thickBot="1">
      <c r="A110" s="200"/>
      <c r="B110" s="200"/>
      <c r="C110" s="200"/>
      <c r="D110" s="200"/>
      <c r="E110" s="200"/>
      <c r="F110" s="200"/>
      <c r="G110" s="200"/>
      <c r="H110" s="200"/>
      <c r="I110" s="200"/>
      <c r="J110" s="200"/>
      <c r="K110" s="200"/>
      <c r="L110" s="200"/>
      <c r="M110" s="205"/>
      <c r="N110" s="200"/>
      <c r="O110" s="200"/>
      <c r="P110" s="200"/>
      <c r="Q110" s="200"/>
      <c r="R110" s="200"/>
      <c r="S110" s="200"/>
      <c r="T110" s="200"/>
      <c r="U110" s="200"/>
      <c r="V110" s="200"/>
      <c r="W110" s="200"/>
      <c r="X110" s="200"/>
      <c r="Y110" s="200"/>
      <c r="Z110" s="263"/>
    </row>
    <row r="111" spans="1:26">
      <c r="A111" s="199"/>
      <c r="B111" s="328" t="s">
        <v>178</v>
      </c>
      <c r="C111" s="328"/>
      <c r="D111" s="207"/>
      <c r="E111" s="207"/>
      <c r="F111" s="207"/>
      <c r="G111" s="207"/>
      <c r="H111" s="207"/>
      <c r="I111" s="207"/>
      <c r="J111" s="207"/>
      <c r="K111" s="207"/>
      <c r="L111" s="207"/>
      <c r="M111" s="207"/>
      <c r="N111" s="207"/>
      <c r="O111" s="207"/>
      <c r="P111" s="207"/>
      <c r="Q111" s="207"/>
      <c r="R111" s="207"/>
      <c r="S111" s="207"/>
      <c r="T111" s="207"/>
      <c r="U111" s="207"/>
      <c r="V111" s="207"/>
      <c r="W111" s="207"/>
      <c r="X111" s="207"/>
      <c r="Y111" s="207"/>
    </row>
    <row r="112" spans="1:26">
      <c r="A112" s="199"/>
      <c r="B112" s="325" t="s">
        <v>38</v>
      </c>
      <c r="C112" s="325"/>
      <c r="D112" s="327" t="s">
        <v>179</v>
      </c>
      <c r="E112" s="327"/>
      <c r="F112" s="327"/>
      <c r="G112" s="327"/>
      <c r="H112" s="327"/>
      <c r="I112" s="327"/>
      <c r="J112" s="327"/>
      <c r="K112" s="327"/>
      <c r="L112" s="327"/>
      <c r="M112" s="327"/>
      <c r="N112" s="327" t="s">
        <v>180</v>
      </c>
      <c r="O112" s="327"/>
      <c r="P112" s="327"/>
      <c r="Q112" s="327"/>
      <c r="R112" s="327"/>
      <c r="S112" s="327"/>
      <c r="T112" s="327"/>
      <c r="U112" s="327"/>
      <c r="W112" s="327" t="s">
        <v>181</v>
      </c>
      <c r="X112" s="327"/>
      <c r="Y112" s="327" t="s">
        <v>182</v>
      </c>
      <c r="Z112" s="327"/>
    </row>
    <row r="113" spans="1:26">
      <c r="A113" s="199"/>
      <c r="B113" s="206" t="s">
        <v>46</v>
      </c>
      <c r="C113" s="206" t="s">
        <v>47</v>
      </c>
      <c r="D113" s="266" t="s">
        <v>48</v>
      </c>
      <c r="E113" s="206" t="s">
        <v>49</v>
      </c>
      <c r="F113" s="206" t="s">
        <v>50</v>
      </c>
      <c r="G113" s="207" t="s">
        <v>51</v>
      </c>
      <c r="H113" s="207" t="s">
        <v>183</v>
      </c>
      <c r="I113" s="207" t="s">
        <v>184</v>
      </c>
      <c r="J113" s="207" t="s">
        <v>185</v>
      </c>
      <c r="K113" s="267" t="s">
        <v>186</v>
      </c>
      <c r="L113" s="267" t="s">
        <v>187</v>
      </c>
      <c r="M113" s="268" t="s">
        <v>188</v>
      </c>
      <c r="N113" s="207" t="s">
        <v>189</v>
      </c>
      <c r="O113" s="207" t="s">
        <v>190</v>
      </c>
      <c r="P113" s="207" t="s">
        <v>191</v>
      </c>
      <c r="Q113" s="207" t="s">
        <v>192</v>
      </c>
      <c r="R113" s="207" t="s">
        <v>193</v>
      </c>
      <c r="S113" s="207" t="s">
        <v>194</v>
      </c>
      <c r="T113" s="207" t="s">
        <v>195</v>
      </c>
      <c r="U113" s="267" t="s">
        <v>196</v>
      </c>
      <c r="V113" s="268" t="s">
        <v>197</v>
      </c>
      <c r="W113" s="268" t="s">
        <v>198</v>
      </c>
      <c r="X113" s="207" t="s">
        <v>199</v>
      </c>
      <c r="Y113" s="207" t="s">
        <v>200</v>
      </c>
      <c r="Z113" s="207" t="s">
        <v>201</v>
      </c>
    </row>
    <row r="114" spans="1:26">
      <c r="A114" s="199" t="s">
        <v>55</v>
      </c>
      <c r="B114" s="206" t="s">
        <v>202</v>
      </c>
      <c r="C114" s="206"/>
      <c r="D114" s="288" t="s">
        <v>203</v>
      </c>
      <c r="E114" s="206" t="s">
        <v>204</v>
      </c>
      <c r="F114" s="206" t="s">
        <v>205</v>
      </c>
      <c r="G114" s="207" t="s">
        <v>206</v>
      </c>
      <c r="H114" s="206" t="s">
        <v>207</v>
      </c>
      <c r="I114" s="206" t="s">
        <v>208</v>
      </c>
      <c r="J114" s="206" t="s">
        <v>209</v>
      </c>
      <c r="K114" s="206" t="s">
        <v>210</v>
      </c>
      <c r="L114" s="206" t="s">
        <v>211</v>
      </c>
      <c r="M114" s="269" t="s">
        <v>212</v>
      </c>
      <c r="N114" s="206" t="s">
        <v>203</v>
      </c>
      <c r="O114" s="206" t="s">
        <v>204</v>
      </c>
      <c r="P114" s="207" t="s">
        <v>205</v>
      </c>
      <c r="Q114" s="207" t="s">
        <v>206</v>
      </c>
      <c r="R114" s="206" t="s">
        <v>207</v>
      </c>
      <c r="S114" s="206" t="s">
        <v>208</v>
      </c>
      <c r="T114" s="206" t="s">
        <v>209</v>
      </c>
      <c r="U114" s="206" t="s">
        <v>211</v>
      </c>
      <c r="V114" s="269" t="s">
        <v>212</v>
      </c>
      <c r="W114" s="207" t="s">
        <v>213</v>
      </c>
      <c r="X114" s="269" t="s">
        <v>214</v>
      </c>
      <c r="Y114" s="206" t="s">
        <v>215</v>
      </c>
      <c r="Z114" s="206" t="s">
        <v>216</v>
      </c>
    </row>
    <row r="115" spans="1:26" ht="13.5" thickBot="1">
      <c r="A115" s="200" t="s">
        <v>60</v>
      </c>
      <c r="B115" s="270" t="s">
        <v>217</v>
      </c>
      <c r="C115" s="271" t="s">
        <v>218</v>
      </c>
      <c r="D115" s="272" t="s">
        <v>219</v>
      </c>
      <c r="E115" s="271" t="s">
        <v>220</v>
      </c>
      <c r="F115" s="271" t="s">
        <v>220</v>
      </c>
      <c r="G115" s="208" t="s">
        <v>220</v>
      </c>
      <c r="H115" s="271" t="s">
        <v>220</v>
      </c>
      <c r="I115" s="271" t="s">
        <v>221</v>
      </c>
      <c r="J115" s="271" t="s">
        <v>220</v>
      </c>
      <c r="K115" s="271" t="s">
        <v>222</v>
      </c>
      <c r="L115" s="271" t="s">
        <v>220</v>
      </c>
      <c r="M115" s="273"/>
      <c r="N115" s="208" t="s">
        <v>219</v>
      </c>
      <c r="O115" s="208" t="s">
        <v>220</v>
      </c>
      <c r="P115" s="208" t="s">
        <v>220</v>
      </c>
      <c r="Q115" s="208" t="s">
        <v>220</v>
      </c>
      <c r="R115" s="271" t="s">
        <v>220</v>
      </c>
      <c r="S115" s="271" t="s">
        <v>221</v>
      </c>
      <c r="T115" s="271" t="s">
        <v>220</v>
      </c>
      <c r="U115" s="271" t="s">
        <v>220</v>
      </c>
      <c r="V115" s="273"/>
      <c r="W115" s="271" t="s">
        <v>223</v>
      </c>
      <c r="X115" s="273" t="s">
        <v>224</v>
      </c>
      <c r="Y115" s="205" t="s">
        <v>225</v>
      </c>
      <c r="Z115" s="205" t="s">
        <v>226</v>
      </c>
    </row>
    <row r="116" spans="1:26">
      <c r="A116" s="199">
        <v>1</v>
      </c>
      <c r="B116" s="245">
        <v>75</v>
      </c>
      <c r="C116" s="228">
        <f>+B116*730*0.2</f>
        <v>10950</v>
      </c>
      <c r="D116" s="276">
        <f>+$I$134+($I$135*$B116+$I$138*$C116)/100</f>
        <v>971.72849999999994</v>
      </c>
      <c r="E116" s="275">
        <f>+$C116*$I$142/100</f>
        <v>420.80849999999998</v>
      </c>
      <c r="F116" s="275">
        <f>+$C116*$I$145/100</f>
        <v>19.162500000000001</v>
      </c>
      <c r="G116" s="275">
        <f>+$C116*$I$146/100</f>
        <v>5.2560000000000002</v>
      </c>
      <c r="H116" s="275">
        <f>+$C116*$I$148/100</f>
        <v>8.8694999999999986</v>
      </c>
      <c r="I116" s="275">
        <f>+$C116*$I$147/100</f>
        <v>29.127000000000002</v>
      </c>
      <c r="J116" s="275">
        <f>C116*I149/100</f>
        <v>18.834</v>
      </c>
      <c r="K116" s="275">
        <f>C116*$I$150/100</f>
        <v>0</v>
      </c>
      <c r="L116" s="275">
        <f>+SUM(D116:K116)*0.025641</f>
        <v>37.789346825999999</v>
      </c>
      <c r="M116" s="275">
        <f>SUM(D116:L116)</f>
        <v>1511.5753468259998</v>
      </c>
      <c r="N116" s="276">
        <f>+$P$134+$P$135*$B116+$P$138/100*$C116</f>
        <v>971.40000000000009</v>
      </c>
      <c r="O116" s="275">
        <f>+$C116*$P$142/100</f>
        <v>420.80849999999998</v>
      </c>
      <c r="P116" s="275">
        <f>+$C116*$P$145/100</f>
        <v>19.162500000000001</v>
      </c>
      <c r="Q116" s="275">
        <f>+$C116*$P$146/100</f>
        <v>5.2560000000000002</v>
      </c>
      <c r="R116" s="275">
        <f>+$C116*$P$148/100</f>
        <v>8.8694999999999986</v>
      </c>
      <c r="S116" s="275">
        <f>+$C116*$P$147/100</f>
        <v>29.127000000000002</v>
      </c>
      <c r="T116" s="275">
        <f>C116*$P$149/100</f>
        <v>18.834</v>
      </c>
      <c r="U116" s="275">
        <f>+SUM(N116:T116)*0.025641</f>
        <v>37.780923757500005</v>
      </c>
      <c r="V116" s="275">
        <f>SUM(N116:U116)</f>
        <v>1511.2384237575002</v>
      </c>
      <c r="W116" s="276">
        <f>+V116-M116</f>
        <v>-0.33692306849957276</v>
      </c>
      <c r="X116" s="277">
        <f>+W116/M116</f>
        <v>-2.2289531858735496E-4</v>
      </c>
      <c r="Y116" s="290">
        <f>(+M116*100)/C116</f>
        <v>13.804341066904108</v>
      </c>
      <c r="Z116" s="215">
        <f>(+V116*100)/C116</f>
        <v>13.801264143904111</v>
      </c>
    </row>
    <row r="117" spans="1:26">
      <c r="A117" s="199">
        <v>2</v>
      </c>
      <c r="B117" s="245">
        <v>75</v>
      </c>
      <c r="C117" s="228">
        <f>+B117*730*0.35</f>
        <v>19162.5</v>
      </c>
      <c r="D117" s="274">
        <f>+$F$134+$F$135*$B117+($F$138*$C117)/100</f>
        <v>1671.2261249999999</v>
      </c>
      <c r="E117" s="275">
        <f>+$C117*$F$142/100</f>
        <v>736.41487500000005</v>
      </c>
      <c r="F117" s="275">
        <f>+$B117*$F$145</f>
        <v>54.75</v>
      </c>
      <c r="G117" s="275">
        <f>+$B117*$F$146</f>
        <v>15</v>
      </c>
      <c r="H117" s="275">
        <f>+$C117*$F$148/100</f>
        <v>15.521624999999997</v>
      </c>
      <c r="I117" s="275">
        <f>+$B117*$F$147</f>
        <v>84.000000000000014</v>
      </c>
      <c r="J117" s="275">
        <f>B117*F149</f>
        <v>54</v>
      </c>
      <c r="K117" s="275">
        <f>+$C117*$F$150/100</f>
        <v>0</v>
      </c>
      <c r="L117" s="275">
        <f t="shared" ref="L117:L119" si="2">+SUM(D117:K117)*0.025641</f>
        <v>67.459230617624996</v>
      </c>
      <c r="M117" s="275">
        <f>SUM(D117:L117)</f>
        <v>2698.371855617625</v>
      </c>
      <c r="N117" s="274">
        <f>+$M$134+$M$135*$B117+$M$138/100*$C117</f>
        <v>1670.4761249999999</v>
      </c>
      <c r="O117" s="275">
        <f>+$C117*$M$142/100</f>
        <v>736.41487500000005</v>
      </c>
      <c r="P117" s="275">
        <f>+$B117*$M$145</f>
        <v>54.75</v>
      </c>
      <c r="Q117" s="275">
        <f>+$B117*$M$146</f>
        <v>15</v>
      </c>
      <c r="R117" s="275">
        <f>+$C117*$M$148/100</f>
        <v>15.521624999999997</v>
      </c>
      <c r="S117" s="275">
        <f>+$B117*$M$147</f>
        <v>84.000000000000014</v>
      </c>
      <c r="T117" s="275">
        <f>B117*$M$149</f>
        <v>54</v>
      </c>
      <c r="U117" s="275">
        <f>+SUM(N117:T117)*0.025641</f>
        <v>67.439999867625005</v>
      </c>
      <c r="V117" s="275">
        <f>SUM(N117:U117)</f>
        <v>2697.6026248676249</v>
      </c>
      <c r="W117" s="274">
        <f>+V117-M117</f>
        <v>-0.76923075000013341</v>
      </c>
      <c r="X117" s="277">
        <f>+W117/M117</f>
        <v>-2.8507218098895628E-4</v>
      </c>
      <c r="Y117" s="291">
        <f>(+M117*100)/C117</f>
        <v>14.081523056060664</v>
      </c>
      <c r="Z117" s="215">
        <f>(+V117*100)/C117</f>
        <v>14.077508805571428</v>
      </c>
    </row>
    <row r="118" spans="1:26">
      <c r="A118" s="199">
        <v>3</v>
      </c>
      <c r="B118" s="245">
        <v>75</v>
      </c>
      <c r="C118" s="228">
        <f>+B118*730*0.6</f>
        <v>32850</v>
      </c>
      <c r="D118" s="274">
        <f>+$F$134+$F$135*$B118+($F$138*$C118)/100</f>
        <v>1777.0304999999998</v>
      </c>
      <c r="E118" s="275">
        <f>+$C118*$F$142/100</f>
        <v>1262.4255000000001</v>
      </c>
      <c r="F118" s="275">
        <f>+$B118*$F$145</f>
        <v>54.75</v>
      </c>
      <c r="G118" s="275">
        <f>+$B118*$F$146</f>
        <v>15</v>
      </c>
      <c r="H118" s="275">
        <f>+$C118*$F$148/100</f>
        <v>26.608499999999996</v>
      </c>
      <c r="I118" s="275">
        <f>+$B118*$F$147</f>
        <v>84.000000000000014</v>
      </c>
      <c r="J118" s="275">
        <f>B118*F149</f>
        <v>54</v>
      </c>
      <c r="K118" s="275">
        <f>+$C118*$F$150/100</f>
        <v>0</v>
      </c>
      <c r="L118" s="275">
        <f t="shared" si="2"/>
        <v>83.943877594499995</v>
      </c>
      <c r="M118" s="275">
        <f>SUM(D118:L118)</f>
        <v>3357.7583775945</v>
      </c>
      <c r="N118" s="274">
        <f>+$M$134+$M$135*$B118+$M$138/100*$C118</f>
        <v>1776.2804999999998</v>
      </c>
      <c r="O118" s="275">
        <f>+$C118*$M$142/100</f>
        <v>1262.4255000000001</v>
      </c>
      <c r="P118" s="275">
        <f>+$B118*$M$145</f>
        <v>54.75</v>
      </c>
      <c r="Q118" s="275">
        <f>+$B118*$M$146</f>
        <v>15</v>
      </c>
      <c r="R118" s="275">
        <f>+$C118*$M$148/100</f>
        <v>26.608499999999996</v>
      </c>
      <c r="S118" s="275">
        <f>+$B118*$M$147</f>
        <v>84.000000000000014</v>
      </c>
      <c r="T118" s="275">
        <f>B118*$M$149</f>
        <v>54</v>
      </c>
      <c r="U118" s="275">
        <f>+SUM(N118:T118)*0.025641</f>
        <v>83.924646844500003</v>
      </c>
      <c r="V118" s="275">
        <f>SUM(N118:U118)</f>
        <v>3356.9891468444998</v>
      </c>
      <c r="W118" s="274">
        <f>+V118-M118</f>
        <v>-0.76923075000013341</v>
      </c>
      <c r="X118" s="277">
        <f>+W118/M118</f>
        <v>-2.2909056087329631E-4</v>
      </c>
      <c r="Y118" s="291">
        <f>(+M118*100)/C118</f>
        <v>10.221486689785388</v>
      </c>
      <c r="Z118" s="215">
        <f>(+V118*100)/C118</f>
        <v>10.219145043666666</v>
      </c>
    </row>
    <row r="119" spans="1:26">
      <c r="A119" s="199">
        <v>4</v>
      </c>
      <c r="B119" s="245">
        <v>75</v>
      </c>
      <c r="C119" s="228">
        <f>+B119*730*0.9</f>
        <v>49275</v>
      </c>
      <c r="D119" s="274">
        <f>+$G$134+$G$136*$B119+$G$137*$B119*0.99+$G$139/100*$C119*0.25+$G$140/100*$C119*0.4+$G$141/100*$C119*0.35</f>
        <v>1905.822975</v>
      </c>
      <c r="E119" s="275">
        <f>+$C119*0.25*$G$143/100+$C119*0.75*$G$144/100</f>
        <v>1886.73975</v>
      </c>
      <c r="F119" s="275">
        <f>$B119*$G$145</f>
        <v>54.75</v>
      </c>
      <c r="G119" s="275">
        <f>$B119*$G$146</f>
        <v>15</v>
      </c>
      <c r="H119" s="275">
        <f>+$C119*$G$148/100</f>
        <v>39.912749999999996</v>
      </c>
      <c r="I119" s="275">
        <f>+$B119*$F$147</f>
        <v>84.000000000000014</v>
      </c>
      <c r="J119" s="275">
        <f>B119*G149</f>
        <v>54</v>
      </c>
      <c r="K119" s="275">
        <f>$C119*$G$150/100</f>
        <v>0</v>
      </c>
      <c r="L119" s="275">
        <f t="shared" si="2"/>
        <v>103.59542140447499</v>
      </c>
      <c r="M119" s="275">
        <f>SUM(D119:L119)</f>
        <v>4143.8208964044743</v>
      </c>
      <c r="N119" s="274">
        <f>+$N$134+$N$136*$B119+$N$137*$B119*0.99+$N$139/100*$C119*0.25+$N$140/100*$C119*0.4+$N$141/100*$C119*0.35</f>
        <v>1905.822975</v>
      </c>
      <c r="O119" s="275">
        <f>+$C119*0.25*$N$143/100+$C119*0.75*$N$144/100</f>
        <v>1886.73975</v>
      </c>
      <c r="P119" s="275">
        <f>$B119*$N$145</f>
        <v>54.75</v>
      </c>
      <c r="Q119" s="275">
        <f>$B119*$N$146</f>
        <v>15</v>
      </c>
      <c r="R119" s="275">
        <f>+$C119*$N$148/100</f>
        <v>39.912749999999996</v>
      </c>
      <c r="S119" s="275">
        <f>+$B119*$M$147</f>
        <v>84.000000000000014</v>
      </c>
      <c r="T119" s="275">
        <f>B119*$N$149</f>
        <v>54</v>
      </c>
      <c r="U119" s="275">
        <f>+SUM(N119:T119)*0.025641</f>
        <v>103.59542140447499</v>
      </c>
      <c r="V119" s="275">
        <f>SUM(N119:U119)</f>
        <v>4143.8208964044743</v>
      </c>
      <c r="W119" s="274">
        <f>+V119-M119</f>
        <v>0</v>
      </c>
      <c r="X119" s="277">
        <f>+W119/M119</f>
        <v>0</v>
      </c>
      <c r="Y119" s="291">
        <f>(+M119*100)/C119</f>
        <v>8.4095807131496176</v>
      </c>
      <c r="Z119" s="215">
        <f>(+V119*100)/C119</f>
        <v>8.4095807131496176</v>
      </c>
    </row>
    <row r="120" spans="1:26">
      <c r="A120" s="199">
        <v>5</v>
      </c>
      <c r="B120" s="245"/>
      <c r="C120" s="228"/>
      <c r="D120" s="274"/>
      <c r="E120" s="275"/>
      <c r="F120" s="275"/>
      <c r="G120" s="275"/>
      <c r="H120" s="275"/>
      <c r="I120" s="275"/>
      <c r="J120" s="275"/>
      <c r="K120" s="275"/>
      <c r="L120" s="275"/>
      <c r="M120" s="292"/>
      <c r="N120" s="274"/>
      <c r="O120" s="275"/>
      <c r="P120" s="275"/>
      <c r="Q120" s="275"/>
      <c r="R120" s="275"/>
      <c r="S120" s="275"/>
      <c r="T120" s="275"/>
      <c r="U120" s="275"/>
      <c r="V120" s="275"/>
      <c r="W120" s="274"/>
      <c r="X120" s="277"/>
      <c r="Y120" s="291"/>
      <c r="Z120" s="215"/>
    </row>
    <row r="121" spans="1:26">
      <c r="A121" s="199">
        <v>6</v>
      </c>
      <c r="B121" s="245">
        <v>500</v>
      </c>
      <c r="C121" s="228">
        <f>+B121*730*0.2</f>
        <v>73000</v>
      </c>
      <c r="D121" s="274">
        <f>+$I$134+($I$135*$B121+$I$138*$C121)/100</f>
        <v>6185.7899999999991</v>
      </c>
      <c r="E121" s="275">
        <f>+$C121*$I$142/100</f>
        <v>2805.39</v>
      </c>
      <c r="F121" s="275">
        <f>+$C121*$I$145/100</f>
        <v>127.75000000000001</v>
      </c>
      <c r="G121" s="275">
        <f>+$C121*$I$146/100</f>
        <v>35.04</v>
      </c>
      <c r="H121" s="275">
        <f>+$C121*$I$148/100</f>
        <v>59.129999999999988</v>
      </c>
      <c r="I121" s="275">
        <f>+$B121*$I$147</f>
        <v>133</v>
      </c>
      <c r="J121" s="275">
        <f>C121*I149/100</f>
        <v>125.55999999999999</v>
      </c>
      <c r="K121" s="275">
        <f>C121*$I$150/100</f>
        <v>0</v>
      </c>
      <c r="L121" s="275">
        <f>+SUM(D121:K121)*0.025641</f>
        <v>242.86283405999995</v>
      </c>
      <c r="M121" s="275">
        <f>SUM(D121:L121)</f>
        <v>9714.5228340599988</v>
      </c>
      <c r="N121" s="274">
        <f>+$P$134+$P$135*$B121+$P$138/100*$C121</f>
        <v>6183.6</v>
      </c>
      <c r="O121" s="275">
        <f>+$C121*$P$142/100</f>
        <v>2805.39</v>
      </c>
      <c r="P121" s="275">
        <f>+$C121*$P$145/100</f>
        <v>127.75000000000001</v>
      </c>
      <c r="Q121" s="275">
        <f>+$C121*$P$146/100</f>
        <v>35.04</v>
      </c>
      <c r="R121" s="275">
        <f>+$C121*$P$148/100</f>
        <v>59.129999999999988</v>
      </c>
      <c r="S121" s="275">
        <f>+$B121*$P$147</f>
        <v>133</v>
      </c>
      <c r="T121" s="275">
        <f>C121*$P$149/100</f>
        <v>125.55999999999999</v>
      </c>
      <c r="U121" s="275">
        <f>+SUM(N121:T121)*0.025641</f>
        <v>242.80668026999999</v>
      </c>
      <c r="V121" s="275">
        <f>SUM(N121:U121)</f>
        <v>9712.2766802699989</v>
      </c>
      <c r="W121" s="274">
        <f>+V121-M121</f>
        <v>-2.2461537899998802</v>
      </c>
      <c r="X121" s="277">
        <f>+W121/M121</f>
        <v>-2.3121606983357549E-4</v>
      </c>
      <c r="Y121" s="291">
        <f>(+M121*100)/C121</f>
        <v>13.307565526109588</v>
      </c>
      <c r="Z121" s="215">
        <f>(+V121*100)/C121</f>
        <v>13.304488603109588</v>
      </c>
    </row>
    <row r="122" spans="1:26">
      <c r="A122" s="199">
        <v>7</v>
      </c>
      <c r="B122" s="245">
        <v>500</v>
      </c>
      <c r="C122" s="228">
        <f>+B122*730*0.35</f>
        <v>127749.99999999999</v>
      </c>
      <c r="D122" s="274">
        <f>+$F$134+$F$135*$B122+($F$138*$C122)/100</f>
        <v>10849.1075</v>
      </c>
      <c r="E122" s="275">
        <f>+$C122*$F$142/100</f>
        <v>4909.432499999999</v>
      </c>
      <c r="F122" s="275">
        <f>+$B122*$F$145</f>
        <v>365</v>
      </c>
      <c r="G122" s="275">
        <f>+$B122*$F$146</f>
        <v>100</v>
      </c>
      <c r="H122" s="275">
        <f>+$C122*$F$148/100</f>
        <v>103.47749999999998</v>
      </c>
      <c r="I122" s="275">
        <f>+$B122*$F$147</f>
        <v>560</v>
      </c>
      <c r="J122" s="275">
        <f>B122*F149</f>
        <v>360</v>
      </c>
      <c r="K122" s="275">
        <f>+$C122*$F$150/100</f>
        <v>0</v>
      </c>
      <c r="L122" s="275">
        <f t="shared" ref="L122:L124" si="3">+SUM(D122:K122)*0.025641</f>
        <v>442.23077571750008</v>
      </c>
      <c r="M122" s="275">
        <f>SUM(D122:L122)</f>
        <v>17689.248275717502</v>
      </c>
      <c r="N122" s="274">
        <f>+$M$134+$M$135*$B122+$M$138/100*$C122</f>
        <v>10844.1075</v>
      </c>
      <c r="O122" s="275">
        <f>+$C122*$M$142/100</f>
        <v>4909.432499999999</v>
      </c>
      <c r="P122" s="275">
        <f>+$B122*$M$145</f>
        <v>365</v>
      </c>
      <c r="Q122" s="275">
        <f>+$B122*$M$146</f>
        <v>100</v>
      </c>
      <c r="R122" s="275">
        <f>+$C122*$M$148/100</f>
        <v>103.47749999999998</v>
      </c>
      <c r="S122" s="275">
        <f>+$B122*$M$147</f>
        <v>560</v>
      </c>
      <c r="T122" s="275">
        <f>B122*$M$149</f>
        <v>360</v>
      </c>
      <c r="U122" s="275">
        <f>+SUM(N122:T122)*0.025641</f>
        <v>442.10257071750004</v>
      </c>
      <c r="V122" s="275">
        <f>SUM(N122:U122)</f>
        <v>17684.120070717501</v>
      </c>
      <c r="W122" s="274">
        <f>+V122-M122</f>
        <v>-5.1282050000008894</v>
      </c>
      <c r="X122" s="277">
        <f>+W122/M122</f>
        <v>-2.8990519665216707E-4</v>
      </c>
      <c r="Y122" s="291">
        <f>(+M122*100)/C122</f>
        <v>13.846769687450101</v>
      </c>
      <c r="Z122" s="215">
        <f>(+V122*100)/C122</f>
        <v>13.842755436960864</v>
      </c>
    </row>
    <row r="123" spans="1:26">
      <c r="A123" s="199">
        <v>8</v>
      </c>
      <c r="B123" s="245">
        <v>500</v>
      </c>
      <c r="C123" s="228">
        <f>+B123*730*0.6</f>
        <v>219000</v>
      </c>
      <c r="D123" s="274">
        <f>+$F$134+$F$135*$B123+($F$138*$C123)/100</f>
        <v>11554.470000000001</v>
      </c>
      <c r="E123" s="275">
        <f>+$C123*$F$142/100</f>
        <v>8416.17</v>
      </c>
      <c r="F123" s="275">
        <f>+$B123*$F$145</f>
        <v>365</v>
      </c>
      <c r="G123" s="275">
        <f>+$B123*$F$146</f>
        <v>100</v>
      </c>
      <c r="H123" s="275">
        <f>+$C123*$F$148/100</f>
        <v>177.38999999999996</v>
      </c>
      <c r="I123" s="275">
        <f>+$B123*$F$147</f>
        <v>560</v>
      </c>
      <c r="J123" s="275">
        <f>B123*F149</f>
        <v>360</v>
      </c>
      <c r="K123" s="275">
        <f>+$C123*$F$150/100</f>
        <v>0</v>
      </c>
      <c r="L123" s="275">
        <f t="shared" si="3"/>
        <v>552.12842222999996</v>
      </c>
      <c r="M123" s="275">
        <f>SUM(D123:L123)</f>
        <v>22085.158422229997</v>
      </c>
      <c r="N123" s="274">
        <f>+$M$134+$M$135*$B123+$M$138/100*$C123</f>
        <v>11549.470000000001</v>
      </c>
      <c r="O123" s="275">
        <f>+$C123*$M$142/100</f>
        <v>8416.17</v>
      </c>
      <c r="P123" s="275">
        <f>+$B123*$M$145</f>
        <v>365</v>
      </c>
      <c r="Q123" s="275">
        <f>+$B123*$M$146</f>
        <v>100</v>
      </c>
      <c r="R123" s="275">
        <f>+$C123*$M$148/100</f>
        <v>177.38999999999996</v>
      </c>
      <c r="S123" s="275">
        <f>+$B123*$M$147</f>
        <v>560</v>
      </c>
      <c r="T123" s="275">
        <f>B123*$M$149</f>
        <v>360</v>
      </c>
      <c r="U123" s="275">
        <f>+SUM(N123:T123)*0.025641</f>
        <v>552.00021722999998</v>
      </c>
      <c r="V123" s="275">
        <f>SUM(N123:U123)</f>
        <v>22080.03021723</v>
      </c>
      <c r="W123" s="274">
        <f>+V123-M123</f>
        <v>-5.1282049999972514</v>
      </c>
      <c r="X123" s="277">
        <f>+W123/M123</f>
        <v>-2.3220141336343844E-4</v>
      </c>
      <c r="Y123" s="291">
        <f>(+M123*100)/C123</f>
        <v>10.084547224762556</v>
      </c>
      <c r="Z123" s="215">
        <f>(+V123*100)/C123</f>
        <v>10.082205578643835</v>
      </c>
    </row>
    <row r="124" spans="1:26">
      <c r="A124" s="199">
        <v>9</v>
      </c>
      <c r="B124" s="245">
        <v>500</v>
      </c>
      <c r="C124" s="228">
        <f>+B124*730*0.9</f>
        <v>328500</v>
      </c>
      <c r="D124" s="274">
        <f>+$G$134+$G$136*$B124+$G$137*$B124*0.99+$G$139/100*$C124*0.25+$G$140/100*$C124*0.4+$G$141/100*$C124*0.35</f>
        <v>12413.086500000001</v>
      </c>
      <c r="E124" s="275">
        <f>+$C124*0.25*$G$143/100+$C124*0.75*$G$144/100</f>
        <v>12578.264999999999</v>
      </c>
      <c r="F124" s="275">
        <f>$B124*$G$145</f>
        <v>365</v>
      </c>
      <c r="G124" s="275">
        <f>$B124*$G$146</f>
        <v>100</v>
      </c>
      <c r="H124" s="275">
        <f>+$C124*$G$148/100</f>
        <v>266.08499999999998</v>
      </c>
      <c r="I124" s="275">
        <f>+$B124*$F$147</f>
        <v>560</v>
      </c>
      <c r="J124" s="275">
        <f>B124*G149</f>
        <v>360</v>
      </c>
      <c r="K124" s="275">
        <f>$C124*$G$150/100</f>
        <v>0</v>
      </c>
      <c r="L124" s="275">
        <f t="shared" si="3"/>
        <v>683.13871429649998</v>
      </c>
      <c r="M124" s="275">
        <f>SUM(D124:L124)</f>
        <v>27325.575214296499</v>
      </c>
      <c r="N124" s="274">
        <f>+$N$134+$N$136*$B124+$N$137*$B124*0.99+$N$139/100*$C124*0.25+$N$140/100*$C124*0.4+$N$141/100*$C124*0.35</f>
        <v>12413.086500000001</v>
      </c>
      <c r="O124" s="275">
        <f>+$C124*0.25*$N$143/100+$C124*0.75*$N$144/100</f>
        <v>12578.264999999999</v>
      </c>
      <c r="P124" s="275">
        <f>$B124*$N$145</f>
        <v>365</v>
      </c>
      <c r="Q124" s="275">
        <f>$B124*$N$146</f>
        <v>100</v>
      </c>
      <c r="R124" s="275">
        <f>+$C124*$N$148/100</f>
        <v>266.08499999999998</v>
      </c>
      <c r="S124" s="275">
        <f>+$B124*$N$147</f>
        <v>560</v>
      </c>
      <c r="T124" s="275">
        <f>B124*$N$149</f>
        <v>360</v>
      </c>
      <c r="U124" s="275">
        <f>+SUM(N124:T124)*0.025641</f>
        <v>683.13871429649998</v>
      </c>
      <c r="V124" s="275">
        <f>SUM(N124:U124)</f>
        <v>27325.575214296499</v>
      </c>
      <c r="W124" s="274">
        <f>+V124-M124</f>
        <v>0</v>
      </c>
      <c r="X124" s="277">
        <f>+W124/M124</f>
        <v>0</v>
      </c>
      <c r="Y124" s="291">
        <f>(+M124*100)/C124</f>
        <v>8.3182877364677328</v>
      </c>
      <c r="Z124" s="215">
        <f>(+V124*100)/C124</f>
        <v>8.3182877364677328</v>
      </c>
    </row>
    <row r="125" spans="1:26">
      <c r="A125" s="199">
        <v>10</v>
      </c>
      <c r="B125" s="245"/>
      <c r="C125" s="228"/>
      <c r="D125" s="274"/>
      <c r="E125" s="275"/>
      <c r="F125" s="275"/>
      <c r="G125" s="275"/>
      <c r="H125" s="275"/>
      <c r="I125" s="275"/>
      <c r="J125" s="275"/>
      <c r="K125" s="275"/>
      <c r="L125" s="275"/>
      <c r="M125" s="292"/>
      <c r="N125" s="274"/>
      <c r="O125" s="275"/>
      <c r="P125" s="275"/>
      <c r="Q125" s="275"/>
      <c r="R125" s="275"/>
      <c r="S125" s="275"/>
      <c r="T125" s="275"/>
      <c r="U125" s="275"/>
      <c r="V125" s="275"/>
      <c r="W125" s="274"/>
      <c r="X125" s="277"/>
      <c r="Y125" s="291"/>
      <c r="Z125" s="215"/>
    </row>
    <row r="126" spans="1:26">
      <c r="A126" s="199">
        <v>11</v>
      </c>
      <c r="B126" s="245">
        <v>1000</v>
      </c>
      <c r="C126" s="228">
        <f>+B126*730*0.2</f>
        <v>146000</v>
      </c>
      <c r="D126" s="274">
        <f>+$I$134+($I$135*$B126+$I$138*$C126)/100</f>
        <v>12319.979999999998</v>
      </c>
      <c r="E126" s="275">
        <f>+$C126*$I$142/100</f>
        <v>5610.78</v>
      </c>
      <c r="F126" s="275">
        <f>+$C126*$I$145/100</f>
        <v>255.50000000000003</v>
      </c>
      <c r="G126" s="275">
        <f>+$C126*$I$146/100</f>
        <v>70.08</v>
      </c>
      <c r="H126" s="275">
        <f>+$C126*$I$148/100</f>
        <v>118.25999999999998</v>
      </c>
      <c r="I126" s="275">
        <f>+$B126*$I$147</f>
        <v>266</v>
      </c>
      <c r="J126" s="275">
        <f>C126*I149/100</f>
        <v>251.11999999999998</v>
      </c>
      <c r="K126" s="275">
        <f>C126*$I$150/100</f>
        <v>0</v>
      </c>
      <c r="L126" s="275">
        <f>+SUM(D126:K126)*0.025641</f>
        <v>484.40259251999993</v>
      </c>
      <c r="M126" s="275">
        <f>SUM(D126:L126)</f>
        <v>19376.122592519998</v>
      </c>
      <c r="N126" s="274">
        <f>+$P$134+$P$135*$B126+$P$138/100*$C126</f>
        <v>12315.6</v>
      </c>
      <c r="O126" s="275">
        <f>+$C126*$P$142/100</f>
        <v>5610.78</v>
      </c>
      <c r="P126" s="275">
        <f>+$C126*$P$145/100</f>
        <v>255.50000000000003</v>
      </c>
      <c r="Q126" s="275">
        <f>+$C126*$P$146/100</f>
        <v>70.08</v>
      </c>
      <c r="R126" s="275">
        <f>+$C126*$P$148/100</f>
        <v>118.25999999999998</v>
      </c>
      <c r="S126" s="275">
        <f>+$B126*$P$147</f>
        <v>266</v>
      </c>
      <c r="T126" s="275">
        <f>C126*$P$149/100</f>
        <v>251.11999999999998</v>
      </c>
      <c r="U126" s="275">
        <f>+SUM(N126:T126)*0.025641</f>
        <v>484.29028493999999</v>
      </c>
      <c r="V126" s="275">
        <f>SUM(N126:U126)</f>
        <v>19371.630284940002</v>
      </c>
      <c r="W126" s="274">
        <f>+V126-M126</f>
        <v>-4.4923075799961225</v>
      </c>
      <c r="X126" s="277">
        <f>+W126/M126</f>
        <v>-2.3184760307670344E-4</v>
      </c>
      <c r="Y126" s="291">
        <f>(+M126*100)/C126</f>
        <v>13.271316844191778</v>
      </c>
      <c r="Z126" s="215">
        <f>(+V126*100)/C126</f>
        <v>13.268239921191782</v>
      </c>
    </row>
    <row r="127" spans="1:26">
      <c r="A127" s="199">
        <v>12</v>
      </c>
      <c r="B127" s="245">
        <v>1000</v>
      </c>
      <c r="C127" s="228">
        <f>+B127*730*0.35</f>
        <v>255499.99999999997</v>
      </c>
      <c r="D127" s="274">
        <f>+$F$134+$F$135*$B127+($F$138*$C127)/100</f>
        <v>21646.614999999998</v>
      </c>
      <c r="E127" s="275">
        <f>+$C127*$F$142/100</f>
        <v>9818.864999999998</v>
      </c>
      <c r="F127" s="275">
        <f>+$B127*$F$145</f>
        <v>730</v>
      </c>
      <c r="G127" s="275">
        <f>+$B127*$F$146</f>
        <v>200</v>
      </c>
      <c r="H127" s="275">
        <f>+$C127*$F$148/100</f>
        <v>206.95499999999996</v>
      </c>
      <c r="I127" s="275">
        <f>+$B127*$F$147</f>
        <v>1120</v>
      </c>
      <c r="J127" s="275">
        <f>B127*F149</f>
        <v>720</v>
      </c>
      <c r="K127" s="275">
        <f>+$C127*$F$150/100</f>
        <v>0</v>
      </c>
      <c r="L127" s="275">
        <f t="shared" ref="L127:L129" si="4">+SUM(D127:K127)*0.025641</f>
        <v>883.13847583500001</v>
      </c>
      <c r="M127" s="275">
        <f>SUM(D127:L127)</f>
        <v>35325.573475835001</v>
      </c>
      <c r="N127" s="274">
        <f>+$M$134+$M$135*$B127+$M$138/100*$C127</f>
        <v>21636.614999999998</v>
      </c>
      <c r="O127" s="275">
        <f>+$C127*$M$142/100</f>
        <v>9818.864999999998</v>
      </c>
      <c r="P127" s="275">
        <f>+$B127*$M$145</f>
        <v>730</v>
      </c>
      <c r="Q127" s="275">
        <f>+$B127*$M$146</f>
        <v>200</v>
      </c>
      <c r="R127" s="275">
        <f>+$C127*$M$148/100</f>
        <v>206.95499999999996</v>
      </c>
      <c r="S127" s="275">
        <f>+$B127*$M$147</f>
        <v>1120</v>
      </c>
      <c r="T127" s="275">
        <f>B127*$M$149</f>
        <v>720</v>
      </c>
      <c r="U127" s="275">
        <f>+SUM(N127:T127)*0.025641</f>
        <v>882.88206583499993</v>
      </c>
      <c r="V127" s="275">
        <f>SUM(N127:U127)</f>
        <v>35315.317065834999</v>
      </c>
      <c r="W127" s="274">
        <f>+V127-M127</f>
        <v>-10.256410000001779</v>
      </c>
      <c r="X127" s="277">
        <f>+W127/M127</f>
        <v>-2.9033951867809968E-4</v>
      </c>
      <c r="Y127" s="291">
        <f>(+M127*100)/C127</f>
        <v>13.826056154925638</v>
      </c>
      <c r="Z127" s="215">
        <f>(+V127*100)/C127</f>
        <v>13.8220419044364</v>
      </c>
    </row>
    <row r="128" spans="1:26">
      <c r="A128" s="199">
        <v>13</v>
      </c>
      <c r="B128" s="245">
        <v>1000</v>
      </c>
      <c r="C128" s="228">
        <f>+B128*730*0.6</f>
        <v>438000</v>
      </c>
      <c r="D128" s="274">
        <f>+$F$134+$F$135*$B128+($F$138*$C128)/100</f>
        <v>23057.339999999997</v>
      </c>
      <c r="E128" s="275">
        <f>+$C128*$F$142/100</f>
        <v>16832.34</v>
      </c>
      <c r="F128" s="275">
        <f>+$B128*$F$145</f>
        <v>730</v>
      </c>
      <c r="G128" s="275">
        <f>+$B128*$F$146</f>
        <v>200</v>
      </c>
      <c r="H128" s="275">
        <f>+$C128*$F$148/100</f>
        <v>354.77999999999992</v>
      </c>
      <c r="I128" s="275">
        <f>+$B128*$F$147</f>
        <v>1120</v>
      </c>
      <c r="J128" s="275">
        <f>B128*F149</f>
        <v>720</v>
      </c>
      <c r="K128" s="275">
        <f>+$C128*$F$150/100</f>
        <v>0</v>
      </c>
      <c r="L128" s="275">
        <f t="shared" si="4"/>
        <v>1102.9337688599999</v>
      </c>
      <c r="M128" s="275">
        <f>SUM(D128:L128)</f>
        <v>44117.393768859991</v>
      </c>
      <c r="N128" s="274">
        <f>+$M$134+$M$135*$B128+$M$138/100*$C128</f>
        <v>23047.339999999997</v>
      </c>
      <c r="O128" s="275">
        <f>+$C128*$M$142/100</f>
        <v>16832.34</v>
      </c>
      <c r="P128" s="275">
        <f>+$B128*$M$145</f>
        <v>730</v>
      </c>
      <c r="Q128" s="275">
        <f>+$B128*$M$146</f>
        <v>200</v>
      </c>
      <c r="R128" s="275">
        <f>+$C128*$M$148/100</f>
        <v>354.77999999999992</v>
      </c>
      <c r="S128" s="275">
        <f>+$B128*$M$147</f>
        <v>1120</v>
      </c>
      <c r="T128" s="275">
        <f>B128*$M$149</f>
        <v>720</v>
      </c>
      <c r="U128" s="275">
        <f>+SUM(N128:T128)*0.025641</f>
        <v>1102.6773588599999</v>
      </c>
      <c r="V128" s="275">
        <f>SUM(N128:U128)</f>
        <v>44107.137358859989</v>
      </c>
      <c r="W128" s="274">
        <f>+V128-M128</f>
        <v>-10.256410000001779</v>
      </c>
      <c r="X128" s="277">
        <f>+W128/M128</f>
        <v>-2.3247996138976839E-4</v>
      </c>
      <c r="Y128" s="291">
        <f>(+M128*100)/C128</f>
        <v>10.072464330789952</v>
      </c>
      <c r="Z128" s="215">
        <f>(+V128*100)/C128</f>
        <v>10.070122684671231</v>
      </c>
    </row>
    <row r="129" spans="1:26">
      <c r="A129" s="199">
        <v>14</v>
      </c>
      <c r="B129" s="245">
        <v>1000</v>
      </c>
      <c r="C129" s="228">
        <f>+B129*730*0.9</f>
        <v>657000</v>
      </c>
      <c r="D129" s="274">
        <f>+$G$134+$G$136*$B129+$G$137*$B129*0.99+$G$139/100*$C129*0.25+$G$140/100*$C129*0.4+$G$141/100*$C129*0.35</f>
        <v>24774.573000000004</v>
      </c>
      <c r="E129" s="275">
        <f>+$C129*0.25*$G$143/100+$C129*0.75*$G$144/100</f>
        <v>25156.53</v>
      </c>
      <c r="F129" s="275">
        <f>$B129*$G$145</f>
        <v>730</v>
      </c>
      <c r="G129" s="275">
        <f>$B129*$G$146</f>
        <v>200</v>
      </c>
      <c r="H129" s="275">
        <f>+$C129*$G$148/100</f>
        <v>532.16999999999996</v>
      </c>
      <c r="I129" s="275">
        <f>+$B129*$G$147</f>
        <v>1120</v>
      </c>
      <c r="J129" s="275">
        <f>B129*G149</f>
        <v>720</v>
      </c>
      <c r="K129" s="275">
        <f>$C129*$G$150/100</f>
        <v>0</v>
      </c>
      <c r="L129" s="275">
        <f t="shared" si="4"/>
        <v>1364.9543529930002</v>
      </c>
      <c r="M129" s="275">
        <f>SUM(D129:L129)</f>
        <v>54598.227352993003</v>
      </c>
      <c r="N129" s="274">
        <f>+$N$134+$N$136*$B129+$N$137*$B129*0.99+$N$139/100*$C129*0.25+$N$140/100*$C129*0.4+$N$141/100*$C129*0.35</f>
        <v>24774.573000000004</v>
      </c>
      <c r="O129" s="275">
        <f>+$C129*0.25*$N$143/100+$C129*0.75*$N$144/100</f>
        <v>25156.53</v>
      </c>
      <c r="P129" s="275">
        <f>$B129*$N$145</f>
        <v>730</v>
      </c>
      <c r="Q129" s="275">
        <f>$B129*$N$146</f>
        <v>200</v>
      </c>
      <c r="R129" s="275">
        <f>+$C129*$N$148/100</f>
        <v>532.16999999999996</v>
      </c>
      <c r="S129" s="275">
        <f>+$B129*$N$147</f>
        <v>1120</v>
      </c>
      <c r="T129" s="275">
        <f>B129*$N$149</f>
        <v>720</v>
      </c>
      <c r="U129" s="275">
        <f>+SUM(N129:T129)*0.025641</f>
        <v>1364.9543529930002</v>
      </c>
      <c r="V129" s="275">
        <f>SUM(N129:U129)</f>
        <v>54598.227352993003</v>
      </c>
      <c r="W129" s="274">
        <f>+V129-M129</f>
        <v>0</v>
      </c>
      <c r="X129" s="277">
        <f>+W129/M129</f>
        <v>0</v>
      </c>
      <c r="Y129" s="291">
        <f>(+M129*100)/C129</f>
        <v>8.3102324738193314</v>
      </c>
      <c r="Z129" s="215">
        <f>(+V129*100)/C129</f>
        <v>8.3102324738193314</v>
      </c>
    </row>
    <row r="130" spans="1:26">
      <c r="A130" s="199">
        <v>15</v>
      </c>
      <c r="B130" s="245"/>
      <c r="C130" s="228"/>
      <c r="D130" s="275"/>
      <c r="E130" s="275"/>
      <c r="F130" s="275"/>
      <c r="G130" s="275"/>
      <c r="H130" s="275"/>
      <c r="I130" s="275"/>
      <c r="J130" s="275"/>
      <c r="K130" s="275"/>
      <c r="L130" s="275"/>
      <c r="M130" s="275"/>
      <c r="N130" s="275"/>
      <c r="O130" s="275"/>
      <c r="P130" s="275"/>
      <c r="Q130" s="275"/>
      <c r="R130" s="275"/>
      <c r="S130" s="275"/>
      <c r="T130" s="275"/>
      <c r="U130" s="275"/>
      <c r="V130" s="275"/>
      <c r="W130" s="277"/>
      <c r="X130" s="215"/>
      <c r="Y130" s="215"/>
    </row>
    <row r="131" spans="1:26">
      <c r="A131" s="199">
        <v>16</v>
      </c>
    </row>
    <row r="132" spans="1:26">
      <c r="A132" s="199">
        <v>17</v>
      </c>
      <c r="F132" s="325" t="s">
        <v>215</v>
      </c>
      <c r="G132" s="325"/>
      <c r="H132" s="325"/>
      <c r="I132" s="325"/>
      <c r="J132" s="325"/>
      <c r="K132" s="206"/>
      <c r="L132" s="206"/>
      <c r="M132" s="325" t="s">
        <v>216</v>
      </c>
      <c r="N132" s="325"/>
      <c r="O132" s="325"/>
      <c r="P132" s="325"/>
      <c r="Q132" s="325"/>
    </row>
    <row r="133" spans="1:26">
      <c r="A133" s="199">
        <v>18</v>
      </c>
      <c r="C133" s="206"/>
      <c r="D133" s="206"/>
      <c r="E133" s="206"/>
      <c r="F133" s="293" t="s">
        <v>38</v>
      </c>
      <c r="G133" s="293" t="s">
        <v>245</v>
      </c>
      <c r="I133" s="294" t="s">
        <v>246</v>
      </c>
      <c r="M133" s="293" t="s">
        <v>38</v>
      </c>
      <c r="N133" s="293" t="s">
        <v>245</v>
      </c>
      <c r="P133" s="294" t="s">
        <v>246</v>
      </c>
      <c r="Q133" s="294"/>
      <c r="V133" s="295"/>
    </row>
    <row r="134" spans="1:26">
      <c r="A134" s="199">
        <v>19</v>
      </c>
      <c r="C134" s="204" t="s">
        <v>228</v>
      </c>
      <c r="D134" s="206"/>
      <c r="E134" s="206"/>
      <c r="F134" s="283">
        <f>+ROUND('Rate Impacts'!I159,2)*30</f>
        <v>51.6</v>
      </c>
      <c r="G134" s="283">
        <f>+ROUND('Rate Impacts'!I159,2)*30</f>
        <v>51.6</v>
      </c>
      <c r="H134" s="204" t="s">
        <v>229</v>
      </c>
      <c r="I134" s="283">
        <f>+ROUND('Rate Impacts'!I162,2)*30</f>
        <v>51.6</v>
      </c>
      <c r="J134" s="204" t="s">
        <v>229</v>
      </c>
      <c r="K134" s="204"/>
      <c r="M134" s="282">
        <f>+ROUND('Scenario GSD Rates'!R18,2)*30</f>
        <v>51.6</v>
      </c>
      <c r="N134" s="282">
        <f>+ROUND('Scenario GSD Rates'!R21,2)*30</f>
        <v>51.6</v>
      </c>
      <c r="P134" s="282">
        <f>+ROUND('Scenario GSD Rates'!R126,2)*30</f>
        <v>51.6</v>
      </c>
      <c r="Q134" s="204" t="s">
        <v>229</v>
      </c>
    </row>
    <row r="135" spans="1:26">
      <c r="A135" s="199">
        <v>20</v>
      </c>
      <c r="C135" s="204" t="s">
        <v>230</v>
      </c>
      <c r="D135" s="206"/>
      <c r="F135" s="283">
        <f>+ROUND('Rate Impacts'!I176,2)</f>
        <v>19.62</v>
      </c>
      <c r="G135" s="283">
        <v>0</v>
      </c>
      <c r="H135" s="204" t="s">
        <v>101</v>
      </c>
      <c r="I135" s="283">
        <v>0</v>
      </c>
      <c r="J135" s="204" t="s">
        <v>101</v>
      </c>
      <c r="K135" s="204"/>
      <c r="M135" s="282">
        <f>ROUND(+'Scenario GSD Rates'!R43,2)</f>
        <v>19.61</v>
      </c>
      <c r="N135" s="282">
        <v>0</v>
      </c>
      <c r="O135" s="204" t="s">
        <v>101</v>
      </c>
      <c r="P135" s="282">
        <v>0</v>
      </c>
      <c r="Q135" s="204" t="s">
        <v>101</v>
      </c>
    </row>
    <row r="136" spans="1:26">
      <c r="A136" s="199">
        <v>21</v>
      </c>
      <c r="C136" s="285" t="s">
        <v>247</v>
      </c>
      <c r="F136" s="283">
        <v>0</v>
      </c>
      <c r="G136" s="283">
        <f>+ROUND('Rate Impacts'!I178,2)</f>
        <v>5.04</v>
      </c>
      <c r="H136" s="204" t="s">
        <v>101</v>
      </c>
      <c r="I136" s="283">
        <v>0</v>
      </c>
      <c r="J136" s="204" t="s">
        <v>101</v>
      </c>
      <c r="K136" s="204"/>
      <c r="M136" s="282">
        <v>0</v>
      </c>
      <c r="N136" s="282">
        <f>ROUND(+'Scenario GSD Rates'!R46,2)</f>
        <v>5.04</v>
      </c>
      <c r="O136" s="204" t="s">
        <v>101</v>
      </c>
      <c r="P136" s="282">
        <v>0</v>
      </c>
      <c r="Q136" s="204" t="s">
        <v>101</v>
      </c>
      <c r="W136" s="296"/>
    </row>
    <row r="137" spans="1:26">
      <c r="A137" s="199">
        <v>22</v>
      </c>
      <c r="C137" s="285" t="s">
        <v>248</v>
      </c>
      <c r="F137" s="283">
        <v>0</v>
      </c>
      <c r="G137" s="283">
        <f>+ROUND('Rate Impacts'!I179,2)</f>
        <v>14.58</v>
      </c>
      <c r="H137" s="204" t="s">
        <v>101</v>
      </c>
      <c r="I137" s="283">
        <v>0</v>
      </c>
      <c r="J137" s="204" t="s">
        <v>101</v>
      </c>
      <c r="K137" s="204"/>
      <c r="M137" s="282">
        <v>0</v>
      </c>
      <c r="N137" s="282">
        <f>ROUND(+'Scenario GSD Rates'!R49,2)</f>
        <v>14.58</v>
      </c>
      <c r="O137" s="204" t="s">
        <v>101</v>
      </c>
      <c r="P137" s="282">
        <v>0</v>
      </c>
      <c r="Q137" s="204" t="s">
        <v>101</v>
      </c>
    </row>
    <row r="138" spans="1:26">
      <c r="A138" s="199">
        <v>23</v>
      </c>
      <c r="C138" s="204" t="s">
        <v>231</v>
      </c>
      <c r="D138" s="206"/>
      <c r="F138" s="297">
        <f>+ROUND('Rate Impacts'!I169,5)*100</f>
        <v>0.77300000000000002</v>
      </c>
      <c r="G138" s="297">
        <v>0</v>
      </c>
      <c r="H138" s="204" t="s">
        <v>109</v>
      </c>
      <c r="I138" s="297">
        <f>+ROUND('Rate Impacts'!I170,5)*100</f>
        <v>8.4029999999999987</v>
      </c>
      <c r="J138" s="204" t="s">
        <v>109</v>
      </c>
      <c r="K138" s="204"/>
      <c r="M138" s="297">
        <f>+ROUND('Scenario GSD Rates'!R27,5)*100</f>
        <v>0.77300000000000002</v>
      </c>
      <c r="N138" s="282">
        <v>0</v>
      </c>
      <c r="O138" s="204" t="s">
        <v>109</v>
      </c>
      <c r="P138" s="284">
        <f>+ROUND('Scenario GSD Rates'!R132,5)*100</f>
        <v>8.4</v>
      </c>
      <c r="Q138" s="204" t="s">
        <v>109</v>
      </c>
    </row>
    <row r="139" spans="1:26">
      <c r="A139" s="199">
        <v>24</v>
      </c>
      <c r="C139" s="285" t="s">
        <v>249</v>
      </c>
      <c r="F139" s="297">
        <v>0</v>
      </c>
      <c r="G139" s="297">
        <f>+ROUND('Rate Impacts'!I171,5)*100</f>
        <v>1.2430000000000001</v>
      </c>
      <c r="H139" s="204" t="s">
        <v>109</v>
      </c>
      <c r="I139" s="297">
        <v>0</v>
      </c>
      <c r="J139" s="204" t="s">
        <v>109</v>
      </c>
      <c r="K139" s="204"/>
      <c r="M139" s="297">
        <v>0</v>
      </c>
      <c r="N139" s="284">
        <f>+ROUND('Scenario GSD Rates'!R30,5)*100</f>
        <v>1.2430000000000001</v>
      </c>
      <c r="O139" s="204" t="s">
        <v>109</v>
      </c>
      <c r="P139" s="282">
        <v>0</v>
      </c>
      <c r="Q139" s="204" t="s">
        <v>109</v>
      </c>
    </row>
    <row r="140" spans="1:26">
      <c r="A140" s="199">
        <v>25</v>
      </c>
      <c r="B140" s="227"/>
      <c r="C140" s="285" t="s">
        <v>250</v>
      </c>
      <c r="F140" s="297">
        <v>0</v>
      </c>
      <c r="G140" s="297">
        <f>+ROUND('Rate Impacts'!I172,5)*100</f>
        <v>0.81700000000000006</v>
      </c>
      <c r="H140" s="204" t="s">
        <v>109</v>
      </c>
      <c r="I140" s="297">
        <v>0</v>
      </c>
      <c r="J140" s="204" t="s">
        <v>109</v>
      </c>
      <c r="K140" s="204"/>
      <c r="M140" s="297">
        <v>0</v>
      </c>
      <c r="N140" s="284">
        <f>+ROUND('Scenario GSD Rates'!R33,5)*100</f>
        <v>0.81700000000000006</v>
      </c>
      <c r="O140" s="204" t="s">
        <v>109</v>
      </c>
      <c r="P140" s="282">
        <v>0</v>
      </c>
      <c r="Q140" s="204" t="s">
        <v>109</v>
      </c>
      <c r="U140" s="228"/>
      <c r="V140" s="228"/>
      <c r="W140" s="228"/>
      <c r="X140" s="228"/>
      <c r="Y140" s="228"/>
    </row>
    <row r="141" spans="1:26">
      <c r="A141" s="199">
        <v>26</v>
      </c>
      <c r="B141" s="227"/>
      <c r="C141" s="285" t="s">
        <v>251</v>
      </c>
      <c r="F141" s="297">
        <v>0</v>
      </c>
      <c r="G141" s="297">
        <f>+ROUND('Rate Impacts'!I173,5)*100</f>
        <v>0.46100000000000002</v>
      </c>
      <c r="H141" s="204" t="s">
        <v>109</v>
      </c>
      <c r="J141" s="204" t="s">
        <v>109</v>
      </c>
      <c r="K141" s="204"/>
      <c r="M141" s="297">
        <v>0</v>
      </c>
      <c r="N141" s="284">
        <f>+ROUND('Scenario GSD Rates'!R36,5)*100</f>
        <v>0.46100000000000002</v>
      </c>
      <c r="O141" s="204" t="s">
        <v>109</v>
      </c>
      <c r="Q141" s="204" t="s">
        <v>109</v>
      </c>
    </row>
    <row r="142" spans="1:26">
      <c r="A142" s="199">
        <v>27</v>
      </c>
      <c r="B142" s="227"/>
      <c r="C142" s="204" t="s">
        <v>243</v>
      </c>
      <c r="D142" s="206"/>
      <c r="F142" s="297">
        <f>0.03843*100</f>
        <v>3.843</v>
      </c>
      <c r="G142" s="297">
        <v>0</v>
      </c>
      <c r="H142" s="204" t="s">
        <v>109</v>
      </c>
      <c r="I142" s="297">
        <f>0.03843*100</f>
        <v>3.843</v>
      </c>
      <c r="J142" s="204" t="s">
        <v>109</v>
      </c>
      <c r="K142" s="204"/>
      <c r="M142" s="297">
        <f t="shared" ref="M142:P149" si="5">+F142</f>
        <v>3.843</v>
      </c>
      <c r="N142" s="297">
        <f t="shared" si="5"/>
        <v>0</v>
      </c>
      <c r="O142" s="204" t="s">
        <v>109</v>
      </c>
      <c r="P142" s="297">
        <f t="shared" si="5"/>
        <v>3.843</v>
      </c>
      <c r="Q142" s="204" t="s">
        <v>109</v>
      </c>
      <c r="U142" s="228"/>
      <c r="V142" s="228"/>
      <c r="W142" s="228"/>
      <c r="X142" s="228"/>
      <c r="Y142" s="228"/>
    </row>
    <row r="143" spans="1:26">
      <c r="A143" s="199">
        <v>28</v>
      </c>
      <c r="B143" s="227"/>
      <c r="C143" s="285" t="s">
        <v>249</v>
      </c>
      <c r="F143" s="297">
        <v>0</v>
      </c>
      <c r="G143" s="297">
        <f>0.04045*100</f>
        <v>4.0449999999999999</v>
      </c>
      <c r="H143" s="204" t="s">
        <v>109</v>
      </c>
      <c r="I143" s="297">
        <v>0</v>
      </c>
      <c r="J143" s="204" t="s">
        <v>109</v>
      </c>
      <c r="K143" s="204"/>
      <c r="M143" s="297">
        <f t="shared" si="5"/>
        <v>0</v>
      </c>
      <c r="N143" s="297">
        <f t="shared" si="5"/>
        <v>4.0449999999999999</v>
      </c>
      <c r="O143" s="204" t="s">
        <v>109</v>
      </c>
      <c r="P143" s="297">
        <f t="shared" si="5"/>
        <v>0</v>
      </c>
      <c r="Q143" s="204" t="s">
        <v>109</v>
      </c>
      <c r="U143" s="228"/>
      <c r="V143" s="228"/>
      <c r="W143" s="228"/>
      <c r="X143" s="228"/>
      <c r="Y143" s="228"/>
    </row>
    <row r="144" spans="1:26">
      <c r="A144" s="199">
        <v>29</v>
      </c>
      <c r="B144" s="227"/>
      <c r="C144" s="285" t="s">
        <v>250</v>
      </c>
      <c r="F144" s="297">
        <v>0</v>
      </c>
      <c r="G144" s="297">
        <f>0.03757*100</f>
        <v>3.7570000000000001</v>
      </c>
      <c r="H144" s="204" t="s">
        <v>109</v>
      </c>
      <c r="I144" s="297">
        <v>0</v>
      </c>
      <c r="J144" s="204" t="s">
        <v>109</v>
      </c>
      <c r="K144" s="204"/>
      <c r="M144" s="297">
        <f t="shared" si="5"/>
        <v>0</v>
      </c>
      <c r="N144" s="297">
        <f t="shared" si="5"/>
        <v>3.7570000000000001</v>
      </c>
      <c r="O144" s="204" t="s">
        <v>109</v>
      </c>
      <c r="P144" s="297">
        <f t="shared" si="5"/>
        <v>0</v>
      </c>
      <c r="Q144" s="204" t="s">
        <v>109</v>
      </c>
      <c r="U144" s="228"/>
      <c r="V144" s="228"/>
      <c r="W144" s="228"/>
      <c r="X144" s="228"/>
      <c r="Y144" s="228"/>
    </row>
    <row r="145" spans="1:26">
      <c r="A145" s="199">
        <v>30</v>
      </c>
      <c r="B145" s="227"/>
      <c r="C145" s="204" t="s">
        <v>235</v>
      </c>
      <c r="D145" s="206"/>
      <c r="F145" s="283">
        <v>0.73</v>
      </c>
      <c r="G145" s="283">
        <v>0.73</v>
      </c>
      <c r="H145" s="204" t="s">
        <v>101</v>
      </c>
      <c r="I145" s="297">
        <f>0.00175*100</f>
        <v>0.17500000000000002</v>
      </c>
      <c r="J145" s="204" t="s">
        <v>109</v>
      </c>
      <c r="K145" s="204"/>
      <c r="M145" s="283">
        <f t="shared" si="5"/>
        <v>0.73</v>
      </c>
      <c r="N145" s="283">
        <f t="shared" si="5"/>
        <v>0.73</v>
      </c>
      <c r="O145" s="204" t="s">
        <v>101</v>
      </c>
      <c r="P145" s="297">
        <f t="shared" si="5"/>
        <v>0.17500000000000002</v>
      </c>
      <c r="Q145" s="204" t="s">
        <v>109</v>
      </c>
      <c r="U145" s="228"/>
      <c r="V145" s="228"/>
      <c r="W145" s="228"/>
      <c r="X145" s="228"/>
      <c r="Y145" s="228"/>
    </row>
    <row r="146" spans="1:26">
      <c r="A146" s="199">
        <v>31</v>
      </c>
      <c r="B146" s="227"/>
      <c r="C146" s="204" t="s">
        <v>236</v>
      </c>
      <c r="D146" s="206"/>
      <c r="F146" s="283">
        <v>0.2</v>
      </c>
      <c r="G146" s="283">
        <v>0.2</v>
      </c>
      <c r="H146" s="204" t="s">
        <v>101</v>
      </c>
      <c r="I146" s="297">
        <f>0.00048*100</f>
        <v>4.8000000000000001E-2</v>
      </c>
      <c r="J146" s="204" t="s">
        <v>109</v>
      </c>
      <c r="K146" s="204"/>
      <c r="M146" s="283">
        <f t="shared" si="5"/>
        <v>0.2</v>
      </c>
      <c r="N146" s="283">
        <f t="shared" si="5"/>
        <v>0.2</v>
      </c>
      <c r="O146" s="204" t="s">
        <v>101</v>
      </c>
      <c r="P146" s="297">
        <f t="shared" si="5"/>
        <v>4.8000000000000001E-2</v>
      </c>
      <c r="Q146" s="204" t="s">
        <v>109</v>
      </c>
      <c r="U146" s="228"/>
      <c r="V146" s="228"/>
      <c r="W146" s="228"/>
      <c r="X146" s="228"/>
      <c r="Y146" s="228"/>
    </row>
    <row r="147" spans="1:26">
      <c r="A147" s="199">
        <v>32</v>
      </c>
      <c r="B147" s="227"/>
      <c r="C147" s="204" t="s">
        <v>237</v>
      </c>
      <c r="D147" s="206"/>
      <c r="F147" s="283">
        <v>1.1200000000000001</v>
      </c>
      <c r="G147" s="283">
        <v>1.1200000000000001</v>
      </c>
      <c r="H147" s="204" t="s">
        <v>101</v>
      </c>
      <c r="I147" s="297">
        <f>0.00266*100</f>
        <v>0.26600000000000001</v>
      </c>
      <c r="J147" s="204" t="s">
        <v>109</v>
      </c>
      <c r="K147" s="204"/>
      <c r="M147" s="283">
        <f t="shared" si="5"/>
        <v>1.1200000000000001</v>
      </c>
      <c r="N147" s="283">
        <f t="shared" si="5"/>
        <v>1.1200000000000001</v>
      </c>
      <c r="O147" s="204" t="s">
        <v>101</v>
      </c>
      <c r="P147" s="297">
        <f t="shared" si="5"/>
        <v>0.26600000000000001</v>
      </c>
      <c r="Q147" s="204" t="s">
        <v>109</v>
      </c>
      <c r="U147" s="228"/>
      <c r="V147" s="228"/>
      <c r="W147" s="228"/>
      <c r="X147" s="228"/>
      <c r="Y147" s="228"/>
    </row>
    <row r="148" spans="1:26">
      <c r="A148" s="199">
        <v>33</v>
      </c>
      <c r="B148" s="227"/>
      <c r="C148" s="204" t="s">
        <v>238</v>
      </c>
      <c r="D148" s="206"/>
      <c r="F148" s="297">
        <f>0.00081*100</f>
        <v>8.0999999999999989E-2</v>
      </c>
      <c r="G148" s="297">
        <f>0.00081*100</f>
        <v>8.0999999999999989E-2</v>
      </c>
      <c r="H148" s="204" t="s">
        <v>109</v>
      </c>
      <c r="I148" s="297">
        <f>0.00081*100</f>
        <v>8.0999999999999989E-2</v>
      </c>
      <c r="J148" s="204" t="s">
        <v>109</v>
      </c>
      <c r="K148" s="204"/>
      <c r="M148" s="297">
        <f t="shared" si="5"/>
        <v>8.0999999999999989E-2</v>
      </c>
      <c r="N148" s="297">
        <f t="shared" si="5"/>
        <v>8.0999999999999989E-2</v>
      </c>
      <c r="O148" s="204" t="s">
        <v>109</v>
      </c>
      <c r="P148" s="297">
        <f t="shared" si="5"/>
        <v>8.0999999999999989E-2</v>
      </c>
      <c r="Q148" s="204" t="s">
        <v>109</v>
      </c>
      <c r="U148" s="228"/>
      <c r="V148" s="228"/>
      <c r="W148" s="228"/>
      <c r="X148" s="228"/>
      <c r="Y148" s="228"/>
    </row>
    <row r="149" spans="1:26">
      <c r="A149" s="199">
        <v>34</v>
      </c>
      <c r="B149" s="227"/>
      <c r="C149" s="204" t="s">
        <v>239</v>
      </c>
      <c r="D149" s="206"/>
      <c r="F149" s="283">
        <v>0.72</v>
      </c>
      <c r="G149" s="283">
        <v>0.72</v>
      </c>
      <c r="H149" s="204" t="s">
        <v>101</v>
      </c>
      <c r="I149" s="297">
        <f>0.00172*100</f>
        <v>0.17199999999999999</v>
      </c>
      <c r="J149" s="204" t="s">
        <v>109</v>
      </c>
      <c r="K149" s="204"/>
      <c r="M149" s="283">
        <f t="shared" si="5"/>
        <v>0.72</v>
      </c>
      <c r="N149" s="283">
        <f t="shared" si="5"/>
        <v>0.72</v>
      </c>
      <c r="O149" s="204" t="s">
        <v>101</v>
      </c>
      <c r="P149" s="297">
        <f t="shared" si="5"/>
        <v>0.17199999999999999</v>
      </c>
      <c r="Q149" s="204" t="s">
        <v>109</v>
      </c>
      <c r="U149" s="228"/>
      <c r="V149" s="228"/>
      <c r="W149" s="228"/>
      <c r="X149" s="228"/>
      <c r="Y149" s="228"/>
    </row>
    <row r="150" spans="1:26">
      <c r="A150" s="199">
        <v>35</v>
      </c>
      <c r="B150" s="227"/>
      <c r="C150" s="204" t="s">
        <v>240</v>
      </c>
      <c r="D150" s="206"/>
      <c r="F150" s="297">
        <v>0</v>
      </c>
      <c r="G150" s="297">
        <v>0</v>
      </c>
      <c r="H150" s="204" t="s">
        <v>109</v>
      </c>
      <c r="I150" s="297">
        <v>0</v>
      </c>
      <c r="J150" s="204" t="s">
        <v>109</v>
      </c>
      <c r="K150" s="204"/>
      <c r="L150" s="297"/>
      <c r="M150" s="204"/>
      <c r="O150" s="282"/>
      <c r="P150" s="282"/>
      <c r="Q150" s="204"/>
      <c r="R150" s="284"/>
      <c r="S150" s="284"/>
      <c r="T150" s="204"/>
      <c r="U150" s="228"/>
      <c r="V150" s="228"/>
      <c r="W150" s="228"/>
      <c r="X150" s="228"/>
      <c r="Y150" s="228"/>
    </row>
    <row r="151" spans="1:26">
      <c r="A151" s="199">
        <v>36</v>
      </c>
      <c r="B151" s="227"/>
      <c r="C151" s="228" t="s">
        <v>252</v>
      </c>
      <c r="R151" s="228"/>
      <c r="S151" s="228"/>
      <c r="T151" s="228"/>
      <c r="U151" s="228"/>
      <c r="V151" s="228"/>
      <c r="W151" s="228"/>
      <c r="X151" s="228"/>
      <c r="Y151" s="228"/>
    </row>
    <row r="152" spans="1:26">
      <c r="A152" s="199">
        <v>37</v>
      </c>
      <c r="B152" s="199"/>
      <c r="C152" s="228" t="s">
        <v>253</v>
      </c>
      <c r="R152" s="228"/>
      <c r="S152" s="228"/>
      <c r="T152" s="228"/>
      <c r="U152" s="228"/>
      <c r="V152" s="228"/>
      <c r="W152" s="228"/>
      <c r="X152" s="228"/>
      <c r="Y152" s="228"/>
    </row>
    <row r="153" spans="1:26">
      <c r="A153" s="199">
        <v>38</v>
      </c>
      <c r="B153" s="199"/>
      <c r="C153" s="228" t="s">
        <v>254</v>
      </c>
      <c r="P153" s="287"/>
      <c r="Q153" s="287"/>
      <c r="R153" s="287"/>
      <c r="S153" s="287"/>
      <c r="T153" s="287"/>
      <c r="U153" s="287"/>
      <c r="V153" s="287"/>
      <c r="W153" s="287"/>
      <c r="X153" s="287"/>
      <c r="Y153" s="287"/>
    </row>
    <row r="154" spans="1:26">
      <c r="A154" s="199">
        <v>39</v>
      </c>
      <c r="B154" s="199"/>
      <c r="C154" s="228" t="s">
        <v>255</v>
      </c>
      <c r="P154" s="287"/>
      <c r="Q154" s="287"/>
      <c r="R154" s="287"/>
      <c r="S154" s="287"/>
      <c r="T154" s="287"/>
      <c r="U154" s="287"/>
      <c r="V154" s="287"/>
      <c r="W154" s="287"/>
      <c r="X154" s="287"/>
      <c r="Y154" s="287"/>
    </row>
    <row r="155" spans="1:26">
      <c r="A155" s="199">
        <v>40</v>
      </c>
      <c r="B155" s="199"/>
      <c r="C155" s="228" t="s">
        <v>256</v>
      </c>
      <c r="D155" s="199"/>
      <c r="E155" s="199"/>
      <c r="F155" s="287"/>
      <c r="G155" s="287"/>
      <c r="H155" s="287"/>
      <c r="I155" s="287"/>
      <c r="J155" s="287"/>
      <c r="K155" s="287"/>
      <c r="L155" s="287"/>
      <c r="M155" s="287"/>
      <c r="N155" s="287"/>
      <c r="O155" s="287"/>
      <c r="P155" s="287"/>
      <c r="Q155" s="287"/>
      <c r="R155" s="287"/>
      <c r="S155" s="287"/>
      <c r="T155" s="287"/>
      <c r="U155" s="287"/>
      <c r="V155" s="287"/>
      <c r="W155" s="287"/>
      <c r="X155" s="287"/>
      <c r="Y155" s="287"/>
    </row>
    <row r="156" spans="1:26">
      <c r="A156" s="199">
        <v>41</v>
      </c>
      <c r="B156" s="199"/>
      <c r="C156" s="228" t="s">
        <v>257</v>
      </c>
      <c r="D156" s="199"/>
      <c r="E156" s="199"/>
      <c r="F156" s="287"/>
      <c r="G156" s="287"/>
      <c r="H156" s="287"/>
      <c r="I156" s="287"/>
      <c r="J156" s="287"/>
      <c r="K156" s="287"/>
      <c r="L156" s="287"/>
      <c r="M156" s="287"/>
      <c r="N156" s="287"/>
      <c r="O156" s="287"/>
      <c r="P156" s="287"/>
      <c r="Q156" s="287"/>
      <c r="R156" s="287"/>
      <c r="S156" s="287"/>
      <c r="T156" s="287"/>
      <c r="U156" s="287"/>
      <c r="V156" s="287"/>
      <c r="W156" s="287"/>
      <c r="X156" s="287"/>
      <c r="Y156" s="287"/>
    </row>
    <row r="157" spans="1:26" ht="13.5" thickBot="1">
      <c r="A157" s="199">
        <v>42</v>
      </c>
      <c r="B157" s="200"/>
      <c r="C157" s="298" t="s">
        <v>258</v>
      </c>
      <c r="D157" s="200"/>
      <c r="E157" s="200"/>
      <c r="F157" s="200"/>
      <c r="G157" s="200"/>
      <c r="H157" s="200"/>
      <c r="I157" s="200"/>
      <c r="J157" s="200"/>
      <c r="K157" s="200"/>
      <c r="L157" s="200"/>
      <c r="M157" s="200"/>
      <c r="N157" s="200"/>
      <c r="O157" s="200"/>
      <c r="P157" s="200"/>
      <c r="Q157" s="200"/>
      <c r="R157" s="200"/>
      <c r="S157" s="200"/>
      <c r="T157" s="200"/>
      <c r="U157" s="200"/>
      <c r="V157" s="200"/>
      <c r="W157" s="200"/>
      <c r="X157" s="200"/>
      <c r="Y157" s="200"/>
      <c r="Z157" s="263"/>
    </row>
    <row r="158" spans="1:26">
      <c r="A158" s="199"/>
      <c r="B158" s="199"/>
      <c r="C158" s="199"/>
      <c r="D158" s="199"/>
      <c r="E158" s="199"/>
      <c r="F158" s="199"/>
      <c r="G158" s="199"/>
      <c r="H158" s="199"/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  <c r="S158" s="199"/>
      <c r="T158" s="199"/>
      <c r="U158" s="199"/>
      <c r="V158" s="199"/>
      <c r="W158" s="199"/>
      <c r="X158" s="199"/>
      <c r="Y158" s="199"/>
    </row>
    <row r="159" spans="1:26">
      <c r="A159" s="199"/>
      <c r="B159" s="199"/>
      <c r="C159" s="199"/>
      <c r="D159" s="199"/>
      <c r="E159" s="199"/>
      <c r="F159" s="199"/>
      <c r="G159" s="199"/>
      <c r="H159" s="199"/>
      <c r="I159" s="199"/>
      <c r="J159" s="199"/>
      <c r="K159" s="199"/>
      <c r="L159" s="199"/>
      <c r="M159" s="199"/>
      <c r="N159" s="199"/>
      <c r="O159" s="199"/>
      <c r="P159" s="199"/>
      <c r="Q159" s="199"/>
      <c r="R159" s="199"/>
      <c r="S159" s="199"/>
      <c r="T159" s="199"/>
      <c r="U159" s="199"/>
      <c r="V159" s="199"/>
      <c r="W159" s="199"/>
      <c r="X159" s="199"/>
      <c r="Y159" s="199"/>
    </row>
    <row r="160" spans="1:26">
      <c r="A160" s="199"/>
      <c r="B160" s="199"/>
      <c r="C160" s="199"/>
      <c r="D160" s="199"/>
      <c r="E160" s="199"/>
      <c r="F160" s="199"/>
      <c r="G160" s="199"/>
      <c r="H160" s="199"/>
      <c r="I160" s="199"/>
      <c r="J160" s="199"/>
      <c r="K160" s="199"/>
      <c r="L160" s="199"/>
      <c r="M160" s="204"/>
      <c r="N160" s="204"/>
      <c r="O160" s="199"/>
      <c r="P160" s="204"/>
      <c r="Q160" s="204"/>
      <c r="R160" s="204"/>
      <c r="S160" s="204"/>
      <c r="T160" s="204"/>
      <c r="U160" s="204"/>
      <c r="V160" s="204"/>
      <c r="W160" s="199"/>
      <c r="X160" s="199"/>
      <c r="Y160" s="204"/>
    </row>
    <row r="161" spans="1:25">
      <c r="A161" s="199"/>
      <c r="B161" s="199"/>
      <c r="C161" s="199"/>
      <c r="D161" s="199"/>
      <c r="E161" s="199"/>
      <c r="F161" s="199"/>
      <c r="G161" s="199"/>
      <c r="H161" s="199"/>
      <c r="I161" s="199"/>
      <c r="J161" s="199"/>
      <c r="K161" s="199"/>
      <c r="L161" s="199"/>
      <c r="M161" s="202"/>
      <c r="N161" s="204"/>
      <c r="O161" s="199"/>
      <c r="P161" s="199"/>
      <c r="Q161" s="199"/>
      <c r="R161" s="199"/>
      <c r="S161" s="199"/>
      <c r="T161" s="199"/>
      <c r="U161" s="202"/>
      <c r="V161" s="202"/>
      <c r="W161" s="204"/>
      <c r="X161" s="199"/>
      <c r="Y161" s="202"/>
    </row>
    <row r="162" spans="1:25">
      <c r="A162" s="199"/>
      <c r="B162" s="199"/>
      <c r="C162" s="199"/>
      <c r="D162" s="199"/>
      <c r="E162" s="199"/>
      <c r="F162" s="199"/>
      <c r="G162" s="199"/>
      <c r="H162" s="199"/>
      <c r="I162" s="199"/>
      <c r="J162" s="199"/>
      <c r="K162" s="199"/>
      <c r="L162" s="199"/>
      <c r="M162" s="202"/>
      <c r="N162" s="204"/>
      <c r="O162" s="202"/>
      <c r="P162" s="199"/>
      <c r="Q162" s="199"/>
      <c r="R162" s="199"/>
      <c r="S162" s="199"/>
      <c r="T162" s="199"/>
      <c r="U162" s="199"/>
      <c r="V162" s="204"/>
      <c r="W162" s="204"/>
      <c r="X162" s="199"/>
      <c r="Y162" s="202"/>
    </row>
    <row r="163" spans="1:25">
      <c r="A163" s="199"/>
      <c r="B163" s="199"/>
      <c r="C163" s="199"/>
      <c r="D163" s="199"/>
      <c r="E163" s="199"/>
      <c r="F163" s="199"/>
      <c r="R163" s="199"/>
      <c r="S163" s="199"/>
      <c r="T163" s="199"/>
      <c r="U163" s="199"/>
      <c r="V163" s="202"/>
      <c r="W163" s="204"/>
      <c r="X163" s="199"/>
      <c r="Y163" s="202"/>
    </row>
    <row r="164" spans="1:25">
      <c r="A164" s="199"/>
      <c r="B164" s="199"/>
      <c r="C164" s="199"/>
      <c r="D164" s="199"/>
      <c r="E164" s="199"/>
      <c r="F164" s="199"/>
      <c r="G164" s="199"/>
      <c r="H164" s="199"/>
      <c r="I164" s="199"/>
      <c r="J164" s="199"/>
      <c r="K164" s="199"/>
      <c r="L164" s="199"/>
      <c r="M164" s="206"/>
      <c r="N164" s="199"/>
      <c r="O164" s="199"/>
      <c r="P164" s="199"/>
      <c r="Q164" s="199"/>
      <c r="R164" s="199"/>
      <c r="S164" s="199"/>
      <c r="T164" s="199"/>
      <c r="U164" s="199"/>
      <c r="V164" s="199"/>
      <c r="W164" s="199"/>
      <c r="X164" s="199"/>
      <c r="Y164" s="199"/>
    </row>
    <row r="165" spans="1:25">
      <c r="A165" s="199"/>
      <c r="B165" s="199"/>
      <c r="C165" s="199"/>
      <c r="D165" s="207"/>
      <c r="E165" s="207"/>
      <c r="F165" s="207"/>
      <c r="G165" s="207"/>
      <c r="H165" s="207"/>
      <c r="I165" s="207"/>
      <c r="J165" s="207"/>
      <c r="K165" s="207"/>
      <c r="L165" s="207"/>
      <c r="M165" s="207"/>
      <c r="N165" s="207"/>
      <c r="O165" s="207"/>
      <c r="P165" s="207"/>
      <c r="Q165" s="207"/>
      <c r="R165" s="207"/>
      <c r="S165" s="207"/>
      <c r="T165" s="207"/>
      <c r="U165" s="207"/>
      <c r="V165" s="207"/>
      <c r="W165" s="207"/>
      <c r="X165" s="207"/>
      <c r="Y165" s="207"/>
    </row>
    <row r="166" spans="1:25">
      <c r="A166" s="199"/>
      <c r="B166" s="199"/>
      <c r="C166" s="199"/>
      <c r="D166" s="199"/>
      <c r="E166" s="199"/>
      <c r="F166" s="199"/>
      <c r="G166" s="199"/>
      <c r="H166" s="199"/>
      <c r="I166" s="199"/>
      <c r="J166" s="199"/>
      <c r="K166" s="199"/>
      <c r="L166" s="199"/>
      <c r="M166" s="199"/>
      <c r="N166" s="199"/>
      <c r="O166" s="199"/>
      <c r="P166" s="199"/>
      <c r="Q166" s="199"/>
      <c r="R166" s="199"/>
      <c r="S166" s="199"/>
      <c r="T166" s="199"/>
      <c r="U166" s="199"/>
      <c r="V166" s="199"/>
      <c r="W166" s="199"/>
      <c r="X166" s="199"/>
      <c r="Y166" s="199"/>
    </row>
    <row r="167" spans="1:25">
      <c r="A167" s="199"/>
      <c r="B167" s="206"/>
      <c r="C167" s="206"/>
      <c r="D167" s="206"/>
      <c r="E167" s="206"/>
      <c r="F167" s="206"/>
      <c r="G167" s="207"/>
      <c r="H167" s="207"/>
      <c r="I167" s="207"/>
      <c r="J167" s="207"/>
      <c r="K167" s="207"/>
      <c r="L167" s="207"/>
      <c r="M167" s="207"/>
      <c r="N167" s="207"/>
      <c r="O167" s="207"/>
      <c r="P167" s="207"/>
      <c r="Q167" s="207"/>
      <c r="R167" s="207"/>
      <c r="S167" s="207"/>
      <c r="T167" s="207"/>
      <c r="U167" s="207"/>
      <c r="V167" s="207"/>
      <c r="W167" s="207"/>
      <c r="X167" s="207"/>
      <c r="Y167" s="207"/>
    </row>
    <row r="168" spans="1:25">
      <c r="A168" s="199"/>
      <c r="B168" s="206"/>
      <c r="C168" s="206"/>
      <c r="D168" s="206"/>
      <c r="E168" s="206"/>
      <c r="F168" s="206"/>
      <c r="G168" s="207"/>
      <c r="H168" s="299"/>
      <c r="I168" s="299"/>
      <c r="J168" s="299"/>
      <c r="K168" s="299"/>
      <c r="L168" s="299"/>
      <c r="M168" s="207"/>
      <c r="N168" s="206"/>
      <c r="O168" s="206"/>
      <c r="P168" s="207"/>
      <c r="Q168" s="207"/>
      <c r="R168" s="299"/>
      <c r="S168" s="299"/>
      <c r="T168" s="299"/>
      <c r="U168" s="207"/>
      <c r="V168" s="207"/>
      <c r="W168" s="207"/>
      <c r="X168" s="206"/>
      <c r="Y168" s="206"/>
    </row>
    <row r="169" spans="1:25">
      <c r="A169" s="199"/>
      <c r="B169" s="300"/>
      <c r="C169" s="233"/>
      <c r="D169" s="233"/>
      <c r="E169" s="233"/>
      <c r="F169" s="233"/>
      <c r="G169" s="207"/>
      <c r="H169" s="233"/>
      <c r="I169" s="233"/>
      <c r="J169" s="233"/>
      <c r="K169" s="233"/>
      <c r="L169" s="233"/>
      <c r="M169" s="233"/>
      <c r="N169" s="207"/>
      <c r="O169" s="207"/>
      <c r="P169" s="207"/>
      <c r="Q169" s="207"/>
      <c r="R169" s="233"/>
      <c r="S169" s="233"/>
      <c r="T169" s="233"/>
      <c r="U169" s="233"/>
      <c r="V169" s="233"/>
      <c r="W169" s="233"/>
      <c r="X169" s="206"/>
      <c r="Y169" s="206"/>
    </row>
    <row r="170" spans="1:25">
      <c r="A170" s="199"/>
      <c r="B170" s="301"/>
      <c r="C170" s="228"/>
      <c r="D170" s="275"/>
      <c r="E170" s="275"/>
      <c r="F170" s="275"/>
      <c r="G170" s="275"/>
      <c r="H170" s="275"/>
      <c r="I170" s="275"/>
      <c r="J170" s="275"/>
      <c r="K170" s="275"/>
      <c r="L170" s="275"/>
      <c r="M170" s="275"/>
      <c r="N170" s="275"/>
      <c r="O170" s="275"/>
      <c r="P170" s="275"/>
      <c r="Q170" s="275"/>
      <c r="R170" s="275"/>
      <c r="S170" s="275"/>
      <c r="T170" s="275"/>
      <c r="U170" s="275"/>
      <c r="V170" s="275"/>
      <c r="W170" s="277"/>
      <c r="X170" s="215"/>
      <c r="Y170" s="302"/>
    </row>
    <row r="171" spans="1:25">
      <c r="A171" s="199"/>
      <c r="B171" s="301"/>
      <c r="C171" s="228"/>
      <c r="D171" s="275"/>
      <c r="E171" s="275"/>
      <c r="F171" s="275"/>
      <c r="G171" s="275"/>
      <c r="H171" s="275"/>
      <c r="I171" s="275"/>
      <c r="J171" s="275"/>
      <c r="K171" s="275"/>
      <c r="L171" s="275"/>
      <c r="M171" s="275"/>
      <c r="N171" s="275"/>
      <c r="O171" s="275"/>
      <c r="P171" s="275"/>
      <c r="Q171" s="275"/>
      <c r="R171" s="275"/>
      <c r="S171" s="275"/>
      <c r="T171" s="275"/>
      <c r="U171" s="275"/>
      <c r="V171" s="275"/>
      <c r="W171" s="277"/>
      <c r="X171" s="215"/>
      <c r="Y171" s="302"/>
    </row>
    <row r="172" spans="1:25">
      <c r="A172" s="199"/>
      <c r="B172" s="301"/>
      <c r="C172" s="228"/>
      <c r="D172" s="275"/>
      <c r="E172" s="275"/>
      <c r="F172" s="275"/>
      <c r="G172" s="275"/>
      <c r="H172" s="275"/>
      <c r="I172" s="275"/>
      <c r="J172" s="275"/>
      <c r="K172" s="275"/>
      <c r="L172" s="275"/>
      <c r="M172" s="275"/>
      <c r="N172" s="275"/>
      <c r="O172" s="275"/>
      <c r="P172" s="275"/>
      <c r="Q172" s="275"/>
      <c r="R172" s="275"/>
      <c r="S172" s="275"/>
      <c r="T172" s="275"/>
      <c r="U172" s="275"/>
      <c r="V172" s="275"/>
      <c r="W172" s="277"/>
      <c r="X172" s="215"/>
      <c r="Y172" s="302"/>
    </row>
    <row r="173" spans="1:25">
      <c r="A173" s="199"/>
      <c r="D173" s="303"/>
      <c r="E173" s="303"/>
      <c r="F173" s="303"/>
      <c r="G173" s="303"/>
      <c r="H173" s="303"/>
      <c r="I173" s="303"/>
      <c r="J173" s="303"/>
      <c r="K173" s="303"/>
      <c r="L173" s="303"/>
      <c r="M173" s="303"/>
      <c r="N173" s="303"/>
      <c r="O173" s="303"/>
      <c r="P173" s="303"/>
      <c r="Q173" s="303"/>
      <c r="R173" s="303"/>
      <c r="S173" s="303"/>
      <c r="T173" s="303"/>
      <c r="U173" s="303"/>
      <c r="V173" s="275"/>
      <c r="W173" s="277"/>
      <c r="X173" s="289"/>
      <c r="Y173" s="246"/>
    </row>
    <row r="174" spans="1:25">
      <c r="A174" s="199"/>
      <c r="B174" s="304"/>
      <c r="C174" s="228"/>
      <c r="D174" s="275"/>
      <c r="E174" s="275"/>
      <c r="F174" s="275"/>
      <c r="G174" s="275"/>
      <c r="H174" s="275"/>
      <c r="I174" s="275"/>
      <c r="J174" s="275"/>
      <c r="K174" s="275"/>
      <c r="L174" s="275"/>
      <c r="M174" s="275"/>
      <c r="N174" s="275"/>
      <c r="O174" s="275"/>
      <c r="P174" s="275"/>
      <c r="Q174" s="275"/>
      <c r="R174" s="275"/>
      <c r="S174" s="275"/>
      <c r="T174" s="275"/>
      <c r="U174" s="275"/>
      <c r="V174" s="275"/>
      <c r="W174" s="277"/>
      <c r="X174" s="215"/>
      <c r="Y174" s="302"/>
    </row>
    <row r="175" spans="1:25">
      <c r="A175" s="199"/>
      <c r="B175" s="304"/>
      <c r="C175" s="228"/>
      <c r="D175" s="275"/>
      <c r="E175" s="275"/>
      <c r="F175" s="275"/>
      <c r="G175" s="275"/>
      <c r="H175" s="275"/>
      <c r="I175" s="275"/>
      <c r="J175" s="275"/>
      <c r="K175" s="275"/>
      <c r="L175" s="275"/>
      <c r="M175" s="275"/>
      <c r="N175" s="275"/>
      <c r="O175" s="275"/>
      <c r="P175" s="275"/>
      <c r="Q175" s="275"/>
      <c r="R175" s="275"/>
      <c r="S175" s="275"/>
      <c r="T175" s="275"/>
      <c r="U175" s="275"/>
      <c r="V175" s="275"/>
      <c r="W175" s="277"/>
      <c r="X175" s="215"/>
      <c r="Y175" s="302"/>
    </row>
    <row r="176" spans="1:25">
      <c r="A176" s="199"/>
      <c r="B176" s="304"/>
      <c r="C176" s="228"/>
      <c r="D176" s="275"/>
      <c r="E176" s="275"/>
      <c r="F176" s="275"/>
      <c r="G176" s="275"/>
      <c r="H176" s="275"/>
      <c r="I176" s="275"/>
      <c r="J176" s="275"/>
      <c r="K176" s="275"/>
      <c r="L176" s="275"/>
      <c r="M176" s="275"/>
      <c r="N176" s="275"/>
      <c r="O176" s="275"/>
      <c r="P176" s="275"/>
      <c r="Q176" s="275"/>
      <c r="R176" s="275"/>
      <c r="S176" s="275"/>
      <c r="T176" s="275"/>
      <c r="U176" s="275"/>
      <c r="V176" s="275"/>
      <c r="W176" s="277"/>
      <c r="X176" s="215"/>
      <c r="Y176" s="302"/>
    </row>
    <row r="177" spans="1:25">
      <c r="A177" s="199"/>
      <c r="D177" s="303"/>
      <c r="E177" s="303"/>
      <c r="F177" s="303"/>
      <c r="G177" s="303"/>
      <c r="H177" s="303"/>
      <c r="I177" s="303"/>
      <c r="J177" s="303"/>
      <c r="K177" s="303"/>
      <c r="L177" s="303"/>
      <c r="M177" s="303"/>
      <c r="N177" s="303"/>
      <c r="O177" s="303"/>
      <c r="P177" s="303"/>
      <c r="Q177" s="303"/>
      <c r="R177" s="303"/>
      <c r="S177" s="303"/>
      <c r="T177" s="303"/>
      <c r="U177" s="303"/>
      <c r="V177" s="275"/>
      <c r="W177" s="277"/>
      <c r="X177" s="289"/>
      <c r="Y177" s="246"/>
    </row>
    <row r="178" spans="1:25">
      <c r="A178" s="199"/>
      <c r="B178" s="305"/>
      <c r="C178" s="228"/>
      <c r="D178" s="275"/>
      <c r="E178" s="275"/>
      <c r="F178" s="275"/>
      <c r="G178" s="275"/>
      <c r="H178" s="275"/>
      <c r="I178" s="275"/>
      <c r="J178" s="275"/>
      <c r="K178" s="275"/>
      <c r="L178" s="275"/>
      <c r="M178" s="275"/>
      <c r="N178" s="275"/>
      <c r="O178" s="275"/>
      <c r="P178" s="275"/>
      <c r="Q178" s="275"/>
      <c r="R178" s="275"/>
      <c r="S178" s="275"/>
      <c r="T178" s="275"/>
      <c r="U178" s="275"/>
      <c r="V178" s="275"/>
      <c r="W178" s="277"/>
      <c r="X178" s="215"/>
      <c r="Y178" s="302"/>
    </row>
    <row r="179" spans="1:25">
      <c r="A179" s="199"/>
      <c r="B179" s="305"/>
      <c r="C179" s="228"/>
      <c r="D179" s="275"/>
      <c r="E179" s="275"/>
      <c r="F179" s="275"/>
      <c r="G179" s="275"/>
      <c r="H179" s="275"/>
      <c r="I179" s="275"/>
      <c r="J179" s="275"/>
      <c r="K179" s="275"/>
      <c r="L179" s="275"/>
      <c r="M179" s="275"/>
      <c r="N179" s="275"/>
      <c r="O179" s="275"/>
      <c r="P179" s="275"/>
      <c r="Q179" s="275"/>
      <c r="R179" s="275"/>
      <c r="S179" s="275"/>
      <c r="T179" s="275"/>
      <c r="U179" s="275"/>
      <c r="V179" s="275"/>
      <c r="W179" s="277"/>
      <c r="X179" s="215"/>
      <c r="Y179" s="302"/>
    </row>
    <row r="180" spans="1:25">
      <c r="A180" s="199"/>
      <c r="B180" s="305"/>
      <c r="C180" s="228"/>
      <c r="D180" s="275"/>
      <c r="E180" s="275"/>
      <c r="F180" s="275"/>
      <c r="G180" s="275"/>
      <c r="H180" s="275"/>
      <c r="I180" s="275"/>
      <c r="J180" s="275"/>
      <c r="K180" s="275"/>
      <c r="L180" s="275"/>
      <c r="M180" s="275"/>
      <c r="N180" s="275"/>
      <c r="O180" s="275"/>
      <c r="P180" s="275"/>
      <c r="Q180" s="275"/>
      <c r="R180" s="275"/>
      <c r="S180" s="275"/>
      <c r="T180" s="275"/>
      <c r="U180" s="275"/>
      <c r="V180" s="275"/>
      <c r="W180" s="277"/>
      <c r="X180" s="215"/>
      <c r="Y180" s="302"/>
    </row>
    <row r="181" spans="1:25">
      <c r="A181" s="199"/>
      <c r="D181" s="306"/>
      <c r="E181" s="306"/>
      <c r="F181" s="306"/>
      <c r="G181" s="306"/>
      <c r="H181" s="306"/>
      <c r="I181" s="306"/>
      <c r="J181" s="306"/>
      <c r="K181" s="306"/>
      <c r="L181" s="306"/>
      <c r="M181" s="306"/>
      <c r="N181" s="306"/>
      <c r="O181" s="306"/>
      <c r="P181" s="306"/>
      <c r="Q181" s="306"/>
      <c r="R181" s="306"/>
      <c r="S181" s="306"/>
      <c r="T181" s="306"/>
      <c r="U181" s="306"/>
      <c r="V181" s="215"/>
      <c r="W181" s="277"/>
      <c r="X181" s="228"/>
      <c r="Y181" s="228"/>
    </row>
    <row r="182" spans="1:25">
      <c r="A182" s="199"/>
      <c r="F182" s="325"/>
      <c r="G182" s="325"/>
      <c r="H182" s="206"/>
      <c r="I182" s="206"/>
      <c r="J182" s="206"/>
      <c r="K182" s="206"/>
      <c r="L182" s="206"/>
      <c r="M182" s="325"/>
      <c r="N182" s="325"/>
      <c r="O182" s="325"/>
      <c r="P182" s="325"/>
    </row>
    <row r="183" spans="1:25">
      <c r="A183" s="199"/>
      <c r="C183" s="206"/>
      <c r="D183" s="206"/>
      <c r="E183" s="206"/>
      <c r="F183" s="206"/>
      <c r="G183" s="206"/>
      <c r="H183" s="199"/>
      <c r="I183" s="199"/>
      <c r="J183" s="199"/>
      <c r="K183" s="199"/>
      <c r="N183" s="206"/>
      <c r="O183" s="199"/>
    </row>
    <row r="184" spans="1:25">
      <c r="A184" s="199"/>
      <c r="C184" s="204"/>
      <c r="D184" s="206"/>
      <c r="E184" s="206"/>
      <c r="F184" s="283"/>
      <c r="G184" s="283"/>
      <c r="H184" s="204"/>
      <c r="I184" s="204"/>
      <c r="J184" s="204"/>
      <c r="K184" s="204"/>
      <c r="N184" s="282"/>
      <c r="O184" s="204"/>
    </row>
    <row r="185" spans="1:25">
      <c r="A185" s="199"/>
      <c r="C185" s="204"/>
      <c r="D185" s="206"/>
      <c r="F185" s="283"/>
      <c r="G185" s="283"/>
      <c r="H185" s="204"/>
      <c r="I185" s="204"/>
      <c r="J185" s="204"/>
      <c r="K185" s="204"/>
      <c r="N185" s="282"/>
      <c r="O185" s="204"/>
      <c r="Q185" s="215"/>
      <c r="R185" s="215"/>
      <c r="S185" s="215"/>
      <c r="T185" s="215"/>
      <c r="U185" s="215"/>
      <c r="V185" s="228"/>
      <c r="W185" s="277"/>
      <c r="X185" s="228"/>
      <c r="Y185" s="228"/>
    </row>
    <row r="186" spans="1:25">
      <c r="A186" s="199"/>
      <c r="B186" s="305"/>
      <c r="C186" s="204"/>
      <c r="D186" s="206"/>
      <c r="F186" s="297"/>
      <c r="G186" s="297"/>
      <c r="H186" s="204"/>
      <c r="I186" s="204"/>
      <c r="J186" s="204"/>
      <c r="K186" s="204"/>
      <c r="N186" s="284"/>
      <c r="O186" s="204"/>
      <c r="Q186" s="215"/>
      <c r="R186" s="215"/>
      <c r="S186" s="215"/>
      <c r="T186" s="215"/>
      <c r="U186" s="215"/>
      <c r="V186" s="215"/>
      <c r="W186" s="277"/>
      <c r="X186" s="215"/>
      <c r="Y186" s="302"/>
    </row>
    <row r="187" spans="1:25">
      <c r="A187" s="199"/>
      <c r="B187" s="305"/>
      <c r="C187" s="204"/>
      <c r="D187" s="206"/>
      <c r="F187" s="286"/>
      <c r="G187" s="286"/>
      <c r="H187" s="204"/>
      <c r="I187" s="204"/>
      <c r="J187" s="204"/>
      <c r="K187" s="204"/>
      <c r="N187" s="284"/>
      <c r="O187" s="204"/>
      <c r="Q187" s="215"/>
      <c r="R187" s="215"/>
      <c r="S187" s="215"/>
      <c r="T187" s="215"/>
      <c r="U187" s="215"/>
      <c r="V187" s="215"/>
      <c r="W187" s="277"/>
      <c r="X187" s="215"/>
      <c r="Y187" s="302"/>
    </row>
    <row r="188" spans="1:25">
      <c r="A188" s="199"/>
      <c r="B188" s="305"/>
      <c r="C188" s="285"/>
      <c r="F188" s="286"/>
      <c r="G188" s="286"/>
      <c r="H188" s="204"/>
      <c r="I188" s="204"/>
      <c r="J188" s="204"/>
      <c r="K188" s="204"/>
      <c r="N188" s="282"/>
      <c r="O188" s="204"/>
      <c r="Q188" s="215"/>
      <c r="R188" s="215"/>
      <c r="S188" s="215"/>
      <c r="T188" s="215"/>
      <c r="U188" s="215"/>
      <c r="V188" s="215"/>
      <c r="W188" s="277"/>
      <c r="X188" s="215"/>
      <c r="Y188" s="302"/>
    </row>
    <row r="189" spans="1:25">
      <c r="A189" s="199"/>
      <c r="B189" s="305"/>
      <c r="C189" s="285"/>
      <c r="F189" s="286"/>
      <c r="G189" s="286"/>
      <c r="H189" s="204"/>
      <c r="I189" s="204"/>
      <c r="J189" s="204"/>
      <c r="K189" s="204"/>
      <c r="N189" s="282"/>
      <c r="O189" s="204"/>
      <c r="Q189" s="228"/>
      <c r="R189" s="228"/>
      <c r="S189" s="228"/>
      <c r="T189" s="228"/>
      <c r="U189" s="228"/>
      <c r="V189" s="228"/>
      <c r="W189" s="277"/>
      <c r="X189" s="228"/>
      <c r="Y189" s="228"/>
    </row>
    <row r="190" spans="1:25">
      <c r="A190" s="199"/>
      <c r="B190" s="305"/>
      <c r="C190" s="204"/>
      <c r="D190" s="206"/>
      <c r="F190" s="286"/>
      <c r="G190" s="286"/>
      <c r="H190" s="204"/>
      <c r="I190" s="204"/>
      <c r="J190" s="204"/>
      <c r="K190" s="204"/>
      <c r="N190" s="282"/>
      <c r="O190" s="204"/>
      <c r="Q190" s="215"/>
      <c r="R190" s="215"/>
      <c r="S190" s="215"/>
      <c r="T190" s="215"/>
      <c r="U190" s="215"/>
      <c r="V190" s="215"/>
      <c r="W190" s="277"/>
      <c r="X190" s="215"/>
      <c r="Y190" s="302"/>
    </row>
    <row r="191" spans="1:25">
      <c r="A191" s="199"/>
      <c r="B191" s="305"/>
      <c r="C191" s="204"/>
      <c r="D191" s="206"/>
      <c r="F191" s="286"/>
      <c r="G191" s="286"/>
      <c r="H191" s="204"/>
      <c r="I191" s="204"/>
      <c r="J191" s="204"/>
      <c r="K191" s="204"/>
      <c r="N191" s="282"/>
      <c r="O191" s="204"/>
      <c r="Q191" s="215"/>
      <c r="R191" s="215"/>
      <c r="S191" s="215"/>
      <c r="T191" s="215"/>
      <c r="U191" s="215"/>
      <c r="V191" s="215"/>
      <c r="W191" s="277"/>
      <c r="X191" s="215"/>
      <c r="Y191" s="302"/>
    </row>
    <row r="192" spans="1:25">
      <c r="A192" s="199"/>
      <c r="B192" s="305"/>
      <c r="C192" s="204"/>
      <c r="D192" s="206"/>
      <c r="F192" s="286"/>
      <c r="G192" s="286"/>
      <c r="H192" s="204"/>
      <c r="I192" s="204"/>
      <c r="J192" s="204"/>
      <c r="K192" s="204"/>
      <c r="N192" s="284"/>
      <c r="O192" s="204"/>
      <c r="Q192" s="215"/>
      <c r="R192" s="215"/>
      <c r="S192" s="215"/>
      <c r="T192" s="215"/>
      <c r="U192" s="215"/>
      <c r="V192" s="215"/>
      <c r="W192" s="277"/>
      <c r="X192" s="215"/>
      <c r="Y192" s="302"/>
    </row>
    <row r="193" spans="1:25">
      <c r="A193" s="199"/>
      <c r="C193" s="226"/>
      <c r="F193" s="283"/>
      <c r="G193" s="283"/>
      <c r="H193" s="204"/>
      <c r="I193" s="204"/>
      <c r="J193" s="204"/>
      <c r="K193" s="204"/>
      <c r="N193" s="282"/>
      <c r="O193" s="204"/>
      <c r="V193" s="228"/>
      <c r="W193" s="228"/>
      <c r="X193" s="228"/>
      <c r="Y193" s="228"/>
    </row>
    <row r="194" spans="1:25">
      <c r="A194" s="199"/>
      <c r="B194" s="305"/>
      <c r="C194" s="199"/>
      <c r="N194" s="282"/>
      <c r="O194" s="199"/>
      <c r="Q194" s="215"/>
      <c r="R194" s="215"/>
      <c r="S194" s="215"/>
      <c r="T194" s="215"/>
      <c r="U194" s="215"/>
      <c r="V194" s="215"/>
      <c r="W194" s="277"/>
      <c r="X194" s="215"/>
      <c r="Y194" s="302"/>
    </row>
    <row r="195" spans="1:25">
      <c r="A195" s="199"/>
      <c r="B195" s="305"/>
      <c r="Q195" s="215"/>
      <c r="R195" s="215"/>
      <c r="S195" s="215"/>
      <c r="T195" s="215"/>
      <c r="U195" s="215"/>
      <c r="V195" s="215"/>
      <c r="W195" s="277"/>
      <c r="X195" s="215"/>
      <c r="Y195" s="302"/>
    </row>
    <row r="196" spans="1:25">
      <c r="A196" s="199"/>
      <c r="B196" s="305"/>
      <c r="Q196" s="215"/>
      <c r="R196" s="215"/>
      <c r="S196" s="215"/>
      <c r="T196" s="215"/>
      <c r="U196" s="215"/>
      <c r="V196" s="215"/>
      <c r="W196" s="277"/>
      <c r="X196" s="215"/>
      <c r="Y196" s="302"/>
    </row>
    <row r="197" spans="1:25">
      <c r="A197" s="199"/>
      <c r="V197" s="228"/>
      <c r="W197" s="228"/>
      <c r="X197" s="228"/>
      <c r="Y197" s="228"/>
    </row>
    <row r="198" spans="1:25">
      <c r="A198" s="199"/>
      <c r="V198" s="228"/>
      <c r="W198" s="228"/>
      <c r="X198" s="228"/>
      <c r="Y198" s="228"/>
    </row>
    <row r="199" spans="1:25">
      <c r="A199" s="199"/>
      <c r="B199" s="227"/>
      <c r="C199" s="228"/>
      <c r="Q199" s="228"/>
      <c r="R199" s="228"/>
      <c r="S199" s="228"/>
      <c r="T199" s="228"/>
      <c r="U199" s="228"/>
      <c r="V199" s="228"/>
      <c r="W199" s="228"/>
      <c r="X199" s="228"/>
      <c r="Y199" s="228"/>
    </row>
    <row r="200" spans="1:25">
      <c r="A200" s="199"/>
      <c r="B200" s="227"/>
      <c r="C200" s="228"/>
      <c r="R200" s="228"/>
      <c r="S200" s="228"/>
      <c r="T200" s="228"/>
      <c r="U200" s="228"/>
      <c r="V200" s="228"/>
      <c r="W200" s="228"/>
      <c r="X200" s="228"/>
      <c r="Y200" s="228"/>
    </row>
    <row r="201" spans="1:25">
      <c r="A201" s="199"/>
      <c r="B201" s="227"/>
      <c r="C201" s="228"/>
      <c r="R201" s="228"/>
      <c r="S201" s="228"/>
      <c r="T201" s="228"/>
      <c r="U201" s="228"/>
      <c r="V201" s="228"/>
      <c r="W201" s="228"/>
      <c r="X201" s="228"/>
      <c r="Y201" s="228"/>
    </row>
    <row r="202" spans="1:25">
      <c r="A202" s="199"/>
      <c r="B202" s="227"/>
      <c r="C202" s="228"/>
      <c r="R202" s="228"/>
      <c r="S202" s="228"/>
      <c r="T202" s="228"/>
      <c r="U202" s="228"/>
      <c r="V202" s="228"/>
      <c r="W202" s="228"/>
      <c r="X202" s="228"/>
      <c r="Y202" s="228"/>
    </row>
    <row r="203" spans="1:25">
      <c r="A203" s="199"/>
      <c r="B203" s="227"/>
      <c r="C203" s="228"/>
      <c r="N203" s="228"/>
      <c r="O203" s="228"/>
      <c r="R203" s="228"/>
      <c r="S203" s="228"/>
      <c r="T203" s="228"/>
      <c r="U203" s="228"/>
      <c r="V203" s="228"/>
      <c r="W203" s="228"/>
      <c r="X203" s="228"/>
      <c r="Y203" s="228"/>
    </row>
    <row r="204" spans="1:25">
      <c r="A204" s="199"/>
      <c r="B204" s="199"/>
      <c r="C204" s="228"/>
      <c r="N204" s="287"/>
      <c r="O204" s="228"/>
      <c r="R204" s="287"/>
      <c r="S204" s="287"/>
      <c r="T204" s="287"/>
      <c r="U204" s="287"/>
      <c r="V204" s="287"/>
      <c r="W204" s="287"/>
      <c r="X204" s="287"/>
      <c r="Y204" s="287"/>
    </row>
    <row r="205" spans="1:25">
      <c r="A205" s="199"/>
      <c r="B205" s="199"/>
      <c r="C205" s="228"/>
      <c r="N205" s="287"/>
      <c r="O205" s="228"/>
      <c r="R205" s="287"/>
      <c r="S205" s="287"/>
      <c r="T205" s="287"/>
      <c r="U205" s="287"/>
      <c r="V205" s="287"/>
      <c r="W205" s="287"/>
      <c r="X205" s="287"/>
      <c r="Y205" s="287"/>
    </row>
    <row r="206" spans="1:25">
      <c r="A206" s="199"/>
      <c r="B206" s="199"/>
      <c r="N206" s="287"/>
      <c r="O206" s="228"/>
      <c r="R206" s="287"/>
      <c r="S206" s="287"/>
      <c r="T206" s="287"/>
      <c r="U206" s="287"/>
      <c r="V206" s="287"/>
      <c r="W206" s="287"/>
      <c r="X206" s="287"/>
      <c r="Y206" s="287"/>
    </row>
    <row r="207" spans="1:25">
      <c r="A207" s="199"/>
      <c r="B207" s="199"/>
      <c r="D207" s="199"/>
      <c r="E207" s="199"/>
      <c r="N207" s="287"/>
      <c r="O207" s="287"/>
      <c r="R207" s="287"/>
      <c r="S207" s="287"/>
      <c r="T207" s="287"/>
      <c r="U207" s="287"/>
      <c r="V207" s="287"/>
      <c r="W207" s="287"/>
      <c r="X207" s="287"/>
      <c r="Y207" s="287"/>
    </row>
    <row r="208" spans="1:25">
      <c r="A208" s="199"/>
      <c r="B208" s="199"/>
      <c r="F208" s="199"/>
      <c r="G208" s="199"/>
      <c r="H208" s="199"/>
      <c r="I208" s="199"/>
      <c r="J208" s="199"/>
      <c r="K208" s="199"/>
      <c r="L208" s="199"/>
      <c r="M208" s="199"/>
      <c r="N208" s="199"/>
      <c r="O208" s="199"/>
      <c r="P208" s="199"/>
      <c r="Q208" s="199"/>
      <c r="R208" s="199"/>
      <c r="S208" s="199"/>
      <c r="T208" s="199"/>
      <c r="U208" s="199"/>
      <c r="V208" s="199"/>
      <c r="W208" s="199"/>
      <c r="X208" s="199"/>
      <c r="Y208" s="199"/>
    </row>
    <row r="209" spans="1:25">
      <c r="A209" s="199"/>
      <c r="B209" s="199"/>
      <c r="C209" s="199"/>
      <c r="D209" s="199"/>
      <c r="E209" s="199"/>
      <c r="F209" s="199"/>
      <c r="G209" s="199"/>
      <c r="H209" s="199"/>
      <c r="I209" s="199"/>
      <c r="J209" s="199"/>
      <c r="K209" s="199"/>
      <c r="L209" s="199"/>
      <c r="M209" s="199"/>
      <c r="N209" s="199"/>
      <c r="O209" s="199"/>
      <c r="P209" s="199"/>
      <c r="Q209" s="199"/>
      <c r="R209" s="199"/>
      <c r="S209" s="199"/>
      <c r="T209" s="199"/>
      <c r="U209" s="199"/>
      <c r="V209" s="199"/>
      <c r="W209" s="199"/>
      <c r="X209" s="199"/>
      <c r="Y209" s="199"/>
    </row>
    <row r="210" spans="1:25">
      <c r="A210" s="199"/>
      <c r="B210" s="199"/>
      <c r="C210" s="199"/>
      <c r="D210" s="199"/>
      <c r="E210" s="199"/>
      <c r="F210" s="199"/>
      <c r="G210" s="199"/>
      <c r="H210" s="199"/>
      <c r="I210" s="199"/>
      <c r="J210" s="199"/>
      <c r="K210" s="199"/>
      <c r="L210" s="199"/>
      <c r="M210" s="199"/>
      <c r="N210" s="199"/>
      <c r="O210" s="199"/>
      <c r="P210" s="199"/>
      <c r="Q210" s="199"/>
      <c r="R210" s="199"/>
      <c r="S210" s="199"/>
      <c r="T210" s="199"/>
      <c r="U210" s="199"/>
      <c r="V210" s="199"/>
      <c r="W210" s="199"/>
      <c r="X210" s="199"/>
      <c r="Y210" s="199"/>
    </row>
    <row r="211" spans="1:25">
      <c r="A211" s="199"/>
      <c r="B211" s="199"/>
      <c r="C211" s="199"/>
      <c r="D211" s="199"/>
      <c r="E211" s="199"/>
      <c r="F211" s="199"/>
      <c r="G211" s="199"/>
      <c r="H211" s="199"/>
      <c r="I211" s="199"/>
      <c r="J211" s="199"/>
      <c r="K211" s="199"/>
      <c r="L211" s="199"/>
      <c r="M211" s="204"/>
      <c r="N211" s="204"/>
      <c r="O211" s="199"/>
      <c r="P211" s="204"/>
      <c r="Q211" s="204"/>
      <c r="R211" s="204"/>
      <c r="S211" s="204"/>
      <c r="T211" s="204"/>
      <c r="U211" s="204"/>
      <c r="V211" s="204"/>
      <c r="W211" s="199"/>
      <c r="X211" s="199"/>
      <c r="Y211" s="204"/>
    </row>
    <row r="212" spans="1:25">
      <c r="A212" s="199"/>
      <c r="B212" s="199"/>
      <c r="C212" s="199"/>
      <c r="D212" s="199"/>
      <c r="E212" s="199"/>
      <c r="F212" s="199"/>
      <c r="G212" s="199"/>
      <c r="H212" s="199"/>
      <c r="I212" s="199"/>
      <c r="J212" s="199"/>
      <c r="K212" s="199"/>
      <c r="L212" s="199"/>
      <c r="M212" s="202"/>
      <c r="N212" s="204"/>
      <c r="O212" s="199"/>
      <c r="P212" s="199"/>
      <c r="Q212" s="199"/>
      <c r="R212" s="199"/>
      <c r="S212" s="199"/>
      <c r="T212" s="199"/>
      <c r="U212" s="202"/>
      <c r="V212" s="202"/>
      <c r="W212" s="204"/>
      <c r="X212" s="199"/>
      <c r="Y212" s="202"/>
    </row>
    <row r="213" spans="1:25">
      <c r="A213" s="199"/>
      <c r="B213" s="199"/>
      <c r="C213" s="199"/>
      <c r="D213" s="199"/>
      <c r="E213" s="199"/>
      <c r="F213" s="199"/>
      <c r="G213" s="199"/>
      <c r="H213" s="199"/>
      <c r="I213" s="199"/>
      <c r="J213" s="199"/>
      <c r="K213" s="199"/>
      <c r="L213" s="199"/>
      <c r="M213" s="202"/>
      <c r="N213" s="204"/>
      <c r="O213" s="202"/>
      <c r="P213" s="199"/>
      <c r="Q213" s="199"/>
      <c r="R213" s="199"/>
      <c r="S213" s="199"/>
      <c r="T213" s="199"/>
      <c r="U213" s="199"/>
      <c r="V213" s="204"/>
      <c r="W213" s="204"/>
      <c r="X213" s="199"/>
      <c r="Y213" s="202"/>
    </row>
    <row r="214" spans="1:25">
      <c r="A214" s="199"/>
      <c r="B214" s="199"/>
      <c r="C214" s="199"/>
      <c r="D214" s="199"/>
      <c r="E214" s="199"/>
      <c r="F214" s="199"/>
      <c r="G214" s="326"/>
      <c r="H214" s="326"/>
      <c r="I214" s="326"/>
      <c r="J214" s="326"/>
      <c r="K214" s="326"/>
      <c r="L214" s="326"/>
      <c r="M214" s="326"/>
      <c r="N214" s="326"/>
      <c r="O214" s="326"/>
      <c r="P214" s="326"/>
      <c r="Q214" s="326"/>
      <c r="R214" s="199"/>
      <c r="S214" s="199"/>
      <c r="T214" s="199"/>
      <c r="U214" s="199"/>
      <c r="V214" s="202"/>
      <c r="W214" s="204"/>
      <c r="X214" s="199"/>
      <c r="Y214" s="202"/>
    </row>
    <row r="215" spans="1:25">
      <c r="A215" s="199"/>
      <c r="B215" s="199"/>
      <c r="C215" s="199"/>
      <c r="D215" s="199"/>
      <c r="E215" s="199"/>
      <c r="F215" s="199"/>
      <c r="G215" s="199"/>
      <c r="H215" s="199"/>
      <c r="I215" s="199"/>
      <c r="J215" s="199"/>
      <c r="K215" s="199"/>
      <c r="L215" s="199"/>
      <c r="M215" s="206"/>
      <c r="N215" s="199"/>
      <c r="O215" s="199"/>
      <c r="P215" s="199"/>
      <c r="Q215" s="199"/>
      <c r="R215" s="199"/>
      <c r="S215" s="199"/>
      <c r="T215" s="199"/>
      <c r="U215" s="199"/>
      <c r="V215" s="199"/>
      <c r="W215" s="199"/>
      <c r="X215" s="199"/>
      <c r="Y215" s="199"/>
    </row>
    <row r="216" spans="1:25">
      <c r="A216" s="199"/>
      <c r="B216" s="325"/>
      <c r="C216" s="325"/>
      <c r="D216" s="207"/>
      <c r="E216" s="207"/>
      <c r="F216" s="207"/>
      <c r="G216" s="207"/>
      <c r="H216" s="207"/>
      <c r="I216" s="207"/>
      <c r="J216" s="207"/>
      <c r="K216" s="207"/>
      <c r="L216" s="207"/>
      <c r="M216" s="207"/>
      <c r="N216" s="207"/>
      <c r="O216" s="207"/>
      <c r="P216" s="207"/>
      <c r="Q216" s="207"/>
      <c r="R216" s="207"/>
      <c r="S216" s="207"/>
      <c r="T216" s="207"/>
      <c r="U216" s="207"/>
      <c r="V216" s="207"/>
      <c r="W216" s="207"/>
      <c r="X216" s="207"/>
      <c r="Y216" s="207"/>
    </row>
    <row r="217" spans="1:25">
      <c r="A217" s="199"/>
      <c r="B217" s="325"/>
      <c r="C217" s="325"/>
      <c r="D217" s="325"/>
      <c r="E217" s="325"/>
      <c r="F217" s="325"/>
      <c r="G217" s="325"/>
      <c r="H217" s="325"/>
      <c r="I217" s="325"/>
      <c r="J217" s="325"/>
      <c r="K217" s="325"/>
      <c r="L217" s="325"/>
      <c r="M217" s="325"/>
      <c r="N217" s="325"/>
      <c r="O217" s="325"/>
      <c r="P217" s="325"/>
      <c r="Q217" s="325"/>
      <c r="R217" s="325"/>
      <c r="S217" s="325"/>
      <c r="T217" s="325"/>
      <c r="U217" s="325"/>
      <c r="V217" s="325"/>
      <c r="W217" s="325"/>
      <c r="X217" s="325"/>
      <c r="Y217" s="325"/>
    </row>
    <row r="218" spans="1:25">
      <c r="A218" s="199"/>
      <c r="B218" s="206"/>
      <c r="C218" s="206"/>
      <c r="D218" s="206"/>
      <c r="E218" s="206"/>
      <c r="F218" s="206"/>
      <c r="G218" s="207"/>
      <c r="H218" s="207"/>
      <c r="I218" s="207"/>
      <c r="J218" s="207"/>
      <c r="K218" s="207"/>
      <c r="L218" s="207"/>
      <c r="M218" s="207"/>
      <c r="N218" s="207"/>
      <c r="O218" s="207"/>
      <c r="P218" s="207"/>
      <c r="Q218" s="207"/>
      <c r="R218" s="207"/>
      <c r="S218" s="207"/>
      <c r="T218" s="207"/>
      <c r="U218" s="207"/>
      <c r="V218" s="207"/>
      <c r="W218" s="207"/>
      <c r="X218" s="207"/>
      <c r="Y218" s="207"/>
    </row>
    <row r="219" spans="1:25">
      <c r="A219" s="199"/>
      <c r="B219" s="206"/>
      <c r="C219" s="206"/>
      <c r="D219" s="206"/>
      <c r="E219" s="206"/>
      <c r="F219" s="206"/>
      <c r="G219" s="207"/>
      <c r="H219" s="299"/>
      <c r="I219" s="299"/>
      <c r="J219" s="299"/>
      <c r="K219" s="299"/>
      <c r="L219" s="299"/>
      <c r="M219" s="207"/>
      <c r="N219" s="206"/>
      <c r="O219" s="206"/>
      <c r="P219" s="207"/>
      <c r="Q219" s="207"/>
      <c r="R219" s="299"/>
      <c r="S219" s="299"/>
      <c r="T219" s="299"/>
      <c r="U219" s="207"/>
      <c r="V219" s="207"/>
      <c r="W219" s="207"/>
      <c r="X219" s="206"/>
      <c r="Y219" s="206"/>
    </row>
    <row r="220" spans="1:25">
      <c r="A220" s="199"/>
      <c r="B220" s="300"/>
      <c r="C220" s="233"/>
      <c r="D220" s="233"/>
      <c r="E220" s="233"/>
      <c r="F220" s="233"/>
      <c r="G220" s="207"/>
      <c r="H220" s="233"/>
      <c r="I220" s="233"/>
      <c r="J220" s="233"/>
      <c r="K220" s="233"/>
      <c r="L220" s="233"/>
      <c r="M220" s="233"/>
      <c r="N220" s="207"/>
      <c r="O220" s="207"/>
      <c r="P220" s="207"/>
      <c r="Q220" s="207"/>
      <c r="R220" s="233"/>
      <c r="S220" s="233"/>
      <c r="T220" s="233"/>
      <c r="U220" s="233"/>
      <c r="V220" s="233"/>
      <c r="W220" s="233"/>
      <c r="X220" s="206"/>
      <c r="Y220" s="206"/>
    </row>
    <row r="221" spans="1:25">
      <c r="A221" s="199"/>
      <c r="B221" s="301"/>
      <c r="C221" s="228"/>
      <c r="D221" s="275"/>
      <c r="E221" s="275"/>
      <c r="F221" s="275"/>
      <c r="G221" s="275"/>
      <c r="H221" s="275"/>
      <c r="I221" s="275"/>
      <c r="J221" s="275"/>
      <c r="K221" s="275"/>
      <c r="L221" s="275"/>
      <c r="M221" s="275"/>
      <c r="N221" s="275"/>
      <c r="O221" s="275"/>
      <c r="P221" s="275"/>
      <c r="Q221" s="275"/>
      <c r="R221" s="275"/>
      <c r="S221" s="275"/>
      <c r="T221" s="275"/>
      <c r="U221" s="275"/>
      <c r="V221" s="275"/>
      <c r="W221" s="277"/>
      <c r="X221" s="215"/>
      <c r="Y221" s="302"/>
    </row>
    <row r="222" spans="1:25">
      <c r="A222" s="199"/>
      <c r="B222" s="301"/>
      <c r="C222" s="228"/>
      <c r="D222" s="275"/>
      <c r="E222" s="275"/>
      <c r="F222" s="275"/>
      <c r="G222" s="275"/>
      <c r="H222" s="275"/>
      <c r="I222" s="275"/>
      <c r="J222" s="275"/>
      <c r="K222" s="275"/>
      <c r="L222" s="275"/>
      <c r="M222" s="275"/>
      <c r="N222" s="275"/>
      <c r="O222" s="275"/>
      <c r="P222" s="275"/>
      <c r="Q222" s="275"/>
      <c r="R222" s="275"/>
      <c r="S222" s="275"/>
      <c r="T222" s="275"/>
      <c r="U222" s="275"/>
      <c r="V222" s="275"/>
      <c r="W222" s="277"/>
      <c r="X222" s="215"/>
      <c r="Y222" s="302"/>
    </row>
    <row r="223" spans="1:25">
      <c r="A223" s="199"/>
      <c r="B223" s="301"/>
      <c r="C223" s="228"/>
      <c r="D223" s="275"/>
      <c r="E223" s="275"/>
      <c r="F223" s="275"/>
      <c r="G223" s="275"/>
      <c r="H223" s="275"/>
      <c r="I223" s="275"/>
      <c r="J223" s="275"/>
      <c r="K223" s="275"/>
      <c r="L223" s="275"/>
      <c r="M223" s="275"/>
      <c r="N223" s="275"/>
      <c r="O223" s="275"/>
      <c r="P223" s="275"/>
      <c r="Q223" s="275"/>
      <c r="R223" s="275"/>
      <c r="S223" s="275"/>
      <c r="T223" s="275"/>
      <c r="U223" s="275"/>
      <c r="V223" s="275"/>
      <c r="W223" s="277"/>
      <c r="X223" s="215"/>
      <c r="Y223" s="302"/>
    </row>
    <row r="224" spans="1:25">
      <c r="A224" s="199"/>
      <c r="B224" s="227"/>
      <c r="D224" s="275"/>
      <c r="E224" s="275"/>
      <c r="F224" s="275"/>
      <c r="G224" s="275"/>
      <c r="H224" s="275"/>
      <c r="I224" s="275"/>
      <c r="J224" s="275"/>
      <c r="K224" s="275"/>
      <c r="L224" s="275"/>
      <c r="M224" s="275"/>
      <c r="N224" s="303"/>
      <c r="O224" s="303"/>
      <c r="P224" s="303"/>
      <c r="Q224" s="303"/>
      <c r="R224" s="303"/>
      <c r="S224" s="303"/>
      <c r="T224" s="303"/>
      <c r="U224" s="303"/>
      <c r="V224" s="275"/>
      <c r="W224" s="277"/>
      <c r="X224" s="289"/>
      <c r="Y224" s="246"/>
    </row>
    <row r="225" spans="1:25">
      <c r="A225" s="199"/>
      <c r="B225" s="304"/>
      <c r="C225" s="228"/>
      <c r="D225" s="275"/>
      <c r="E225" s="275"/>
      <c r="F225" s="275"/>
      <c r="G225" s="275"/>
      <c r="H225" s="275"/>
      <c r="I225" s="275"/>
      <c r="J225" s="275"/>
      <c r="K225" s="275"/>
      <c r="L225" s="275"/>
      <c r="M225" s="275"/>
      <c r="N225" s="275"/>
      <c r="O225" s="275"/>
      <c r="P225" s="275"/>
      <c r="Q225" s="275"/>
      <c r="R225" s="275"/>
      <c r="S225" s="275"/>
      <c r="T225" s="275"/>
      <c r="U225" s="275"/>
      <c r="V225" s="275"/>
      <c r="W225" s="277"/>
      <c r="X225" s="215"/>
      <c r="Y225" s="302"/>
    </row>
    <row r="226" spans="1:25">
      <c r="A226" s="199"/>
      <c r="B226" s="304"/>
      <c r="C226" s="228"/>
      <c r="D226" s="275"/>
      <c r="E226" s="275"/>
      <c r="F226" s="275"/>
      <c r="G226" s="275"/>
      <c r="H226" s="275"/>
      <c r="I226" s="275"/>
      <c r="J226" s="275"/>
      <c r="K226" s="275"/>
      <c r="L226" s="275"/>
      <c r="M226" s="275"/>
      <c r="N226" s="275"/>
      <c r="O226" s="275"/>
      <c r="P226" s="275"/>
      <c r="Q226" s="275"/>
      <c r="R226" s="275"/>
      <c r="S226" s="275"/>
      <c r="T226" s="275"/>
      <c r="U226" s="275"/>
      <c r="V226" s="275"/>
      <c r="W226" s="277"/>
      <c r="X226" s="215"/>
      <c r="Y226" s="302"/>
    </row>
    <row r="227" spans="1:25">
      <c r="A227" s="199"/>
      <c r="B227" s="304"/>
      <c r="C227" s="228"/>
      <c r="D227" s="275"/>
      <c r="E227" s="275"/>
      <c r="F227" s="275"/>
      <c r="G227" s="275"/>
      <c r="H227" s="275"/>
      <c r="I227" s="275"/>
      <c r="J227" s="275"/>
      <c r="K227" s="275"/>
      <c r="L227" s="275"/>
      <c r="M227" s="275"/>
      <c r="N227" s="275"/>
      <c r="O227" s="275"/>
      <c r="P227" s="275"/>
      <c r="Q227" s="275"/>
      <c r="R227" s="275"/>
      <c r="S227" s="275"/>
      <c r="T227" s="275"/>
      <c r="U227" s="275"/>
      <c r="V227" s="275"/>
      <c r="W227" s="277"/>
      <c r="X227" s="215"/>
      <c r="Y227" s="302"/>
    </row>
    <row r="228" spans="1:25">
      <c r="A228" s="199"/>
      <c r="B228" s="304"/>
      <c r="D228" s="275"/>
      <c r="E228" s="275"/>
      <c r="F228" s="275"/>
      <c r="G228" s="275"/>
      <c r="H228" s="275"/>
      <c r="I228" s="275"/>
      <c r="J228" s="275"/>
      <c r="K228" s="275"/>
      <c r="L228" s="275"/>
      <c r="M228" s="275"/>
      <c r="N228" s="303"/>
      <c r="O228" s="303"/>
      <c r="P228" s="303"/>
      <c r="Q228" s="303"/>
      <c r="R228" s="303"/>
      <c r="S228" s="303"/>
      <c r="T228" s="303"/>
      <c r="U228" s="303"/>
      <c r="V228" s="275"/>
      <c r="W228" s="277"/>
      <c r="X228" s="289"/>
      <c r="Y228" s="246"/>
    </row>
    <row r="229" spans="1:25">
      <c r="A229" s="199"/>
      <c r="B229" s="305"/>
      <c r="C229" s="228"/>
      <c r="D229" s="275"/>
      <c r="E229" s="275"/>
      <c r="F229" s="275"/>
      <c r="G229" s="275"/>
      <c r="H229" s="275"/>
      <c r="I229" s="275"/>
      <c r="J229" s="275"/>
      <c r="K229" s="275"/>
      <c r="L229" s="275"/>
      <c r="M229" s="275"/>
      <c r="N229" s="275"/>
      <c r="O229" s="275"/>
      <c r="P229" s="275"/>
      <c r="Q229" s="275"/>
      <c r="R229" s="275"/>
      <c r="S229" s="275"/>
      <c r="T229" s="275"/>
      <c r="U229" s="275"/>
      <c r="V229" s="275"/>
      <c r="W229" s="277"/>
      <c r="X229" s="215"/>
      <c r="Y229" s="302"/>
    </row>
    <row r="230" spans="1:25">
      <c r="A230" s="199"/>
      <c r="B230" s="305"/>
      <c r="C230" s="228"/>
      <c r="D230" s="275"/>
      <c r="E230" s="275"/>
      <c r="F230" s="275"/>
      <c r="G230" s="275"/>
      <c r="H230" s="275"/>
      <c r="I230" s="275"/>
      <c r="J230" s="275"/>
      <c r="K230" s="275"/>
      <c r="L230" s="275"/>
      <c r="M230" s="275"/>
      <c r="N230" s="275"/>
      <c r="O230" s="275"/>
      <c r="P230" s="275"/>
      <c r="Q230" s="275"/>
      <c r="R230" s="275"/>
      <c r="S230" s="275"/>
      <c r="T230" s="275"/>
      <c r="U230" s="275"/>
      <c r="V230" s="275"/>
      <c r="W230" s="277"/>
      <c r="X230" s="215"/>
      <c r="Y230" s="302"/>
    </row>
    <row r="231" spans="1:25">
      <c r="A231" s="199"/>
      <c r="B231" s="305"/>
      <c r="C231" s="228"/>
      <c r="D231" s="275"/>
      <c r="E231" s="275"/>
      <c r="F231" s="275"/>
      <c r="G231" s="275"/>
      <c r="H231" s="275"/>
      <c r="I231" s="275"/>
      <c r="J231" s="275"/>
      <c r="K231" s="275"/>
      <c r="L231" s="275"/>
      <c r="M231" s="275"/>
      <c r="N231" s="275"/>
      <c r="O231" s="275"/>
      <c r="P231" s="275"/>
      <c r="Q231" s="275"/>
      <c r="R231" s="275"/>
      <c r="S231" s="275"/>
      <c r="T231" s="275"/>
      <c r="U231" s="275"/>
      <c r="V231" s="275"/>
      <c r="W231" s="277"/>
      <c r="X231" s="215"/>
      <c r="Y231" s="302"/>
    </row>
    <row r="232" spans="1:25">
      <c r="A232" s="199"/>
      <c r="D232" s="215"/>
      <c r="E232" s="215"/>
      <c r="F232" s="215"/>
      <c r="G232" s="215"/>
      <c r="H232" s="215"/>
      <c r="I232" s="215"/>
      <c r="J232" s="215"/>
      <c r="K232" s="215"/>
      <c r="L232" s="215"/>
      <c r="M232" s="215"/>
      <c r="N232" s="306"/>
      <c r="O232" s="306"/>
      <c r="P232" s="306"/>
      <c r="Q232" s="306"/>
      <c r="R232" s="306"/>
      <c r="S232" s="306"/>
      <c r="T232" s="306"/>
      <c r="U232" s="306"/>
      <c r="V232" s="215"/>
      <c r="W232" s="277"/>
      <c r="X232" s="228"/>
      <c r="Y232" s="228"/>
    </row>
    <row r="233" spans="1:25">
      <c r="A233" s="199"/>
    </row>
    <row r="234" spans="1:25">
      <c r="A234" s="199"/>
      <c r="F234" s="325"/>
      <c r="G234" s="325"/>
      <c r="H234" s="206"/>
      <c r="I234" s="206"/>
      <c r="J234" s="206"/>
      <c r="K234" s="206"/>
      <c r="L234" s="206"/>
      <c r="M234" s="325"/>
      <c r="N234" s="325"/>
      <c r="O234" s="325"/>
      <c r="P234" s="325"/>
    </row>
    <row r="235" spans="1:25">
      <c r="A235" s="199"/>
      <c r="C235" s="206"/>
      <c r="D235" s="206"/>
      <c r="E235" s="206"/>
      <c r="F235" s="206"/>
      <c r="G235" s="206"/>
      <c r="H235" s="199"/>
      <c r="I235" s="199"/>
      <c r="J235" s="199"/>
      <c r="K235" s="199"/>
      <c r="N235" s="206"/>
      <c r="O235" s="199"/>
    </row>
    <row r="236" spans="1:25">
      <c r="A236" s="199"/>
      <c r="C236" s="204"/>
      <c r="D236" s="206"/>
      <c r="E236" s="206"/>
      <c r="F236" s="283"/>
      <c r="G236" s="283"/>
      <c r="H236" s="204"/>
      <c r="I236" s="204"/>
      <c r="J236" s="204"/>
      <c r="K236" s="204"/>
      <c r="L236" s="307"/>
      <c r="M236" s="307"/>
      <c r="N236" s="282"/>
      <c r="O236" s="204"/>
    </row>
    <row r="237" spans="1:25">
      <c r="A237" s="199"/>
      <c r="C237" s="204"/>
      <c r="D237" s="206"/>
      <c r="F237" s="283"/>
      <c r="G237" s="283"/>
      <c r="H237" s="204"/>
      <c r="I237" s="204"/>
      <c r="J237" s="204"/>
      <c r="K237" s="204"/>
      <c r="N237" s="282"/>
      <c r="O237" s="204"/>
      <c r="Q237" s="215"/>
      <c r="R237" s="215"/>
      <c r="S237" s="215"/>
      <c r="T237" s="215"/>
      <c r="U237" s="215"/>
      <c r="V237" s="228"/>
      <c r="W237" s="277"/>
      <c r="X237" s="228"/>
      <c r="Y237" s="228"/>
    </row>
    <row r="238" spans="1:25">
      <c r="A238" s="199"/>
      <c r="B238" s="305"/>
      <c r="C238" s="204"/>
      <c r="D238" s="206"/>
      <c r="F238" s="297"/>
      <c r="G238" s="297"/>
      <c r="H238" s="204"/>
      <c r="I238" s="204"/>
      <c r="J238" s="204"/>
      <c r="K238" s="204"/>
      <c r="N238" s="284"/>
      <c r="O238" s="204"/>
      <c r="Q238" s="215"/>
      <c r="R238" s="215"/>
      <c r="S238" s="215"/>
      <c r="T238" s="215"/>
      <c r="U238" s="215"/>
      <c r="V238" s="215"/>
      <c r="W238" s="277"/>
      <c r="X238" s="215"/>
      <c r="Y238" s="302"/>
    </row>
    <row r="239" spans="1:25">
      <c r="A239" s="199"/>
      <c r="B239" s="305"/>
      <c r="C239" s="204"/>
      <c r="D239" s="206"/>
      <c r="F239" s="297"/>
      <c r="G239" s="297"/>
      <c r="H239" s="204"/>
      <c r="I239" s="204"/>
      <c r="J239" s="204"/>
      <c r="K239" s="204"/>
      <c r="N239" s="284"/>
      <c r="O239" s="204"/>
      <c r="Q239" s="215"/>
      <c r="R239" s="215"/>
      <c r="S239" s="215"/>
      <c r="T239" s="215"/>
      <c r="U239" s="215"/>
      <c r="V239" s="215"/>
      <c r="W239" s="277"/>
      <c r="X239" s="215"/>
      <c r="Y239" s="302"/>
    </row>
    <row r="240" spans="1:25">
      <c r="A240" s="199"/>
      <c r="B240" s="305"/>
      <c r="C240" s="285"/>
      <c r="F240" s="297"/>
      <c r="G240" s="297"/>
      <c r="H240" s="204"/>
      <c r="I240" s="204"/>
      <c r="J240" s="204"/>
      <c r="K240" s="204"/>
      <c r="N240" s="284"/>
      <c r="O240" s="204"/>
      <c r="Q240" s="215"/>
      <c r="R240" s="215"/>
      <c r="S240" s="215"/>
      <c r="T240" s="215"/>
      <c r="U240" s="215"/>
      <c r="V240" s="215"/>
      <c r="W240" s="277"/>
      <c r="X240" s="215"/>
      <c r="Y240" s="302"/>
    </row>
    <row r="241" spans="1:25">
      <c r="A241" s="199"/>
      <c r="B241" s="305"/>
      <c r="C241" s="285"/>
      <c r="F241" s="297"/>
      <c r="G241" s="297"/>
      <c r="H241" s="204"/>
      <c r="I241" s="204"/>
      <c r="J241" s="204"/>
      <c r="K241" s="204"/>
      <c r="N241" s="284"/>
      <c r="O241" s="204"/>
      <c r="Q241" s="215"/>
      <c r="R241" s="228"/>
      <c r="S241" s="228"/>
      <c r="T241" s="228"/>
      <c r="U241" s="228"/>
      <c r="V241" s="228"/>
      <c r="W241" s="277"/>
      <c r="X241" s="228"/>
      <c r="Y241" s="228"/>
    </row>
    <row r="242" spans="1:25">
      <c r="A242" s="199"/>
      <c r="B242" s="305"/>
      <c r="C242" s="204"/>
      <c r="D242" s="206"/>
      <c r="F242" s="297"/>
      <c r="G242" s="297"/>
      <c r="H242" s="204"/>
      <c r="I242" s="204"/>
      <c r="J242" s="204"/>
      <c r="K242" s="204"/>
      <c r="N242" s="282"/>
      <c r="O242" s="204"/>
      <c r="Q242" s="215"/>
      <c r="R242" s="215"/>
      <c r="S242" s="215"/>
      <c r="T242" s="215"/>
      <c r="U242" s="215"/>
      <c r="V242" s="215"/>
      <c r="W242" s="277"/>
      <c r="X242" s="215"/>
      <c r="Y242" s="302"/>
    </row>
    <row r="243" spans="1:25">
      <c r="A243" s="199"/>
      <c r="B243" s="305"/>
      <c r="C243" s="204"/>
      <c r="D243" s="206"/>
      <c r="F243" s="297"/>
      <c r="G243" s="297"/>
      <c r="H243" s="204"/>
      <c r="I243" s="204"/>
      <c r="J243" s="204"/>
      <c r="K243" s="204"/>
      <c r="N243" s="282"/>
      <c r="O243" s="204"/>
      <c r="R243" s="215"/>
      <c r="S243" s="215"/>
      <c r="T243" s="215"/>
      <c r="U243" s="215"/>
      <c r="V243" s="215"/>
      <c r="W243" s="277"/>
      <c r="X243" s="215"/>
      <c r="Y243" s="302"/>
    </row>
    <row r="244" spans="1:25">
      <c r="A244" s="199"/>
      <c r="B244" s="305"/>
      <c r="C244" s="204"/>
      <c r="D244" s="206"/>
      <c r="F244" s="297"/>
      <c r="G244" s="297"/>
      <c r="H244" s="204"/>
      <c r="I244" s="204"/>
      <c r="J244" s="204"/>
      <c r="K244" s="204"/>
      <c r="N244" s="284"/>
      <c r="O244" s="204"/>
      <c r="Q244" s="215"/>
      <c r="R244" s="215"/>
      <c r="S244" s="215"/>
      <c r="T244" s="215"/>
      <c r="U244" s="215"/>
      <c r="V244" s="215"/>
      <c r="W244" s="277"/>
      <c r="X244" s="215"/>
      <c r="Y244" s="302"/>
    </row>
    <row r="245" spans="1:25">
      <c r="A245" s="199"/>
      <c r="C245" s="226"/>
      <c r="F245" s="283"/>
      <c r="G245" s="283"/>
      <c r="H245" s="204"/>
      <c r="I245" s="204"/>
      <c r="J245" s="204"/>
      <c r="K245" s="204"/>
      <c r="N245" s="282"/>
      <c r="O245" s="204"/>
      <c r="Q245" s="215"/>
      <c r="V245" s="228"/>
      <c r="W245" s="228"/>
      <c r="X245" s="228"/>
      <c r="Y245" s="228"/>
    </row>
    <row r="246" spans="1:25">
      <c r="A246" s="199"/>
      <c r="B246" s="305"/>
      <c r="C246" s="199"/>
      <c r="N246" s="282"/>
      <c r="O246" s="199"/>
      <c r="Q246" s="215"/>
      <c r="R246" s="215"/>
      <c r="S246" s="215"/>
      <c r="T246" s="215"/>
      <c r="U246" s="215"/>
      <c r="V246" s="215"/>
      <c r="W246" s="277"/>
      <c r="X246" s="215"/>
      <c r="Y246" s="302"/>
    </row>
    <row r="247" spans="1:25">
      <c r="A247" s="199"/>
      <c r="B247" s="305"/>
      <c r="Q247" s="215"/>
      <c r="R247" s="215"/>
      <c r="S247" s="215"/>
      <c r="T247" s="215"/>
      <c r="U247" s="215"/>
      <c r="V247" s="215"/>
      <c r="W247" s="277"/>
      <c r="X247" s="215"/>
      <c r="Y247" s="302"/>
    </row>
    <row r="248" spans="1:25">
      <c r="A248" s="199"/>
      <c r="B248" s="305"/>
      <c r="Q248" s="228"/>
      <c r="R248" s="215"/>
      <c r="S248" s="215"/>
      <c r="T248" s="215"/>
      <c r="U248" s="215"/>
      <c r="V248" s="215"/>
      <c r="W248" s="277"/>
      <c r="X248" s="215"/>
      <c r="Y248" s="302"/>
    </row>
    <row r="249" spans="1:25">
      <c r="A249" s="199"/>
      <c r="B249" s="305"/>
      <c r="Q249" s="228"/>
      <c r="R249" s="215"/>
      <c r="S249" s="215"/>
      <c r="T249" s="215"/>
      <c r="U249" s="215"/>
      <c r="V249" s="228"/>
      <c r="W249" s="228"/>
      <c r="X249" s="228"/>
      <c r="Y249" s="228"/>
    </row>
    <row r="250" spans="1:25">
      <c r="A250" s="199"/>
      <c r="B250" s="227"/>
      <c r="C250" s="228"/>
      <c r="Q250" s="228"/>
      <c r="R250" s="228"/>
      <c r="S250" s="228"/>
      <c r="T250" s="228"/>
      <c r="U250" s="228"/>
      <c r="V250" s="228"/>
      <c r="W250" s="228"/>
      <c r="X250" s="228"/>
      <c r="Y250" s="228"/>
    </row>
    <row r="251" spans="1:25">
      <c r="A251" s="199"/>
      <c r="B251" s="227"/>
      <c r="C251" s="228"/>
      <c r="Q251" s="228"/>
      <c r="R251" s="228"/>
      <c r="S251" s="228"/>
      <c r="T251" s="228"/>
      <c r="U251" s="228"/>
      <c r="V251" s="228"/>
      <c r="W251" s="228"/>
      <c r="X251" s="228"/>
      <c r="Y251" s="228"/>
    </row>
    <row r="252" spans="1:25">
      <c r="A252" s="199"/>
      <c r="B252" s="227"/>
      <c r="C252" s="228"/>
      <c r="Q252" s="228"/>
      <c r="R252" s="228"/>
      <c r="S252" s="228"/>
      <c r="T252" s="228"/>
      <c r="U252" s="228"/>
      <c r="V252" s="228"/>
      <c r="W252" s="228"/>
      <c r="X252" s="228"/>
      <c r="Y252" s="228"/>
    </row>
    <row r="253" spans="1:25">
      <c r="A253" s="199"/>
      <c r="B253" s="227"/>
      <c r="C253" s="228"/>
      <c r="O253" s="228"/>
      <c r="P253" s="287"/>
      <c r="Q253" s="287"/>
      <c r="R253" s="228"/>
      <c r="S253" s="228"/>
      <c r="T253" s="228"/>
      <c r="U253" s="228"/>
      <c r="V253" s="228"/>
      <c r="W253" s="228"/>
      <c r="X253" s="228"/>
      <c r="Y253" s="228"/>
    </row>
    <row r="254" spans="1:25">
      <c r="A254" s="199"/>
      <c r="B254" s="227"/>
      <c r="C254" s="228"/>
      <c r="O254" s="228"/>
      <c r="P254" s="287"/>
      <c r="Q254" s="287"/>
      <c r="R254" s="228"/>
      <c r="S254" s="228"/>
      <c r="T254" s="228"/>
      <c r="U254" s="228"/>
      <c r="V254" s="228"/>
      <c r="W254" s="228"/>
      <c r="X254" s="228"/>
      <c r="Y254" s="228"/>
    </row>
    <row r="255" spans="1:25">
      <c r="A255" s="199"/>
      <c r="B255" s="199"/>
      <c r="C255" s="228"/>
      <c r="O255" s="228"/>
      <c r="P255" s="287"/>
      <c r="Q255" s="287"/>
      <c r="R255" s="287"/>
      <c r="S255" s="287"/>
      <c r="T255" s="287"/>
      <c r="U255" s="287"/>
      <c r="V255" s="287"/>
      <c r="W255" s="287"/>
      <c r="X255" s="287"/>
      <c r="Y255" s="287"/>
    </row>
    <row r="256" spans="1:25">
      <c r="A256" s="199"/>
      <c r="B256" s="199"/>
      <c r="C256" s="228"/>
      <c r="P256" s="287"/>
      <c r="Q256" s="287"/>
      <c r="R256" s="287"/>
      <c r="S256" s="287"/>
      <c r="T256" s="287"/>
      <c r="U256" s="287"/>
      <c r="V256" s="287"/>
      <c r="W256" s="287"/>
      <c r="X256" s="287"/>
      <c r="Y256" s="287"/>
    </row>
    <row r="257" spans="1:25">
      <c r="A257" s="199"/>
      <c r="B257" s="199"/>
      <c r="D257" s="199"/>
      <c r="E257" s="199"/>
      <c r="F257" s="199"/>
      <c r="G257" s="199"/>
      <c r="H257" s="199"/>
      <c r="I257" s="199"/>
      <c r="J257" s="199"/>
      <c r="K257" s="199"/>
      <c r="L257" s="199"/>
      <c r="M257" s="199"/>
      <c r="N257" s="199"/>
      <c r="O257" s="199"/>
      <c r="P257" s="199"/>
      <c r="Q257" s="199"/>
      <c r="R257" s="287"/>
      <c r="S257" s="287"/>
      <c r="T257" s="287"/>
      <c r="U257" s="287"/>
      <c r="V257" s="287"/>
      <c r="W257" s="287"/>
      <c r="X257" s="287"/>
      <c r="Y257" s="287"/>
    </row>
    <row r="258" spans="1:25">
      <c r="A258" s="199"/>
      <c r="B258" s="199"/>
      <c r="R258" s="287"/>
      <c r="S258" s="287"/>
      <c r="T258" s="287"/>
      <c r="U258" s="287"/>
      <c r="V258" s="287"/>
      <c r="W258" s="287"/>
      <c r="X258" s="287"/>
      <c r="Y258" s="287"/>
    </row>
    <row r="259" spans="1:25">
      <c r="A259" s="199"/>
      <c r="B259" s="199"/>
      <c r="R259" s="199"/>
      <c r="S259" s="199"/>
      <c r="T259" s="199"/>
      <c r="U259" s="199"/>
      <c r="V259" s="199"/>
      <c r="W259" s="199"/>
      <c r="X259" s="199"/>
      <c r="Y259" s="199"/>
    </row>
    <row r="260" spans="1:25">
      <c r="A260" s="199"/>
      <c r="B260" s="199"/>
      <c r="C260" s="199"/>
      <c r="D260" s="199"/>
      <c r="E260" s="199"/>
      <c r="F260" s="199"/>
      <c r="G260" s="199"/>
      <c r="H260" s="199"/>
      <c r="I260" s="199"/>
      <c r="J260" s="199"/>
      <c r="K260" s="199"/>
      <c r="L260" s="199"/>
      <c r="M260" s="199"/>
      <c r="N260" s="199"/>
      <c r="O260" s="199"/>
      <c r="P260" s="199"/>
      <c r="Q260" s="199"/>
      <c r="R260" s="199"/>
      <c r="S260" s="199"/>
      <c r="T260" s="199"/>
      <c r="U260" s="199"/>
      <c r="V260" s="199"/>
      <c r="W260" s="199"/>
      <c r="X260" s="199"/>
      <c r="Y260" s="199"/>
    </row>
    <row r="261" spans="1:25">
      <c r="A261" s="199"/>
      <c r="B261" s="199"/>
      <c r="C261" s="199"/>
      <c r="D261" s="199"/>
      <c r="E261" s="199"/>
      <c r="F261" s="199"/>
      <c r="G261" s="199"/>
      <c r="H261" s="199"/>
      <c r="I261" s="199"/>
      <c r="J261" s="199"/>
      <c r="K261" s="199"/>
      <c r="L261" s="199"/>
      <c r="M261" s="199"/>
      <c r="N261" s="199"/>
      <c r="O261" s="199"/>
      <c r="P261" s="199"/>
      <c r="Q261" s="199"/>
      <c r="R261" s="199"/>
      <c r="S261" s="199"/>
      <c r="T261" s="199"/>
      <c r="U261" s="199"/>
      <c r="V261" s="199"/>
      <c r="W261" s="199"/>
      <c r="X261" s="199"/>
      <c r="Y261" s="199"/>
    </row>
    <row r="262" spans="1:25">
      <c r="A262" s="199"/>
      <c r="B262" s="199"/>
      <c r="C262" s="199"/>
      <c r="D262" s="199"/>
      <c r="E262" s="199"/>
      <c r="F262" s="199"/>
      <c r="G262" s="199"/>
      <c r="H262" s="199"/>
      <c r="I262" s="199"/>
      <c r="J262" s="199"/>
      <c r="K262" s="199"/>
      <c r="L262" s="199"/>
      <c r="M262" s="204"/>
      <c r="N262" s="204"/>
      <c r="O262" s="199"/>
      <c r="P262" s="204"/>
      <c r="Q262" s="204"/>
      <c r="R262" s="204"/>
      <c r="S262" s="204"/>
      <c r="T262" s="204"/>
      <c r="U262" s="204"/>
      <c r="V262" s="204"/>
      <c r="W262" s="199"/>
      <c r="X262" s="199"/>
      <c r="Y262" s="204"/>
    </row>
    <row r="263" spans="1:25">
      <c r="A263" s="199"/>
      <c r="B263" s="199"/>
      <c r="C263" s="199"/>
      <c r="D263" s="199"/>
      <c r="E263" s="199"/>
      <c r="F263" s="199"/>
      <c r="G263" s="199"/>
      <c r="H263" s="199"/>
      <c r="I263" s="199"/>
      <c r="J263" s="199"/>
      <c r="K263" s="199"/>
      <c r="L263" s="199"/>
      <c r="M263" s="202"/>
      <c r="N263" s="204"/>
      <c r="O263" s="199"/>
      <c r="P263" s="199"/>
      <c r="Q263" s="199"/>
      <c r="R263" s="199"/>
      <c r="S263" s="199"/>
      <c r="T263" s="199"/>
      <c r="U263" s="202"/>
      <c r="V263" s="202"/>
      <c r="W263" s="204"/>
      <c r="X263" s="199"/>
      <c r="Y263" s="202"/>
    </row>
    <row r="264" spans="1:25">
      <c r="A264" s="199"/>
      <c r="B264" s="199"/>
      <c r="C264" s="199"/>
      <c r="D264" s="199"/>
      <c r="E264" s="199"/>
      <c r="F264" s="199"/>
      <c r="G264" s="199"/>
      <c r="H264" s="199"/>
      <c r="I264" s="199"/>
      <c r="J264" s="199"/>
      <c r="K264" s="199"/>
      <c r="L264" s="199"/>
      <c r="M264" s="202"/>
      <c r="N264" s="204"/>
      <c r="O264" s="202"/>
      <c r="P264" s="199"/>
      <c r="Q264" s="199"/>
      <c r="R264" s="199"/>
      <c r="S264" s="199"/>
      <c r="T264" s="199"/>
      <c r="U264" s="199"/>
      <c r="V264" s="204"/>
      <c r="W264" s="204"/>
      <c r="X264" s="199"/>
      <c r="Y264" s="202"/>
    </row>
    <row r="265" spans="1:25">
      <c r="A265" s="199"/>
      <c r="B265" s="199"/>
      <c r="C265" s="199"/>
      <c r="D265" s="199"/>
      <c r="E265" s="199"/>
      <c r="F265" s="199"/>
      <c r="G265" s="199"/>
      <c r="H265" s="199"/>
      <c r="I265" s="199"/>
      <c r="J265" s="199"/>
      <c r="K265" s="199"/>
      <c r="L265" s="199"/>
      <c r="M265" s="202"/>
      <c r="N265" s="204"/>
      <c r="O265" s="202"/>
      <c r="P265" s="199"/>
      <c r="Q265" s="199"/>
      <c r="R265" s="199"/>
      <c r="S265" s="199"/>
      <c r="T265" s="199"/>
      <c r="U265" s="199"/>
      <c r="V265" s="202"/>
      <c r="W265" s="204"/>
      <c r="X265" s="199"/>
      <c r="Y265" s="202"/>
    </row>
    <row r="266" spans="1:25">
      <c r="A266" s="199"/>
      <c r="B266" s="199"/>
      <c r="C266" s="199"/>
      <c r="D266" s="199"/>
      <c r="E266" s="199"/>
      <c r="F266" s="199"/>
      <c r="G266" s="199"/>
      <c r="H266" s="199"/>
      <c r="I266" s="199"/>
      <c r="J266" s="199"/>
      <c r="K266" s="199"/>
      <c r="L266" s="199"/>
      <c r="M266" s="206"/>
      <c r="N266" s="199"/>
      <c r="O266" s="199"/>
      <c r="P266" s="199"/>
      <c r="Q266" s="199"/>
      <c r="R266" s="199"/>
      <c r="S266" s="199"/>
      <c r="T266" s="199"/>
      <c r="U266" s="199"/>
      <c r="V266" s="199"/>
      <c r="W266" s="199"/>
      <c r="X266" s="199"/>
      <c r="Y266" s="199"/>
    </row>
    <row r="267" spans="1:25">
      <c r="A267" s="199"/>
      <c r="B267" s="199"/>
      <c r="C267" s="207"/>
      <c r="D267" s="207"/>
      <c r="E267" s="207"/>
      <c r="F267" s="207"/>
      <c r="G267" s="207"/>
      <c r="H267" s="207"/>
      <c r="I267" s="207"/>
      <c r="J267" s="207"/>
      <c r="K267" s="207"/>
      <c r="L267" s="207"/>
      <c r="M267" s="207"/>
      <c r="N267" s="207"/>
      <c r="O267" s="207"/>
      <c r="P267" s="207"/>
      <c r="Q267" s="207"/>
      <c r="R267" s="207"/>
      <c r="S267" s="207"/>
      <c r="T267" s="207"/>
      <c r="U267" s="207"/>
      <c r="V267" s="207"/>
      <c r="W267" s="207"/>
      <c r="X267" s="207"/>
      <c r="Y267" s="207"/>
    </row>
    <row r="268" spans="1:25">
      <c r="A268" s="199"/>
      <c r="B268" s="199"/>
      <c r="C268" s="206"/>
      <c r="D268" s="206"/>
      <c r="E268" s="206"/>
      <c r="F268" s="206"/>
      <c r="G268" s="206"/>
      <c r="H268" s="206"/>
      <c r="I268" s="206"/>
      <c r="J268" s="206"/>
      <c r="K268" s="206"/>
      <c r="L268" s="206"/>
      <c r="M268" s="206"/>
      <c r="N268" s="206"/>
      <c r="O268" s="206"/>
      <c r="P268" s="206"/>
      <c r="Q268" s="206"/>
      <c r="R268" s="206"/>
      <c r="S268" s="206"/>
      <c r="T268" s="206"/>
      <c r="U268" s="206"/>
      <c r="V268" s="206"/>
      <c r="W268" s="206"/>
      <c r="X268" s="204"/>
      <c r="Y268" s="206"/>
    </row>
    <row r="269" spans="1:25">
      <c r="A269" s="199"/>
      <c r="B269" s="206"/>
      <c r="C269" s="206"/>
      <c r="D269" s="206"/>
      <c r="E269" s="206"/>
      <c r="F269" s="206"/>
      <c r="G269" s="207"/>
      <c r="H269" s="207"/>
      <c r="I269" s="207"/>
      <c r="J269" s="207"/>
      <c r="K269" s="207"/>
      <c r="L269" s="207"/>
      <c r="M269" s="207"/>
      <c r="N269" s="207"/>
      <c r="O269" s="207"/>
      <c r="P269" s="207"/>
      <c r="Q269" s="207"/>
      <c r="R269" s="207"/>
      <c r="S269" s="207"/>
      <c r="T269" s="207"/>
      <c r="U269" s="207"/>
      <c r="V269" s="207"/>
      <c r="W269" s="207"/>
      <c r="X269" s="207"/>
      <c r="Y269" s="207"/>
    </row>
    <row r="270" spans="1:25">
      <c r="A270" s="199"/>
      <c r="B270" s="206"/>
      <c r="C270" s="206"/>
      <c r="D270" s="206"/>
      <c r="E270" s="206"/>
      <c r="F270" s="206"/>
      <c r="G270" s="207"/>
      <c r="H270" s="299"/>
      <c r="I270" s="299"/>
      <c r="J270" s="299"/>
      <c r="K270" s="299"/>
      <c r="L270" s="299"/>
      <c r="M270" s="207"/>
      <c r="N270" s="206"/>
      <c r="O270" s="206"/>
      <c r="P270" s="207"/>
      <c r="Q270" s="207"/>
      <c r="R270" s="299"/>
      <c r="S270" s="299"/>
      <c r="T270" s="299"/>
      <c r="U270" s="207"/>
      <c r="V270" s="207"/>
      <c r="W270" s="207"/>
      <c r="X270" s="206"/>
      <c r="Y270" s="206"/>
    </row>
    <row r="271" spans="1:25">
      <c r="A271" s="199"/>
      <c r="B271" s="300"/>
      <c r="C271" s="233"/>
      <c r="D271" s="233"/>
      <c r="E271" s="233"/>
      <c r="F271" s="233"/>
      <c r="G271" s="207"/>
      <c r="H271" s="233"/>
      <c r="I271" s="233"/>
      <c r="J271" s="233"/>
      <c r="K271" s="233"/>
      <c r="L271" s="233"/>
      <c r="M271" s="233"/>
      <c r="N271" s="207"/>
      <c r="O271" s="207"/>
      <c r="P271" s="207"/>
      <c r="Q271" s="207"/>
      <c r="R271" s="233"/>
      <c r="S271" s="233"/>
      <c r="T271" s="233"/>
      <c r="U271" s="233"/>
      <c r="V271" s="233"/>
      <c r="W271" s="233"/>
      <c r="X271" s="206"/>
      <c r="Y271" s="206"/>
    </row>
    <row r="272" spans="1:25">
      <c r="A272" s="199"/>
      <c r="B272" s="301"/>
      <c r="C272" s="228"/>
      <c r="D272" s="215"/>
      <c r="E272" s="215"/>
      <c r="F272" s="215"/>
      <c r="G272" s="215"/>
      <c r="H272" s="215"/>
      <c r="I272" s="215"/>
      <c r="J272" s="215"/>
      <c r="K272" s="215"/>
      <c r="L272" s="215"/>
      <c r="M272" s="215"/>
      <c r="N272" s="275"/>
      <c r="O272" s="275"/>
      <c r="P272" s="215"/>
      <c r="Q272" s="215"/>
      <c r="R272" s="215"/>
      <c r="S272" s="215"/>
      <c r="T272" s="215"/>
      <c r="U272" s="215"/>
      <c r="V272" s="275"/>
      <c r="W272" s="277"/>
      <c r="X272" s="246"/>
      <c r="Y272" s="246"/>
    </row>
    <row r="273" spans="1:25">
      <c r="A273" s="199"/>
      <c r="B273" s="301"/>
      <c r="C273" s="228"/>
      <c r="D273" s="215"/>
      <c r="E273" s="215"/>
      <c r="F273" s="215"/>
      <c r="G273" s="215"/>
      <c r="H273" s="215"/>
      <c r="I273" s="215"/>
      <c r="J273" s="215"/>
      <c r="K273" s="215"/>
      <c r="L273" s="215"/>
      <c r="M273" s="215"/>
      <c r="N273" s="258"/>
      <c r="O273" s="275"/>
      <c r="P273" s="275"/>
      <c r="Q273" s="275"/>
      <c r="R273" s="275"/>
      <c r="S273" s="275"/>
      <c r="T273" s="275"/>
      <c r="U273" s="215"/>
      <c r="V273" s="215"/>
      <c r="W273" s="277"/>
      <c r="X273" s="289"/>
      <c r="Y273" s="246"/>
    </row>
    <row r="274" spans="1:25">
      <c r="A274" s="199"/>
      <c r="B274" s="301"/>
      <c r="C274" s="228"/>
      <c r="D274" s="215"/>
      <c r="E274" s="215"/>
      <c r="F274" s="215"/>
      <c r="G274" s="215"/>
      <c r="H274" s="215"/>
      <c r="I274" s="215"/>
      <c r="J274" s="215"/>
      <c r="K274" s="215"/>
      <c r="L274" s="215"/>
      <c r="M274" s="215"/>
      <c r="N274" s="258"/>
      <c r="O274" s="275"/>
      <c r="P274" s="275"/>
      <c r="Q274" s="275"/>
      <c r="R274" s="275"/>
      <c r="S274" s="275"/>
      <c r="T274" s="275"/>
      <c r="U274" s="215"/>
      <c r="V274" s="215"/>
      <c r="W274" s="277"/>
      <c r="X274" s="289"/>
      <c r="Y274" s="246"/>
    </row>
    <row r="275" spans="1:25">
      <c r="A275" s="199"/>
      <c r="B275" s="301"/>
      <c r="C275" s="228"/>
      <c r="D275" s="215"/>
      <c r="E275" s="215"/>
      <c r="F275" s="215"/>
      <c r="G275" s="215"/>
      <c r="H275" s="215"/>
      <c r="I275" s="215"/>
      <c r="J275" s="215"/>
      <c r="K275" s="215"/>
      <c r="L275" s="215"/>
      <c r="M275" s="215"/>
      <c r="N275" s="258"/>
      <c r="O275" s="275"/>
      <c r="P275" s="275"/>
      <c r="Q275" s="275"/>
      <c r="R275" s="275"/>
      <c r="S275" s="275"/>
      <c r="T275" s="275"/>
      <c r="U275" s="215"/>
      <c r="V275" s="215"/>
      <c r="W275" s="277"/>
      <c r="X275" s="289"/>
      <c r="Y275" s="246"/>
    </row>
    <row r="276" spans="1:25">
      <c r="A276" s="199"/>
      <c r="B276" s="227"/>
      <c r="C276" s="228"/>
      <c r="D276" s="258"/>
      <c r="E276" s="215"/>
      <c r="F276" s="215"/>
      <c r="G276" s="275"/>
      <c r="H276" s="275"/>
      <c r="I276" s="275"/>
      <c r="J276" s="275"/>
      <c r="K276" s="275"/>
      <c r="L276" s="275"/>
      <c r="M276" s="215"/>
      <c r="N276" s="258"/>
      <c r="O276" s="275"/>
      <c r="P276" s="275"/>
      <c r="Q276" s="275"/>
      <c r="R276" s="275"/>
      <c r="S276" s="275"/>
      <c r="T276" s="275"/>
      <c r="U276" s="215"/>
      <c r="V276" s="215"/>
      <c r="W276" s="277"/>
      <c r="X276" s="289"/>
      <c r="Y276" s="246"/>
    </row>
    <row r="277" spans="1:25">
      <c r="A277" s="199"/>
      <c r="B277" s="304"/>
      <c r="C277" s="228"/>
      <c r="D277" s="215"/>
      <c r="E277" s="215"/>
      <c r="F277" s="215"/>
      <c r="G277" s="215"/>
      <c r="H277" s="215"/>
      <c r="I277" s="215"/>
      <c r="J277" s="215"/>
      <c r="K277" s="215"/>
      <c r="L277" s="215"/>
      <c r="M277" s="215"/>
      <c r="N277" s="258"/>
      <c r="O277" s="275"/>
      <c r="P277" s="275"/>
      <c r="Q277" s="275"/>
      <c r="R277" s="275"/>
      <c r="S277" s="275"/>
      <c r="T277" s="275"/>
      <c r="U277" s="215"/>
      <c r="V277" s="215"/>
      <c r="W277" s="277"/>
      <c r="X277" s="289"/>
      <c r="Y277" s="246"/>
    </row>
    <row r="278" spans="1:25">
      <c r="A278" s="199"/>
      <c r="B278" s="304"/>
      <c r="C278" s="228"/>
      <c r="D278" s="215"/>
      <c r="E278" s="215"/>
      <c r="F278" s="215"/>
      <c r="G278" s="215"/>
      <c r="H278" s="215"/>
      <c r="I278" s="215"/>
      <c r="J278" s="215"/>
      <c r="K278" s="215"/>
      <c r="L278" s="215"/>
      <c r="M278" s="215"/>
      <c r="N278" s="215"/>
      <c r="O278" s="275"/>
      <c r="P278" s="275"/>
      <c r="Q278" s="275"/>
      <c r="R278" s="275"/>
      <c r="S278" s="275"/>
      <c r="T278" s="275"/>
      <c r="U278" s="215"/>
      <c r="V278" s="215"/>
      <c r="W278" s="277"/>
      <c r="X278" s="289"/>
      <c r="Y278" s="246"/>
    </row>
    <row r="279" spans="1:25">
      <c r="A279" s="199"/>
      <c r="B279" s="304"/>
      <c r="C279" s="228"/>
      <c r="D279" s="215"/>
      <c r="E279" s="215"/>
      <c r="F279" s="215"/>
      <c r="G279" s="215"/>
      <c r="H279" s="215"/>
      <c r="I279" s="215"/>
      <c r="J279" s="215"/>
      <c r="K279" s="215"/>
      <c r="L279" s="215"/>
      <c r="M279" s="215"/>
      <c r="N279" s="215"/>
      <c r="O279" s="275"/>
      <c r="P279" s="275"/>
      <c r="Q279" s="275"/>
      <c r="R279" s="275"/>
      <c r="S279" s="275"/>
      <c r="T279" s="275"/>
      <c r="U279" s="215"/>
      <c r="V279" s="215"/>
      <c r="W279" s="277"/>
      <c r="X279" s="289"/>
      <c r="Y279" s="246"/>
    </row>
    <row r="280" spans="1:25">
      <c r="A280" s="199"/>
      <c r="B280" s="304"/>
      <c r="C280" s="228"/>
      <c r="D280" s="215"/>
      <c r="E280" s="215"/>
      <c r="F280" s="215"/>
      <c r="G280" s="215"/>
      <c r="H280" s="215"/>
      <c r="I280" s="215"/>
      <c r="J280" s="215"/>
      <c r="K280" s="215"/>
      <c r="L280" s="215"/>
      <c r="M280" s="215"/>
      <c r="N280" s="215"/>
      <c r="O280" s="275"/>
      <c r="P280" s="275"/>
      <c r="Q280" s="275"/>
      <c r="R280" s="275"/>
      <c r="S280" s="275"/>
      <c r="T280" s="275"/>
      <c r="U280" s="215"/>
      <c r="V280" s="215"/>
      <c r="W280" s="277"/>
      <c r="X280" s="289"/>
      <c r="Y280" s="246"/>
    </row>
    <row r="281" spans="1:25">
      <c r="A281" s="199"/>
      <c r="B281" s="227"/>
      <c r="C281" s="228"/>
      <c r="D281" s="258"/>
      <c r="E281" s="215"/>
      <c r="F281" s="215"/>
      <c r="G281" s="275"/>
      <c r="H281" s="275"/>
      <c r="I281" s="275"/>
      <c r="J281" s="275"/>
      <c r="K281" s="275"/>
      <c r="L281" s="275"/>
      <c r="M281" s="215"/>
      <c r="N281" s="215"/>
      <c r="O281" s="275"/>
      <c r="P281" s="275"/>
      <c r="Q281" s="275"/>
      <c r="R281" s="275"/>
      <c r="S281" s="275"/>
      <c r="T281" s="275"/>
      <c r="U281" s="215"/>
      <c r="V281" s="215"/>
      <c r="W281" s="277"/>
      <c r="X281" s="289"/>
      <c r="Y281" s="246"/>
    </row>
    <row r="282" spans="1:25">
      <c r="A282" s="199"/>
      <c r="B282" s="305"/>
      <c r="C282" s="228"/>
      <c r="D282" s="215"/>
      <c r="E282" s="215"/>
      <c r="F282" s="215"/>
      <c r="G282" s="215"/>
      <c r="H282" s="215"/>
      <c r="I282" s="215"/>
      <c r="J282" s="215"/>
      <c r="K282" s="215"/>
      <c r="L282" s="215"/>
      <c r="M282" s="215"/>
      <c r="N282" s="215"/>
      <c r="O282" s="275"/>
      <c r="P282" s="275"/>
      <c r="Q282" s="275"/>
      <c r="R282" s="275"/>
      <c r="S282" s="275"/>
      <c r="T282" s="275"/>
      <c r="U282" s="215"/>
      <c r="V282" s="215"/>
      <c r="W282" s="277"/>
      <c r="X282" s="289"/>
      <c r="Y282" s="246"/>
    </row>
    <row r="283" spans="1:25">
      <c r="A283" s="199"/>
      <c r="B283" s="305"/>
      <c r="C283" s="228"/>
      <c r="D283" s="215"/>
      <c r="E283" s="215"/>
      <c r="F283" s="215"/>
      <c r="G283" s="215"/>
      <c r="H283" s="215"/>
      <c r="I283" s="215"/>
      <c r="J283" s="215"/>
      <c r="K283" s="215"/>
      <c r="L283" s="215"/>
      <c r="M283" s="215"/>
      <c r="N283" s="228"/>
      <c r="O283" s="228"/>
      <c r="P283" s="228"/>
      <c r="Q283" s="228"/>
      <c r="R283" s="228"/>
      <c r="S283" s="228"/>
      <c r="T283" s="228"/>
      <c r="U283" s="228"/>
      <c r="V283" s="228"/>
      <c r="W283" s="228"/>
      <c r="X283" s="228"/>
      <c r="Y283" s="228"/>
    </row>
    <row r="284" spans="1:25">
      <c r="A284" s="199"/>
      <c r="B284" s="305"/>
      <c r="C284" s="228"/>
      <c r="D284" s="215"/>
      <c r="E284" s="215"/>
      <c r="F284" s="215"/>
      <c r="G284" s="215"/>
      <c r="H284" s="215"/>
      <c r="I284" s="215"/>
      <c r="J284" s="215"/>
      <c r="K284" s="215"/>
      <c r="L284" s="215"/>
      <c r="M284" s="215"/>
      <c r="N284" s="228"/>
      <c r="O284" s="228"/>
      <c r="P284" s="228"/>
      <c r="Q284" s="228"/>
      <c r="R284" s="228"/>
      <c r="S284" s="228"/>
      <c r="T284" s="228"/>
      <c r="U284" s="228"/>
      <c r="V284" s="228"/>
      <c r="W284" s="228"/>
      <c r="X284" s="228"/>
      <c r="Y284" s="228"/>
    </row>
    <row r="285" spans="1:25">
      <c r="A285" s="199"/>
      <c r="B285" s="305"/>
      <c r="C285" s="228"/>
      <c r="D285" s="215"/>
      <c r="E285" s="215"/>
      <c r="F285" s="215"/>
      <c r="G285" s="215"/>
      <c r="H285" s="215"/>
      <c r="I285" s="215"/>
      <c r="J285" s="215"/>
      <c r="K285" s="215"/>
      <c r="L285" s="215"/>
      <c r="M285" s="215"/>
      <c r="N285" s="228"/>
      <c r="O285" s="228"/>
      <c r="P285" s="228"/>
      <c r="Q285" s="228"/>
      <c r="R285" s="228"/>
      <c r="S285" s="228"/>
      <c r="T285" s="228"/>
      <c r="U285" s="228"/>
      <c r="V285" s="228"/>
      <c r="W285" s="228"/>
      <c r="X285" s="228"/>
      <c r="Y285" s="228"/>
    </row>
    <row r="286" spans="1:25">
      <c r="A286" s="199"/>
      <c r="B286" s="227"/>
      <c r="C286" s="228"/>
      <c r="D286" s="199"/>
      <c r="E286" s="199"/>
      <c r="F286" s="228"/>
      <c r="G286" s="228"/>
      <c r="H286" s="228"/>
      <c r="I286" s="228"/>
      <c r="J286" s="228"/>
      <c r="K286" s="228"/>
      <c r="L286" s="228"/>
      <c r="M286" s="228"/>
      <c r="N286" s="228"/>
      <c r="O286" s="228"/>
      <c r="P286" s="228"/>
      <c r="Q286" s="228"/>
      <c r="R286" s="228"/>
      <c r="S286" s="228"/>
      <c r="T286" s="228"/>
      <c r="U286" s="228"/>
      <c r="V286" s="228"/>
      <c r="W286" s="228"/>
      <c r="X286" s="228"/>
      <c r="Y286" s="228"/>
    </row>
    <row r="287" spans="1:25">
      <c r="A287" s="199"/>
      <c r="B287" s="305"/>
      <c r="C287" s="228"/>
      <c r="D287" s="215"/>
      <c r="E287" s="215"/>
      <c r="F287" s="215"/>
      <c r="G287" s="215"/>
      <c r="H287" s="215"/>
      <c r="I287" s="215"/>
      <c r="J287" s="215"/>
      <c r="K287" s="215"/>
      <c r="L287" s="215"/>
      <c r="M287" s="215"/>
      <c r="N287" s="228"/>
      <c r="O287" s="228"/>
      <c r="P287" s="228"/>
      <c r="Q287" s="228"/>
      <c r="R287" s="228"/>
      <c r="S287" s="228"/>
      <c r="T287" s="228"/>
      <c r="U287" s="228"/>
      <c r="V287" s="228"/>
      <c r="W287" s="228"/>
      <c r="X287" s="228"/>
      <c r="Y287" s="228"/>
    </row>
    <row r="288" spans="1:25">
      <c r="A288" s="199"/>
      <c r="B288" s="305"/>
      <c r="C288" s="228"/>
      <c r="D288" s="215"/>
      <c r="E288" s="215"/>
      <c r="F288" s="215"/>
      <c r="G288" s="215"/>
      <c r="H288" s="215"/>
      <c r="I288" s="215"/>
      <c r="J288" s="215"/>
      <c r="K288" s="215"/>
      <c r="L288" s="215"/>
      <c r="M288" s="215"/>
      <c r="N288" s="228"/>
      <c r="O288" s="228"/>
      <c r="P288" s="228"/>
      <c r="Q288" s="228"/>
      <c r="R288" s="228"/>
      <c r="S288" s="228"/>
      <c r="T288" s="228"/>
      <c r="U288" s="228"/>
      <c r="V288" s="228"/>
      <c r="W288" s="228"/>
      <c r="X288" s="228"/>
      <c r="Y288" s="228"/>
    </row>
    <row r="289" spans="1:25">
      <c r="A289" s="199"/>
      <c r="B289" s="305"/>
      <c r="C289" s="228"/>
      <c r="D289" s="215"/>
      <c r="E289" s="215"/>
      <c r="F289" s="215"/>
      <c r="G289" s="215"/>
      <c r="H289" s="215"/>
      <c r="I289" s="215"/>
      <c r="J289" s="215"/>
      <c r="K289" s="215"/>
      <c r="L289" s="215"/>
      <c r="M289" s="215"/>
      <c r="N289" s="228"/>
      <c r="O289" s="228"/>
      <c r="P289" s="228"/>
      <c r="Q289" s="228"/>
      <c r="R289" s="228"/>
      <c r="S289" s="228"/>
      <c r="T289" s="228"/>
      <c r="U289" s="228"/>
      <c r="V289" s="228"/>
      <c r="W289" s="228"/>
      <c r="X289" s="228"/>
      <c r="Y289" s="228"/>
    </row>
    <row r="290" spans="1:25">
      <c r="A290" s="199"/>
      <c r="B290" s="305"/>
      <c r="C290" s="228"/>
      <c r="D290" s="215"/>
      <c r="E290" s="215"/>
      <c r="F290" s="215"/>
      <c r="G290" s="215"/>
      <c r="H290" s="215"/>
      <c r="I290" s="215"/>
      <c r="J290" s="215"/>
      <c r="K290" s="215"/>
      <c r="L290" s="215"/>
      <c r="M290" s="215"/>
      <c r="N290" s="228"/>
      <c r="O290" s="228"/>
      <c r="P290" s="228"/>
      <c r="Q290" s="228"/>
      <c r="R290" s="228"/>
      <c r="S290" s="228"/>
      <c r="T290" s="228"/>
      <c r="U290" s="228"/>
      <c r="V290" s="228"/>
      <c r="W290" s="228"/>
      <c r="X290" s="228"/>
      <c r="Y290" s="228"/>
    </row>
    <row r="291" spans="1:25">
      <c r="A291" s="199"/>
      <c r="B291" s="227"/>
      <c r="C291" s="228"/>
      <c r="D291" s="199"/>
      <c r="E291" s="199"/>
      <c r="F291" s="228"/>
      <c r="G291" s="228"/>
      <c r="H291" s="228"/>
      <c r="I291" s="228"/>
      <c r="J291" s="228"/>
      <c r="K291" s="228"/>
      <c r="L291" s="228"/>
      <c r="M291" s="228"/>
      <c r="N291" s="228"/>
      <c r="O291" s="228"/>
      <c r="P291" s="228"/>
      <c r="Q291" s="228"/>
      <c r="R291" s="228"/>
      <c r="S291" s="228"/>
      <c r="T291" s="228"/>
      <c r="U291" s="228"/>
      <c r="V291" s="228"/>
      <c r="W291" s="228"/>
      <c r="X291" s="228"/>
      <c r="Y291" s="228"/>
    </row>
    <row r="292" spans="1:25">
      <c r="A292" s="199"/>
      <c r="B292" s="305"/>
      <c r="C292" s="228"/>
      <c r="D292" s="215"/>
      <c r="E292" s="215"/>
      <c r="F292" s="215"/>
      <c r="G292" s="215"/>
      <c r="H292" s="215"/>
      <c r="I292" s="215"/>
      <c r="J292" s="215"/>
      <c r="K292" s="215"/>
      <c r="L292" s="215"/>
      <c r="M292" s="215"/>
      <c r="N292" s="228"/>
      <c r="O292" s="228"/>
      <c r="P292" s="228"/>
      <c r="Q292" s="228"/>
      <c r="R292" s="228"/>
      <c r="S292" s="228"/>
      <c r="T292" s="228"/>
      <c r="U292" s="228"/>
      <c r="V292" s="228"/>
      <c r="W292" s="228"/>
      <c r="X292" s="228"/>
      <c r="Y292" s="228"/>
    </row>
    <row r="293" spans="1:25">
      <c r="A293" s="199"/>
      <c r="B293" s="305"/>
      <c r="C293" s="228"/>
      <c r="D293" s="215"/>
      <c r="E293" s="215"/>
      <c r="F293" s="215"/>
      <c r="G293" s="215"/>
      <c r="H293" s="215"/>
      <c r="I293" s="215"/>
      <c r="J293" s="215"/>
      <c r="K293" s="215"/>
      <c r="L293" s="215"/>
      <c r="M293" s="215"/>
      <c r="N293" s="228"/>
      <c r="O293" s="228"/>
      <c r="P293" s="228"/>
      <c r="Q293" s="228"/>
      <c r="R293" s="228"/>
      <c r="S293" s="228"/>
      <c r="T293" s="228"/>
      <c r="U293" s="228"/>
      <c r="V293" s="228"/>
      <c r="W293" s="228"/>
      <c r="X293" s="228"/>
      <c r="Y293" s="228"/>
    </row>
    <row r="294" spans="1:25">
      <c r="A294" s="199"/>
      <c r="B294" s="305"/>
      <c r="C294" s="228"/>
      <c r="D294" s="215"/>
      <c r="E294" s="215"/>
      <c r="F294" s="215"/>
      <c r="G294" s="215"/>
      <c r="H294" s="215"/>
      <c r="I294" s="215"/>
      <c r="J294" s="215"/>
      <c r="K294" s="215"/>
      <c r="L294" s="215"/>
      <c r="M294" s="215"/>
      <c r="N294" s="228"/>
      <c r="O294" s="228"/>
      <c r="P294" s="228"/>
      <c r="Q294" s="228"/>
      <c r="R294" s="228"/>
      <c r="S294" s="228"/>
      <c r="T294" s="228"/>
      <c r="U294" s="228"/>
      <c r="V294" s="228"/>
      <c r="W294" s="228"/>
      <c r="X294" s="228"/>
      <c r="Y294" s="228"/>
    </row>
    <row r="295" spans="1:25">
      <c r="A295" s="199"/>
      <c r="B295" s="305"/>
      <c r="C295" s="228"/>
      <c r="D295" s="215"/>
      <c r="E295" s="215"/>
      <c r="F295" s="215"/>
      <c r="G295" s="215"/>
      <c r="H295" s="215"/>
      <c r="I295" s="215"/>
      <c r="J295" s="215"/>
      <c r="K295" s="215"/>
      <c r="L295" s="215"/>
      <c r="M295" s="215"/>
      <c r="N295" s="228"/>
      <c r="O295" s="228"/>
      <c r="P295" s="228"/>
      <c r="Q295" s="228"/>
      <c r="R295" s="228"/>
      <c r="S295" s="228"/>
      <c r="T295" s="228"/>
      <c r="U295" s="228"/>
      <c r="V295" s="228"/>
      <c r="W295" s="228"/>
      <c r="X295" s="228"/>
      <c r="Y295" s="228"/>
    </row>
    <row r="296" spans="1:25">
      <c r="A296" s="199"/>
      <c r="B296" s="227"/>
      <c r="C296" s="228"/>
      <c r="D296" s="199"/>
      <c r="E296" s="199"/>
      <c r="F296" s="228"/>
      <c r="G296" s="228"/>
      <c r="H296" s="228"/>
      <c r="I296" s="228"/>
      <c r="J296" s="228"/>
      <c r="K296" s="228"/>
      <c r="L296" s="228"/>
      <c r="M296" s="228"/>
      <c r="N296" s="228"/>
      <c r="O296" s="228"/>
      <c r="P296" s="228"/>
      <c r="Q296" s="228"/>
      <c r="R296" s="228"/>
      <c r="S296" s="228"/>
      <c r="T296" s="228"/>
      <c r="U296" s="228"/>
      <c r="V296" s="228"/>
      <c r="W296" s="228"/>
      <c r="X296" s="228"/>
      <c r="Y296" s="228"/>
    </row>
    <row r="297" spans="1:25">
      <c r="A297" s="199"/>
      <c r="B297" s="305"/>
      <c r="C297" s="228"/>
      <c r="D297" s="215"/>
      <c r="E297" s="215"/>
      <c r="F297" s="215"/>
      <c r="G297" s="215"/>
      <c r="H297" s="215"/>
      <c r="I297" s="215"/>
      <c r="J297" s="215"/>
      <c r="K297" s="215"/>
      <c r="L297" s="215"/>
      <c r="M297" s="215"/>
      <c r="N297" s="228"/>
      <c r="O297" s="228"/>
      <c r="P297" s="228"/>
      <c r="Q297" s="228"/>
      <c r="R297" s="228"/>
      <c r="S297" s="228"/>
      <c r="T297" s="228"/>
      <c r="U297" s="228"/>
      <c r="V297" s="228"/>
      <c r="W297" s="228"/>
      <c r="X297" s="228"/>
      <c r="Y297" s="228"/>
    </row>
    <row r="298" spans="1:25">
      <c r="A298" s="199"/>
      <c r="B298" s="305"/>
      <c r="C298" s="228"/>
      <c r="D298" s="215"/>
      <c r="E298" s="215"/>
      <c r="F298" s="215"/>
      <c r="G298" s="215"/>
      <c r="H298" s="215"/>
      <c r="I298" s="215"/>
      <c r="J298" s="215"/>
      <c r="K298" s="215"/>
      <c r="L298" s="215"/>
      <c r="M298" s="215"/>
      <c r="P298" s="228"/>
      <c r="Q298" s="228"/>
      <c r="R298" s="228"/>
      <c r="S298" s="228"/>
      <c r="T298" s="228"/>
      <c r="U298" s="228"/>
      <c r="V298" s="228"/>
      <c r="W298" s="228"/>
      <c r="X298" s="228"/>
      <c r="Y298" s="228"/>
    </row>
    <row r="299" spans="1:25">
      <c r="A299" s="199"/>
      <c r="B299" s="305"/>
      <c r="C299" s="228"/>
      <c r="D299" s="215"/>
      <c r="E299" s="215"/>
      <c r="F299" s="215"/>
      <c r="G299" s="215"/>
      <c r="H299" s="215"/>
      <c r="I299" s="215"/>
      <c r="J299" s="215"/>
      <c r="K299" s="215"/>
      <c r="L299" s="215"/>
      <c r="M299" s="215"/>
      <c r="P299" s="228"/>
      <c r="Q299" s="228"/>
      <c r="R299" s="228"/>
      <c r="S299" s="228"/>
      <c r="T299" s="228"/>
      <c r="U299" s="228"/>
      <c r="V299" s="228"/>
      <c r="W299" s="228"/>
      <c r="X299" s="228"/>
      <c r="Y299" s="228"/>
    </row>
    <row r="300" spans="1:25">
      <c r="A300" s="199"/>
      <c r="B300" s="305"/>
      <c r="C300" s="228"/>
      <c r="D300" s="215"/>
      <c r="E300" s="215"/>
      <c r="F300" s="215"/>
      <c r="G300" s="215"/>
      <c r="H300" s="215"/>
      <c r="I300" s="215"/>
      <c r="J300" s="215"/>
      <c r="K300" s="215"/>
      <c r="L300" s="215"/>
      <c r="M300" s="215"/>
      <c r="P300" s="228"/>
      <c r="Q300" s="228"/>
      <c r="R300" s="228"/>
      <c r="S300" s="228"/>
      <c r="T300" s="228"/>
      <c r="U300" s="228"/>
      <c r="V300" s="228"/>
      <c r="W300" s="228"/>
      <c r="X300" s="228"/>
      <c r="Y300" s="228"/>
    </row>
    <row r="301" spans="1:25">
      <c r="A301" s="199"/>
      <c r="B301" s="227"/>
      <c r="P301" s="228"/>
      <c r="Q301" s="228"/>
      <c r="R301" s="228"/>
      <c r="S301" s="228"/>
      <c r="T301" s="228"/>
      <c r="U301" s="228"/>
      <c r="V301" s="228"/>
      <c r="W301" s="228"/>
      <c r="X301" s="228"/>
      <c r="Y301" s="228"/>
    </row>
    <row r="302" spans="1:25">
      <c r="A302" s="199"/>
      <c r="B302" s="227"/>
      <c r="C302" s="228"/>
      <c r="O302" s="228"/>
      <c r="P302" s="228"/>
      <c r="Q302" s="228"/>
      <c r="R302" s="228"/>
      <c r="S302" s="228"/>
      <c r="T302" s="228"/>
      <c r="U302" s="228"/>
      <c r="V302" s="228"/>
      <c r="W302" s="228"/>
      <c r="X302" s="228"/>
      <c r="Y302" s="228"/>
    </row>
    <row r="303" spans="1:25">
      <c r="A303" s="199"/>
      <c r="B303" s="227"/>
      <c r="C303" s="228"/>
      <c r="O303" s="228"/>
      <c r="P303" s="228"/>
      <c r="Q303" s="228"/>
      <c r="R303" s="228"/>
      <c r="S303" s="228"/>
      <c r="T303" s="228"/>
      <c r="U303" s="228"/>
      <c r="V303" s="228"/>
      <c r="W303" s="228"/>
      <c r="X303" s="228"/>
      <c r="Y303" s="228"/>
    </row>
    <row r="304" spans="1:25">
      <c r="A304" s="199"/>
      <c r="B304" s="227"/>
      <c r="C304" s="228"/>
      <c r="O304" s="228"/>
      <c r="P304" s="228"/>
      <c r="Q304" s="228"/>
      <c r="R304" s="228"/>
      <c r="S304" s="228"/>
      <c r="T304" s="228"/>
      <c r="U304" s="228"/>
      <c r="V304" s="228"/>
      <c r="W304" s="228"/>
      <c r="X304" s="228"/>
      <c r="Y304" s="228"/>
    </row>
    <row r="305" spans="1:25">
      <c r="A305" s="199"/>
      <c r="B305" s="227"/>
      <c r="C305" s="228"/>
      <c r="O305" s="228"/>
      <c r="P305" s="228"/>
      <c r="Q305" s="228"/>
      <c r="R305" s="228"/>
      <c r="S305" s="228"/>
      <c r="T305" s="228"/>
      <c r="U305" s="228"/>
      <c r="V305" s="228"/>
      <c r="W305" s="228"/>
      <c r="X305" s="228"/>
      <c r="Y305" s="228"/>
    </row>
    <row r="306" spans="1:25">
      <c r="A306" s="199"/>
      <c r="B306" s="199"/>
      <c r="C306" s="228"/>
      <c r="O306" s="228"/>
      <c r="P306" s="287"/>
      <c r="Q306" s="287"/>
      <c r="R306" s="287"/>
      <c r="S306" s="287"/>
      <c r="T306" s="287"/>
      <c r="U306" s="287"/>
      <c r="V306" s="287"/>
      <c r="W306" s="287"/>
      <c r="X306" s="287"/>
      <c r="Y306" s="287"/>
    </row>
    <row r="307" spans="1:25">
      <c r="A307" s="199"/>
      <c r="B307" s="199"/>
      <c r="C307" s="228"/>
      <c r="O307" s="228"/>
      <c r="P307" s="287"/>
      <c r="Q307" s="287"/>
      <c r="R307" s="287"/>
      <c r="S307" s="287"/>
      <c r="T307" s="287"/>
      <c r="U307" s="287"/>
      <c r="V307" s="287"/>
      <c r="W307" s="287"/>
      <c r="X307" s="287"/>
      <c r="Y307" s="287"/>
    </row>
    <row r="308" spans="1:25">
      <c r="A308" s="199"/>
      <c r="B308" s="199"/>
      <c r="O308" s="228"/>
      <c r="P308" s="287"/>
      <c r="Q308" s="287"/>
      <c r="R308" s="287"/>
      <c r="S308" s="287"/>
      <c r="T308" s="287"/>
      <c r="U308" s="287"/>
      <c r="V308" s="287"/>
      <c r="W308" s="287"/>
      <c r="X308" s="287"/>
      <c r="Y308" s="287"/>
    </row>
    <row r="309" spans="1:25">
      <c r="A309" s="199"/>
      <c r="B309" s="199"/>
      <c r="C309" s="228"/>
      <c r="P309" s="287"/>
      <c r="Q309" s="287"/>
      <c r="R309" s="287"/>
      <c r="S309" s="287"/>
      <c r="T309" s="287"/>
      <c r="U309" s="287"/>
      <c r="V309" s="287"/>
      <c r="W309" s="287"/>
      <c r="X309" s="287"/>
      <c r="Y309" s="287"/>
    </row>
    <row r="310" spans="1:25">
      <c r="A310" s="199"/>
      <c r="B310" s="199"/>
      <c r="C310" s="199"/>
      <c r="D310" s="199"/>
      <c r="E310" s="199"/>
      <c r="F310" s="199"/>
      <c r="G310" s="199"/>
      <c r="H310" s="199"/>
      <c r="I310" s="199"/>
      <c r="J310" s="199"/>
      <c r="K310" s="199"/>
      <c r="L310" s="199"/>
      <c r="M310" s="199"/>
      <c r="N310" s="199"/>
      <c r="O310" s="199"/>
      <c r="P310" s="199"/>
      <c r="Q310" s="199"/>
      <c r="R310" s="199"/>
      <c r="S310" s="199"/>
      <c r="T310" s="199"/>
      <c r="U310" s="199"/>
      <c r="V310" s="199"/>
      <c r="W310" s="199"/>
      <c r="X310" s="199"/>
      <c r="Y310" s="199"/>
    </row>
    <row r="311" spans="1:25">
      <c r="A311" s="199"/>
      <c r="B311" s="199"/>
      <c r="C311" s="199"/>
      <c r="D311" s="199"/>
      <c r="E311" s="199"/>
      <c r="F311" s="199"/>
      <c r="G311" s="199"/>
      <c r="H311" s="199"/>
      <c r="I311" s="199"/>
      <c r="J311" s="199"/>
      <c r="K311" s="199"/>
      <c r="L311" s="199"/>
      <c r="M311" s="199"/>
      <c r="N311" s="199"/>
      <c r="O311" s="199"/>
      <c r="P311" s="199"/>
      <c r="Q311" s="199"/>
      <c r="R311" s="199"/>
      <c r="S311" s="199"/>
      <c r="T311" s="199"/>
      <c r="U311" s="199"/>
      <c r="V311" s="199"/>
      <c r="W311" s="199"/>
      <c r="X311" s="199"/>
      <c r="Y311" s="199"/>
    </row>
    <row r="312" spans="1:25">
      <c r="A312" s="199"/>
      <c r="B312" s="199"/>
      <c r="C312" s="199"/>
      <c r="D312" s="199"/>
      <c r="E312" s="199"/>
      <c r="F312" s="199"/>
      <c r="G312" s="199"/>
      <c r="H312" s="199"/>
      <c r="I312" s="199"/>
      <c r="J312" s="199"/>
      <c r="K312" s="199"/>
      <c r="L312" s="199"/>
      <c r="M312" s="199"/>
      <c r="N312" s="199"/>
      <c r="O312" s="199"/>
      <c r="P312" s="199"/>
      <c r="Q312" s="199"/>
      <c r="R312" s="199"/>
      <c r="S312" s="199"/>
      <c r="T312" s="199"/>
      <c r="U312" s="199"/>
      <c r="V312" s="199"/>
      <c r="W312" s="199"/>
      <c r="X312" s="199"/>
      <c r="Y312" s="199"/>
    </row>
    <row r="313" spans="1:25">
      <c r="A313" s="199"/>
      <c r="B313" s="199"/>
      <c r="C313" s="199"/>
      <c r="D313" s="199"/>
      <c r="E313" s="199"/>
      <c r="F313" s="199"/>
      <c r="G313" s="199"/>
      <c r="H313" s="199"/>
      <c r="I313" s="199"/>
      <c r="J313" s="199"/>
      <c r="K313" s="199"/>
      <c r="L313" s="199"/>
      <c r="M313" s="204"/>
      <c r="N313" s="204"/>
      <c r="O313" s="199"/>
      <c r="P313" s="204"/>
      <c r="Q313" s="204"/>
      <c r="R313" s="204"/>
      <c r="S313" s="204"/>
      <c r="T313" s="204"/>
      <c r="U313" s="204"/>
      <c r="V313" s="204"/>
      <c r="W313" s="199"/>
      <c r="X313" s="199"/>
      <c r="Y313" s="204"/>
    </row>
    <row r="314" spans="1:25">
      <c r="A314" s="199"/>
      <c r="B314" s="199"/>
      <c r="C314" s="199"/>
      <c r="D314" s="199"/>
      <c r="E314" s="199"/>
      <c r="F314" s="199"/>
      <c r="G314" s="199"/>
      <c r="H314" s="199"/>
      <c r="I314" s="199"/>
      <c r="J314" s="199"/>
      <c r="K314" s="199"/>
      <c r="L314" s="199"/>
      <c r="M314" s="202"/>
      <c r="N314" s="204"/>
      <c r="O314" s="199"/>
      <c r="P314" s="199"/>
      <c r="Q314" s="199"/>
      <c r="R314" s="199"/>
      <c r="S314" s="199"/>
      <c r="T314" s="199"/>
      <c r="U314" s="202"/>
      <c r="V314" s="202"/>
      <c r="W314" s="204"/>
      <c r="X314" s="199"/>
      <c r="Y314" s="202"/>
    </row>
    <row r="315" spans="1:25">
      <c r="A315" s="199"/>
      <c r="B315" s="199"/>
      <c r="C315" s="199"/>
      <c r="D315" s="199"/>
      <c r="E315" s="199"/>
      <c r="F315" s="199"/>
      <c r="G315" s="199"/>
      <c r="H315" s="199"/>
      <c r="I315" s="199"/>
      <c r="J315" s="199"/>
      <c r="K315" s="199"/>
      <c r="L315" s="199"/>
      <c r="M315" s="202"/>
      <c r="N315" s="204"/>
      <c r="O315" s="202"/>
      <c r="P315" s="199"/>
      <c r="Q315" s="199"/>
      <c r="R315" s="199"/>
      <c r="S315" s="199"/>
      <c r="T315" s="199"/>
      <c r="U315" s="199"/>
      <c r="V315" s="204"/>
      <c r="W315" s="204"/>
      <c r="X315" s="199"/>
      <c r="Y315" s="202"/>
    </row>
    <row r="316" spans="1:25">
      <c r="A316" s="199"/>
      <c r="B316" s="199"/>
      <c r="C316" s="199"/>
      <c r="D316" s="199"/>
      <c r="E316" s="199"/>
      <c r="F316" s="199"/>
      <c r="G316" s="199"/>
      <c r="H316" s="199"/>
      <c r="I316" s="199"/>
      <c r="J316" s="199"/>
      <c r="K316" s="199"/>
      <c r="L316" s="199"/>
      <c r="M316" s="202"/>
      <c r="N316" s="204"/>
      <c r="O316" s="202"/>
      <c r="P316" s="199"/>
      <c r="Q316" s="199"/>
      <c r="R316" s="199"/>
      <c r="S316" s="199"/>
      <c r="T316" s="199"/>
      <c r="U316" s="199"/>
      <c r="V316" s="202"/>
      <c r="W316" s="204"/>
      <c r="X316" s="199"/>
      <c r="Y316" s="202"/>
    </row>
    <row r="317" spans="1:25">
      <c r="A317" s="199"/>
      <c r="B317" s="199"/>
      <c r="C317" s="199"/>
      <c r="D317" s="199"/>
      <c r="E317" s="199"/>
      <c r="F317" s="199"/>
      <c r="G317" s="199"/>
      <c r="H317" s="199"/>
      <c r="I317" s="199"/>
      <c r="J317" s="199"/>
      <c r="K317" s="199"/>
      <c r="L317" s="199"/>
      <c r="M317" s="206"/>
      <c r="N317" s="199"/>
      <c r="O317" s="199"/>
      <c r="P317" s="199"/>
      <c r="Q317" s="199"/>
      <c r="R317" s="199"/>
      <c r="S317" s="199"/>
      <c r="T317" s="199"/>
      <c r="U317" s="199"/>
      <c r="V317" s="199"/>
      <c r="W317" s="199"/>
      <c r="X317" s="199"/>
      <c r="Y317" s="199"/>
    </row>
    <row r="318" spans="1:25">
      <c r="A318" s="199"/>
      <c r="B318" s="199"/>
      <c r="C318" s="207"/>
      <c r="D318" s="207"/>
      <c r="E318" s="207"/>
      <c r="F318" s="207"/>
      <c r="G318" s="207"/>
      <c r="H318" s="207"/>
      <c r="I318" s="207"/>
      <c r="J318" s="207"/>
      <c r="K318" s="207"/>
      <c r="L318" s="207"/>
      <c r="M318" s="207"/>
      <c r="N318" s="207"/>
      <c r="O318" s="207"/>
      <c r="P318" s="207"/>
      <c r="Q318" s="207"/>
      <c r="R318" s="207"/>
      <c r="S318" s="207"/>
      <c r="T318" s="207"/>
      <c r="U318" s="207"/>
      <c r="V318" s="207"/>
      <c r="W318" s="207"/>
      <c r="X318" s="207"/>
      <c r="Y318" s="207"/>
    </row>
    <row r="319" spans="1:25">
      <c r="A319" s="199"/>
      <c r="B319" s="199"/>
      <c r="C319" s="206"/>
      <c r="D319" s="206"/>
      <c r="E319" s="206"/>
      <c r="F319" s="206"/>
      <c r="G319" s="206"/>
      <c r="H319" s="206"/>
      <c r="I319" s="206"/>
      <c r="J319" s="206"/>
      <c r="K319" s="206"/>
      <c r="L319" s="206"/>
      <c r="M319" s="206"/>
      <c r="N319" s="206"/>
      <c r="O319" s="206"/>
      <c r="P319" s="206"/>
      <c r="Q319" s="206"/>
      <c r="R319" s="206"/>
      <c r="S319" s="206"/>
      <c r="T319" s="206"/>
      <c r="U319" s="206"/>
      <c r="V319" s="206"/>
      <c r="W319" s="206"/>
      <c r="X319" s="204"/>
      <c r="Y319" s="206"/>
    </row>
    <row r="320" spans="1:25">
      <c r="A320" s="199"/>
      <c r="B320" s="206"/>
      <c r="C320" s="206"/>
      <c r="D320" s="206"/>
      <c r="E320" s="206"/>
      <c r="F320" s="206"/>
      <c r="G320" s="207"/>
      <c r="H320" s="207"/>
      <c r="I320" s="207"/>
      <c r="J320" s="207"/>
      <c r="K320" s="207"/>
      <c r="L320" s="207"/>
      <c r="M320" s="207"/>
      <c r="N320" s="207"/>
      <c r="O320" s="207"/>
      <c r="P320" s="207"/>
      <c r="Q320" s="207"/>
      <c r="R320" s="207"/>
      <c r="S320" s="207"/>
      <c r="T320" s="207"/>
      <c r="U320" s="207"/>
      <c r="V320" s="207"/>
      <c r="W320" s="207"/>
      <c r="X320" s="207"/>
      <c r="Y320" s="207"/>
    </row>
    <row r="321" spans="1:25">
      <c r="A321" s="199"/>
      <c r="B321" s="206"/>
      <c r="C321" s="206"/>
      <c r="D321" s="206"/>
      <c r="E321" s="206"/>
      <c r="F321" s="206"/>
      <c r="G321" s="207"/>
      <c r="H321" s="299"/>
      <c r="I321" s="299"/>
      <c r="J321" s="299"/>
      <c r="K321" s="299"/>
      <c r="L321" s="299"/>
      <c r="M321" s="207"/>
      <c r="N321" s="206"/>
      <c r="O321" s="206"/>
      <c r="P321" s="207"/>
      <c r="Q321" s="207"/>
      <c r="R321" s="299"/>
      <c r="S321" s="299"/>
      <c r="T321" s="299"/>
      <c r="U321" s="207"/>
      <c r="V321" s="207"/>
      <c r="W321" s="207"/>
      <c r="X321" s="206"/>
      <c r="Y321" s="206"/>
    </row>
    <row r="322" spans="1:25">
      <c r="A322" s="199"/>
      <c r="B322" s="300"/>
      <c r="C322" s="233"/>
      <c r="D322" s="233"/>
      <c r="E322" s="233"/>
      <c r="F322" s="233"/>
      <c r="G322" s="207"/>
      <c r="H322" s="233"/>
      <c r="I322" s="233"/>
      <c r="J322" s="233"/>
      <c r="K322" s="233"/>
      <c r="L322" s="233"/>
      <c r="M322" s="233"/>
      <c r="N322" s="207"/>
      <c r="O322" s="207"/>
      <c r="P322" s="207"/>
      <c r="Q322" s="207"/>
      <c r="R322" s="233"/>
      <c r="S322" s="233"/>
      <c r="T322" s="233"/>
      <c r="U322" s="233"/>
      <c r="V322" s="233"/>
      <c r="W322" s="233"/>
      <c r="X322" s="206"/>
      <c r="Y322" s="206"/>
    </row>
    <row r="323" spans="1:25">
      <c r="A323" s="199"/>
      <c r="B323" s="301"/>
      <c r="C323" s="228"/>
      <c r="D323" s="215"/>
      <c r="E323" s="215"/>
      <c r="F323" s="215"/>
      <c r="G323" s="215"/>
      <c r="H323" s="215"/>
      <c r="I323" s="215"/>
      <c r="J323" s="215"/>
      <c r="K323" s="215"/>
      <c r="L323" s="215"/>
      <c r="M323" s="215"/>
      <c r="N323" s="275"/>
      <c r="O323" s="275"/>
      <c r="P323" s="215"/>
      <c r="Q323" s="215"/>
      <c r="R323" s="215"/>
      <c r="S323" s="215"/>
      <c r="T323" s="215"/>
      <c r="U323" s="215"/>
      <c r="V323" s="275"/>
      <c r="W323" s="277"/>
      <c r="X323" s="246"/>
      <c r="Y323" s="246"/>
    </row>
    <row r="324" spans="1:25">
      <c r="A324" s="199"/>
      <c r="B324" s="301"/>
      <c r="C324" s="228"/>
      <c r="D324" s="215"/>
      <c r="E324" s="215"/>
      <c r="F324" s="215"/>
      <c r="G324" s="215"/>
      <c r="H324" s="215"/>
      <c r="I324" s="215"/>
      <c r="J324" s="215"/>
      <c r="K324" s="215"/>
      <c r="L324" s="215"/>
      <c r="M324" s="215"/>
      <c r="N324" s="258"/>
      <c r="O324" s="275"/>
      <c r="P324" s="275"/>
      <c r="Q324" s="275"/>
      <c r="R324" s="275"/>
      <c r="S324" s="275"/>
      <c r="T324" s="275"/>
      <c r="U324" s="215"/>
      <c r="V324" s="215"/>
      <c r="W324" s="277"/>
      <c r="X324" s="289"/>
      <c r="Y324" s="246"/>
    </row>
    <row r="325" spans="1:25">
      <c r="A325" s="199"/>
      <c r="B325" s="301"/>
      <c r="C325" s="228"/>
      <c r="D325" s="215"/>
      <c r="E325" s="215"/>
      <c r="F325" s="215"/>
      <c r="G325" s="215"/>
      <c r="H325" s="215"/>
      <c r="I325" s="215"/>
      <c r="J325" s="215"/>
      <c r="K325" s="215"/>
      <c r="L325" s="215"/>
      <c r="M325" s="215"/>
      <c r="N325" s="258"/>
      <c r="O325" s="275"/>
      <c r="P325" s="275"/>
      <c r="Q325" s="275"/>
      <c r="R325" s="275"/>
      <c r="S325" s="275"/>
      <c r="T325" s="275"/>
      <c r="U325" s="215"/>
      <c r="V325" s="215"/>
      <c r="W325" s="277"/>
      <c r="X325" s="289"/>
      <c r="Y325" s="246"/>
    </row>
    <row r="326" spans="1:25">
      <c r="A326" s="199"/>
      <c r="B326" s="301"/>
      <c r="C326" s="228"/>
      <c r="D326" s="215"/>
      <c r="E326" s="215"/>
      <c r="F326" s="215"/>
      <c r="G326" s="215"/>
      <c r="H326" s="215"/>
      <c r="I326" s="215"/>
      <c r="J326" s="215"/>
      <c r="K326" s="215"/>
      <c r="L326" s="215"/>
      <c r="M326" s="215"/>
      <c r="N326" s="258"/>
      <c r="O326" s="275"/>
      <c r="P326" s="275"/>
      <c r="Q326" s="275"/>
      <c r="R326" s="275"/>
      <c r="S326" s="275"/>
      <c r="T326" s="275"/>
      <c r="U326" s="215"/>
      <c r="V326" s="215"/>
      <c r="W326" s="277"/>
      <c r="X326" s="289"/>
      <c r="Y326" s="246"/>
    </row>
    <row r="327" spans="1:25">
      <c r="A327" s="199"/>
      <c r="B327" s="227"/>
      <c r="C327" s="228"/>
      <c r="D327" s="258"/>
      <c r="E327" s="215"/>
      <c r="F327" s="215"/>
      <c r="G327" s="275"/>
      <c r="H327" s="275"/>
      <c r="I327" s="275"/>
      <c r="J327" s="275"/>
      <c r="K327" s="275"/>
      <c r="L327" s="275"/>
      <c r="M327" s="215"/>
      <c r="N327" s="258"/>
      <c r="O327" s="275"/>
      <c r="P327" s="275"/>
      <c r="Q327" s="275"/>
      <c r="R327" s="275"/>
      <c r="S327" s="275"/>
      <c r="T327" s="275"/>
      <c r="U327" s="215"/>
      <c r="V327" s="215"/>
      <c r="W327" s="277"/>
      <c r="X327" s="289"/>
      <c r="Y327" s="246"/>
    </row>
    <row r="328" spans="1:25">
      <c r="A328" s="199"/>
      <c r="B328" s="304"/>
      <c r="C328" s="228"/>
      <c r="D328" s="215"/>
      <c r="E328" s="215"/>
      <c r="F328" s="215"/>
      <c r="G328" s="215"/>
      <c r="H328" s="215"/>
      <c r="I328" s="215"/>
      <c r="J328" s="215"/>
      <c r="K328" s="215"/>
      <c r="L328" s="215"/>
      <c r="M328" s="215"/>
      <c r="N328" s="258"/>
      <c r="O328" s="275"/>
      <c r="P328" s="275"/>
      <c r="Q328" s="275"/>
      <c r="R328" s="275"/>
      <c r="S328" s="275"/>
      <c r="T328" s="275"/>
      <c r="U328" s="215"/>
      <c r="V328" s="215"/>
      <c r="W328" s="277"/>
      <c r="X328" s="289"/>
      <c r="Y328" s="246"/>
    </row>
    <row r="329" spans="1:25">
      <c r="A329" s="199"/>
      <c r="B329" s="304"/>
      <c r="C329" s="228"/>
      <c r="D329" s="215"/>
      <c r="E329" s="215"/>
      <c r="F329" s="215"/>
      <c r="G329" s="215"/>
      <c r="H329" s="215"/>
      <c r="I329" s="215"/>
      <c r="J329" s="215"/>
      <c r="K329" s="215"/>
      <c r="L329" s="215"/>
      <c r="M329" s="215"/>
      <c r="N329" s="215"/>
      <c r="O329" s="275"/>
      <c r="P329" s="275"/>
      <c r="Q329" s="275"/>
      <c r="R329" s="275"/>
      <c r="S329" s="275"/>
      <c r="T329" s="275"/>
      <c r="U329" s="215"/>
      <c r="V329" s="215"/>
      <c r="W329" s="277"/>
      <c r="X329" s="289"/>
      <c r="Y329" s="246"/>
    </row>
    <row r="330" spans="1:25">
      <c r="A330" s="199"/>
      <c r="B330" s="304"/>
      <c r="C330" s="228"/>
      <c r="D330" s="215"/>
      <c r="E330" s="215"/>
      <c r="F330" s="215"/>
      <c r="G330" s="215"/>
      <c r="H330" s="215"/>
      <c r="I330" s="215"/>
      <c r="J330" s="215"/>
      <c r="K330" s="215"/>
      <c r="L330" s="215"/>
      <c r="M330" s="215"/>
      <c r="N330" s="215"/>
      <c r="O330" s="275"/>
      <c r="P330" s="275"/>
      <c r="Q330" s="275"/>
      <c r="R330" s="275"/>
      <c r="S330" s="275"/>
      <c r="T330" s="275"/>
      <c r="U330" s="215"/>
      <c r="V330" s="215"/>
      <c r="W330" s="277"/>
      <c r="X330" s="289"/>
      <c r="Y330" s="246"/>
    </row>
    <row r="331" spans="1:25">
      <c r="A331" s="199"/>
      <c r="B331" s="304"/>
      <c r="C331" s="228"/>
      <c r="D331" s="215"/>
      <c r="E331" s="215"/>
      <c r="F331" s="215"/>
      <c r="G331" s="215"/>
      <c r="H331" s="215"/>
      <c r="I331" s="215"/>
      <c r="J331" s="215"/>
      <c r="K331" s="215"/>
      <c r="L331" s="215"/>
      <c r="M331" s="215"/>
      <c r="N331" s="215"/>
      <c r="O331" s="275"/>
      <c r="P331" s="275"/>
      <c r="Q331" s="275"/>
      <c r="R331" s="275"/>
      <c r="S331" s="275"/>
      <c r="T331" s="275"/>
      <c r="U331" s="215"/>
      <c r="V331" s="215"/>
      <c r="W331" s="277"/>
      <c r="X331" s="289"/>
      <c r="Y331" s="246"/>
    </row>
    <row r="332" spans="1:25">
      <c r="A332" s="199"/>
      <c r="B332" s="227"/>
      <c r="C332" s="228"/>
      <c r="D332" s="258"/>
      <c r="E332" s="215"/>
      <c r="F332" s="215"/>
      <c r="G332" s="275"/>
      <c r="H332" s="275"/>
      <c r="I332" s="275"/>
      <c r="J332" s="275"/>
      <c r="K332" s="275"/>
      <c r="L332" s="275"/>
      <c r="M332" s="215"/>
      <c r="N332" s="215"/>
      <c r="O332" s="275"/>
      <c r="P332" s="275"/>
      <c r="Q332" s="275"/>
      <c r="R332" s="275"/>
      <c r="S332" s="275"/>
      <c r="T332" s="275"/>
      <c r="U332" s="215"/>
      <c r="V332" s="215"/>
      <c r="W332" s="277"/>
      <c r="X332" s="289"/>
      <c r="Y332" s="246"/>
    </row>
    <row r="333" spans="1:25">
      <c r="A333" s="199"/>
      <c r="B333" s="305"/>
      <c r="C333" s="228"/>
      <c r="D333" s="215"/>
      <c r="E333" s="215"/>
      <c r="F333" s="215"/>
      <c r="G333" s="215"/>
      <c r="H333" s="215"/>
      <c r="I333" s="215"/>
      <c r="J333" s="215"/>
      <c r="K333" s="215"/>
      <c r="L333" s="215"/>
      <c r="M333" s="215"/>
      <c r="N333" s="215"/>
      <c r="O333" s="275"/>
      <c r="P333" s="275"/>
      <c r="Q333" s="275"/>
      <c r="R333" s="275"/>
      <c r="S333" s="275"/>
      <c r="T333" s="275"/>
      <c r="U333" s="215"/>
      <c r="V333" s="215"/>
      <c r="W333" s="277"/>
      <c r="X333" s="289"/>
      <c r="Y333" s="246"/>
    </row>
    <row r="334" spans="1:25">
      <c r="A334" s="199"/>
      <c r="B334" s="305"/>
      <c r="C334" s="228"/>
      <c r="D334" s="215"/>
      <c r="E334" s="215"/>
      <c r="F334" s="215"/>
      <c r="G334" s="215"/>
      <c r="H334" s="215"/>
      <c r="I334" s="215"/>
      <c r="J334" s="215"/>
      <c r="K334" s="215"/>
      <c r="L334" s="215"/>
      <c r="M334" s="215"/>
      <c r="N334" s="228"/>
      <c r="O334" s="228"/>
      <c r="P334" s="228"/>
      <c r="Q334" s="228"/>
      <c r="R334" s="228"/>
      <c r="S334" s="228"/>
      <c r="T334" s="228"/>
      <c r="U334" s="228"/>
      <c r="V334" s="228"/>
      <c r="W334" s="228"/>
      <c r="X334" s="228"/>
      <c r="Y334" s="228"/>
    </row>
    <row r="335" spans="1:25">
      <c r="A335" s="199"/>
      <c r="B335" s="305"/>
      <c r="C335" s="228"/>
      <c r="D335" s="215"/>
      <c r="E335" s="215"/>
      <c r="F335" s="215"/>
      <c r="G335" s="215"/>
      <c r="H335" s="215"/>
      <c r="I335" s="215"/>
      <c r="J335" s="215"/>
      <c r="K335" s="215"/>
      <c r="L335" s="215"/>
      <c r="M335" s="215"/>
      <c r="N335" s="228"/>
      <c r="O335" s="228"/>
      <c r="P335" s="228"/>
      <c r="Q335" s="228"/>
      <c r="R335" s="228"/>
      <c r="S335" s="228"/>
      <c r="T335" s="228"/>
      <c r="U335" s="228"/>
      <c r="V335" s="228"/>
      <c r="W335" s="228"/>
      <c r="X335" s="228"/>
      <c r="Y335" s="228"/>
    </row>
    <row r="336" spans="1:25">
      <c r="A336" s="199"/>
      <c r="B336" s="305"/>
      <c r="C336" s="228"/>
      <c r="D336" s="215"/>
      <c r="E336" s="215"/>
      <c r="F336" s="215"/>
      <c r="G336" s="215"/>
      <c r="H336" s="215"/>
      <c r="I336" s="215"/>
      <c r="J336" s="215"/>
      <c r="K336" s="215"/>
      <c r="L336" s="215"/>
      <c r="M336" s="215"/>
      <c r="N336" s="228"/>
      <c r="O336" s="228"/>
      <c r="P336" s="228"/>
      <c r="Q336" s="228"/>
      <c r="R336" s="228"/>
      <c r="S336" s="228"/>
      <c r="T336" s="228"/>
      <c r="U336" s="228"/>
      <c r="V336" s="228"/>
      <c r="W336" s="228"/>
      <c r="X336" s="228"/>
      <c r="Y336" s="228"/>
    </row>
    <row r="337" spans="1:25">
      <c r="A337" s="199"/>
      <c r="B337" s="227"/>
      <c r="C337" s="228"/>
      <c r="D337" s="199"/>
      <c r="E337" s="199"/>
      <c r="F337" s="228"/>
      <c r="G337" s="228"/>
      <c r="H337" s="228"/>
      <c r="I337" s="228"/>
      <c r="J337" s="228"/>
      <c r="K337" s="228"/>
      <c r="L337" s="228"/>
      <c r="M337" s="228"/>
      <c r="N337" s="228"/>
      <c r="O337" s="228"/>
      <c r="P337" s="228"/>
      <c r="Q337" s="228"/>
      <c r="R337" s="228"/>
      <c r="S337" s="228"/>
      <c r="T337" s="228"/>
      <c r="U337" s="228"/>
      <c r="V337" s="228"/>
      <c r="W337" s="228"/>
      <c r="X337" s="228"/>
      <c r="Y337" s="228"/>
    </row>
    <row r="338" spans="1:25">
      <c r="A338" s="199"/>
      <c r="B338" s="305"/>
      <c r="C338" s="228"/>
      <c r="D338" s="215"/>
      <c r="E338" s="215"/>
      <c r="F338" s="215"/>
      <c r="G338" s="215"/>
      <c r="H338" s="215"/>
      <c r="I338" s="215"/>
      <c r="J338" s="215"/>
      <c r="K338" s="215"/>
      <c r="L338" s="215"/>
      <c r="M338" s="215"/>
      <c r="N338" s="228"/>
      <c r="O338" s="228"/>
      <c r="P338" s="228"/>
      <c r="Q338" s="228"/>
      <c r="R338" s="228"/>
      <c r="S338" s="228"/>
      <c r="T338" s="228"/>
      <c r="U338" s="228"/>
      <c r="V338" s="228"/>
      <c r="W338" s="228"/>
      <c r="X338" s="228"/>
      <c r="Y338" s="228"/>
    </row>
    <row r="339" spans="1:25">
      <c r="A339" s="199"/>
      <c r="B339" s="305"/>
      <c r="C339" s="228"/>
      <c r="D339" s="215"/>
      <c r="E339" s="215"/>
      <c r="F339" s="215"/>
      <c r="G339" s="215"/>
      <c r="H339" s="215"/>
      <c r="I339" s="215"/>
      <c r="J339" s="215"/>
      <c r="K339" s="215"/>
      <c r="L339" s="215"/>
      <c r="M339" s="215"/>
      <c r="N339" s="228"/>
      <c r="O339" s="228"/>
      <c r="P339" s="228"/>
      <c r="Q339" s="228"/>
      <c r="R339" s="228"/>
      <c r="S339" s="228"/>
      <c r="T339" s="228"/>
      <c r="U339" s="228"/>
      <c r="V339" s="228"/>
      <c r="W339" s="228"/>
      <c r="X339" s="228"/>
      <c r="Y339" s="228"/>
    </row>
    <row r="340" spans="1:25">
      <c r="A340" s="199"/>
      <c r="B340" s="305"/>
      <c r="C340" s="228"/>
      <c r="D340" s="215"/>
      <c r="E340" s="215"/>
      <c r="F340" s="215"/>
      <c r="G340" s="215"/>
      <c r="H340" s="215"/>
      <c r="I340" s="215"/>
      <c r="J340" s="215"/>
      <c r="K340" s="215"/>
      <c r="L340" s="215"/>
      <c r="M340" s="215"/>
      <c r="N340" s="228"/>
      <c r="O340" s="228"/>
      <c r="P340" s="228"/>
      <c r="Q340" s="228"/>
      <c r="R340" s="228"/>
      <c r="S340" s="228"/>
      <c r="T340" s="228"/>
      <c r="U340" s="228"/>
      <c r="V340" s="228"/>
      <c r="W340" s="228"/>
      <c r="X340" s="228"/>
      <c r="Y340" s="228"/>
    </row>
    <row r="341" spans="1:25">
      <c r="A341" s="199"/>
      <c r="B341" s="305"/>
      <c r="C341" s="228"/>
      <c r="D341" s="215"/>
      <c r="E341" s="215"/>
      <c r="F341" s="215"/>
      <c r="G341" s="215"/>
      <c r="H341" s="215"/>
      <c r="I341" s="215"/>
      <c r="J341" s="215"/>
      <c r="K341" s="215"/>
      <c r="L341" s="215"/>
      <c r="M341" s="215"/>
      <c r="N341" s="228"/>
      <c r="O341" s="228"/>
      <c r="P341" s="228"/>
      <c r="Q341" s="228"/>
      <c r="R341" s="228"/>
      <c r="S341" s="228"/>
      <c r="T341" s="228"/>
      <c r="U341" s="228"/>
      <c r="V341" s="228"/>
      <c r="W341" s="228"/>
      <c r="X341" s="228"/>
      <c r="Y341" s="228"/>
    </row>
    <row r="342" spans="1:25">
      <c r="A342" s="199"/>
      <c r="B342" s="227"/>
      <c r="C342" s="228"/>
      <c r="D342" s="199"/>
      <c r="E342" s="199"/>
      <c r="F342" s="228"/>
      <c r="G342" s="228"/>
      <c r="H342" s="228"/>
      <c r="I342" s="228"/>
      <c r="J342" s="228"/>
      <c r="K342" s="228"/>
      <c r="L342" s="228"/>
      <c r="M342" s="228"/>
      <c r="N342" s="228"/>
      <c r="O342" s="228"/>
      <c r="P342" s="228"/>
      <c r="Q342" s="228"/>
      <c r="R342" s="228"/>
      <c r="S342" s="228"/>
      <c r="T342" s="228"/>
      <c r="U342" s="228"/>
      <c r="V342" s="228"/>
      <c r="W342" s="228"/>
      <c r="X342" s="228"/>
      <c r="Y342" s="228"/>
    </row>
    <row r="343" spans="1:25">
      <c r="A343" s="199"/>
      <c r="B343" s="305"/>
      <c r="C343" s="228"/>
      <c r="D343" s="215"/>
      <c r="E343" s="215"/>
      <c r="F343" s="215"/>
      <c r="G343" s="215"/>
      <c r="H343" s="215"/>
      <c r="I343" s="215"/>
      <c r="J343" s="215"/>
      <c r="K343" s="215"/>
      <c r="L343" s="215"/>
      <c r="M343" s="215"/>
      <c r="N343" s="228"/>
      <c r="O343" s="228"/>
      <c r="P343" s="228"/>
      <c r="Q343" s="228"/>
      <c r="R343" s="228"/>
      <c r="S343" s="228"/>
      <c r="T343" s="228"/>
      <c r="U343" s="228"/>
      <c r="V343" s="228"/>
      <c r="W343" s="228"/>
      <c r="X343" s="228"/>
      <c r="Y343" s="228"/>
    </row>
    <row r="344" spans="1:25">
      <c r="A344" s="199"/>
      <c r="B344" s="305"/>
      <c r="C344" s="228"/>
      <c r="D344" s="215"/>
      <c r="E344" s="215"/>
      <c r="F344" s="215"/>
      <c r="G344" s="215"/>
      <c r="H344" s="215"/>
      <c r="I344" s="215"/>
      <c r="J344" s="215"/>
      <c r="K344" s="215"/>
      <c r="L344" s="215"/>
      <c r="M344" s="215"/>
      <c r="N344" s="228"/>
      <c r="O344" s="228"/>
      <c r="P344" s="228"/>
      <c r="Q344" s="228"/>
      <c r="R344" s="228"/>
      <c r="S344" s="228"/>
      <c r="T344" s="228"/>
      <c r="U344" s="228"/>
      <c r="V344" s="228"/>
      <c r="W344" s="228"/>
      <c r="X344" s="228"/>
      <c r="Y344" s="228"/>
    </row>
    <row r="345" spans="1:25">
      <c r="A345" s="199"/>
      <c r="B345" s="305"/>
      <c r="C345" s="228"/>
      <c r="D345" s="215"/>
      <c r="E345" s="215"/>
      <c r="F345" s="215"/>
      <c r="G345" s="215"/>
      <c r="H345" s="215"/>
      <c r="I345" s="215"/>
      <c r="J345" s="215"/>
      <c r="K345" s="215"/>
      <c r="L345" s="215"/>
      <c r="M345" s="215"/>
      <c r="N345" s="228"/>
      <c r="O345" s="228"/>
      <c r="P345" s="228"/>
      <c r="Q345" s="228"/>
      <c r="R345" s="228"/>
      <c r="S345" s="228"/>
      <c r="T345" s="228"/>
      <c r="U345" s="228"/>
      <c r="V345" s="228"/>
      <c r="W345" s="228"/>
      <c r="X345" s="228"/>
      <c r="Y345" s="228"/>
    </row>
    <row r="346" spans="1:25">
      <c r="A346" s="199"/>
      <c r="B346" s="305"/>
      <c r="C346" s="228"/>
      <c r="D346" s="215"/>
      <c r="E346" s="215"/>
      <c r="F346" s="215"/>
      <c r="G346" s="215"/>
      <c r="H346" s="215"/>
      <c r="I346" s="215"/>
      <c r="J346" s="215"/>
      <c r="K346" s="215"/>
      <c r="L346" s="215"/>
      <c r="M346" s="215"/>
      <c r="N346" s="228"/>
      <c r="O346" s="228"/>
      <c r="P346" s="228"/>
      <c r="Q346" s="228"/>
      <c r="R346" s="228"/>
      <c r="S346" s="228"/>
      <c r="T346" s="228"/>
      <c r="U346" s="228"/>
      <c r="V346" s="228"/>
      <c r="W346" s="228"/>
      <c r="X346" s="228"/>
      <c r="Y346" s="228"/>
    </row>
    <row r="347" spans="1:25">
      <c r="A347" s="199"/>
      <c r="B347" s="227"/>
      <c r="C347" s="228"/>
      <c r="D347" s="199"/>
      <c r="E347" s="199"/>
      <c r="F347" s="228"/>
      <c r="G347" s="228"/>
      <c r="H347" s="228"/>
      <c r="I347" s="228"/>
      <c r="J347" s="228"/>
      <c r="K347" s="228"/>
      <c r="L347" s="228"/>
      <c r="M347" s="228"/>
      <c r="N347" s="228"/>
      <c r="O347" s="228"/>
      <c r="P347" s="228"/>
      <c r="Q347" s="228"/>
      <c r="R347" s="228"/>
      <c r="S347" s="228"/>
      <c r="T347" s="228"/>
      <c r="U347" s="228"/>
      <c r="V347" s="228"/>
      <c r="W347" s="228"/>
      <c r="X347" s="228"/>
      <c r="Y347" s="228"/>
    </row>
    <row r="348" spans="1:25">
      <c r="A348" s="199"/>
      <c r="B348" s="305"/>
      <c r="C348" s="228"/>
      <c r="D348" s="215"/>
      <c r="E348" s="215"/>
      <c r="F348" s="215"/>
      <c r="G348" s="215"/>
      <c r="H348" s="215"/>
      <c r="I348" s="215"/>
      <c r="J348" s="215"/>
      <c r="K348" s="215"/>
      <c r="L348" s="215"/>
      <c r="M348" s="215"/>
      <c r="N348" s="228"/>
      <c r="O348" s="228"/>
      <c r="P348" s="228"/>
      <c r="Q348" s="228"/>
      <c r="R348" s="228"/>
      <c r="S348" s="228"/>
      <c r="T348" s="228"/>
      <c r="U348" s="228"/>
      <c r="V348" s="228"/>
      <c r="W348" s="228"/>
      <c r="X348" s="228"/>
      <c r="Y348" s="228"/>
    </row>
    <row r="349" spans="1:25">
      <c r="A349" s="199"/>
      <c r="B349" s="305"/>
      <c r="C349" s="228"/>
      <c r="D349" s="215"/>
      <c r="E349" s="215"/>
      <c r="F349" s="215"/>
      <c r="G349" s="215"/>
      <c r="H349" s="215"/>
      <c r="I349" s="215"/>
      <c r="J349" s="215"/>
      <c r="K349" s="215"/>
      <c r="L349" s="215"/>
      <c r="M349" s="215"/>
      <c r="P349" s="228"/>
      <c r="Q349" s="228"/>
      <c r="R349" s="228"/>
      <c r="S349" s="228"/>
      <c r="T349" s="228"/>
      <c r="U349" s="228"/>
      <c r="V349" s="228"/>
      <c r="W349" s="228"/>
      <c r="X349" s="228"/>
      <c r="Y349" s="228"/>
    </row>
    <row r="350" spans="1:25">
      <c r="A350" s="199"/>
      <c r="B350" s="305"/>
      <c r="C350" s="228"/>
      <c r="D350" s="215"/>
      <c r="E350" s="215"/>
      <c r="F350" s="215"/>
      <c r="G350" s="215"/>
      <c r="H350" s="215"/>
      <c r="I350" s="215"/>
      <c r="J350" s="215"/>
      <c r="K350" s="215"/>
      <c r="L350" s="215"/>
      <c r="M350" s="215"/>
      <c r="P350" s="228"/>
      <c r="Q350" s="228"/>
      <c r="R350" s="228"/>
      <c r="S350" s="228"/>
      <c r="T350" s="228"/>
      <c r="U350" s="228"/>
      <c r="V350" s="228"/>
      <c r="W350" s="228"/>
      <c r="X350" s="228"/>
      <c r="Y350" s="228"/>
    </row>
    <row r="351" spans="1:25">
      <c r="A351" s="199"/>
      <c r="B351" s="305"/>
      <c r="C351" s="228"/>
      <c r="D351" s="215"/>
      <c r="E351" s="215"/>
      <c r="F351" s="215"/>
      <c r="G351" s="215"/>
      <c r="H351" s="215"/>
      <c r="I351" s="215"/>
      <c r="J351" s="215"/>
      <c r="K351" s="215"/>
      <c r="L351" s="215"/>
      <c r="M351" s="215"/>
      <c r="P351" s="228"/>
      <c r="Q351" s="228"/>
      <c r="R351" s="228"/>
      <c r="S351" s="228"/>
      <c r="T351" s="228"/>
      <c r="U351" s="228"/>
      <c r="V351" s="228"/>
      <c r="W351" s="228"/>
      <c r="X351" s="228"/>
      <c r="Y351" s="228"/>
    </row>
    <row r="352" spans="1:25">
      <c r="A352" s="199"/>
      <c r="B352" s="227"/>
      <c r="P352" s="228"/>
      <c r="Q352" s="228"/>
      <c r="R352" s="228"/>
      <c r="S352" s="228"/>
      <c r="T352" s="228"/>
      <c r="U352" s="228"/>
      <c r="V352" s="228"/>
      <c r="W352" s="228"/>
      <c r="X352" s="228"/>
      <c r="Y352" s="228"/>
    </row>
    <row r="353" spans="1:25">
      <c r="A353" s="199"/>
      <c r="B353" s="227"/>
      <c r="C353" s="228"/>
      <c r="N353" s="228"/>
      <c r="O353" s="228"/>
      <c r="Q353" s="228"/>
      <c r="R353" s="228"/>
      <c r="S353" s="228"/>
      <c r="T353" s="228"/>
      <c r="U353" s="228"/>
      <c r="V353" s="228"/>
      <c r="W353" s="228"/>
      <c r="X353" s="228"/>
      <c r="Y353" s="228"/>
    </row>
    <row r="354" spans="1:25">
      <c r="A354" s="199"/>
      <c r="B354" s="227"/>
      <c r="C354" s="228"/>
      <c r="N354" s="228"/>
      <c r="O354" s="228"/>
      <c r="Q354" s="228"/>
      <c r="R354" s="228"/>
      <c r="S354" s="228"/>
      <c r="T354" s="228"/>
      <c r="U354" s="228"/>
      <c r="V354" s="228"/>
      <c r="W354" s="228"/>
      <c r="X354" s="228"/>
      <c r="Y354" s="228"/>
    </row>
    <row r="355" spans="1:25">
      <c r="A355" s="199"/>
      <c r="B355" s="227"/>
      <c r="C355" s="228"/>
      <c r="N355" s="228"/>
      <c r="O355" s="228"/>
      <c r="Q355" s="228"/>
      <c r="R355" s="228"/>
      <c r="S355" s="228"/>
      <c r="T355" s="228"/>
      <c r="U355" s="228"/>
      <c r="V355" s="228"/>
      <c r="W355" s="228"/>
      <c r="X355" s="228"/>
      <c r="Y355" s="228"/>
    </row>
    <row r="356" spans="1:25">
      <c r="A356" s="199"/>
      <c r="B356" s="227"/>
      <c r="C356" s="228"/>
      <c r="N356" s="228"/>
      <c r="O356" s="228"/>
      <c r="Q356" s="228"/>
      <c r="R356" s="228"/>
      <c r="S356" s="228"/>
      <c r="T356" s="228"/>
      <c r="U356" s="228"/>
      <c r="V356" s="228"/>
      <c r="W356" s="228"/>
      <c r="X356" s="228"/>
      <c r="Y356" s="228"/>
    </row>
    <row r="357" spans="1:25">
      <c r="A357" s="199"/>
      <c r="B357" s="199"/>
      <c r="C357" s="228"/>
      <c r="N357" s="287"/>
      <c r="O357" s="228"/>
      <c r="Q357" s="287"/>
      <c r="R357" s="287"/>
      <c r="S357" s="287"/>
      <c r="T357" s="287"/>
      <c r="U357" s="287"/>
      <c r="V357" s="287"/>
      <c r="W357" s="287"/>
      <c r="X357" s="287"/>
      <c r="Y357" s="287"/>
    </row>
    <row r="358" spans="1:25">
      <c r="A358" s="199"/>
      <c r="B358" s="199"/>
      <c r="C358" s="228"/>
      <c r="N358" s="287"/>
      <c r="O358" s="228"/>
      <c r="Q358" s="287"/>
      <c r="R358" s="287"/>
      <c r="S358" s="287"/>
      <c r="T358" s="287"/>
      <c r="U358" s="287"/>
      <c r="V358" s="287"/>
      <c r="W358" s="287"/>
      <c r="X358" s="287"/>
      <c r="Y358" s="287"/>
    </row>
    <row r="359" spans="1:25">
      <c r="A359" s="199"/>
      <c r="B359" s="199"/>
      <c r="N359" s="287"/>
      <c r="O359" s="228"/>
      <c r="Q359" s="287"/>
      <c r="R359" s="287"/>
      <c r="S359" s="287"/>
      <c r="T359" s="287"/>
      <c r="U359" s="287"/>
      <c r="V359" s="287"/>
      <c r="W359" s="287"/>
      <c r="X359" s="287"/>
      <c r="Y359" s="287"/>
    </row>
    <row r="360" spans="1:25">
      <c r="A360" s="199"/>
      <c r="B360" s="199"/>
      <c r="C360" s="228"/>
      <c r="N360" s="287"/>
      <c r="Q360" s="287"/>
      <c r="R360" s="287"/>
      <c r="S360" s="287"/>
      <c r="T360" s="287"/>
      <c r="U360" s="287"/>
      <c r="V360" s="287"/>
      <c r="W360" s="287"/>
      <c r="X360" s="287"/>
      <c r="Y360" s="287"/>
    </row>
    <row r="361" spans="1:25">
      <c r="A361" s="199"/>
      <c r="B361" s="199"/>
      <c r="C361" s="199"/>
      <c r="D361" s="199"/>
      <c r="E361" s="199"/>
      <c r="F361" s="199"/>
      <c r="G361" s="199"/>
      <c r="H361" s="199"/>
      <c r="I361" s="199"/>
      <c r="J361" s="199"/>
      <c r="K361" s="199"/>
      <c r="L361" s="199"/>
      <c r="M361" s="199"/>
      <c r="N361" s="199"/>
      <c r="O361" s="199"/>
      <c r="P361" s="199"/>
      <c r="Q361" s="199"/>
      <c r="R361" s="199"/>
      <c r="S361" s="199"/>
      <c r="T361" s="199"/>
      <c r="U361" s="199"/>
      <c r="V361" s="199"/>
      <c r="W361" s="199"/>
      <c r="X361" s="199"/>
      <c r="Y361" s="199"/>
    </row>
    <row r="362" spans="1:25">
      <c r="A362" s="199"/>
      <c r="B362" s="199"/>
      <c r="C362" s="199"/>
      <c r="D362" s="199"/>
      <c r="E362" s="199"/>
      <c r="F362" s="199"/>
      <c r="G362" s="199"/>
      <c r="H362" s="199"/>
      <c r="I362" s="199"/>
      <c r="J362" s="199"/>
      <c r="K362" s="199"/>
      <c r="L362" s="199"/>
      <c r="M362" s="199"/>
      <c r="N362" s="199"/>
      <c r="O362" s="199"/>
      <c r="P362" s="199"/>
      <c r="Q362" s="199"/>
      <c r="R362" s="199"/>
      <c r="S362" s="199"/>
      <c r="T362" s="199"/>
      <c r="U362" s="199"/>
      <c r="V362" s="199"/>
      <c r="W362" s="199"/>
      <c r="X362" s="199"/>
      <c r="Y362" s="199"/>
    </row>
  </sheetData>
  <mergeCells count="38">
    <mergeCell ref="G5:Q5"/>
    <mergeCell ref="B7:C7"/>
    <mergeCell ref="B8:C8"/>
    <mergeCell ref="D8:M8"/>
    <mergeCell ref="N8:U8"/>
    <mergeCell ref="B60:C60"/>
    <mergeCell ref="D60:M60"/>
    <mergeCell ref="N60:U60"/>
    <mergeCell ref="W60:X60"/>
    <mergeCell ref="Y60:Z60"/>
    <mergeCell ref="Y8:Z8"/>
    <mergeCell ref="F35:G35"/>
    <mergeCell ref="I35:J35"/>
    <mergeCell ref="G57:Q57"/>
    <mergeCell ref="B59:C59"/>
    <mergeCell ref="W8:X8"/>
    <mergeCell ref="F89:G89"/>
    <mergeCell ref="I89:J89"/>
    <mergeCell ref="G109:Q109"/>
    <mergeCell ref="B111:C111"/>
    <mergeCell ref="B112:C112"/>
    <mergeCell ref="D112:M112"/>
    <mergeCell ref="N112:U112"/>
    <mergeCell ref="W112:X112"/>
    <mergeCell ref="Y112:Z112"/>
    <mergeCell ref="F132:J132"/>
    <mergeCell ref="M132:Q132"/>
    <mergeCell ref="F182:G182"/>
    <mergeCell ref="M182:P182"/>
    <mergeCell ref="X217:Y217"/>
    <mergeCell ref="F234:G234"/>
    <mergeCell ref="M234:P234"/>
    <mergeCell ref="G214:Q214"/>
    <mergeCell ref="B216:C216"/>
    <mergeCell ref="B217:C217"/>
    <mergeCell ref="D217:M217"/>
    <mergeCell ref="N217:U217"/>
    <mergeCell ref="V217:W21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E48D6-25C1-4D8F-8097-B836FE5E6A9D}">
  <dimension ref="A1:AM108"/>
  <sheetViews>
    <sheetView workbookViewId="0"/>
  </sheetViews>
  <sheetFormatPr defaultColWidth="9.140625" defaultRowHeight="12.75"/>
  <cols>
    <col min="1" max="1" width="3.5703125" style="264" customWidth="1"/>
    <col min="2" max="2" width="6.140625" style="264" customWidth="1"/>
    <col min="3" max="3" width="11" style="264" customWidth="1"/>
    <col min="4" max="4" width="11.5703125" style="264" customWidth="1"/>
    <col min="5" max="5" width="11.42578125" style="264" customWidth="1"/>
    <col min="6" max="6" width="11.28515625" style="264" customWidth="1"/>
    <col min="7" max="8" width="10.85546875" style="264" customWidth="1"/>
    <col min="9" max="9" width="12.5703125" style="264" customWidth="1"/>
    <col min="10" max="10" width="9.42578125" style="264" customWidth="1"/>
    <col min="11" max="11" width="11.140625" style="264" bestFit="1" customWidth="1"/>
    <col min="12" max="12" width="10.7109375" style="264" customWidth="1"/>
    <col min="13" max="13" width="11.42578125" style="264" customWidth="1"/>
    <col min="14" max="14" width="11.28515625" style="264" customWidth="1"/>
    <col min="15" max="15" width="11.7109375" style="264" customWidth="1"/>
    <col min="16" max="16" width="10.42578125" style="264" customWidth="1"/>
    <col min="17" max="17" width="11.140625" style="264" customWidth="1"/>
    <col min="18" max="18" width="9.7109375" style="264" customWidth="1"/>
    <col min="19" max="19" width="11.42578125" style="264" customWidth="1"/>
    <col min="20" max="20" width="9.42578125" style="264" customWidth="1"/>
    <col min="21" max="21" width="11.42578125" style="264" customWidth="1"/>
    <col min="22" max="22" width="12.42578125" style="264" customWidth="1"/>
    <col min="23" max="23" width="12.7109375" style="264" customWidth="1"/>
    <col min="24" max="24" width="11.140625" style="264" customWidth="1"/>
    <col min="25" max="25" width="11.28515625" style="264" customWidth="1"/>
    <col min="26" max="27" width="8.5703125" style="264" customWidth="1"/>
    <col min="28" max="32" width="9.140625" style="264"/>
    <col min="33" max="34" width="9.28515625" style="264" bestFit="1" customWidth="1"/>
    <col min="35" max="35" width="9.140625" style="264"/>
    <col min="36" max="39" width="9.28515625" style="264" bestFit="1" customWidth="1"/>
    <col min="40" max="16384" width="9.140625" style="264"/>
  </cols>
  <sheetData>
    <row r="1" spans="1:36" ht="13.5" thickBot="1">
      <c r="A1" s="200"/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329"/>
      <c r="Z1" s="329"/>
      <c r="AA1" s="329"/>
      <c r="AB1" s="329"/>
    </row>
    <row r="2" spans="1:36">
      <c r="A2" s="199"/>
      <c r="B2" s="199"/>
      <c r="C2" s="199"/>
      <c r="D2" s="199"/>
      <c r="E2" s="199"/>
      <c r="F2" s="199"/>
      <c r="H2" s="199"/>
      <c r="I2" s="199"/>
      <c r="J2" s="199"/>
      <c r="K2" s="199"/>
      <c r="L2" s="199"/>
      <c r="M2" s="204"/>
      <c r="N2" s="204"/>
      <c r="O2" s="204"/>
      <c r="P2" s="199"/>
      <c r="Q2" s="204"/>
      <c r="R2" s="204"/>
      <c r="S2" s="204"/>
      <c r="T2" s="204"/>
      <c r="U2" s="204"/>
      <c r="V2" s="204"/>
      <c r="W2" s="203"/>
      <c r="X2" s="203"/>
      <c r="Y2" s="199"/>
      <c r="Z2" s="244"/>
      <c r="AA2" s="203"/>
    </row>
    <row r="3" spans="1:36">
      <c r="A3" s="199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202"/>
      <c r="N3" s="204"/>
      <c r="O3" s="204"/>
      <c r="P3" s="199"/>
      <c r="Q3" s="199"/>
      <c r="R3" s="199"/>
      <c r="S3" s="199"/>
      <c r="T3" s="199"/>
      <c r="U3" s="199"/>
      <c r="V3" s="202"/>
      <c r="W3" s="202"/>
      <c r="X3" s="202"/>
      <c r="Y3" s="204"/>
      <c r="Z3" s="199"/>
      <c r="AA3" s="202"/>
    </row>
    <row r="4" spans="1:36">
      <c r="A4" s="199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202"/>
      <c r="N4" s="204"/>
      <c r="O4" s="204"/>
      <c r="P4" s="202"/>
      <c r="Q4" s="199"/>
      <c r="R4" s="199"/>
      <c r="S4" s="199"/>
      <c r="T4" s="199"/>
      <c r="U4" s="199"/>
      <c r="V4" s="199"/>
      <c r="Y4" s="204"/>
      <c r="Z4" s="199"/>
      <c r="AA4" s="202"/>
    </row>
    <row r="5" spans="1:36">
      <c r="A5" s="199"/>
      <c r="B5" s="199"/>
      <c r="C5" s="199"/>
      <c r="D5" s="199"/>
      <c r="E5" s="199"/>
      <c r="F5" s="199"/>
      <c r="G5" s="199"/>
      <c r="H5" s="326" t="s">
        <v>259</v>
      </c>
      <c r="I5" s="326"/>
      <c r="J5" s="326"/>
      <c r="K5" s="326"/>
      <c r="L5" s="326"/>
      <c r="M5" s="326"/>
      <c r="N5" s="326"/>
      <c r="O5" s="326"/>
      <c r="P5" s="326"/>
      <c r="Q5" s="326"/>
      <c r="R5" s="326"/>
      <c r="S5" s="199"/>
      <c r="T5" s="199"/>
      <c r="U5" s="199"/>
      <c r="V5" s="199"/>
      <c r="Y5" s="204"/>
      <c r="Z5" s="199"/>
      <c r="AA5" s="202"/>
    </row>
    <row r="6" spans="1:36" ht="13.5" thickBot="1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5"/>
      <c r="N6" s="200"/>
      <c r="O6" s="200"/>
      <c r="P6" s="200"/>
      <c r="Q6" s="200"/>
      <c r="R6" s="200"/>
      <c r="S6" s="200"/>
      <c r="T6" s="200"/>
      <c r="U6" s="200"/>
      <c r="V6" s="200"/>
      <c r="W6" s="263"/>
      <c r="X6" s="263"/>
      <c r="Y6" s="200"/>
      <c r="Z6" s="200"/>
      <c r="AA6" s="200"/>
      <c r="AB6" s="263"/>
    </row>
    <row r="7" spans="1:36">
      <c r="A7" s="199"/>
      <c r="B7" s="328" t="s">
        <v>178</v>
      </c>
      <c r="C7" s="328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</row>
    <row r="8" spans="1:36">
      <c r="A8" s="199"/>
      <c r="B8" s="325" t="s">
        <v>145</v>
      </c>
      <c r="C8" s="325"/>
      <c r="D8" s="327" t="s">
        <v>179</v>
      </c>
      <c r="E8" s="327"/>
      <c r="F8" s="327"/>
      <c r="G8" s="327"/>
      <c r="H8" s="327"/>
      <c r="I8" s="327"/>
      <c r="J8" s="327"/>
      <c r="K8" s="327"/>
      <c r="L8" s="327"/>
      <c r="M8" s="327"/>
      <c r="N8" s="327" t="s">
        <v>180</v>
      </c>
      <c r="O8" s="327"/>
      <c r="P8" s="327"/>
      <c r="Q8" s="327"/>
      <c r="R8" s="327"/>
      <c r="S8" s="327"/>
      <c r="T8" s="327"/>
      <c r="U8" s="327"/>
      <c r="V8" s="327"/>
      <c r="W8" s="327" t="s">
        <v>181</v>
      </c>
      <c r="X8" s="327"/>
      <c r="Y8" s="327" t="s">
        <v>182</v>
      </c>
      <c r="Z8" s="327"/>
    </row>
    <row r="9" spans="1:36">
      <c r="A9" s="199"/>
      <c r="B9" s="206" t="s">
        <v>46</v>
      </c>
      <c r="C9" s="206" t="s">
        <v>47</v>
      </c>
      <c r="D9" s="266" t="s">
        <v>48</v>
      </c>
      <c r="E9" s="206" t="s">
        <v>49</v>
      </c>
      <c r="F9" s="206" t="s">
        <v>50</v>
      </c>
      <c r="G9" s="207" t="s">
        <v>51</v>
      </c>
      <c r="H9" s="207" t="s">
        <v>183</v>
      </c>
      <c r="I9" s="207" t="s">
        <v>184</v>
      </c>
      <c r="J9" s="207" t="s">
        <v>185</v>
      </c>
      <c r="K9" s="267" t="s">
        <v>186</v>
      </c>
      <c r="L9" s="267" t="s">
        <v>187</v>
      </c>
      <c r="M9" s="268" t="s">
        <v>188</v>
      </c>
      <c r="N9" s="207" t="s">
        <v>189</v>
      </c>
      <c r="O9" s="207" t="s">
        <v>190</v>
      </c>
      <c r="P9" s="207" t="s">
        <v>191</v>
      </c>
      <c r="Q9" s="207" t="s">
        <v>192</v>
      </c>
      <c r="R9" s="207" t="s">
        <v>193</v>
      </c>
      <c r="S9" s="207" t="s">
        <v>194</v>
      </c>
      <c r="T9" s="207" t="s">
        <v>195</v>
      </c>
      <c r="U9" s="267" t="s">
        <v>196</v>
      </c>
      <c r="V9" s="268" t="s">
        <v>197</v>
      </c>
      <c r="W9" s="268" t="s">
        <v>198</v>
      </c>
      <c r="X9" s="207" t="s">
        <v>199</v>
      </c>
      <c r="Y9" s="207" t="s">
        <v>200</v>
      </c>
      <c r="Z9" s="207" t="s">
        <v>201</v>
      </c>
    </row>
    <row r="10" spans="1:36">
      <c r="A10" s="199" t="s">
        <v>55</v>
      </c>
      <c r="B10" s="206" t="s">
        <v>202</v>
      </c>
      <c r="C10" s="206"/>
      <c r="D10" s="288" t="s">
        <v>203</v>
      </c>
      <c r="E10" s="206" t="s">
        <v>204</v>
      </c>
      <c r="F10" s="206" t="s">
        <v>205</v>
      </c>
      <c r="G10" s="207" t="s">
        <v>206</v>
      </c>
      <c r="H10" s="206" t="s">
        <v>207</v>
      </c>
      <c r="I10" s="206" t="s">
        <v>208</v>
      </c>
      <c r="J10" s="206" t="s">
        <v>209</v>
      </c>
      <c r="K10" s="206" t="s">
        <v>210</v>
      </c>
      <c r="L10" s="206" t="s">
        <v>211</v>
      </c>
      <c r="M10" s="269" t="s">
        <v>212</v>
      </c>
      <c r="N10" s="206" t="s">
        <v>203</v>
      </c>
      <c r="O10" s="206" t="s">
        <v>204</v>
      </c>
      <c r="P10" s="207" t="s">
        <v>205</v>
      </c>
      <c r="Q10" s="207" t="s">
        <v>206</v>
      </c>
      <c r="R10" s="206" t="s">
        <v>207</v>
      </c>
      <c r="S10" s="206" t="s">
        <v>208</v>
      </c>
      <c r="T10" s="206" t="s">
        <v>209</v>
      </c>
      <c r="U10" s="206" t="s">
        <v>211</v>
      </c>
      <c r="V10" s="269" t="s">
        <v>212</v>
      </c>
      <c r="W10" s="207" t="s">
        <v>213</v>
      </c>
      <c r="X10" s="269" t="s">
        <v>214</v>
      </c>
      <c r="Y10" s="206" t="s">
        <v>215</v>
      </c>
      <c r="Z10" s="206" t="s">
        <v>216</v>
      </c>
    </row>
    <row r="11" spans="1:36" ht="13.5" thickBot="1">
      <c r="A11" s="200" t="s">
        <v>60</v>
      </c>
      <c r="B11" s="270" t="s">
        <v>217</v>
      </c>
      <c r="C11" s="271" t="s">
        <v>218</v>
      </c>
      <c r="D11" s="272" t="s">
        <v>219</v>
      </c>
      <c r="E11" s="271" t="s">
        <v>220</v>
      </c>
      <c r="F11" s="271" t="s">
        <v>220</v>
      </c>
      <c r="G11" s="208" t="s">
        <v>220</v>
      </c>
      <c r="H11" s="271" t="s">
        <v>220</v>
      </c>
      <c r="I11" s="271" t="s">
        <v>221</v>
      </c>
      <c r="J11" s="271" t="s">
        <v>220</v>
      </c>
      <c r="K11" s="271" t="s">
        <v>222</v>
      </c>
      <c r="L11" s="271" t="s">
        <v>220</v>
      </c>
      <c r="M11" s="273"/>
      <c r="N11" s="208" t="s">
        <v>219</v>
      </c>
      <c r="O11" s="208" t="s">
        <v>220</v>
      </c>
      <c r="P11" s="208" t="s">
        <v>220</v>
      </c>
      <c r="Q11" s="208" t="s">
        <v>220</v>
      </c>
      <c r="R11" s="271" t="s">
        <v>220</v>
      </c>
      <c r="S11" s="271" t="s">
        <v>221</v>
      </c>
      <c r="T11" s="271" t="s">
        <v>220</v>
      </c>
      <c r="U11" s="271" t="s">
        <v>220</v>
      </c>
      <c r="V11" s="273"/>
      <c r="W11" s="271" t="s">
        <v>223</v>
      </c>
      <c r="X11" s="273" t="s">
        <v>224</v>
      </c>
      <c r="Y11" s="205" t="s">
        <v>225</v>
      </c>
      <c r="Z11" s="205" t="s">
        <v>226</v>
      </c>
      <c r="AA11" s="233"/>
    </row>
    <row r="12" spans="1:36">
      <c r="A12" s="199">
        <v>1</v>
      </c>
      <c r="B12" s="301">
        <v>1000</v>
      </c>
      <c r="C12" s="228">
        <f>+B12*730*0.35</f>
        <v>255499.99999999997</v>
      </c>
      <c r="D12" s="276">
        <f>+$G$26+$B12*$G$27+($C12*$G$30)/100</f>
        <v>16358.565000000001</v>
      </c>
      <c r="E12" s="275">
        <f>+$C12*$G$34/100</f>
        <v>9721.7749999999996</v>
      </c>
      <c r="F12" s="275">
        <f>+$B12*$G$37</f>
        <v>670</v>
      </c>
      <c r="G12" s="275">
        <f>+$B12*$G$38</f>
        <v>170</v>
      </c>
      <c r="H12" s="275">
        <f>+$C12*$G$40/100</f>
        <v>181.405</v>
      </c>
      <c r="I12" s="275">
        <f>+$B12*$G$39</f>
        <v>860</v>
      </c>
      <c r="J12" s="275">
        <f>+$B12*$G$41</f>
        <v>600</v>
      </c>
      <c r="K12" s="275">
        <f>+$C12*$G$42/100</f>
        <v>0</v>
      </c>
      <c r="L12" s="275">
        <f>+SUM(D12:K12)*0.025641</f>
        <v>732.35170354499996</v>
      </c>
      <c r="M12" s="275">
        <f>SUM(D12:L12)</f>
        <v>29294.096703544998</v>
      </c>
      <c r="N12" s="276">
        <f>+$L$26+$B12*$L$27+($C12*$L$30)/100</f>
        <v>16348.565000000001</v>
      </c>
      <c r="O12" s="275">
        <f>+$C12*$L$34/100</f>
        <v>9721.7749999999996</v>
      </c>
      <c r="P12" s="275">
        <f>+$B12*$L$37</f>
        <v>670</v>
      </c>
      <c r="Q12" s="275">
        <f>+$B12*$L$38</f>
        <v>170</v>
      </c>
      <c r="R12" s="275">
        <f>+$C12*$L$40/100</f>
        <v>181.405</v>
      </c>
      <c r="S12" s="275">
        <f>+$B12*$L$39</f>
        <v>860</v>
      </c>
      <c r="T12" s="275">
        <f>+$B12*$L$41</f>
        <v>600</v>
      </c>
      <c r="U12" s="275">
        <f>+SUM(N12:T12)*0.025641</f>
        <v>732.095293545</v>
      </c>
      <c r="V12" s="275">
        <f>SUM(N12:U12)</f>
        <v>29283.840293544999</v>
      </c>
      <c r="W12" s="274">
        <f>V12-M12</f>
        <v>-10.256409999998141</v>
      </c>
      <c r="X12" s="277">
        <f>+W12/M12</f>
        <v>-3.5011866396812198E-4</v>
      </c>
      <c r="Y12" s="290">
        <f>+M12/C12 *100</f>
        <v>11.465399883970646</v>
      </c>
      <c r="Z12" s="308">
        <f>+V12/C12*100</f>
        <v>11.461385633481411</v>
      </c>
      <c r="AA12" s="258"/>
      <c r="AB12" s="309"/>
    </row>
    <row r="13" spans="1:36">
      <c r="A13" s="199">
        <v>2</v>
      </c>
      <c r="B13" s="301">
        <v>1000</v>
      </c>
      <c r="C13" s="228">
        <f>+B13*730*0.6</f>
        <v>438000</v>
      </c>
      <c r="D13" s="274">
        <f>+$G$26+$B13*$G$27+($C13*$G$30)/100</f>
        <v>18298.54</v>
      </c>
      <c r="E13" s="275">
        <f>+$C13*$G$34/100</f>
        <v>16665.900000000001</v>
      </c>
      <c r="F13" s="275">
        <f>+$B13*$G$37</f>
        <v>670</v>
      </c>
      <c r="G13" s="275">
        <f>+$B13*$G$38</f>
        <v>170</v>
      </c>
      <c r="H13" s="275">
        <f>+$C13*$G$40/100</f>
        <v>310.98</v>
      </c>
      <c r="I13" s="275">
        <f>+$B13*$G$39</f>
        <v>860</v>
      </c>
      <c r="J13" s="275">
        <f>+$B13*$G$41</f>
        <v>600</v>
      </c>
      <c r="K13" s="275">
        <f>+$C13*$G$42/100</f>
        <v>0</v>
      </c>
      <c r="L13" s="275">
        <f t="shared" ref="L13:L22" si="0">+SUM(D13:K13)*0.025641</f>
        <v>963.47134422000022</v>
      </c>
      <c r="M13" s="275">
        <f>SUM(D13:L13)</f>
        <v>38538.891344220006</v>
      </c>
      <c r="N13" s="274">
        <f>+$L$26+$B13*$L$27+($C13*$L$30)/100</f>
        <v>18288.54</v>
      </c>
      <c r="O13" s="275">
        <f>+$C13*$L$34/100</f>
        <v>16665.900000000001</v>
      </c>
      <c r="P13" s="275">
        <f>+$B13*$L$37</f>
        <v>670</v>
      </c>
      <c r="Q13" s="275">
        <f>+$B13*$L$38</f>
        <v>170</v>
      </c>
      <c r="R13" s="275">
        <f>+$C13*$L$40/100</f>
        <v>310.98</v>
      </c>
      <c r="S13" s="275">
        <f>+$B13*$L$39</f>
        <v>860</v>
      </c>
      <c r="T13" s="275">
        <f>+$B13*$L$41</f>
        <v>600</v>
      </c>
      <c r="U13" s="275">
        <f>+SUM(N13:T13)*0.025641</f>
        <v>963.21493422000015</v>
      </c>
      <c r="V13" s="275">
        <f>SUM(N13:U13)</f>
        <v>38528.634934220005</v>
      </c>
      <c r="W13" s="274">
        <f>+V13-M13</f>
        <v>-10.256410000001779</v>
      </c>
      <c r="X13" s="277">
        <f>+W13/M13</f>
        <v>-2.6613142314847667E-4</v>
      </c>
      <c r="Y13" s="291">
        <f>+M13/C13 *100</f>
        <v>8.7988336402328784</v>
      </c>
      <c r="Z13" s="308">
        <f>+V13/C13*100</f>
        <v>8.7964919941141577</v>
      </c>
      <c r="AA13" s="258"/>
      <c r="AB13" s="310"/>
    </row>
    <row r="14" spans="1:36">
      <c r="A14" s="199">
        <v>3</v>
      </c>
      <c r="B14" s="301">
        <v>1000</v>
      </c>
      <c r="C14" s="228">
        <f>+B14*730*0.9</f>
        <v>657000</v>
      </c>
      <c r="D14" s="274">
        <f>+$H$26+($B14*$H$28+$B14*$H29)+$C14/100*$H$31*0.25+$C14/100*H32*0.4+$C14/100*H33*0.35</f>
        <v>20731.301500000001</v>
      </c>
      <c r="E14" s="275">
        <f>+$C14*$H$35/100*0.25+C14*$H$36/100*0.75</f>
        <v>24903.584999999999</v>
      </c>
      <c r="F14" s="275">
        <f>+$B14*$G$37</f>
        <v>670</v>
      </c>
      <c r="G14" s="275">
        <f>+$B14*$H$38</f>
        <v>170</v>
      </c>
      <c r="H14" s="275">
        <f>+$C14*$H$40/100</f>
        <v>466.47000000000008</v>
      </c>
      <c r="I14" s="275">
        <f>+$B14*$H$39</f>
        <v>860</v>
      </c>
      <c r="J14" s="275">
        <f>+$B14*$H$41</f>
        <v>600</v>
      </c>
      <c r="K14" s="275">
        <f>+$C14*$G$42/100</f>
        <v>0</v>
      </c>
      <c r="L14" s="275">
        <f t="shared" si="0"/>
        <v>1241.0591820165</v>
      </c>
      <c r="M14" s="275">
        <f>SUM(D14:L14)</f>
        <v>49642.415682016501</v>
      </c>
      <c r="N14" s="274">
        <f>+$M$26+($B14*$M$28+$B14*$M29)+$C14/100*$M$31*0.25+$C14/100*M32*0.4+$C14/100*M33*0.35</f>
        <v>20711.301500000001</v>
      </c>
      <c r="O14" s="275">
        <f>+$C14*$M$35/100*0.25+C14*$M$36/100*0.75</f>
        <v>24903.584999999999</v>
      </c>
      <c r="P14" s="275">
        <f>+$B14*$L$37</f>
        <v>670</v>
      </c>
      <c r="Q14" s="275">
        <f>+$B14*$M$38</f>
        <v>170</v>
      </c>
      <c r="R14" s="275">
        <f>+$C14*$M$40/100</f>
        <v>466.47000000000008</v>
      </c>
      <c r="S14" s="275">
        <f>+$B14*$M$39</f>
        <v>860</v>
      </c>
      <c r="T14" s="275">
        <f>+$B14*$M$41</f>
        <v>600</v>
      </c>
      <c r="U14" s="275">
        <f>+SUM(N14:T14)*0.025641</f>
        <v>1240.5463620165001</v>
      </c>
      <c r="V14" s="275">
        <f>SUM(N14:U14)</f>
        <v>49621.902862016505</v>
      </c>
      <c r="W14" s="274">
        <f>+V14-M14</f>
        <v>-20.512819999996282</v>
      </c>
      <c r="X14" s="277">
        <f>+W14/M14</f>
        <v>-4.1321155947347002E-4</v>
      </c>
      <c r="Y14" s="291">
        <f>+M14/C14 *100</f>
        <v>7.5559232392719178</v>
      </c>
      <c r="Z14" s="308">
        <f>+V14/C14*100</f>
        <v>7.5528010444469569</v>
      </c>
      <c r="AA14" s="258"/>
      <c r="AB14" s="310"/>
      <c r="AE14" s="199"/>
      <c r="AG14" s="277"/>
      <c r="AH14" s="254"/>
      <c r="AJ14" s="310"/>
    </row>
    <row r="15" spans="1:36">
      <c r="A15" s="199">
        <v>4</v>
      </c>
      <c r="D15" s="311"/>
      <c r="E15" s="312"/>
      <c r="F15" s="275"/>
      <c r="G15" s="312"/>
      <c r="H15" s="312"/>
      <c r="I15" s="312"/>
      <c r="J15" s="275"/>
      <c r="K15" s="275"/>
      <c r="L15" s="275"/>
      <c r="M15" s="312"/>
      <c r="N15" s="311"/>
      <c r="O15" s="312"/>
      <c r="P15" s="275"/>
      <c r="Q15" s="312"/>
      <c r="R15" s="312"/>
      <c r="S15" s="312"/>
      <c r="T15" s="275"/>
      <c r="U15" s="275"/>
      <c r="V15" s="312"/>
      <c r="W15" s="274"/>
      <c r="X15" s="277"/>
      <c r="Y15" s="313"/>
      <c r="Z15" s="314"/>
      <c r="AC15" s="226"/>
      <c r="AD15" s="199"/>
      <c r="AE15" s="199"/>
      <c r="AF15" s="228"/>
      <c r="AG15" s="277"/>
      <c r="AH15" s="254"/>
    </row>
    <row r="16" spans="1:36">
      <c r="A16" s="199">
        <v>5</v>
      </c>
      <c r="B16" s="304">
        <v>2500</v>
      </c>
      <c r="C16" s="228">
        <f>+B16*730*0.35</f>
        <v>638750</v>
      </c>
      <c r="D16" s="274">
        <f>+$G$26+$B16*$G$27+($C16*$G$30)/100</f>
        <v>39932.512499999997</v>
      </c>
      <c r="E16" s="275">
        <f>+$C16*$G$34/100</f>
        <v>24304.4375</v>
      </c>
      <c r="F16" s="275">
        <f>+$B16*$G$37</f>
        <v>1675</v>
      </c>
      <c r="G16" s="275">
        <f>+$B16*$G$38</f>
        <v>425.00000000000006</v>
      </c>
      <c r="H16" s="275">
        <f>+$C16*$G$40/100</f>
        <v>453.51250000000005</v>
      </c>
      <c r="I16" s="275">
        <f>+$B16*$G$39</f>
        <v>2150</v>
      </c>
      <c r="J16" s="275">
        <f>+$B16*$G$41</f>
        <v>1500</v>
      </c>
      <c r="K16" s="275">
        <f>+$C16*$G$42/100</f>
        <v>0</v>
      </c>
      <c r="L16" s="275">
        <f t="shared" si="0"/>
        <v>1806.1638989624998</v>
      </c>
      <c r="M16" s="275">
        <f>SUM(D16:L16)</f>
        <v>72246.6263989625</v>
      </c>
      <c r="N16" s="274">
        <f>+$L$26+$B16*$L$27+($C16*$L$30)/100</f>
        <v>39907.512499999997</v>
      </c>
      <c r="O16" s="275">
        <f>+$C16*$L$34/100</f>
        <v>24304.4375</v>
      </c>
      <c r="P16" s="275">
        <f>+$B16*$L$37</f>
        <v>1675</v>
      </c>
      <c r="Q16" s="275">
        <f>+$B16*$L$38</f>
        <v>425.00000000000006</v>
      </c>
      <c r="R16" s="275">
        <f>+$C16*$L$40/100</f>
        <v>453.51250000000005</v>
      </c>
      <c r="S16" s="275">
        <f>+$B16*$L$39</f>
        <v>2150</v>
      </c>
      <c r="T16" s="275">
        <f>+$B16*$L$41</f>
        <v>1500</v>
      </c>
      <c r="U16" s="275">
        <f>+SUM(N16:T16)*0.025641</f>
        <v>1805.5228739624999</v>
      </c>
      <c r="V16" s="275">
        <f>SUM(N16:U16)</f>
        <v>72220.985373962496</v>
      </c>
      <c r="W16" s="274">
        <f>+V16-M16</f>
        <v>-25.641025000004447</v>
      </c>
      <c r="X16" s="277">
        <f>+W16/M16</f>
        <v>-3.5490965153734381E-4</v>
      </c>
      <c r="Y16" s="291">
        <f>+M16/C16 *100</f>
        <v>11.310626442107633</v>
      </c>
      <c r="Z16" s="308">
        <f>+V16/C16*100</f>
        <v>11.306612191618393</v>
      </c>
      <c r="AA16" s="258"/>
      <c r="AC16" s="226"/>
      <c r="AD16" s="199"/>
      <c r="AE16" s="199"/>
      <c r="AF16" s="228"/>
      <c r="AG16" s="277"/>
      <c r="AH16" s="254"/>
      <c r="AI16" s="228"/>
      <c r="AJ16" s="215"/>
    </row>
    <row r="17" spans="1:39">
      <c r="A17" s="199">
        <v>6</v>
      </c>
      <c r="B17" s="304">
        <v>2500</v>
      </c>
      <c r="C17" s="228">
        <f>+B17*730*0.6</f>
        <v>1095000</v>
      </c>
      <c r="D17" s="274">
        <f>+$G$26+$B17*$G$27+($C17*$G$30)/100</f>
        <v>44782.45</v>
      </c>
      <c r="E17" s="275">
        <f>+$C17*$G$34/100</f>
        <v>41664.75</v>
      </c>
      <c r="F17" s="275">
        <f>+$B17*$G$37</f>
        <v>1675</v>
      </c>
      <c r="G17" s="275">
        <f>+$B17*$G$38</f>
        <v>425.00000000000006</v>
      </c>
      <c r="H17" s="275">
        <f>+$C17*$G$40/100</f>
        <v>777.45000000000016</v>
      </c>
      <c r="I17" s="275">
        <f>+$B17*$G$39</f>
        <v>2150</v>
      </c>
      <c r="J17" s="275">
        <f>+$B17*$G$41</f>
        <v>1500</v>
      </c>
      <c r="K17" s="275">
        <f>+$C17*$G$42/100</f>
        <v>0</v>
      </c>
      <c r="L17" s="275">
        <f t="shared" si="0"/>
        <v>2383.9630006499997</v>
      </c>
      <c r="M17" s="275">
        <f>SUM(D17:L17)</f>
        <v>95358.613000649988</v>
      </c>
      <c r="N17" s="274">
        <f>+$L$26+$B17*$L$27+($C17*$L$30)/100</f>
        <v>44757.45</v>
      </c>
      <c r="O17" s="275">
        <f>+$C17*$L$34/100</f>
        <v>41664.75</v>
      </c>
      <c r="P17" s="275">
        <f>+$B17*$L$37</f>
        <v>1675</v>
      </c>
      <c r="Q17" s="275">
        <f>+$B17*$L$38</f>
        <v>425.00000000000006</v>
      </c>
      <c r="R17" s="275">
        <f>+$C17*$L$40/100</f>
        <v>777.45000000000016</v>
      </c>
      <c r="S17" s="275">
        <f>+$B17*$L$39</f>
        <v>2150</v>
      </c>
      <c r="T17" s="275">
        <f>+$B17*$L$41</f>
        <v>1500</v>
      </c>
      <c r="U17" s="275">
        <f>+SUM(N17:T17)*0.025641</f>
        <v>2383.3219756499998</v>
      </c>
      <c r="V17" s="275">
        <f>SUM(N17:U17)</f>
        <v>95332.971975649998</v>
      </c>
      <c r="W17" s="274">
        <f>+V17-M17</f>
        <v>-25.641024999989895</v>
      </c>
      <c r="X17" s="277">
        <f>+W17/M17</f>
        <v>-2.6889049864656819E-4</v>
      </c>
      <c r="Y17" s="291">
        <f>+M17/C17 *100</f>
        <v>8.7085491324794511</v>
      </c>
      <c r="Z17" s="308">
        <f>+V17/C17*100</f>
        <v>8.7062074863607304</v>
      </c>
      <c r="AA17" s="258"/>
      <c r="AC17" s="226"/>
      <c r="AD17" s="199"/>
      <c r="AE17" s="199"/>
      <c r="AF17" s="228"/>
      <c r="AG17" s="228"/>
      <c r="AH17" s="220"/>
      <c r="AI17" s="228"/>
      <c r="AJ17" s="215"/>
    </row>
    <row r="18" spans="1:39">
      <c r="A18" s="199">
        <v>7</v>
      </c>
      <c r="B18" s="304">
        <v>2500</v>
      </c>
      <c r="C18" s="228">
        <f>+B18*730*0.9</f>
        <v>1642500</v>
      </c>
      <c r="D18" s="274">
        <f>+$H$26+($B18*$H$28+$B18*$H29)+$C18/100*$H$31*0.25+$C18/100*H32*0.4+$C18/100*H33*0.35</f>
        <v>50864.353749999995</v>
      </c>
      <c r="E18" s="275">
        <f>+$C18*$H$35/100*0.25+C18*$H$36/100*0.75</f>
        <v>62258.962500000009</v>
      </c>
      <c r="F18" s="275">
        <f>+$B18*$G$37</f>
        <v>1675</v>
      </c>
      <c r="G18" s="275">
        <f>+$B18*$H$38</f>
        <v>425.00000000000006</v>
      </c>
      <c r="H18" s="275">
        <f>+$C18*$H$40/100</f>
        <v>1166.1750000000002</v>
      </c>
      <c r="I18" s="275">
        <f>+$B18*$H$39</f>
        <v>2150</v>
      </c>
      <c r="J18" s="275">
        <f>+$B18*$H$41</f>
        <v>1500</v>
      </c>
      <c r="K18" s="275">
        <f>+$C18*$G$42/100</f>
        <v>0</v>
      </c>
      <c r="L18" s="275">
        <f t="shared" si="0"/>
        <v>3077.9325951412502</v>
      </c>
      <c r="M18" s="275">
        <f>SUM(D18:L18)</f>
        <v>123117.42384514125</v>
      </c>
      <c r="N18" s="274">
        <f>+$M$26+($B18*$M$28+$B18*$M29)+$C18/100*$M$31*0.25+$C18/100*M32*0.4+$C18/100*M33*0.35</f>
        <v>50814.353749999995</v>
      </c>
      <c r="O18" s="275">
        <f>+$C18*$M$35/100*0.25+C18*$M$36/100*0.75</f>
        <v>62258.962500000009</v>
      </c>
      <c r="P18" s="275">
        <f>+$B18*$L$37</f>
        <v>1675</v>
      </c>
      <c r="Q18" s="275">
        <f>+$B18*$M$38</f>
        <v>425.00000000000006</v>
      </c>
      <c r="R18" s="275">
        <f>+$C18*$M$40/100</f>
        <v>1166.1750000000002</v>
      </c>
      <c r="S18" s="275">
        <f>+$B18*$M$39</f>
        <v>2150</v>
      </c>
      <c r="T18" s="275">
        <f>+$B18*$M$41</f>
        <v>1500</v>
      </c>
      <c r="U18" s="275">
        <f>+SUM(N18:T18)*0.025641</f>
        <v>3076.6505451412504</v>
      </c>
      <c r="V18" s="275">
        <f>SUM(N18:U18)</f>
        <v>123066.14179514126</v>
      </c>
      <c r="W18" s="274">
        <f>+V18-M18</f>
        <v>-51.282049999994342</v>
      </c>
      <c r="X18" s="277">
        <f>+W18/M18</f>
        <v>-4.1652958938206497E-4</v>
      </c>
      <c r="Y18" s="291">
        <f>+M18/C18 *100</f>
        <v>7.495733567436301</v>
      </c>
      <c r="Z18" s="308">
        <f>+V18/C18*100</f>
        <v>7.4926113726113392</v>
      </c>
      <c r="AA18" s="258"/>
    </row>
    <row r="19" spans="1:39">
      <c r="A19" s="199">
        <v>8</v>
      </c>
      <c r="D19" s="311"/>
      <c r="E19" s="312"/>
      <c r="F19" s="275"/>
      <c r="G19" s="312"/>
      <c r="H19" s="312"/>
      <c r="I19" s="312"/>
      <c r="J19" s="275"/>
      <c r="K19" s="275"/>
      <c r="L19" s="275"/>
      <c r="M19" s="312"/>
      <c r="N19" s="311"/>
      <c r="O19" s="312"/>
      <c r="P19" s="275"/>
      <c r="Q19" s="312"/>
      <c r="R19" s="312"/>
      <c r="S19" s="312"/>
      <c r="T19" s="275"/>
      <c r="U19" s="275"/>
      <c r="V19" s="312"/>
      <c r="W19" s="274"/>
      <c r="X19" s="277"/>
      <c r="Y19" s="313"/>
      <c r="Z19" s="314"/>
      <c r="AB19" s="228"/>
      <c r="AC19" s="199"/>
      <c r="AD19" s="199"/>
      <c r="AE19" s="228"/>
      <c r="AF19" s="228"/>
      <c r="AG19" s="315"/>
      <c r="AH19" s="315"/>
      <c r="AI19" s="315"/>
      <c r="AJ19" s="237"/>
      <c r="AK19" s="315"/>
    </row>
    <row r="20" spans="1:39">
      <c r="A20" s="199">
        <v>9</v>
      </c>
      <c r="B20" s="305">
        <v>5000</v>
      </c>
      <c r="C20" s="228">
        <f>+B20*730*0.35</f>
        <v>1277500</v>
      </c>
      <c r="D20" s="274">
        <f>+$G$26+$B20*$G$27+($C20*$G$30)/100</f>
        <v>79222.425000000003</v>
      </c>
      <c r="E20" s="275">
        <f>+$C20*$G$34/100</f>
        <v>48608.875</v>
      </c>
      <c r="F20" s="275">
        <f>+$B20*$G$37</f>
        <v>3350</v>
      </c>
      <c r="G20" s="275">
        <f>+$B20*$G$38</f>
        <v>850.00000000000011</v>
      </c>
      <c r="H20" s="275">
        <f>+$C20*$G$40/100</f>
        <v>907.02500000000009</v>
      </c>
      <c r="I20" s="275">
        <f>+$B20*$G$39</f>
        <v>4300</v>
      </c>
      <c r="J20" s="275">
        <f>+$B20*$G$41</f>
        <v>3000</v>
      </c>
      <c r="K20" s="275">
        <f>+$C20*$G$42/100</f>
        <v>0</v>
      </c>
      <c r="L20" s="275">
        <f t="shared" si="0"/>
        <v>3595.8508913249998</v>
      </c>
      <c r="M20" s="275">
        <f>SUM(D20:L20)</f>
        <v>143834.17589132499</v>
      </c>
      <c r="N20" s="274">
        <f>+$L$26+$B20*$L$27+($C20*$L$30)/100</f>
        <v>79172.425000000003</v>
      </c>
      <c r="O20" s="275">
        <f>+$C20*$L$34/100</f>
        <v>48608.875</v>
      </c>
      <c r="P20" s="275">
        <f>+$B20*$L$37</f>
        <v>3350</v>
      </c>
      <c r="Q20" s="275">
        <f>+$B20*$L$38</f>
        <v>850.00000000000011</v>
      </c>
      <c r="R20" s="275">
        <f>+$C20*$L$40/100</f>
        <v>907.02500000000009</v>
      </c>
      <c r="S20" s="275">
        <f>+$B20*$L$39</f>
        <v>4300</v>
      </c>
      <c r="T20" s="275">
        <f>+$B20*$L$41</f>
        <v>3000</v>
      </c>
      <c r="U20" s="275">
        <f>+SUM(N20:T20)*0.025641</f>
        <v>3594.5688413249995</v>
      </c>
      <c r="V20" s="275">
        <f>SUM(N20:U20)</f>
        <v>143782.89384132499</v>
      </c>
      <c r="W20" s="274">
        <f>V20-M20</f>
        <v>-51.282050000008894</v>
      </c>
      <c r="X20" s="277">
        <f>+W20/M20</f>
        <v>-3.5653591840895615E-4</v>
      </c>
      <c r="Y20" s="291">
        <f>+M20/C20 *100</f>
        <v>11.259035294819961</v>
      </c>
      <c r="Z20" s="308">
        <f>+V20/C20*100</f>
        <v>11.255021044330723</v>
      </c>
      <c r="AA20" s="258"/>
      <c r="AB20" s="226"/>
      <c r="AC20" s="199"/>
      <c r="AD20" s="199"/>
      <c r="AE20" s="228"/>
      <c r="AF20" s="228"/>
      <c r="AG20" s="316"/>
      <c r="AH20" s="206"/>
      <c r="AJ20" s="316"/>
      <c r="AK20" s="316"/>
      <c r="AL20" s="316"/>
      <c r="AM20" s="316"/>
    </row>
    <row r="21" spans="1:39">
      <c r="A21" s="199">
        <v>10</v>
      </c>
      <c r="B21" s="305">
        <v>5000</v>
      </c>
      <c r="C21" s="228">
        <f>+B21*730*0.6</f>
        <v>2190000</v>
      </c>
      <c r="D21" s="274">
        <f>+$G$26+$B21*$G$27+($C21*$G$30)/100</f>
        <v>88922.300000000017</v>
      </c>
      <c r="E21" s="275">
        <f>+$C21*$G$34/100</f>
        <v>83329.5</v>
      </c>
      <c r="F21" s="275">
        <f>+$B21*$G$37</f>
        <v>3350</v>
      </c>
      <c r="G21" s="275">
        <f>+$B21*$G$38</f>
        <v>850.00000000000011</v>
      </c>
      <c r="H21" s="275">
        <f>+$C21*$G$40/100</f>
        <v>1554.9000000000003</v>
      </c>
      <c r="I21" s="275">
        <f>+$B21*$G$39</f>
        <v>4300</v>
      </c>
      <c r="J21" s="275">
        <f>+$B21*$G$41</f>
        <v>3000</v>
      </c>
      <c r="K21" s="275">
        <f>+$C21*$G$42/100</f>
        <v>0</v>
      </c>
      <c r="L21" s="275">
        <f t="shared" si="0"/>
        <v>4751.4490947000004</v>
      </c>
      <c r="M21" s="275">
        <f>SUM(D21:L21)</f>
        <v>190058.1490947</v>
      </c>
      <c r="N21" s="274">
        <f>+$L$26+$B21*$L$27+($C21*$L$30)/100</f>
        <v>88872.300000000017</v>
      </c>
      <c r="O21" s="275">
        <f>+$C21*$L$34/100</f>
        <v>83329.5</v>
      </c>
      <c r="P21" s="275">
        <f>+$B21*$L$37</f>
        <v>3350</v>
      </c>
      <c r="Q21" s="275">
        <f>+$B21*$L$38</f>
        <v>850.00000000000011</v>
      </c>
      <c r="R21" s="275">
        <f>+$C21*$L$40/100</f>
        <v>1554.9000000000003</v>
      </c>
      <c r="S21" s="275">
        <f>+$B21*$L$39</f>
        <v>4300</v>
      </c>
      <c r="T21" s="275">
        <f>+$B21*$L$41</f>
        <v>3000</v>
      </c>
      <c r="U21" s="275">
        <f>+SUM(N21:T21)*0.025641</f>
        <v>4750.1670447000006</v>
      </c>
      <c r="V21" s="275">
        <f>SUM(N21:U21)</f>
        <v>190006.86704470002</v>
      </c>
      <c r="W21" s="274">
        <f>+V21-M21</f>
        <v>-51.28204999997979</v>
      </c>
      <c r="X21" s="277">
        <f>+W21/M21</f>
        <v>-2.6982294757815176E-4</v>
      </c>
      <c r="Y21" s="291">
        <f>+M21/C21 *100</f>
        <v>8.6784542965616431</v>
      </c>
      <c r="Z21" s="308">
        <f>+V21/C21*100</f>
        <v>8.6761126504429225</v>
      </c>
      <c r="AA21" s="258"/>
      <c r="AB21" s="226"/>
      <c r="AC21" s="199"/>
      <c r="AD21" s="199"/>
      <c r="AE21" s="228"/>
      <c r="AG21" s="215"/>
      <c r="AH21" s="215"/>
      <c r="AJ21" s="275"/>
      <c r="AK21" s="275"/>
      <c r="AL21" s="275"/>
      <c r="AM21" s="275"/>
    </row>
    <row r="22" spans="1:39">
      <c r="A22" s="199">
        <v>11</v>
      </c>
      <c r="B22" s="305">
        <v>5000</v>
      </c>
      <c r="C22" s="228">
        <f>+B22*730*0.9</f>
        <v>3285000</v>
      </c>
      <c r="D22" s="274">
        <f>+$H$26+($B22*$H$28+$B22*$H29)+$C22/100*$H$31*0.25+$C22/100*H32*0.4+$C22/100*H33*0.35</f>
        <v>101086.1075</v>
      </c>
      <c r="E22" s="275">
        <f>+$C22*$H$35/100*0.25+C22*$H$36/100*0.75</f>
        <v>124517.92500000002</v>
      </c>
      <c r="F22" s="275">
        <f>+$B22*$G$37</f>
        <v>3350</v>
      </c>
      <c r="G22" s="275">
        <f>+$B22*$H$38</f>
        <v>850.00000000000011</v>
      </c>
      <c r="H22" s="275">
        <f>+$C22*$H$40/100</f>
        <v>2332.3500000000004</v>
      </c>
      <c r="I22" s="275">
        <f>+$B22*$H$39</f>
        <v>4300</v>
      </c>
      <c r="J22" s="275">
        <f>+$B22*$H$41</f>
        <v>3000</v>
      </c>
      <c r="K22" s="275">
        <f>+$C22*$G$42/100</f>
        <v>0</v>
      </c>
      <c r="L22" s="275">
        <f t="shared" si="0"/>
        <v>6139.3882836825014</v>
      </c>
      <c r="M22" s="275">
        <f>SUM(D22:L22)</f>
        <v>245575.77078368253</v>
      </c>
      <c r="N22" s="274">
        <f>+$M$26+($B22*$M$28+$B22*$M29)+$C22/100*$M$31*0.25+$C22/100*M32*0.4+$C22/100*M33*0.35</f>
        <v>100986.1075</v>
      </c>
      <c r="O22" s="275">
        <f>+$C22*$M$35/100*0.25+C22*$M$36/100*0.75</f>
        <v>124517.92500000002</v>
      </c>
      <c r="P22" s="275">
        <f>+$B22*$L$37</f>
        <v>3350</v>
      </c>
      <c r="Q22" s="275">
        <f>+$B22*$M$38</f>
        <v>850.00000000000011</v>
      </c>
      <c r="R22" s="275">
        <f>+$C22*$M$40/100</f>
        <v>2332.3500000000004</v>
      </c>
      <c r="S22" s="275">
        <f>+$B22*$M$39</f>
        <v>4300</v>
      </c>
      <c r="T22" s="275">
        <f>+$B22*$M$41</f>
        <v>3000</v>
      </c>
      <c r="U22" s="275">
        <f>+SUM(N22:T22)*0.025641</f>
        <v>6136.8241836825009</v>
      </c>
      <c r="V22" s="275">
        <f>SUM(N22:U22)</f>
        <v>245473.20668368254</v>
      </c>
      <c r="W22" s="274">
        <f>V22-M22</f>
        <v>-102.56409999998868</v>
      </c>
      <c r="X22" s="277">
        <f>+W22/M22</f>
        <v>-4.1764747260157489E-4</v>
      </c>
      <c r="Y22" s="291">
        <f>+M22/C22 *100</f>
        <v>7.475670343491096</v>
      </c>
      <c r="Z22" s="308">
        <f>+V22/C22*100</f>
        <v>7.4725481486661343</v>
      </c>
      <c r="AA22" s="258"/>
      <c r="AB22" s="226"/>
      <c r="AC22" s="199"/>
      <c r="AD22" s="199"/>
      <c r="AE22" s="228"/>
      <c r="AF22" s="228"/>
      <c r="AG22" s="215"/>
      <c r="AH22" s="258"/>
      <c r="AI22" s="199"/>
      <c r="AJ22" s="215"/>
      <c r="AK22" s="258"/>
    </row>
    <row r="23" spans="1:39">
      <c r="A23" s="199">
        <v>12</v>
      </c>
      <c r="D23" s="317"/>
      <c r="E23" s="317"/>
      <c r="F23" s="317"/>
      <c r="G23" s="317"/>
      <c r="H23" s="317"/>
      <c r="I23" s="317"/>
      <c r="J23" s="317"/>
      <c r="K23" s="317"/>
      <c r="L23" s="317"/>
      <c r="M23" s="317"/>
      <c r="N23" s="317"/>
      <c r="O23" s="317"/>
      <c r="P23" s="317"/>
      <c r="Q23" s="317"/>
      <c r="R23" s="317"/>
      <c r="S23" s="317"/>
      <c r="T23" s="317"/>
      <c r="U23" s="317"/>
      <c r="V23" s="317"/>
      <c r="W23" s="317"/>
      <c r="X23" s="215"/>
      <c r="Y23" s="277"/>
      <c r="Z23" s="228"/>
      <c r="AA23" s="228"/>
      <c r="AF23" s="228"/>
      <c r="AH23" s="199"/>
      <c r="AI23" s="220"/>
      <c r="AJ23" s="199"/>
      <c r="AK23" s="220"/>
      <c r="AL23" s="220"/>
    </row>
    <row r="24" spans="1:39">
      <c r="A24" s="199">
        <v>13</v>
      </c>
      <c r="G24" s="325" t="s">
        <v>215</v>
      </c>
      <c r="H24" s="325"/>
      <c r="I24" s="325"/>
      <c r="J24" s="206"/>
      <c r="K24" s="206"/>
      <c r="L24" s="325" t="s">
        <v>216</v>
      </c>
      <c r="M24" s="325"/>
      <c r="N24" s="325"/>
      <c r="R24" s="199"/>
      <c r="AF24" s="228"/>
      <c r="AH24" s="199"/>
      <c r="AI24" s="220"/>
      <c r="AJ24" s="199"/>
      <c r="AK24" s="220"/>
      <c r="AL24" s="220"/>
    </row>
    <row r="25" spans="1:39">
      <c r="A25" s="199">
        <v>14</v>
      </c>
      <c r="C25" s="206"/>
      <c r="D25" s="206"/>
      <c r="E25" s="206"/>
      <c r="F25" s="206"/>
      <c r="G25" s="206" t="s">
        <v>39</v>
      </c>
      <c r="H25" s="206" t="s">
        <v>260</v>
      </c>
      <c r="I25" s="206"/>
      <c r="J25" s="206"/>
      <c r="K25" s="206"/>
      <c r="L25" s="206" t="s">
        <v>39</v>
      </c>
      <c r="M25" s="206" t="s">
        <v>260</v>
      </c>
      <c r="N25" s="199"/>
      <c r="AB25" s="318"/>
      <c r="AC25" s="226"/>
      <c r="AD25" s="199"/>
      <c r="AE25" s="199"/>
      <c r="AF25" s="228"/>
      <c r="AG25" s="228"/>
      <c r="AH25" s="220"/>
      <c r="AI25" s="286"/>
      <c r="AJ25" s="199"/>
      <c r="AK25" s="220"/>
      <c r="AL25" s="220"/>
    </row>
    <row r="26" spans="1:39">
      <c r="A26" s="199">
        <v>15</v>
      </c>
      <c r="C26" s="204" t="s">
        <v>228</v>
      </c>
      <c r="D26" s="206"/>
      <c r="E26" s="206"/>
      <c r="F26" s="206"/>
      <c r="G26" s="283">
        <f>+ROUND('Rate Impacts'!I350,2)*30</f>
        <v>642.6</v>
      </c>
      <c r="H26" s="283">
        <f>+ROUND('Rate Impacts'!I351,2)*30</f>
        <v>642.6</v>
      </c>
      <c r="I26" s="204" t="s">
        <v>229</v>
      </c>
      <c r="J26" s="204"/>
      <c r="K26" s="204"/>
      <c r="L26" s="282">
        <f>+ROUND('Scenario GSLDPR Rates'!Q18,2)*30</f>
        <v>642.6</v>
      </c>
      <c r="M26" s="282">
        <f>+ROUND('Scenario GSLDPR Rates'!Q19,2)*30</f>
        <v>642.6</v>
      </c>
      <c r="N26" s="204" t="s">
        <v>229</v>
      </c>
      <c r="AC26" s="226"/>
      <c r="AF26" s="228"/>
      <c r="AH26" s="220"/>
      <c r="AI26" s="286"/>
      <c r="AJ26" s="199"/>
      <c r="AK26" s="220"/>
      <c r="AL26" s="220"/>
    </row>
    <row r="27" spans="1:39">
      <c r="A27" s="199">
        <v>16</v>
      </c>
      <c r="C27" s="204" t="s">
        <v>230</v>
      </c>
      <c r="D27" s="206"/>
      <c r="G27" s="283">
        <f>+ROUND('Rate Impacts'!I360,2)</f>
        <v>13</v>
      </c>
      <c r="H27" s="283">
        <v>0</v>
      </c>
      <c r="I27" s="204" t="s">
        <v>101</v>
      </c>
      <c r="J27" s="204"/>
      <c r="K27" s="204"/>
      <c r="L27" s="282">
        <f>ROUND(+'Scenario GSLDPR Rates'!Q30,2)</f>
        <v>12.99</v>
      </c>
      <c r="M27" s="282">
        <v>0</v>
      </c>
      <c r="N27" s="204" t="s">
        <v>101</v>
      </c>
      <c r="S27" s="215"/>
      <c r="T27" s="215"/>
      <c r="U27" s="215"/>
      <c r="V27" s="215"/>
      <c r="W27" s="215"/>
      <c r="X27" s="228"/>
      <c r="Y27" s="277"/>
      <c r="Z27" s="228"/>
      <c r="AA27" s="228"/>
      <c r="AF27" s="228"/>
      <c r="AH27" s="199"/>
      <c r="AI27" s="199"/>
      <c r="AJ27" s="199"/>
      <c r="AK27" s="220"/>
      <c r="AL27" s="220"/>
    </row>
    <row r="28" spans="1:39">
      <c r="A28" s="199">
        <v>17</v>
      </c>
      <c r="C28" s="204" t="s">
        <v>261</v>
      </c>
      <c r="D28" s="206"/>
      <c r="G28" s="283">
        <v>0</v>
      </c>
      <c r="H28" s="283">
        <f>+ROUND('Rate Impacts'!I361,2)</f>
        <v>2.93</v>
      </c>
      <c r="I28" s="204" t="s">
        <v>101</v>
      </c>
      <c r="J28" s="204"/>
      <c r="K28" s="204"/>
      <c r="L28" s="282">
        <v>0</v>
      </c>
      <c r="M28" s="282">
        <f>+ROUND('Scenario GSLDPR Rates'!Q31,2)</f>
        <v>2.92</v>
      </c>
      <c r="N28" s="204" t="s">
        <v>101</v>
      </c>
      <c r="S28" s="215"/>
      <c r="T28" s="215"/>
      <c r="U28" s="215"/>
      <c r="V28" s="215"/>
      <c r="W28" s="215"/>
      <c r="X28" s="228"/>
      <c r="Y28" s="277"/>
      <c r="Z28" s="228"/>
      <c r="AA28" s="228"/>
      <c r="AF28" s="228"/>
      <c r="AH28" s="199"/>
      <c r="AI28" s="199"/>
      <c r="AJ28" s="199"/>
      <c r="AK28" s="220"/>
      <c r="AL28" s="220"/>
    </row>
    <row r="29" spans="1:39">
      <c r="A29" s="199">
        <v>18</v>
      </c>
      <c r="C29" s="204" t="s">
        <v>262</v>
      </c>
      <c r="D29" s="206"/>
      <c r="G29" s="283">
        <v>0</v>
      </c>
      <c r="H29" s="283">
        <f>+ROUND('Rate Impacts'!I362,2)</f>
        <v>10.07</v>
      </c>
      <c r="I29" s="204" t="s">
        <v>101</v>
      </c>
      <c r="J29" s="204"/>
      <c r="K29" s="204"/>
      <c r="L29" s="282">
        <v>0</v>
      </c>
      <c r="M29" s="282">
        <f>+ROUND('Scenario GSLDPR Rates'!Q32,2)</f>
        <v>10.06</v>
      </c>
      <c r="N29" s="204" t="s">
        <v>101</v>
      </c>
      <c r="S29" s="215"/>
      <c r="T29" s="215"/>
      <c r="U29" s="215"/>
      <c r="V29" s="215"/>
      <c r="W29" s="215"/>
      <c r="X29" s="228"/>
      <c r="Y29" s="277"/>
      <c r="Z29" s="228"/>
      <c r="AA29" s="228"/>
      <c r="AF29" s="228"/>
      <c r="AH29" s="199"/>
      <c r="AI29" s="199"/>
      <c r="AJ29" s="199"/>
      <c r="AK29" s="220"/>
      <c r="AL29" s="220"/>
    </row>
    <row r="30" spans="1:39">
      <c r="A30" s="199">
        <v>19</v>
      </c>
      <c r="C30" s="204" t="s">
        <v>231</v>
      </c>
      <c r="D30" s="206"/>
      <c r="G30" s="297">
        <f>+ROUND('Rate Impacts'!I354,5)*100</f>
        <v>1.0630000000000002</v>
      </c>
      <c r="H30" s="283">
        <v>0</v>
      </c>
      <c r="I30" s="204" t="s">
        <v>109</v>
      </c>
      <c r="J30" s="204"/>
      <c r="K30" s="204"/>
      <c r="L30" s="284">
        <f>+ROUND('Scenario GSLDPR Rates'!Q23,5)*100</f>
        <v>1.0630000000000002</v>
      </c>
      <c r="M30" s="282">
        <v>0</v>
      </c>
      <c r="N30" s="204" t="s">
        <v>109</v>
      </c>
      <c r="S30" s="215"/>
      <c r="T30" s="215"/>
      <c r="U30" s="215"/>
      <c r="V30" s="215"/>
      <c r="W30" s="215"/>
      <c r="X30" s="228"/>
      <c r="Y30" s="277"/>
      <c r="Z30" s="228"/>
      <c r="AA30" s="228"/>
      <c r="AF30" s="228"/>
      <c r="AH30" s="199"/>
      <c r="AI30" s="199"/>
      <c r="AJ30" s="199"/>
      <c r="AK30" s="220"/>
      <c r="AL30" s="220"/>
    </row>
    <row r="31" spans="1:39">
      <c r="A31" s="199">
        <v>20</v>
      </c>
      <c r="B31" s="305"/>
      <c r="C31" s="285" t="s">
        <v>249</v>
      </c>
      <c r="D31" s="206"/>
      <c r="G31" s="297">
        <v>0</v>
      </c>
      <c r="H31" s="297">
        <f>+ROUND('Rate Impacts'!I355,5)*100</f>
        <v>1.7330000000000001</v>
      </c>
      <c r="I31" s="204" t="s">
        <v>109</v>
      </c>
      <c r="J31" s="204"/>
      <c r="K31" s="204"/>
      <c r="L31" s="282">
        <v>0</v>
      </c>
      <c r="M31" s="284">
        <f>+ROUND('Scenario GSLDPR Rates'!Q24,5)*100</f>
        <v>1.7330000000000001</v>
      </c>
      <c r="N31" s="204" t="s">
        <v>109</v>
      </c>
      <c r="S31" s="215"/>
      <c r="T31" s="215"/>
      <c r="U31" s="215"/>
      <c r="V31" s="215"/>
      <c r="W31" s="215"/>
      <c r="X31" s="215"/>
      <c r="Y31" s="277"/>
      <c r="Z31" s="215"/>
      <c r="AA31" s="302"/>
      <c r="AC31" s="226"/>
      <c r="AD31" s="199"/>
      <c r="AE31" s="199"/>
      <c r="AF31" s="228"/>
      <c r="AG31" s="228"/>
      <c r="AH31" s="286"/>
      <c r="AI31" s="220"/>
      <c r="AK31" s="286"/>
      <c r="AL31" s="220"/>
    </row>
    <row r="32" spans="1:39">
      <c r="A32" s="199">
        <v>21</v>
      </c>
      <c r="B32" s="305"/>
      <c r="C32" s="285" t="s">
        <v>250</v>
      </c>
      <c r="D32" s="206"/>
      <c r="G32" s="297">
        <v>0</v>
      </c>
      <c r="H32" s="297">
        <f>+ROUND('Rate Impacts'!I356,5)*100</f>
        <v>1.056</v>
      </c>
      <c r="I32" s="204" t="s">
        <v>109</v>
      </c>
      <c r="J32" s="204"/>
      <c r="K32" s="204"/>
      <c r="L32" s="284">
        <v>0</v>
      </c>
      <c r="M32" s="284">
        <f>+ROUND('Scenario GSLDPR Rates'!Q25,5)*100</f>
        <v>1.056</v>
      </c>
      <c r="N32" s="204" t="s">
        <v>109</v>
      </c>
      <c r="S32" s="215"/>
      <c r="T32" s="215"/>
      <c r="U32" s="215"/>
      <c r="V32" s="215"/>
      <c r="W32" s="215"/>
      <c r="X32" s="215"/>
      <c r="Y32" s="277"/>
      <c r="Z32" s="215"/>
      <c r="AA32" s="302"/>
      <c r="AC32" s="226"/>
      <c r="AD32" s="199"/>
      <c r="AE32" s="199"/>
      <c r="AF32" s="228"/>
      <c r="AG32" s="228"/>
      <c r="AH32" s="286"/>
      <c r="AI32" s="220"/>
      <c r="AK32" s="286"/>
      <c r="AL32" s="220"/>
    </row>
    <row r="33" spans="1:38">
      <c r="A33" s="199">
        <v>22</v>
      </c>
      <c r="B33" s="305"/>
      <c r="C33" s="285" t="s">
        <v>251</v>
      </c>
      <c r="G33" s="297">
        <v>0</v>
      </c>
      <c r="H33" s="297">
        <f>+ROUND('Rate Impacts'!I357,5)*100</f>
        <v>0.63800000000000001</v>
      </c>
      <c r="I33" s="204" t="s">
        <v>109</v>
      </c>
      <c r="L33" s="282">
        <v>0</v>
      </c>
      <c r="M33" s="284">
        <f>+ROUND('Scenario GSLDPR Rates'!Q26,5)*100</f>
        <v>0.63800000000000001</v>
      </c>
      <c r="N33" s="204" t="s">
        <v>109</v>
      </c>
      <c r="S33" s="215"/>
      <c r="T33" s="215"/>
      <c r="U33" s="215"/>
      <c r="V33" s="215"/>
      <c r="W33" s="215"/>
      <c r="X33" s="215"/>
      <c r="Y33" s="277"/>
      <c r="Z33" s="215"/>
      <c r="AA33" s="302"/>
      <c r="AF33" s="228"/>
      <c r="AH33" s="286"/>
      <c r="AI33" s="220"/>
      <c r="AK33" s="286"/>
      <c r="AL33" s="220"/>
    </row>
    <row r="34" spans="1:38">
      <c r="A34" s="199">
        <v>23</v>
      </c>
      <c r="B34" s="305"/>
      <c r="C34" s="204" t="s">
        <v>243</v>
      </c>
      <c r="D34" s="206"/>
      <c r="G34" s="286">
        <f>0.03805*100</f>
        <v>3.8050000000000002</v>
      </c>
      <c r="H34" s="286">
        <v>0</v>
      </c>
      <c r="I34" s="204" t="s">
        <v>109</v>
      </c>
      <c r="J34" s="204"/>
      <c r="K34" s="204"/>
      <c r="L34" s="286">
        <f>+G34</f>
        <v>3.8050000000000002</v>
      </c>
      <c r="M34" s="286">
        <f>+H34</f>
        <v>0</v>
      </c>
      <c r="N34" s="204" t="s">
        <v>109</v>
      </c>
      <c r="S34" s="215"/>
      <c r="T34" s="215"/>
      <c r="U34" s="215"/>
      <c r="V34" s="215"/>
      <c r="W34" s="215"/>
      <c r="X34" s="215"/>
      <c r="Y34" s="277"/>
      <c r="Z34" s="215"/>
      <c r="AA34" s="302"/>
      <c r="AF34" s="228"/>
      <c r="AH34" s="286"/>
      <c r="AI34" s="220"/>
      <c r="AK34" s="286"/>
      <c r="AL34" s="220"/>
    </row>
    <row r="35" spans="1:38">
      <c r="A35" s="199">
        <v>24</v>
      </c>
      <c r="B35" s="305"/>
      <c r="C35" s="285" t="s">
        <v>249</v>
      </c>
      <c r="G35" s="286">
        <v>0</v>
      </c>
      <c r="H35" s="286">
        <f>0.04005*100</f>
        <v>4.0049999999999999</v>
      </c>
      <c r="I35" s="204" t="s">
        <v>109</v>
      </c>
      <c r="J35" s="204"/>
      <c r="K35" s="204"/>
      <c r="L35" s="286">
        <f t="shared" ref="L35:M41" si="1">+G35</f>
        <v>0</v>
      </c>
      <c r="M35" s="286">
        <f t="shared" si="1"/>
        <v>4.0049999999999999</v>
      </c>
      <c r="N35" s="204" t="s">
        <v>109</v>
      </c>
      <c r="S35" s="228"/>
      <c r="T35" s="228"/>
      <c r="U35" s="228"/>
      <c r="V35" s="228"/>
      <c r="W35" s="228"/>
      <c r="X35" s="228"/>
      <c r="Y35" s="277"/>
      <c r="Z35" s="228"/>
      <c r="AA35" s="228"/>
      <c r="AC35" s="226"/>
      <c r="AD35" s="199"/>
      <c r="AE35" s="199"/>
      <c r="AF35" s="228"/>
      <c r="AG35" s="228"/>
      <c r="AH35" s="258"/>
      <c r="AI35" s="258"/>
      <c r="AK35" s="258"/>
      <c r="AL35" s="258"/>
    </row>
    <row r="36" spans="1:38">
      <c r="A36" s="199">
        <v>25</v>
      </c>
      <c r="B36" s="305"/>
      <c r="C36" s="285" t="s">
        <v>250</v>
      </c>
      <c r="G36" s="286">
        <v>0</v>
      </c>
      <c r="H36" s="286">
        <f>0.03719*100</f>
        <v>3.7190000000000003</v>
      </c>
      <c r="I36" s="204" t="s">
        <v>109</v>
      </c>
      <c r="J36" s="204"/>
      <c r="K36" s="204"/>
      <c r="L36" s="286">
        <f t="shared" si="1"/>
        <v>0</v>
      </c>
      <c r="M36" s="286">
        <f t="shared" si="1"/>
        <v>3.7190000000000003</v>
      </c>
      <c r="N36" s="204" t="s">
        <v>109</v>
      </c>
      <c r="S36" s="215"/>
      <c r="T36" s="215"/>
      <c r="U36" s="215"/>
      <c r="V36" s="215"/>
      <c r="W36" s="215"/>
      <c r="X36" s="215"/>
      <c r="Y36" s="277"/>
      <c r="Z36" s="215"/>
      <c r="AA36" s="302"/>
      <c r="AC36" s="226"/>
      <c r="AD36" s="199"/>
      <c r="AE36" s="199"/>
      <c r="AF36" s="228"/>
      <c r="AG36" s="228"/>
      <c r="AH36" s="258"/>
      <c r="AI36" s="258"/>
      <c r="AK36" s="258"/>
      <c r="AL36" s="258"/>
    </row>
    <row r="37" spans="1:38">
      <c r="A37" s="199">
        <v>26</v>
      </c>
      <c r="B37" s="305"/>
      <c r="C37" s="204" t="s">
        <v>235</v>
      </c>
      <c r="D37" s="206"/>
      <c r="G37" s="215">
        <v>0.67</v>
      </c>
      <c r="H37" s="215">
        <v>0.67</v>
      </c>
      <c r="I37" s="204" t="s">
        <v>101</v>
      </c>
      <c r="J37" s="204"/>
      <c r="K37" s="204"/>
      <c r="L37" s="215">
        <f t="shared" si="1"/>
        <v>0.67</v>
      </c>
      <c r="M37" s="215">
        <f t="shared" si="1"/>
        <v>0.67</v>
      </c>
      <c r="N37" s="204" t="s">
        <v>101</v>
      </c>
      <c r="S37" s="215"/>
      <c r="T37" s="215"/>
      <c r="U37" s="215"/>
      <c r="V37" s="215"/>
      <c r="W37" s="215"/>
      <c r="X37" s="215"/>
      <c r="Y37" s="277"/>
      <c r="Z37" s="215"/>
      <c r="AA37" s="302"/>
      <c r="AC37" s="226"/>
      <c r="AD37" s="199"/>
      <c r="AE37" s="199"/>
      <c r="AF37" s="228"/>
      <c r="AG37" s="228"/>
      <c r="AH37" s="286"/>
      <c r="AI37" s="286"/>
      <c r="AK37" s="286"/>
      <c r="AL37" s="286"/>
    </row>
    <row r="38" spans="1:38">
      <c r="A38" s="199">
        <v>27</v>
      </c>
      <c r="B38" s="305"/>
      <c r="C38" s="204" t="s">
        <v>236</v>
      </c>
      <c r="D38" s="206"/>
      <c r="G38" s="215">
        <v>0.17</v>
      </c>
      <c r="H38" s="215">
        <v>0.17</v>
      </c>
      <c r="I38" s="204" t="s">
        <v>101</v>
      </c>
      <c r="J38" s="204"/>
      <c r="K38" s="204"/>
      <c r="L38" s="215">
        <f t="shared" si="1"/>
        <v>0.17</v>
      </c>
      <c r="M38" s="215">
        <f t="shared" si="1"/>
        <v>0.17</v>
      </c>
      <c r="N38" s="204" t="s">
        <v>101</v>
      </c>
      <c r="S38" s="215"/>
      <c r="T38" s="215"/>
      <c r="U38" s="215"/>
      <c r="V38" s="215"/>
      <c r="W38" s="215"/>
      <c r="X38" s="215"/>
      <c r="Y38" s="277"/>
      <c r="Z38" s="215"/>
      <c r="AA38" s="302"/>
      <c r="AH38" s="199"/>
      <c r="AI38" s="199"/>
      <c r="AJ38" s="199"/>
      <c r="AK38" s="258"/>
      <c r="AL38" s="258"/>
    </row>
    <row r="39" spans="1:38">
      <c r="A39" s="199">
        <v>28</v>
      </c>
      <c r="B39" s="305"/>
      <c r="C39" s="204" t="s">
        <v>237</v>
      </c>
      <c r="D39" s="206"/>
      <c r="G39" s="215">
        <v>0.86</v>
      </c>
      <c r="H39" s="215">
        <v>0.86</v>
      </c>
      <c r="I39" s="204" t="s">
        <v>101</v>
      </c>
      <c r="J39" s="204"/>
      <c r="K39" s="204"/>
      <c r="L39" s="215">
        <f t="shared" si="1"/>
        <v>0.86</v>
      </c>
      <c r="M39" s="215">
        <f t="shared" si="1"/>
        <v>0.86</v>
      </c>
      <c r="N39" s="204" t="s">
        <v>101</v>
      </c>
      <c r="S39" s="215"/>
      <c r="T39" s="215"/>
      <c r="U39" s="215"/>
      <c r="V39" s="215"/>
      <c r="W39" s="215"/>
      <c r="X39" s="215"/>
      <c r="Y39" s="277"/>
      <c r="Z39" s="215"/>
      <c r="AA39" s="302"/>
      <c r="AH39" s="199"/>
      <c r="AI39" s="199"/>
      <c r="AJ39" s="199"/>
      <c r="AK39" s="258"/>
      <c r="AL39" s="258"/>
    </row>
    <row r="40" spans="1:38">
      <c r="A40" s="199">
        <v>29</v>
      </c>
      <c r="C40" s="204" t="s">
        <v>238</v>
      </c>
      <c r="D40" s="206"/>
      <c r="G40" s="286">
        <f>0.00071*100</f>
        <v>7.1000000000000008E-2</v>
      </c>
      <c r="H40" s="286">
        <f>0.00071*100</f>
        <v>7.1000000000000008E-2</v>
      </c>
      <c r="I40" s="204" t="s">
        <v>109</v>
      </c>
      <c r="J40" s="204"/>
      <c r="K40" s="204"/>
      <c r="L40" s="286">
        <f t="shared" si="1"/>
        <v>7.1000000000000008E-2</v>
      </c>
      <c r="M40" s="286">
        <f t="shared" si="1"/>
        <v>7.1000000000000008E-2</v>
      </c>
      <c r="N40" s="204" t="s">
        <v>109</v>
      </c>
      <c r="X40" s="228"/>
      <c r="Y40" s="228"/>
      <c r="Z40" s="228"/>
      <c r="AA40" s="228"/>
      <c r="AC40" s="226"/>
      <c r="AD40" s="199"/>
      <c r="AE40" s="199"/>
      <c r="AF40" s="254"/>
      <c r="AH40" s="254"/>
      <c r="AI40" s="254"/>
      <c r="AK40" s="254"/>
      <c r="AL40" s="254"/>
    </row>
    <row r="41" spans="1:38">
      <c r="A41" s="199">
        <v>30</v>
      </c>
      <c r="B41" s="305"/>
      <c r="C41" s="204" t="s">
        <v>239</v>
      </c>
      <c r="D41" s="206"/>
      <c r="G41" s="258">
        <v>0.6</v>
      </c>
      <c r="H41" s="258">
        <v>0.6</v>
      </c>
      <c r="I41" s="204" t="s">
        <v>101</v>
      </c>
      <c r="J41" s="204"/>
      <c r="K41" s="204"/>
      <c r="L41" s="258">
        <f t="shared" si="1"/>
        <v>0.6</v>
      </c>
      <c r="M41" s="258">
        <f t="shared" si="1"/>
        <v>0.6</v>
      </c>
      <c r="N41" s="204" t="s">
        <v>101</v>
      </c>
      <c r="S41" s="215"/>
      <c r="T41" s="215"/>
      <c r="U41" s="215"/>
      <c r="V41" s="215"/>
      <c r="W41" s="215"/>
      <c r="X41" s="215"/>
      <c r="Y41" s="277"/>
      <c r="Z41" s="215"/>
      <c r="AA41" s="302"/>
      <c r="AC41" s="226"/>
      <c r="AK41" s="275"/>
      <c r="AL41" s="275"/>
    </row>
    <row r="42" spans="1:38">
      <c r="A42" s="199">
        <v>31</v>
      </c>
      <c r="B42" s="305"/>
      <c r="C42" s="199" t="s">
        <v>240</v>
      </c>
      <c r="G42" s="284"/>
      <c r="H42" s="284"/>
      <c r="I42" s="199" t="s">
        <v>109</v>
      </c>
      <c r="J42" s="199"/>
      <c r="K42" s="199"/>
      <c r="L42" s="282"/>
      <c r="M42" s="282"/>
      <c r="N42" s="199"/>
      <c r="S42" s="215"/>
      <c r="T42" s="215"/>
      <c r="U42" s="215"/>
      <c r="V42" s="215"/>
      <c r="W42" s="215"/>
      <c r="X42" s="215"/>
      <c r="Y42" s="277"/>
      <c r="Z42" s="215"/>
      <c r="AA42" s="302"/>
    </row>
    <row r="43" spans="1:38">
      <c r="A43" s="199">
        <v>32</v>
      </c>
      <c r="B43" s="305"/>
      <c r="S43" s="215"/>
      <c r="T43" s="215"/>
      <c r="U43" s="215"/>
      <c r="V43" s="215"/>
      <c r="W43" s="215"/>
      <c r="X43" s="215"/>
      <c r="Y43" s="277"/>
      <c r="Z43" s="215"/>
      <c r="AA43" s="302"/>
    </row>
    <row r="44" spans="1:38">
      <c r="A44" s="199">
        <v>33</v>
      </c>
      <c r="C44" s="228" t="s">
        <v>252</v>
      </c>
      <c r="X44" s="228"/>
      <c r="Y44" s="228"/>
      <c r="Z44" s="228"/>
      <c r="AA44" s="228"/>
      <c r="AH44" s="319"/>
    </row>
    <row r="45" spans="1:38">
      <c r="A45" s="199">
        <v>34</v>
      </c>
      <c r="C45" s="228" t="s">
        <v>263</v>
      </c>
      <c r="X45" s="228"/>
      <c r="Y45" s="228"/>
      <c r="Z45" s="228"/>
      <c r="AA45" s="228"/>
      <c r="AH45" s="307"/>
    </row>
    <row r="46" spans="1:38">
      <c r="A46" s="199">
        <v>35</v>
      </c>
      <c r="B46" s="227"/>
      <c r="C46" s="228" t="s">
        <v>264</v>
      </c>
      <c r="S46" s="228"/>
      <c r="T46" s="228"/>
      <c r="U46" s="228"/>
      <c r="V46" s="228"/>
      <c r="W46" s="228"/>
      <c r="X46" s="228"/>
      <c r="Y46" s="228"/>
      <c r="Z46" s="228"/>
      <c r="AA46" s="228"/>
    </row>
    <row r="47" spans="1:38">
      <c r="A47" s="199">
        <v>36</v>
      </c>
      <c r="B47" s="227"/>
      <c r="C47" s="228" t="s">
        <v>265</v>
      </c>
      <c r="T47" s="228"/>
      <c r="U47" s="228"/>
      <c r="V47" s="228"/>
      <c r="W47" s="228"/>
      <c r="X47" s="228"/>
      <c r="Y47" s="228"/>
      <c r="Z47" s="228"/>
      <c r="AA47" s="228"/>
      <c r="AH47" s="307"/>
    </row>
    <row r="48" spans="1:38">
      <c r="A48" s="199">
        <v>37</v>
      </c>
      <c r="B48" s="227"/>
      <c r="C48" s="228" t="s">
        <v>266</v>
      </c>
      <c r="T48" s="228"/>
      <c r="U48" s="228"/>
      <c r="V48" s="228"/>
      <c r="W48" s="228"/>
      <c r="X48" s="228"/>
      <c r="Y48" s="228"/>
      <c r="Z48" s="228"/>
      <c r="AA48" s="228"/>
      <c r="AH48" s="307"/>
      <c r="AI48" s="307"/>
    </row>
    <row r="49" spans="1:35">
      <c r="A49" s="199">
        <v>38</v>
      </c>
      <c r="B49" s="227"/>
      <c r="C49" s="228" t="s">
        <v>267</v>
      </c>
      <c r="T49" s="228"/>
      <c r="U49" s="228"/>
      <c r="V49" s="228"/>
      <c r="W49" s="228"/>
      <c r="X49" s="228"/>
      <c r="Y49" s="228"/>
      <c r="Z49" s="228"/>
      <c r="AA49" s="228"/>
      <c r="AI49" s="307"/>
    </row>
    <row r="50" spans="1:35">
      <c r="A50" s="199">
        <v>39</v>
      </c>
      <c r="B50" s="227"/>
      <c r="O50" s="228"/>
      <c r="P50" s="228"/>
      <c r="Q50" s="228"/>
      <c r="T50" s="228"/>
      <c r="U50" s="228"/>
      <c r="V50" s="228"/>
      <c r="W50" s="228"/>
      <c r="X50" s="228"/>
      <c r="Y50" s="228"/>
      <c r="Z50" s="228"/>
      <c r="AA50" s="228"/>
    </row>
    <row r="51" spans="1:35">
      <c r="A51" s="199">
        <v>40</v>
      </c>
      <c r="B51" s="199"/>
      <c r="O51" s="287"/>
      <c r="P51" s="287"/>
      <c r="Q51" s="228"/>
      <c r="T51" s="287"/>
      <c r="U51" s="287"/>
      <c r="V51" s="287"/>
      <c r="W51" s="287"/>
      <c r="X51" s="287"/>
      <c r="Y51" s="287"/>
      <c r="Z51" s="287"/>
      <c r="AA51" s="287"/>
    </row>
    <row r="52" spans="1:35">
      <c r="A52" s="199">
        <v>41</v>
      </c>
      <c r="B52" s="199"/>
      <c r="C52" s="228"/>
      <c r="O52" s="287"/>
      <c r="P52" s="287"/>
      <c r="Q52" s="228"/>
      <c r="T52" s="287"/>
      <c r="U52" s="287"/>
      <c r="V52" s="287"/>
      <c r="W52" s="287"/>
      <c r="X52" s="287"/>
      <c r="Y52" s="287"/>
      <c r="Z52" s="287"/>
      <c r="AA52" s="287"/>
    </row>
    <row r="53" spans="1:35" ht="13.5" thickBot="1">
      <c r="A53" s="200">
        <v>42</v>
      </c>
      <c r="B53" s="200"/>
      <c r="C53" s="263"/>
      <c r="D53" s="263"/>
      <c r="E53" s="263"/>
      <c r="F53" s="263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63"/>
    </row>
    <row r="54" spans="1:35">
      <c r="A54" s="199"/>
      <c r="B54" s="199"/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  <c r="T54" s="199"/>
      <c r="U54" s="199"/>
      <c r="V54" s="199"/>
      <c r="W54" s="199"/>
      <c r="X54" s="199"/>
      <c r="Y54" s="199"/>
      <c r="Z54" s="199"/>
    </row>
    <row r="55" spans="1:35" ht="13.5" thickBot="1">
      <c r="A55" s="200"/>
      <c r="B55" s="200"/>
      <c r="C55" s="200"/>
      <c r="D55" s="200"/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329"/>
      <c r="Z55" s="329"/>
      <c r="AA55" s="263"/>
      <c r="AB55" s="263"/>
    </row>
    <row r="56" spans="1:35">
      <c r="A56" s="199"/>
      <c r="B56" s="199"/>
      <c r="C56" s="199"/>
      <c r="D56" s="199"/>
      <c r="E56" s="199"/>
      <c r="F56" s="199"/>
      <c r="G56" s="199"/>
      <c r="H56" s="199"/>
      <c r="I56" s="199"/>
      <c r="J56" s="199"/>
      <c r="K56" s="199"/>
      <c r="L56" s="199"/>
      <c r="M56" s="204"/>
      <c r="N56" s="204"/>
      <c r="O56" s="204"/>
      <c r="P56" s="199"/>
      <c r="Q56" s="204"/>
      <c r="R56" s="204"/>
      <c r="S56" s="204"/>
      <c r="T56" s="204"/>
      <c r="U56" s="204"/>
      <c r="V56" s="204"/>
      <c r="W56" s="203"/>
      <c r="X56" s="199"/>
      <c r="Y56" s="199"/>
      <c r="Z56" s="204"/>
    </row>
    <row r="57" spans="1:35">
      <c r="A57" s="199"/>
      <c r="B57" s="199"/>
      <c r="C57" s="199"/>
      <c r="D57" s="199"/>
      <c r="E57" s="199"/>
      <c r="F57" s="199"/>
      <c r="G57" s="199"/>
      <c r="H57" s="199"/>
      <c r="I57" s="199"/>
      <c r="J57" s="199"/>
      <c r="K57" s="199"/>
      <c r="L57" s="199"/>
      <c r="M57" s="202"/>
      <c r="N57" s="204"/>
      <c r="O57" s="204"/>
      <c r="P57" s="199"/>
      <c r="Q57" s="199"/>
      <c r="R57" s="199"/>
      <c r="S57" s="199"/>
      <c r="T57" s="199"/>
      <c r="U57" s="199"/>
      <c r="V57" s="202"/>
      <c r="W57" s="202"/>
      <c r="X57" s="204"/>
      <c r="Y57" s="199"/>
      <c r="Z57" s="202"/>
    </row>
    <row r="58" spans="1:35">
      <c r="A58" s="199"/>
      <c r="B58" s="199"/>
      <c r="C58" s="199"/>
      <c r="D58" s="199"/>
      <c r="E58" s="199"/>
      <c r="F58" s="199"/>
      <c r="G58" s="199"/>
      <c r="H58" s="199"/>
      <c r="I58" s="199"/>
      <c r="J58" s="199"/>
      <c r="K58" s="199"/>
      <c r="L58" s="199"/>
      <c r="M58" s="202"/>
      <c r="N58" s="204"/>
      <c r="O58" s="204"/>
      <c r="P58" s="202"/>
      <c r="Q58" s="199"/>
      <c r="R58" s="199"/>
      <c r="S58" s="199"/>
      <c r="T58" s="199"/>
      <c r="U58" s="199"/>
      <c r="V58" s="199"/>
      <c r="X58" s="204"/>
      <c r="Y58" s="199"/>
      <c r="Z58" s="202"/>
    </row>
    <row r="59" spans="1:35">
      <c r="A59" s="199"/>
      <c r="B59" s="199"/>
      <c r="C59" s="199"/>
      <c r="D59" s="199"/>
      <c r="E59" s="199"/>
      <c r="F59" s="199"/>
      <c r="G59" s="199"/>
      <c r="H59" s="326" t="s">
        <v>268</v>
      </c>
      <c r="I59" s="326"/>
      <c r="J59" s="326"/>
      <c r="K59" s="326"/>
      <c r="L59" s="326"/>
      <c r="M59" s="326"/>
      <c r="N59" s="326"/>
      <c r="O59" s="326"/>
      <c r="P59" s="326"/>
      <c r="Q59" s="326"/>
      <c r="R59" s="326"/>
      <c r="S59" s="199"/>
      <c r="T59" s="199"/>
      <c r="U59" s="199"/>
      <c r="V59" s="199"/>
      <c r="X59" s="204"/>
      <c r="Y59" s="199"/>
      <c r="Z59" s="202"/>
    </row>
    <row r="60" spans="1:35" ht="13.5" thickBot="1">
      <c r="A60" s="200"/>
      <c r="B60" s="200"/>
      <c r="C60" s="200"/>
      <c r="D60" s="200"/>
      <c r="E60" s="200"/>
      <c r="F60" s="200"/>
      <c r="G60" s="200"/>
      <c r="H60" s="200"/>
      <c r="I60" s="200"/>
      <c r="J60" s="200"/>
      <c r="K60" s="200"/>
      <c r="L60" s="200"/>
      <c r="M60" s="205"/>
      <c r="N60" s="200"/>
      <c r="O60" s="200"/>
      <c r="P60" s="200"/>
      <c r="Q60" s="200"/>
      <c r="R60" s="200"/>
      <c r="S60" s="200"/>
      <c r="T60" s="200"/>
      <c r="U60" s="200"/>
      <c r="V60" s="200"/>
      <c r="W60" s="263"/>
      <c r="X60" s="200"/>
      <c r="Y60" s="200"/>
      <c r="Z60" s="200"/>
      <c r="AA60" s="263"/>
      <c r="AB60" s="263"/>
    </row>
    <row r="61" spans="1:35">
      <c r="A61" s="199"/>
      <c r="B61" s="328" t="s">
        <v>178</v>
      </c>
      <c r="C61" s="328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207"/>
      <c r="Q61" s="207"/>
      <c r="R61" s="207"/>
      <c r="S61" s="207"/>
      <c r="T61" s="207"/>
      <c r="U61" s="207"/>
      <c r="V61" s="207"/>
      <c r="W61" s="207"/>
      <c r="X61" s="207"/>
      <c r="Y61" s="207"/>
      <c r="Z61" s="207"/>
    </row>
    <row r="62" spans="1:35">
      <c r="A62" s="199"/>
      <c r="B62" s="325" t="s">
        <v>154</v>
      </c>
      <c r="C62" s="325"/>
      <c r="D62" s="327" t="s">
        <v>179</v>
      </c>
      <c r="E62" s="327"/>
      <c r="F62" s="327"/>
      <c r="G62" s="327"/>
      <c r="H62" s="327"/>
      <c r="I62" s="327"/>
      <c r="J62" s="327"/>
      <c r="K62" s="327"/>
      <c r="L62" s="327"/>
      <c r="M62" s="327"/>
      <c r="N62" s="327" t="s">
        <v>180</v>
      </c>
      <c r="O62" s="327"/>
      <c r="P62" s="327"/>
      <c r="Q62" s="327"/>
      <c r="R62" s="327"/>
      <c r="S62" s="327"/>
      <c r="T62" s="327"/>
      <c r="U62" s="327"/>
      <c r="V62" s="327"/>
      <c r="W62" s="327" t="s">
        <v>181</v>
      </c>
      <c r="X62" s="327"/>
      <c r="Y62" s="327" t="s">
        <v>182</v>
      </c>
      <c r="Z62" s="327"/>
    </row>
    <row r="63" spans="1:35">
      <c r="A63" s="199"/>
      <c r="B63" s="206" t="s">
        <v>46</v>
      </c>
      <c r="C63" s="206" t="s">
        <v>47</v>
      </c>
      <c r="D63" s="266" t="s">
        <v>48</v>
      </c>
      <c r="E63" s="206" t="s">
        <v>49</v>
      </c>
      <c r="F63" s="206" t="s">
        <v>50</v>
      </c>
      <c r="G63" s="207" t="s">
        <v>51</v>
      </c>
      <c r="H63" s="207" t="s">
        <v>183</v>
      </c>
      <c r="I63" s="207" t="s">
        <v>184</v>
      </c>
      <c r="J63" s="207" t="s">
        <v>185</v>
      </c>
      <c r="K63" s="267" t="s">
        <v>186</v>
      </c>
      <c r="L63" s="267" t="s">
        <v>187</v>
      </c>
      <c r="M63" s="268" t="s">
        <v>188</v>
      </c>
      <c r="N63" s="207" t="s">
        <v>189</v>
      </c>
      <c r="O63" s="207" t="s">
        <v>190</v>
      </c>
      <c r="P63" s="207" t="s">
        <v>191</v>
      </c>
      <c r="Q63" s="207" t="s">
        <v>192</v>
      </c>
      <c r="R63" s="207" t="s">
        <v>193</v>
      </c>
      <c r="S63" s="207" t="s">
        <v>194</v>
      </c>
      <c r="T63" s="207" t="s">
        <v>195</v>
      </c>
      <c r="U63" s="267" t="s">
        <v>196</v>
      </c>
      <c r="V63" s="268" t="s">
        <v>197</v>
      </c>
      <c r="W63" s="268" t="s">
        <v>198</v>
      </c>
      <c r="X63" s="207" t="s">
        <v>199</v>
      </c>
      <c r="Y63" s="207" t="s">
        <v>200</v>
      </c>
      <c r="Z63" s="207" t="s">
        <v>201</v>
      </c>
      <c r="AA63" s="320"/>
      <c r="AB63" s="207"/>
    </row>
    <row r="64" spans="1:35">
      <c r="A64" s="199" t="s">
        <v>55</v>
      </c>
      <c r="B64" s="206" t="s">
        <v>202</v>
      </c>
      <c r="C64" s="206"/>
      <c r="D64" s="288" t="s">
        <v>203</v>
      </c>
      <c r="E64" s="206" t="s">
        <v>204</v>
      </c>
      <c r="F64" s="206" t="s">
        <v>205</v>
      </c>
      <c r="G64" s="207" t="s">
        <v>206</v>
      </c>
      <c r="H64" s="206" t="s">
        <v>207</v>
      </c>
      <c r="I64" s="206" t="s">
        <v>208</v>
      </c>
      <c r="J64" s="206" t="s">
        <v>209</v>
      </c>
      <c r="K64" s="206" t="s">
        <v>210</v>
      </c>
      <c r="L64" s="206" t="s">
        <v>211</v>
      </c>
      <c r="M64" s="269" t="s">
        <v>212</v>
      </c>
      <c r="N64" s="206" t="s">
        <v>203</v>
      </c>
      <c r="O64" s="206" t="s">
        <v>204</v>
      </c>
      <c r="P64" s="207" t="s">
        <v>205</v>
      </c>
      <c r="Q64" s="207" t="s">
        <v>206</v>
      </c>
      <c r="R64" s="206" t="s">
        <v>207</v>
      </c>
      <c r="S64" s="206" t="s">
        <v>208</v>
      </c>
      <c r="T64" s="206" t="s">
        <v>209</v>
      </c>
      <c r="U64" s="206" t="s">
        <v>211</v>
      </c>
      <c r="V64" s="269" t="s">
        <v>212</v>
      </c>
      <c r="W64" s="207" t="s">
        <v>213</v>
      </c>
      <c r="X64" s="269" t="s">
        <v>214</v>
      </c>
      <c r="Y64" s="206" t="s">
        <v>215</v>
      </c>
      <c r="Z64" s="206" t="s">
        <v>216</v>
      </c>
    </row>
    <row r="65" spans="1:29" ht="13.5" thickBot="1">
      <c r="A65" s="200" t="s">
        <v>60</v>
      </c>
      <c r="B65" s="270" t="s">
        <v>217</v>
      </c>
      <c r="C65" s="271" t="s">
        <v>218</v>
      </c>
      <c r="D65" s="272" t="s">
        <v>219</v>
      </c>
      <c r="E65" s="271" t="s">
        <v>220</v>
      </c>
      <c r="F65" s="271" t="s">
        <v>220</v>
      </c>
      <c r="G65" s="208" t="s">
        <v>220</v>
      </c>
      <c r="H65" s="271" t="s">
        <v>220</v>
      </c>
      <c r="I65" s="271" t="s">
        <v>221</v>
      </c>
      <c r="J65" s="271" t="s">
        <v>220</v>
      </c>
      <c r="K65" s="271" t="s">
        <v>222</v>
      </c>
      <c r="L65" s="271" t="s">
        <v>220</v>
      </c>
      <c r="M65" s="273"/>
      <c r="N65" s="208" t="s">
        <v>219</v>
      </c>
      <c r="O65" s="208" t="s">
        <v>220</v>
      </c>
      <c r="P65" s="208" t="s">
        <v>220</v>
      </c>
      <c r="Q65" s="208" t="s">
        <v>220</v>
      </c>
      <c r="R65" s="271" t="s">
        <v>220</v>
      </c>
      <c r="S65" s="271" t="s">
        <v>221</v>
      </c>
      <c r="T65" s="271" t="s">
        <v>220</v>
      </c>
      <c r="U65" s="271" t="s">
        <v>220</v>
      </c>
      <c r="V65" s="273"/>
      <c r="W65" s="271" t="s">
        <v>223</v>
      </c>
      <c r="X65" s="273" t="s">
        <v>224</v>
      </c>
      <c r="Y65" s="205" t="s">
        <v>225</v>
      </c>
      <c r="Z65" s="205" t="s">
        <v>226</v>
      </c>
    </row>
    <row r="66" spans="1:29">
      <c r="A66" s="199">
        <v>1</v>
      </c>
      <c r="B66" s="301">
        <v>10000</v>
      </c>
      <c r="C66" s="228">
        <f>+B66*730*0.35</f>
        <v>2555000</v>
      </c>
      <c r="D66" s="276">
        <f>+$G$80+$B66*$G$81+($C66*$G$84)/100</f>
        <v>161243.25</v>
      </c>
      <c r="E66" s="275">
        <f>+$C66*$G$88/100</f>
        <v>96221.3</v>
      </c>
      <c r="F66" s="275">
        <f>+$B66*$G$91</f>
        <v>7100</v>
      </c>
      <c r="G66" s="275">
        <f>+$B66*$G$92</f>
        <v>1900</v>
      </c>
      <c r="H66" s="275">
        <f>+$C66*$G$94/100</f>
        <v>1890.7</v>
      </c>
      <c r="I66" s="275">
        <f>+$B66*$G$93</f>
        <v>3100</v>
      </c>
      <c r="J66" s="275">
        <f>+$B66*$G$95</f>
        <v>1200</v>
      </c>
      <c r="K66" s="275">
        <f>+$C66*$G$96/100</f>
        <v>0</v>
      </c>
      <c r="L66" s="275">
        <f>+SUM(D66:K66)*0.025641</f>
        <v>6991.15326525</v>
      </c>
      <c r="M66" s="275">
        <f>SUM(D66:L66)</f>
        <v>279646.40326524997</v>
      </c>
      <c r="N66" s="276">
        <f>+$L$80+$B66*$L$81+($C66*$L$84)/100</f>
        <v>161243.25</v>
      </c>
      <c r="O66" s="275">
        <f>+$C66*$L$88/100</f>
        <v>96221.3</v>
      </c>
      <c r="P66" s="275">
        <f>+$B66*$L$91</f>
        <v>7100</v>
      </c>
      <c r="Q66" s="275">
        <f>+$B66*$L$92</f>
        <v>1900</v>
      </c>
      <c r="R66" s="275">
        <f>+$C66*$L$94/100</f>
        <v>1890.7</v>
      </c>
      <c r="S66" s="275">
        <f>+$B66*$L$93</f>
        <v>3100</v>
      </c>
      <c r="T66" s="275">
        <f>+$B66*$L$95</f>
        <v>1200</v>
      </c>
      <c r="U66" s="275">
        <f>+SUM(N66:T66)*0.025641</f>
        <v>6991.15326525</v>
      </c>
      <c r="V66" s="275">
        <f>SUM(N66:U66)</f>
        <v>279646.40326524997</v>
      </c>
      <c r="W66" s="274">
        <f>V66-M66</f>
        <v>0</v>
      </c>
      <c r="X66" s="277">
        <f>+W66/M66</f>
        <v>0</v>
      </c>
      <c r="Y66" s="290">
        <f>+M66/C66 *100</f>
        <v>10.945064707054794</v>
      </c>
      <c r="Z66" s="308">
        <f>+V66/C66*100</f>
        <v>10.945064707054794</v>
      </c>
      <c r="AA66" s="233"/>
    </row>
    <row r="67" spans="1:29">
      <c r="A67" s="199">
        <v>2</v>
      </c>
      <c r="B67" s="301">
        <v>10000</v>
      </c>
      <c r="C67" s="228">
        <f>+B67*730*0.6</f>
        <v>4380000</v>
      </c>
      <c r="D67" s="274">
        <f>+$G$80+$B67*$G$81+($C67*$G$84)/100</f>
        <v>182468</v>
      </c>
      <c r="E67" s="275">
        <f>+$C67*$G$88/100</f>
        <v>164950.79999999999</v>
      </c>
      <c r="F67" s="275">
        <f>+$B67*$G$91</f>
        <v>7100</v>
      </c>
      <c r="G67" s="275">
        <f>+$B67*$G$92</f>
        <v>1900</v>
      </c>
      <c r="H67" s="275">
        <f>+$C67*$G$94/100</f>
        <v>3241.2</v>
      </c>
      <c r="I67" s="275">
        <f>+$B67*$G$93</f>
        <v>3100</v>
      </c>
      <c r="J67" s="275">
        <f>+$B67*$G$95</f>
        <v>1200</v>
      </c>
      <c r="K67" s="275">
        <f t="shared" ref="K67:K76" si="2">+$C67*$G$96/100</f>
        <v>0</v>
      </c>
      <c r="L67" s="275">
        <f t="shared" ref="L67:L76" si="3">+SUM(D67:K67)*0.025641</f>
        <v>9332.2983600000007</v>
      </c>
      <c r="M67" s="275">
        <f>SUM(D67:L67)</f>
        <v>373292.29836000002</v>
      </c>
      <c r="N67" s="274">
        <f>+$L$80+$B67*$L$81+($C67*$L$84)/100</f>
        <v>182468</v>
      </c>
      <c r="O67" s="275">
        <f>+$C67*$L$88/100</f>
        <v>164950.79999999999</v>
      </c>
      <c r="P67" s="275">
        <f>+$B67*$L$91</f>
        <v>7100</v>
      </c>
      <c r="Q67" s="275">
        <f>+$B67*$L$92</f>
        <v>1900</v>
      </c>
      <c r="R67" s="275">
        <f>+$C67*$L$94/100</f>
        <v>3241.2</v>
      </c>
      <c r="S67" s="275">
        <f>+$B67*$L$93</f>
        <v>3100</v>
      </c>
      <c r="T67" s="275">
        <f>+$B67*$L$95</f>
        <v>1200</v>
      </c>
      <c r="U67" s="275">
        <f>+SUM(N67:T67)*0.025641</f>
        <v>9332.2983600000007</v>
      </c>
      <c r="V67" s="275">
        <f>SUM(N67:U67)</f>
        <v>373292.29836000002</v>
      </c>
      <c r="W67" s="274">
        <f>+V67-M67</f>
        <v>0</v>
      </c>
      <c r="X67" s="277">
        <f>+W67/M67</f>
        <v>0</v>
      </c>
      <c r="Y67" s="291">
        <f>+M67/C67 *100</f>
        <v>8.5226552136986307</v>
      </c>
      <c r="Z67" s="308">
        <f>+V67/C67*100</f>
        <v>8.5226552136986307</v>
      </c>
      <c r="AA67" s="258"/>
      <c r="AB67" s="309"/>
    </row>
    <row r="68" spans="1:29">
      <c r="A68" s="199">
        <v>3</v>
      </c>
      <c r="B68" s="301">
        <v>10000</v>
      </c>
      <c r="C68" s="228">
        <f>+B68*730*0.9</f>
        <v>6570000</v>
      </c>
      <c r="D68" s="274">
        <f>+$H$80+($B68*$H$82+$B68*$H83)+$C68/100*$H$85*0.25+$C68/100*H86*0.4+$C68/100*H87*0.35</f>
        <v>209356.82</v>
      </c>
      <c r="E68" s="275">
        <f>+$C68*$H$89/100*0.25+C68*$H$90/100*0.75</f>
        <v>246539.25</v>
      </c>
      <c r="F68" s="275">
        <f>+$B68*$G$91</f>
        <v>7100</v>
      </c>
      <c r="G68" s="275">
        <f>+$B68*$H$92</f>
        <v>1900</v>
      </c>
      <c r="H68" s="275">
        <f>+$C68*$H$94/100</f>
        <v>4861.8</v>
      </c>
      <c r="I68" s="275">
        <f>+$B68*$H$93</f>
        <v>3100</v>
      </c>
      <c r="J68" s="275">
        <f>+$B68*$H$95</f>
        <v>1200</v>
      </c>
      <c r="K68" s="275">
        <f t="shared" si="2"/>
        <v>0</v>
      </c>
      <c r="L68" s="275">
        <f t="shared" si="3"/>
        <v>12155.31784467</v>
      </c>
      <c r="M68" s="275">
        <f>SUM(D68:L68)</f>
        <v>486213.18784466997</v>
      </c>
      <c r="N68" s="274">
        <f>+$M$80+($B68*$M$82+$B68*$M83)+$C68/100*$M$85*0.25+$C68/100*M86*0.4+$C68/100*M87*0.35</f>
        <v>209356.82</v>
      </c>
      <c r="O68" s="275">
        <f>+$C68*$M$89/100*0.25+C68*$M$90/100*0.75</f>
        <v>246539.25</v>
      </c>
      <c r="P68" s="275">
        <f>+$B68*$L$91</f>
        <v>7100</v>
      </c>
      <c r="Q68" s="275">
        <f>+$B68*$M$92</f>
        <v>1900</v>
      </c>
      <c r="R68" s="275">
        <f>+$C68*$M$94/100</f>
        <v>4861.8</v>
      </c>
      <c r="S68" s="275">
        <f>+$B68*$M$93</f>
        <v>3100</v>
      </c>
      <c r="T68" s="275">
        <f>+$B68*$M$95</f>
        <v>1200</v>
      </c>
      <c r="U68" s="275">
        <f>+SUM(N68:T68)*0.025641</f>
        <v>12155.31784467</v>
      </c>
      <c r="V68" s="275">
        <f>SUM(N68:U68)</f>
        <v>486213.18784466997</v>
      </c>
      <c r="W68" s="274">
        <f>+V68-M68</f>
        <v>0</v>
      </c>
      <c r="X68" s="277">
        <f>+W68/M68</f>
        <v>0</v>
      </c>
      <c r="Y68" s="291">
        <f>+M68/C68 *100</f>
        <v>7.4005051422324195</v>
      </c>
      <c r="Z68" s="308">
        <f>+V68/C68*100</f>
        <v>7.4005051422324195</v>
      </c>
      <c r="AA68" s="258"/>
      <c r="AB68" s="310"/>
    </row>
    <row r="69" spans="1:29">
      <c r="A69" s="199">
        <v>4</v>
      </c>
      <c r="D69" s="311"/>
      <c r="E69" s="312"/>
      <c r="F69" s="275"/>
      <c r="G69" s="312"/>
      <c r="H69" s="312"/>
      <c r="I69" s="312"/>
      <c r="J69" s="275"/>
      <c r="K69" s="275"/>
      <c r="L69" s="275"/>
      <c r="M69" s="312"/>
      <c r="N69" s="311"/>
      <c r="O69" s="312"/>
      <c r="P69" s="275"/>
      <c r="Q69" s="312"/>
      <c r="R69" s="312"/>
      <c r="S69" s="312"/>
      <c r="T69" s="275"/>
      <c r="U69" s="275"/>
      <c r="V69" s="312"/>
      <c r="W69" s="274"/>
      <c r="X69" s="277"/>
      <c r="Y69" s="313"/>
      <c r="Z69" s="314"/>
      <c r="AA69" s="258"/>
      <c r="AB69" s="310"/>
      <c r="AC69" s="233"/>
    </row>
    <row r="70" spans="1:29">
      <c r="A70" s="199">
        <v>5</v>
      </c>
      <c r="B70" s="304">
        <v>12500</v>
      </c>
      <c r="C70" s="228">
        <f>+B70*730*0.35</f>
        <v>3193750</v>
      </c>
      <c r="D70" s="274">
        <f>+$G$80+$B70*$G$81+($C70*$G$84)/100</f>
        <v>200596.91250000001</v>
      </c>
      <c r="E70" s="275">
        <f>+$C70*$G$88/100</f>
        <v>120276.625</v>
      </c>
      <c r="F70" s="275">
        <f>+$B70*$G$91</f>
        <v>8875</v>
      </c>
      <c r="G70" s="275">
        <f>+$B70*$G$92</f>
        <v>2375</v>
      </c>
      <c r="H70" s="275">
        <f>+$C70*$G$94/100</f>
        <v>2363.375</v>
      </c>
      <c r="I70" s="275">
        <f>+$B70*$G$93</f>
        <v>3875</v>
      </c>
      <c r="J70" s="275">
        <f>+$B70*$G$95</f>
        <v>1500</v>
      </c>
      <c r="K70" s="275">
        <f t="shared" si="2"/>
        <v>0</v>
      </c>
      <c r="L70" s="275">
        <f t="shared" si="3"/>
        <v>8714.3992984124998</v>
      </c>
      <c r="M70" s="275">
        <f>SUM(D70:L70)</f>
        <v>348576.31179841247</v>
      </c>
      <c r="N70" s="274">
        <f>+$L$80+$B70*$L$81+($C70*$L$84)/100</f>
        <v>200596.91250000001</v>
      </c>
      <c r="O70" s="275">
        <f>+$C70*$L$88/100</f>
        <v>120276.625</v>
      </c>
      <c r="P70" s="275">
        <f>+$B70*$L$91</f>
        <v>8875</v>
      </c>
      <c r="Q70" s="275">
        <f>+$B70*$L$92</f>
        <v>2375</v>
      </c>
      <c r="R70" s="275">
        <f>+$C70*$L$94/100</f>
        <v>2363.375</v>
      </c>
      <c r="S70" s="275">
        <f>+$B70*$L$93</f>
        <v>3875</v>
      </c>
      <c r="T70" s="275">
        <f>+$B70*$L$95</f>
        <v>1500</v>
      </c>
      <c r="U70" s="275">
        <f>+SUM(N70:T70)*0.025641</f>
        <v>8714.3992984124998</v>
      </c>
      <c r="V70" s="275">
        <f>SUM(N70:U70)</f>
        <v>348576.31179841247</v>
      </c>
      <c r="W70" s="274">
        <f>+V70-M70</f>
        <v>0</v>
      </c>
      <c r="X70" s="277">
        <f>+W70/M70</f>
        <v>0</v>
      </c>
      <c r="Y70" s="291">
        <f>+M70/C70 *100</f>
        <v>10.91432678820861</v>
      </c>
      <c r="Z70" s="308">
        <f>+V70/C70*100</f>
        <v>10.91432678820861</v>
      </c>
      <c r="AC70" s="258"/>
    </row>
    <row r="71" spans="1:29">
      <c r="A71" s="199">
        <v>6</v>
      </c>
      <c r="B71" s="304">
        <v>12500</v>
      </c>
      <c r="C71" s="228">
        <f>+B71*730*0.6</f>
        <v>5475000</v>
      </c>
      <c r="D71" s="274">
        <f>+$G$80+$B71*$G$81+($C71*$G$84)/100</f>
        <v>227127.85</v>
      </c>
      <c r="E71" s="275">
        <f>+$C71*$G$88/100</f>
        <v>206188.5</v>
      </c>
      <c r="F71" s="275">
        <f>+$B71*$G$91</f>
        <v>8875</v>
      </c>
      <c r="G71" s="275">
        <f>+$B71*$G$92</f>
        <v>2375</v>
      </c>
      <c r="H71" s="275">
        <f>+$C71*$G$94/100</f>
        <v>4051.5</v>
      </c>
      <c r="I71" s="275">
        <f>+$B71*$G$93</f>
        <v>3875</v>
      </c>
      <c r="J71" s="275">
        <f>+$B71*$G$95</f>
        <v>1500</v>
      </c>
      <c r="K71" s="275">
        <f t="shared" si="2"/>
        <v>0</v>
      </c>
      <c r="L71" s="275">
        <f t="shared" si="3"/>
        <v>11640.830666849999</v>
      </c>
      <c r="M71" s="275">
        <f>SUM(D71:L71)</f>
        <v>465633.68066684995</v>
      </c>
      <c r="N71" s="274">
        <f>+$L$80+$B71*$L$81+($C71*$L$84)/100</f>
        <v>227127.85</v>
      </c>
      <c r="O71" s="275">
        <f>+$C71*$L$88/100</f>
        <v>206188.5</v>
      </c>
      <c r="P71" s="275">
        <f>+$B71*$L$91</f>
        <v>8875</v>
      </c>
      <c r="Q71" s="275">
        <f>+$B71*$L$92</f>
        <v>2375</v>
      </c>
      <c r="R71" s="275">
        <f>+$C71*$L$94/100</f>
        <v>4051.5</v>
      </c>
      <c r="S71" s="275">
        <f>+$B71*$L$93</f>
        <v>3875</v>
      </c>
      <c r="T71" s="275">
        <f>+$B71*$L$95</f>
        <v>1500</v>
      </c>
      <c r="U71" s="275">
        <f>+SUM(N71:T71)*0.025641</f>
        <v>11640.830666849999</v>
      </c>
      <c r="V71" s="275">
        <f>SUM(N71:U71)</f>
        <v>465633.68066684995</v>
      </c>
      <c r="W71" s="274">
        <f>+V71-M71</f>
        <v>0</v>
      </c>
      <c r="X71" s="277">
        <f>+W71/M71</f>
        <v>0</v>
      </c>
      <c r="Y71" s="291">
        <f>+M71/C71 *100</f>
        <v>8.5047247610383554</v>
      </c>
      <c r="Z71" s="308">
        <f>+V71/C71*100</f>
        <v>8.5047247610383554</v>
      </c>
      <c r="AA71" s="258"/>
      <c r="AC71" s="258"/>
    </row>
    <row r="72" spans="1:29">
      <c r="A72" s="199">
        <v>7</v>
      </c>
      <c r="B72" s="304">
        <v>12500</v>
      </c>
      <c r="C72" s="228">
        <f>+B72*730*0.9</f>
        <v>8212500</v>
      </c>
      <c r="D72" s="274">
        <f>+$H$80+($B72*$H$82+$B72*$H83)+$C72/100*$H$85*0.25+$C72/100*H86*0.4+$C72/100*H87*0.35</f>
        <v>260738.875</v>
      </c>
      <c r="E72" s="275">
        <f>+$C72*$H$89/100*0.25+C72*$H$90/100*0.75</f>
        <v>308174.0625</v>
      </c>
      <c r="F72" s="275">
        <f>+$B72*$G$91</f>
        <v>8875</v>
      </c>
      <c r="G72" s="275">
        <f>+$B72*$H$92</f>
        <v>2375</v>
      </c>
      <c r="H72" s="275">
        <f>+$C72*$H$94/100</f>
        <v>6077.25</v>
      </c>
      <c r="I72" s="275">
        <f>+$B72*$H$93</f>
        <v>3875</v>
      </c>
      <c r="J72" s="275">
        <f>+$B72*$H$95</f>
        <v>1500</v>
      </c>
      <c r="K72" s="275">
        <f t="shared" si="2"/>
        <v>0</v>
      </c>
      <c r="L72" s="275">
        <f t="shared" si="3"/>
        <v>15169.6050226875</v>
      </c>
      <c r="M72" s="275">
        <f>SUM(D72:L72)</f>
        <v>606784.79252268746</v>
      </c>
      <c r="N72" s="274">
        <f>+$M$80+($B72*$M$82+$B72*$M83)+$C72/100*$M$85*0.25+$C72/100*M86*0.4+$C72/100*M87*0.35</f>
        <v>260738.875</v>
      </c>
      <c r="O72" s="275">
        <f>+$C72*$M$89/100*0.25+C72*$M$90/100*0.75</f>
        <v>308174.0625</v>
      </c>
      <c r="P72" s="275">
        <f>+$B72*$L$91</f>
        <v>8875</v>
      </c>
      <c r="Q72" s="275">
        <f>+$B72*$M$92</f>
        <v>2375</v>
      </c>
      <c r="R72" s="275">
        <f>+$C72*$M$94/100</f>
        <v>6077.25</v>
      </c>
      <c r="S72" s="275">
        <f>+$B72*$M$93</f>
        <v>3875</v>
      </c>
      <c r="T72" s="275">
        <f>+$B72*$M$95</f>
        <v>1500</v>
      </c>
      <c r="U72" s="275">
        <f>+SUM(N72:T72)*0.025641</f>
        <v>15169.6050226875</v>
      </c>
      <c r="V72" s="275">
        <f>SUM(N72:U72)</f>
        <v>606784.79252268746</v>
      </c>
      <c r="W72" s="274">
        <f>+V72-M72</f>
        <v>0</v>
      </c>
      <c r="X72" s="277">
        <f>+W72/M72</f>
        <v>0</v>
      </c>
      <c r="Y72" s="291">
        <f>+M72/C72 *100</f>
        <v>7.3885515071255705</v>
      </c>
      <c r="Z72" s="308">
        <f>+V72/C72*100</f>
        <v>7.3885515071255705</v>
      </c>
      <c r="AA72" s="258"/>
      <c r="AC72" s="258"/>
    </row>
    <row r="73" spans="1:29">
      <c r="A73" s="199">
        <v>8</v>
      </c>
      <c r="D73" s="311"/>
      <c r="E73" s="312"/>
      <c r="F73" s="275"/>
      <c r="G73" s="312"/>
      <c r="H73" s="312"/>
      <c r="I73" s="312"/>
      <c r="J73" s="275"/>
      <c r="K73" s="275"/>
      <c r="L73" s="275"/>
      <c r="M73" s="312"/>
      <c r="N73" s="311"/>
      <c r="O73" s="312"/>
      <c r="P73" s="275"/>
      <c r="Q73" s="312"/>
      <c r="R73" s="312"/>
      <c r="S73" s="312"/>
      <c r="T73" s="275"/>
      <c r="U73" s="275"/>
      <c r="V73" s="312"/>
      <c r="W73" s="274"/>
      <c r="X73" s="277"/>
      <c r="Y73" s="313"/>
      <c r="Z73" s="314"/>
      <c r="AA73" s="258"/>
    </row>
    <row r="74" spans="1:29">
      <c r="A74" s="199">
        <v>9</v>
      </c>
      <c r="B74" s="305">
        <v>15000</v>
      </c>
      <c r="C74" s="228">
        <f>+B74*730*0.35</f>
        <v>3832499.9999999995</v>
      </c>
      <c r="D74" s="274">
        <f>+$G$80+$B74*$G$81+($C74*$G$84)/100</f>
        <v>239950.57500000001</v>
      </c>
      <c r="E74" s="275">
        <f>+$C74*$G$88/100</f>
        <v>144331.94999999998</v>
      </c>
      <c r="F74" s="275">
        <f>+$B74*$G$91</f>
        <v>10650</v>
      </c>
      <c r="G74" s="275">
        <f>+$B74*$G$92</f>
        <v>2850</v>
      </c>
      <c r="H74" s="275">
        <f>+$C74*$G$94/100</f>
        <v>2836.0499999999993</v>
      </c>
      <c r="I74" s="275">
        <f>+$B74*$G$93</f>
        <v>4650</v>
      </c>
      <c r="J74" s="275">
        <f>+$B74*$G$95</f>
        <v>1800</v>
      </c>
      <c r="K74" s="275">
        <f t="shared" si="2"/>
        <v>0</v>
      </c>
      <c r="L74" s="275">
        <f t="shared" si="3"/>
        <v>10437.645331575</v>
      </c>
      <c r="M74" s="275">
        <f>SUM(D74:L74)</f>
        <v>417506.22033157502</v>
      </c>
      <c r="N74" s="274">
        <f>+$L$80+$B74*$L$81+($C74*$L$84)/100</f>
        <v>239950.57500000001</v>
      </c>
      <c r="O74" s="275">
        <f>+$C74*$L$88/100</f>
        <v>144331.94999999998</v>
      </c>
      <c r="P74" s="275">
        <f>+$B74*$L$91</f>
        <v>10650</v>
      </c>
      <c r="Q74" s="275">
        <f>+$B74*$L$92</f>
        <v>2850</v>
      </c>
      <c r="R74" s="275">
        <f>+$C74*$L$94/100</f>
        <v>2836.0499999999993</v>
      </c>
      <c r="S74" s="275">
        <f>+$B74*$L$93</f>
        <v>4650</v>
      </c>
      <c r="T74" s="275">
        <f>+$B74*$L$95</f>
        <v>1800</v>
      </c>
      <c r="U74" s="275">
        <f>+SUM(N74:T74)*0.025641</f>
        <v>10437.645331575</v>
      </c>
      <c r="V74" s="275">
        <f>SUM(N74:U74)</f>
        <v>417506.22033157502</v>
      </c>
      <c r="W74" s="274">
        <f>V74-M74</f>
        <v>0</v>
      </c>
      <c r="X74" s="277">
        <f>+W74/M74</f>
        <v>0</v>
      </c>
      <c r="Y74" s="291">
        <f>+M74/C74 *100</f>
        <v>10.893834842311156</v>
      </c>
      <c r="Z74" s="308">
        <f>+V74/C74*100</f>
        <v>10.893834842311156</v>
      </c>
      <c r="AB74" s="228"/>
      <c r="AC74" s="258"/>
    </row>
    <row r="75" spans="1:29">
      <c r="A75" s="199">
        <v>10</v>
      </c>
      <c r="B75" s="305">
        <v>15000</v>
      </c>
      <c r="C75" s="228">
        <f>+B75*730*0.6</f>
        <v>6570000</v>
      </c>
      <c r="D75" s="274">
        <f>+$G$80+$B75*$G$81+($C75*$G$84)/100</f>
        <v>271787.7</v>
      </c>
      <c r="E75" s="275">
        <f>+$C75*$G$88/100</f>
        <v>247426.2</v>
      </c>
      <c r="F75" s="275">
        <f>+$B75*$G$91</f>
        <v>10650</v>
      </c>
      <c r="G75" s="275">
        <f>+$B75*$G$92</f>
        <v>2850</v>
      </c>
      <c r="H75" s="275">
        <f>+$C75*$G$94/100</f>
        <v>4861.8</v>
      </c>
      <c r="I75" s="275">
        <f>+$B75*$G$93</f>
        <v>4650</v>
      </c>
      <c r="J75" s="275">
        <f>+$B75*$G$95</f>
        <v>1800</v>
      </c>
      <c r="K75" s="275">
        <f t="shared" si="2"/>
        <v>0</v>
      </c>
      <c r="L75" s="275">
        <f t="shared" si="3"/>
        <v>13949.362973700003</v>
      </c>
      <c r="M75" s="275">
        <f>SUM(D75:L75)</f>
        <v>557975.06297370011</v>
      </c>
      <c r="N75" s="274">
        <f>+$L$80+$B75*$L$81+($C75*$L$84)/100</f>
        <v>271787.7</v>
      </c>
      <c r="O75" s="275">
        <f>+$C75*$L$88/100</f>
        <v>247426.2</v>
      </c>
      <c r="P75" s="275">
        <f>+$B75*$L$91</f>
        <v>10650</v>
      </c>
      <c r="Q75" s="275">
        <f>+$B75*$L$92</f>
        <v>2850</v>
      </c>
      <c r="R75" s="275">
        <f>+$C75*$L$94/100</f>
        <v>4861.8</v>
      </c>
      <c r="S75" s="275">
        <f>+$B75*$L$93</f>
        <v>4650</v>
      </c>
      <c r="T75" s="275">
        <f>+$B75*$L$95</f>
        <v>1800</v>
      </c>
      <c r="U75" s="275">
        <f>+SUM(N75:T75)*0.025641</f>
        <v>13949.362973700003</v>
      </c>
      <c r="V75" s="275">
        <f>SUM(N75:U75)</f>
        <v>557975.06297370011</v>
      </c>
      <c r="W75" s="274">
        <f>+V75-M75</f>
        <v>0</v>
      </c>
      <c r="X75" s="277">
        <f>+W75/M75</f>
        <v>0</v>
      </c>
      <c r="Y75" s="291">
        <f>+M75/C75 *100</f>
        <v>8.4927711259315082</v>
      </c>
      <c r="Z75" s="308">
        <f>+V75/C75*100</f>
        <v>8.4927711259315082</v>
      </c>
      <c r="AA75" s="258"/>
      <c r="AB75" s="226"/>
      <c r="AC75" s="258"/>
    </row>
    <row r="76" spans="1:29">
      <c r="A76" s="199">
        <v>11</v>
      </c>
      <c r="B76" s="305">
        <v>15000</v>
      </c>
      <c r="C76" s="228">
        <f>+B76*730*0.9</f>
        <v>9855000</v>
      </c>
      <c r="D76" s="274">
        <f>+$H$80+($B76*$H$82+$B76*$H83)+$C76/100*$H$85*0.25+$C76/100*H86*0.4+$C76/100*H87*0.35</f>
        <v>312120.93</v>
      </c>
      <c r="E76" s="275">
        <f>+$C76*$H$89/100*0.25+C76*$H$90/100*0.75</f>
        <v>369808.87499999994</v>
      </c>
      <c r="F76" s="275">
        <f>+$B76*$G$91</f>
        <v>10650</v>
      </c>
      <c r="G76" s="275">
        <f>+$B76*$H$92</f>
        <v>2850</v>
      </c>
      <c r="H76" s="275">
        <f>+$C76*$H$94/100</f>
        <v>7292.7</v>
      </c>
      <c r="I76" s="275">
        <f>+$B76*$H$93</f>
        <v>4650</v>
      </c>
      <c r="J76" s="275">
        <f>+$B76*$H$95</f>
        <v>1800</v>
      </c>
      <c r="K76" s="275">
        <f t="shared" si="2"/>
        <v>0</v>
      </c>
      <c r="L76" s="275">
        <f t="shared" si="3"/>
        <v>18183.892200704999</v>
      </c>
      <c r="M76" s="275">
        <f>SUM(D76:L76)</f>
        <v>727356.3972007049</v>
      </c>
      <c r="N76" s="274">
        <f>+$M$80+($B76*$M$82+$B76*$M83)+$C76/100*$M$85*0.25+$C76/100*M86*0.4+$C76/100*M87*0.35</f>
        <v>312120.93</v>
      </c>
      <c r="O76" s="275">
        <f>+$C76*$M$89/100*0.25+C76*$M$90/100*0.75</f>
        <v>369808.87499999994</v>
      </c>
      <c r="P76" s="275">
        <f>+$B76*$L$91</f>
        <v>10650</v>
      </c>
      <c r="Q76" s="275">
        <f>+$B76*$M$92</f>
        <v>2850</v>
      </c>
      <c r="R76" s="275">
        <f>+$C76*$M$94/100</f>
        <v>7292.7</v>
      </c>
      <c r="S76" s="275">
        <f>+$B76*$M$93</f>
        <v>4650</v>
      </c>
      <c r="T76" s="275">
        <f>+$B76*$M$95</f>
        <v>1800</v>
      </c>
      <c r="U76" s="275">
        <f>+SUM(N76:T76)*0.025641</f>
        <v>18183.892200704999</v>
      </c>
      <c r="V76" s="275">
        <f>SUM(N76:U76)</f>
        <v>727356.3972007049</v>
      </c>
      <c r="W76" s="274">
        <f>V76-M76</f>
        <v>0</v>
      </c>
      <c r="X76" s="277">
        <f>+W76/M76</f>
        <v>0</v>
      </c>
      <c r="Y76" s="291">
        <f>+M76/C76 *100</f>
        <v>7.3805824170543364</v>
      </c>
      <c r="Z76" s="308">
        <f>+V76/C76*100</f>
        <v>7.3805824170543364</v>
      </c>
      <c r="AA76" s="258"/>
      <c r="AB76" s="226"/>
      <c r="AC76" s="258"/>
    </row>
    <row r="77" spans="1:29">
      <c r="A77" s="199">
        <v>12</v>
      </c>
      <c r="D77" s="317"/>
      <c r="E77" s="317"/>
      <c r="F77" s="317"/>
      <c r="G77" s="317"/>
      <c r="H77" s="317"/>
      <c r="I77" s="317"/>
      <c r="J77" s="317"/>
      <c r="K77" s="317"/>
      <c r="L77" s="317"/>
      <c r="M77" s="317"/>
      <c r="N77" s="317"/>
      <c r="O77" s="317"/>
      <c r="P77" s="317"/>
      <c r="Q77" s="317"/>
      <c r="R77" s="317"/>
      <c r="S77" s="317"/>
      <c r="T77" s="317"/>
      <c r="U77" s="317"/>
      <c r="V77" s="317"/>
      <c r="W77" s="317"/>
      <c r="X77" s="215"/>
      <c r="Y77" s="277"/>
      <c r="Z77" s="228"/>
      <c r="AA77" s="258"/>
      <c r="AB77" s="226"/>
    </row>
    <row r="78" spans="1:29">
      <c r="A78" s="199">
        <v>13</v>
      </c>
      <c r="G78" s="325" t="s">
        <v>215</v>
      </c>
      <c r="H78" s="325"/>
      <c r="I78" s="325"/>
      <c r="J78" s="206"/>
      <c r="K78" s="206"/>
      <c r="L78" s="325" t="s">
        <v>216</v>
      </c>
      <c r="M78" s="325"/>
      <c r="N78" s="325"/>
      <c r="R78" s="199"/>
      <c r="AB78" s="258"/>
    </row>
    <row r="79" spans="1:29">
      <c r="A79" s="199">
        <v>14</v>
      </c>
      <c r="C79" s="206"/>
      <c r="D79" s="206"/>
      <c r="E79" s="206"/>
      <c r="F79" s="206"/>
      <c r="G79" s="206" t="s">
        <v>40</v>
      </c>
      <c r="H79" s="206" t="s">
        <v>269</v>
      </c>
      <c r="I79" s="206"/>
      <c r="J79" s="206"/>
      <c r="K79" s="206"/>
      <c r="L79" s="206" t="s">
        <v>40</v>
      </c>
      <c r="M79" s="206" t="s">
        <v>269</v>
      </c>
      <c r="N79" s="199"/>
      <c r="AB79" s="258"/>
    </row>
    <row r="80" spans="1:29">
      <c r="A80" s="199">
        <v>15</v>
      </c>
      <c r="C80" s="204" t="s">
        <v>228</v>
      </c>
      <c r="D80" s="206"/>
      <c r="E80" s="206"/>
      <c r="F80" s="206"/>
      <c r="G80" s="283">
        <f>+ROUND('Rate Impacts'!I398,2)*30</f>
        <v>3828.6000000000004</v>
      </c>
      <c r="H80" s="283">
        <f>+ROUND('Rate Impacts'!I399,2)*30</f>
        <v>3828.6000000000004</v>
      </c>
      <c r="I80" s="204" t="s">
        <v>229</v>
      </c>
      <c r="J80" s="204"/>
      <c r="K80" s="204"/>
      <c r="L80" s="282">
        <f>+ROUND('Scenario GSLDSU Rates'!Q18,2)*30</f>
        <v>3828.6000000000004</v>
      </c>
      <c r="M80" s="282">
        <f>+ROUND('Scenario GSLDSU Rates'!Q19,2)*30</f>
        <v>3828.6000000000004</v>
      </c>
      <c r="N80" s="204" t="s">
        <v>229</v>
      </c>
      <c r="AB80" s="258"/>
    </row>
    <row r="81" spans="1:27">
      <c r="A81" s="199">
        <v>16</v>
      </c>
      <c r="C81" s="204" t="s">
        <v>230</v>
      </c>
      <c r="D81" s="206"/>
      <c r="G81" s="283">
        <f>+ROUND('Rate Impacts'!I408,2)</f>
        <v>12.77</v>
      </c>
      <c r="H81" s="283">
        <v>0</v>
      </c>
      <c r="I81" s="204" t="s">
        <v>101</v>
      </c>
      <c r="J81" s="204"/>
      <c r="K81" s="204"/>
      <c r="L81" s="282">
        <f>ROUND(+'Scenario GSLDSU Rates'!Q30,2)</f>
        <v>12.77</v>
      </c>
      <c r="M81" s="282">
        <v>0</v>
      </c>
      <c r="N81" s="204" t="s">
        <v>101</v>
      </c>
      <c r="S81" s="215"/>
      <c r="T81" s="215"/>
      <c r="U81" s="215"/>
      <c r="V81" s="215"/>
      <c r="W81" s="215"/>
      <c r="X81" s="228"/>
      <c r="Y81" s="277"/>
      <c r="Z81" s="228"/>
      <c r="AA81" s="228"/>
    </row>
    <row r="82" spans="1:27">
      <c r="A82" s="199">
        <v>17</v>
      </c>
      <c r="C82" s="204" t="s">
        <v>261</v>
      </c>
      <c r="D82" s="206"/>
      <c r="G82" s="283">
        <v>0</v>
      </c>
      <c r="H82" s="283">
        <f>+ROUND('Rate Impacts'!I409,2)</f>
        <v>1.55</v>
      </c>
      <c r="I82" s="204" t="s">
        <v>101</v>
      </c>
      <c r="J82" s="204"/>
      <c r="K82" s="204"/>
      <c r="L82" s="282">
        <v>0</v>
      </c>
      <c r="M82" s="282">
        <f>+ROUND('Scenario GSLDSU Rates'!Q31,2)</f>
        <v>1.55</v>
      </c>
      <c r="N82" s="204" t="s">
        <v>101</v>
      </c>
      <c r="S82" s="215"/>
      <c r="T82" s="215"/>
      <c r="U82" s="215"/>
      <c r="V82" s="215"/>
      <c r="W82" s="215"/>
      <c r="X82" s="228"/>
      <c r="Y82" s="277"/>
      <c r="Z82" s="228"/>
      <c r="AA82" s="228"/>
    </row>
    <row r="83" spans="1:27">
      <c r="A83" s="199">
        <v>18</v>
      </c>
      <c r="C83" s="204" t="s">
        <v>262</v>
      </c>
      <c r="D83" s="206"/>
      <c r="G83" s="283">
        <v>0</v>
      </c>
      <c r="H83" s="283">
        <f>+ROUND('Rate Impacts'!I410,2)</f>
        <v>11.22</v>
      </c>
      <c r="I83" s="204" t="s">
        <v>101</v>
      </c>
      <c r="J83" s="204"/>
      <c r="K83" s="204"/>
      <c r="L83" s="282">
        <v>0</v>
      </c>
      <c r="M83" s="282">
        <f>+ROUND('Scenario GSLDSU Rates'!Q32,2)</f>
        <v>11.22</v>
      </c>
      <c r="N83" s="204" t="s">
        <v>101</v>
      </c>
      <c r="S83" s="215"/>
      <c r="T83" s="215"/>
      <c r="U83" s="215"/>
      <c r="V83" s="215"/>
      <c r="W83" s="215"/>
      <c r="X83" s="228"/>
      <c r="Y83" s="277"/>
      <c r="Z83" s="228"/>
      <c r="AA83" s="228"/>
    </row>
    <row r="84" spans="1:27">
      <c r="A84" s="199">
        <v>19</v>
      </c>
      <c r="C84" s="204" t="s">
        <v>231</v>
      </c>
      <c r="D84" s="206"/>
      <c r="G84" s="297">
        <f>+ROUND('Rate Impacts'!I402,5)*100</f>
        <v>1.163</v>
      </c>
      <c r="H84" s="283">
        <v>0</v>
      </c>
      <c r="I84" s="204" t="s">
        <v>109</v>
      </c>
      <c r="J84" s="204"/>
      <c r="K84" s="204"/>
      <c r="L84" s="284">
        <f>+ROUND('Scenario GSLDSU Rates'!Q23,5)*100</f>
        <v>1.163</v>
      </c>
      <c r="M84" s="282">
        <v>0</v>
      </c>
      <c r="N84" s="204" t="s">
        <v>109</v>
      </c>
      <c r="S84" s="215"/>
      <c r="T84" s="215"/>
      <c r="U84" s="215"/>
      <c r="V84" s="215"/>
      <c r="W84" s="215"/>
      <c r="X84" s="228"/>
      <c r="Y84" s="277"/>
      <c r="Z84" s="228"/>
      <c r="AA84" s="228"/>
    </row>
    <row r="85" spans="1:27">
      <c r="A85" s="199">
        <v>20</v>
      </c>
      <c r="B85" s="305"/>
      <c r="C85" s="285" t="s">
        <v>249</v>
      </c>
      <c r="D85" s="206"/>
      <c r="G85" s="297">
        <v>0</v>
      </c>
      <c r="H85" s="297">
        <f>+ROUND('Rate Impacts'!I403,5)*100</f>
        <v>2.0950000000000002</v>
      </c>
      <c r="I85" s="204" t="s">
        <v>109</v>
      </c>
      <c r="J85" s="204"/>
      <c r="K85" s="204"/>
      <c r="L85" s="282">
        <v>0</v>
      </c>
      <c r="M85" s="284">
        <f>+ROUND('Scenario GSLDSU Rates'!Q24,5)*100</f>
        <v>2.0950000000000002</v>
      </c>
      <c r="N85" s="204" t="s">
        <v>109</v>
      </c>
      <c r="S85" s="215"/>
      <c r="T85" s="215"/>
      <c r="U85" s="215"/>
      <c r="V85" s="215"/>
      <c r="W85" s="215"/>
      <c r="X85" s="215"/>
      <c r="Y85" s="277"/>
      <c r="Z85" s="215"/>
      <c r="AA85" s="302"/>
    </row>
    <row r="86" spans="1:27">
      <c r="A86" s="199">
        <v>21</v>
      </c>
      <c r="B86" s="305"/>
      <c r="C86" s="285" t="s">
        <v>250</v>
      </c>
      <c r="D86" s="206"/>
      <c r="G86" s="297">
        <v>0</v>
      </c>
      <c r="H86" s="297">
        <f>+ROUND('Rate Impacts'!I404,5)*100</f>
        <v>1.0229999999999999</v>
      </c>
      <c r="I86" s="204" t="s">
        <v>109</v>
      </c>
      <c r="J86" s="204"/>
      <c r="K86" s="204"/>
      <c r="L86" s="284">
        <v>0</v>
      </c>
      <c r="M86" s="284">
        <f>+ROUND('Scenario GSLDSU Rates'!Q25,5)*100</f>
        <v>1.0229999999999999</v>
      </c>
      <c r="N86" s="204" t="s">
        <v>109</v>
      </c>
      <c r="S86" s="215"/>
      <c r="T86" s="215"/>
      <c r="U86" s="215"/>
      <c r="V86" s="215"/>
      <c r="W86" s="215"/>
      <c r="X86" s="215"/>
      <c r="Y86" s="277"/>
      <c r="Z86" s="215"/>
      <c r="AA86" s="302"/>
    </row>
    <row r="87" spans="1:27">
      <c r="A87" s="199">
        <v>22</v>
      </c>
      <c r="B87" s="305"/>
      <c r="C87" s="285" t="s">
        <v>251</v>
      </c>
      <c r="G87" s="297">
        <v>0</v>
      </c>
      <c r="H87" s="297">
        <f>+ROUND('Rate Impacts'!I405,5)*100</f>
        <v>0.71899999999999997</v>
      </c>
      <c r="I87" s="204" t="s">
        <v>109</v>
      </c>
      <c r="L87" s="282">
        <v>0</v>
      </c>
      <c r="M87" s="284">
        <f>+ROUND('Scenario GSLDSU Rates'!Q26,5)*100</f>
        <v>0.71899999999999997</v>
      </c>
      <c r="N87" s="204" t="s">
        <v>109</v>
      </c>
      <c r="S87" s="215"/>
      <c r="T87" s="215"/>
      <c r="U87" s="215"/>
      <c r="V87" s="215"/>
      <c r="W87" s="215"/>
      <c r="X87" s="215"/>
      <c r="Y87" s="277"/>
      <c r="Z87" s="215"/>
      <c r="AA87" s="302"/>
    </row>
    <row r="88" spans="1:27">
      <c r="A88" s="199">
        <v>23</v>
      </c>
      <c r="B88" s="305"/>
      <c r="C88" s="204" t="s">
        <v>243</v>
      </c>
      <c r="D88" s="206"/>
      <c r="G88" s="286">
        <f>0.03766*100</f>
        <v>3.766</v>
      </c>
      <c r="H88" s="286">
        <v>0</v>
      </c>
      <c r="I88" s="204" t="s">
        <v>109</v>
      </c>
      <c r="J88" s="204"/>
      <c r="K88" s="204"/>
      <c r="L88" s="286">
        <f>+G88</f>
        <v>3.766</v>
      </c>
      <c r="M88" s="286">
        <f>+H88</f>
        <v>0</v>
      </c>
      <c r="N88" s="204" t="s">
        <v>109</v>
      </c>
      <c r="S88" s="215"/>
      <c r="T88" s="215"/>
      <c r="U88" s="215"/>
      <c r="V88" s="215"/>
      <c r="W88" s="215"/>
      <c r="X88" s="215"/>
      <c r="Y88" s="277"/>
      <c r="Z88" s="215"/>
      <c r="AA88" s="302"/>
    </row>
    <row r="89" spans="1:27">
      <c r="A89" s="199">
        <v>24</v>
      </c>
      <c r="B89" s="305"/>
      <c r="C89" s="285" t="s">
        <v>249</v>
      </c>
      <c r="G89" s="286">
        <v>0</v>
      </c>
      <c r="H89" s="286">
        <f>0.03964*100</f>
        <v>3.964</v>
      </c>
      <c r="I89" s="204" t="s">
        <v>109</v>
      </c>
      <c r="J89" s="204"/>
      <c r="K89" s="204"/>
      <c r="L89" s="286">
        <f t="shared" ref="L89:M95" si="4">+G89</f>
        <v>0</v>
      </c>
      <c r="M89" s="286">
        <f t="shared" si="4"/>
        <v>3.964</v>
      </c>
      <c r="N89" s="204" t="s">
        <v>109</v>
      </c>
      <c r="S89" s="228"/>
      <c r="T89" s="228"/>
      <c r="U89" s="228"/>
      <c r="V89" s="228"/>
      <c r="W89" s="228"/>
      <c r="X89" s="228"/>
      <c r="Y89" s="277"/>
      <c r="Z89" s="228"/>
      <c r="AA89" s="228"/>
    </row>
    <row r="90" spans="1:27">
      <c r="A90" s="199">
        <v>25</v>
      </c>
      <c r="B90" s="305"/>
      <c r="C90" s="285" t="s">
        <v>250</v>
      </c>
      <c r="G90" s="286">
        <v>0</v>
      </c>
      <c r="H90" s="286">
        <f>0.03682*100</f>
        <v>3.6819999999999999</v>
      </c>
      <c r="I90" s="204" t="s">
        <v>109</v>
      </c>
      <c r="J90" s="204"/>
      <c r="K90" s="204"/>
      <c r="L90" s="286">
        <f t="shared" si="4"/>
        <v>0</v>
      </c>
      <c r="M90" s="286">
        <f t="shared" si="4"/>
        <v>3.6819999999999999</v>
      </c>
      <c r="N90" s="204" t="s">
        <v>109</v>
      </c>
      <c r="S90" s="215"/>
      <c r="T90" s="215"/>
      <c r="U90" s="215"/>
      <c r="V90" s="215"/>
      <c r="W90" s="215"/>
      <c r="X90" s="215"/>
      <c r="Y90" s="277"/>
      <c r="Z90" s="215"/>
      <c r="AA90" s="302"/>
    </row>
    <row r="91" spans="1:27">
      <c r="A91" s="199">
        <v>26</v>
      </c>
      <c r="B91" s="305"/>
      <c r="C91" s="204" t="s">
        <v>235</v>
      </c>
      <c r="D91" s="206"/>
      <c r="G91" s="215">
        <v>0.71</v>
      </c>
      <c r="H91" s="215">
        <v>0.71</v>
      </c>
      <c r="I91" s="204" t="s">
        <v>101</v>
      </c>
      <c r="J91" s="204"/>
      <c r="K91" s="204"/>
      <c r="L91" s="215">
        <f t="shared" si="4"/>
        <v>0.71</v>
      </c>
      <c r="M91" s="215">
        <f t="shared" si="4"/>
        <v>0.71</v>
      </c>
      <c r="N91" s="204" t="s">
        <v>101</v>
      </c>
      <c r="S91" s="215"/>
      <c r="T91" s="215"/>
      <c r="U91" s="215"/>
      <c r="V91" s="215"/>
      <c r="W91" s="215"/>
      <c r="X91" s="215"/>
      <c r="Y91" s="277"/>
      <c r="Z91" s="215"/>
      <c r="AA91" s="302"/>
    </row>
    <row r="92" spans="1:27">
      <c r="A92" s="199">
        <v>27</v>
      </c>
      <c r="B92" s="305"/>
      <c r="C92" s="204" t="s">
        <v>236</v>
      </c>
      <c r="D92" s="206"/>
      <c r="G92" s="215">
        <v>0.19</v>
      </c>
      <c r="H92" s="215">
        <v>0.19</v>
      </c>
      <c r="I92" s="204" t="s">
        <v>101</v>
      </c>
      <c r="J92" s="204"/>
      <c r="K92" s="204"/>
      <c r="L92" s="215">
        <f t="shared" si="4"/>
        <v>0.19</v>
      </c>
      <c r="M92" s="215">
        <f t="shared" si="4"/>
        <v>0.19</v>
      </c>
      <c r="N92" s="204" t="s">
        <v>101</v>
      </c>
      <c r="S92" s="215"/>
      <c r="T92" s="215"/>
      <c r="U92" s="215"/>
      <c r="V92" s="215"/>
      <c r="W92" s="215"/>
      <c r="X92" s="215"/>
      <c r="Y92" s="277"/>
      <c r="Z92" s="215"/>
      <c r="AA92" s="302"/>
    </row>
    <row r="93" spans="1:27">
      <c r="A93" s="199">
        <v>28</v>
      </c>
      <c r="B93" s="305"/>
      <c r="C93" s="204" t="s">
        <v>237</v>
      </c>
      <c r="D93" s="206"/>
      <c r="G93" s="215">
        <v>0.31</v>
      </c>
      <c r="H93" s="215">
        <v>0.31</v>
      </c>
      <c r="I93" s="204" t="s">
        <v>101</v>
      </c>
      <c r="J93" s="204"/>
      <c r="K93" s="204"/>
      <c r="L93" s="215">
        <f t="shared" si="4"/>
        <v>0.31</v>
      </c>
      <c r="M93" s="215">
        <f t="shared" si="4"/>
        <v>0.31</v>
      </c>
      <c r="N93" s="204" t="s">
        <v>101</v>
      </c>
      <c r="S93" s="215"/>
      <c r="T93" s="215"/>
      <c r="U93" s="215"/>
      <c r="V93" s="215"/>
      <c r="W93" s="215"/>
      <c r="X93" s="215"/>
      <c r="Y93" s="277"/>
      <c r="Z93" s="215"/>
      <c r="AA93" s="302"/>
    </row>
    <row r="94" spans="1:27">
      <c r="A94" s="199">
        <v>29</v>
      </c>
      <c r="C94" s="204" t="s">
        <v>238</v>
      </c>
      <c r="D94" s="206"/>
      <c r="G94" s="286">
        <f>0.00074*100</f>
        <v>7.3999999999999996E-2</v>
      </c>
      <c r="H94" s="286">
        <v>7.3999999999999996E-2</v>
      </c>
      <c r="I94" s="204" t="s">
        <v>109</v>
      </c>
      <c r="J94" s="204"/>
      <c r="K94" s="204"/>
      <c r="L94" s="286">
        <f t="shared" si="4"/>
        <v>7.3999999999999996E-2</v>
      </c>
      <c r="M94" s="286">
        <f t="shared" si="4"/>
        <v>7.3999999999999996E-2</v>
      </c>
      <c r="N94" s="204" t="s">
        <v>109</v>
      </c>
      <c r="X94" s="228"/>
      <c r="Y94" s="228"/>
      <c r="Z94" s="228"/>
      <c r="AA94" s="228"/>
    </row>
    <row r="95" spans="1:27">
      <c r="A95" s="199">
        <v>30</v>
      </c>
      <c r="B95" s="305"/>
      <c r="C95" s="204" t="s">
        <v>239</v>
      </c>
      <c r="D95" s="206"/>
      <c r="G95" s="258">
        <v>0.12</v>
      </c>
      <c r="H95" s="258">
        <v>0.12</v>
      </c>
      <c r="I95" s="204" t="s">
        <v>101</v>
      </c>
      <c r="J95" s="204"/>
      <c r="K95" s="204"/>
      <c r="L95" s="258">
        <f t="shared" si="4"/>
        <v>0.12</v>
      </c>
      <c r="M95" s="258">
        <f t="shared" si="4"/>
        <v>0.12</v>
      </c>
      <c r="N95" s="204" t="s">
        <v>101</v>
      </c>
      <c r="S95" s="215"/>
      <c r="T95" s="215"/>
      <c r="U95" s="215"/>
      <c r="V95" s="215"/>
      <c r="W95" s="215"/>
      <c r="X95" s="215"/>
      <c r="Y95" s="277"/>
      <c r="Z95" s="215"/>
      <c r="AA95" s="302"/>
    </row>
    <row r="96" spans="1:27">
      <c r="A96" s="199">
        <v>31</v>
      </c>
      <c r="B96" s="305"/>
      <c r="C96" s="199" t="s">
        <v>240</v>
      </c>
      <c r="G96" s="284"/>
      <c r="H96" s="284"/>
      <c r="I96" s="199" t="s">
        <v>109</v>
      </c>
      <c r="J96" s="199"/>
      <c r="K96" s="199"/>
      <c r="L96" s="282"/>
      <c r="M96" s="282"/>
      <c r="N96" s="199"/>
      <c r="S96" s="215"/>
      <c r="T96" s="215"/>
      <c r="U96" s="215"/>
      <c r="V96" s="215"/>
      <c r="W96" s="215"/>
      <c r="X96" s="215"/>
      <c r="Y96" s="277"/>
      <c r="Z96" s="215"/>
      <c r="AA96" s="302"/>
    </row>
    <row r="97" spans="1:28">
      <c r="A97" s="199">
        <v>32</v>
      </c>
      <c r="B97" s="305"/>
      <c r="S97" s="215"/>
      <c r="T97" s="215"/>
      <c r="U97" s="215"/>
      <c r="V97" s="215"/>
      <c r="W97" s="215"/>
      <c r="X97" s="215"/>
      <c r="Y97" s="277"/>
      <c r="Z97" s="215"/>
      <c r="AA97" s="302"/>
    </row>
    <row r="98" spans="1:28">
      <c r="A98" s="199">
        <v>33</v>
      </c>
      <c r="C98" s="228" t="s">
        <v>252</v>
      </c>
      <c r="X98" s="228"/>
      <c r="Y98" s="228"/>
      <c r="Z98" s="228"/>
      <c r="AA98" s="228"/>
    </row>
    <row r="99" spans="1:28">
      <c r="A99" s="199">
        <v>34</v>
      </c>
      <c r="C99" s="228" t="s">
        <v>263</v>
      </c>
      <c r="X99" s="228"/>
      <c r="Y99" s="228"/>
      <c r="Z99" s="228"/>
      <c r="AA99" s="228"/>
    </row>
    <row r="100" spans="1:28">
      <c r="A100" s="199">
        <v>35</v>
      </c>
      <c r="B100" s="227"/>
      <c r="C100" s="228" t="s">
        <v>264</v>
      </c>
      <c r="S100" s="228"/>
      <c r="T100" s="228"/>
      <c r="U100" s="228"/>
      <c r="V100" s="228"/>
      <c r="W100" s="228"/>
      <c r="X100" s="228"/>
      <c r="Y100" s="228"/>
      <c r="Z100" s="228"/>
      <c r="AA100" s="228"/>
    </row>
    <row r="101" spans="1:28">
      <c r="A101" s="199">
        <v>36</v>
      </c>
      <c r="B101" s="227"/>
      <c r="C101" s="228" t="s">
        <v>265</v>
      </c>
      <c r="T101" s="228"/>
      <c r="U101" s="228"/>
      <c r="V101" s="228"/>
      <c r="W101" s="228"/>
      <c r="X101" s="228"/>
      <c r="Y101" s="228"/>
      <c r="Z101" s="228"/>
      <c r="AA101" s="228"/>
    </row>
    <row r="102" spans="1:28">
      <c r="A102" s="199">
        <v>37</v>
      </c>
      <c r="B102" s="227"/>
      <c r="C102" s="228" t="s">
        <v>266</v>
      </c>
      <c r="T102" s="228"/>
      <c r="U102" s="228"/>
      <c r="V102" s="228"/>
      <c r="W102" s="228"/>
      <c r="X102" s="228"/>
      <c r="Y102" s="228"/>
      <c r="Z102" s="228"/>
      <c r="AA102" s="228"/>
    </row>
    <row r="103" spans="1:28">
      <c r="A103" s="199">
        <v>38</v>
      </c>
      <c r="B103" s="227"/>
      <c r="C103" s="228" t="s">
        <v>267</v>
      </c>
      <c r="T103" s="228"/>
      <c r="U103" s="228"/>
      <c r="V103" s="228"/>
      <c r="W103" s="228"/>
      <c r="X103" s="228"/>
      <c r="Y103" s="228"/>
      <c r="Z103" s="228"/>
      <c r="AA103" s="228"/>
    </row>
    <row r="104" spans="1:28">
      <c r="A104" s="199">
        <v>38</v>
      </c>
      <c r="B104" s="227"/>
      <c r="O104" s="228"/>
      <c r="P104" s="228"/>
      <c r="Q104" s="228"/>
      <c r="T104" s="228"/>
      <c r="U104" s="228"/>
      <c r="V104" s="228"/>
      <c r="W104" s="228"/>
      <c r="X104" s="228"/>
      <c r="Y104" s="228"/>
      <c r="Z104" s="228"/>
      <c r="AA104" s="228"/>
    </row>
    <row r="105" spans="1:28">
      <c r="A105" s="199">
        <v>39</v>
      </c>
      <c r="B105" s="199"/>
      <c r="O105" s="287"/>
      <c r="P105" s="287"/>
      <c r="Q105" s="228"/>
      <c r="T105" s="287"/>
      <c r="U105" s="287"/>
      <c r="V105" s="287"/>
      <c r="W105" s="287"/>
      <c r="X105" s="287"/>
      <c r="Y105" s="287"/>
      <c r="Z105" s="287"/>
      <c r="AA105" s="287"/>
    </row>
    <row r="106" spans="1:28">
      <c r="A106" s="199">
        <v>40</v>
      </c>
      <c r="B106" s="199"/>
      <c r="C106" s="228"/>
      <c r="M106" s="282"/>
      <c r="O106" s="287"/>
      <c r="P106" s="287"/>
      <c r="Q106" s="228"/>
      <c r="T106" s="287"/>
      <c r="U106" s="287"/>
      <c r="V106" s="287"/>
      <c r="W106" s="287"/>
      <c r="X106" s="287"/>
      <c r="Y106" s="287"/>
      <c r="Z106" s="287"/>
      <c r="AA106" s="287"/>
    </row>
    <row r="107" spans="1:28" ht="13.5" thickBot="1">
      <c r="A107" s="200">
        <v>41</v>
      </c>
      <c r="B107" s="200"/>
      <c r="C107" s="263"/>
      <c r="D107" s="263"/>
      <c r="E107" s="263"/>
      <c r="F107" s="263"/>
      <c r="G107" s="200"/>
      <c r="H107" s="200"/>
      <c r="I107" s="200"/>
      <c r="J107" s="200"/>
      <c r="K107" s="200"/>
      <c r="L107" s="200"/>
      <c r="M107" s="200"/>
      <c r="N107" s="200"/>
      <c r="O107" s="200"/>
      <c r="P107" s="200"/>
      <c r="Q107" s="200"/>
      <c r="R107" s="200"/>
      <c r="S107" s="200"/>
      <c r="T107" s="200"/>
      <c r="U107" s="200"/>
      <c r="V107" s="200"/>
      <c r="W107" s="200"/>
      <c r="X107" s="200"/>
      <c r="Y107" s="200"/>
      <c r="Z107" s="200"/>
      <c r="AA107" s="200"/>
      <c r="AB107" s="263"/>
    </row>
    <row r="108" spans="1:28">
      <c r="A108" s="199" t="s">
        <v>270</v>
      </c>
      <c r="B108" s="199"/>
      <c r="C108" s="199"/>
      <c r="D108" s="199"/>
      <c r="E108" s="199"/>
      <c r="F108" s="199"/>
      <c r="G108" s="199"/>
      <c r="H108" s="199"/>
      <c r="I108" s="199"/>
      <c r="J108" s="199"/>
      <c r="K108" s="199"/>
      <c r="L108" s="199"/>
      <c r="M108" s="199"/>
      <c r="N108" s="199"/>
      <c r="O108" s="199"/>
      <c r="P108" s="199"/>
      <c r="Q108" s="199"/>
      <c r="R108" s="199"/>
      <c r="S108" s="199"/>
      <c r="T108" s="199"/>
      <c r="U108" s="199"/>
      <c r="V108" s="199"/>
      <c r="W108" s="199"/>
      <c r="X108" s="199" t="s">
        <v>271</v>
      </c>
      <c r="Y108" s="199"/>
      <c r="Z108" s="199"/>
    </row>
  </sheetData>
  <mergeCells count="21">
    <mergeCell ref="Y1:Z1"/>
    <mergeCell ref="AA1:AB1"/>
    <mergeCell ref="H5:R5"/>
    <mergeCell ref="B7:C7"/>
    <mergeCell ref="B8:C8"/>
    <mergeCell ref="D8:M8"/>
    <mergeCell ref="N8:V8"/>
    <mergeCell ref="W8:X8"/>
    <mergeCell ref="Y8:Z8"/>
    <mergeCell ref="B61:C61"/>
    <mergeCell ref="B62:C62"/>
    <mergeCell ref="D62:M62"/>
    <mergeCell ref="N62:V62"/>
    <mergeCell ref="W62:X62"/>
    <mergeCell ref="G78:I78"/>
    <mergeCell ref="L78:N78"/>
    <mergeCell ref="G24:I24"/>
    <mergeCell ref="L24:N24"/>
    <mergeCell ref="Y55:Z55"/>
    <mergeCell ref="H59:R59"/>
    <mergeCell ref="Y62:Z6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FF618-2750-4389-AB7E-163A01C46925}">
  <dimension ref="B2:F15"/>
  <sheetViews>
    <sheetView workbookViewId="0">
      <selection activeCell="H18" sqref="H18"/>
    </sheetView>
  </sheetViews>
  <sheetFormatPr defaultRowHeight="15"/>
  <cols>
    <col min="2" max="2" width="11.28515625" bestFit="1" customWidth="1"/>
    <col min="3" max="3" width="39.7109375" bestFit="1" customWidth="1"/>
    <col min="4" max="4" width="17.85546875" bestFit="1" customWidth="1"/>
  </cols>
  <sheetData>
    <row r="2" spans="2:6">
      <c r="C2" t="s">
        <v>272</v>
      </c>
      <c r="D2" s="14">
        <f>(+'Current Revenue Requirement'!H10-'Scenario Revenue Requirement'!H10)*1000</f>
        <v>443720.06126644555</v>
      </c>
    </row>
    <row r="4" spans="2:6">
      <c r="C4" s="2" t="s">
        <v>273</v>
      </c>
      <c r="D4" s="2" t="s">
        <v>58</v>
      </c>
      <c r="F4" t="s">
        <v>44</v>
      </c>
    </row>
    <row r="5" spans="2:6">
      <c r="B5" t="s">
        <v>36</v>
      </c>
      <c r="C5" s="14">
        <v>1099875971.64063</v>
      </c>
      <c r="D5" s="14">
        <f>+C5-((C5/SUM($C$5:$C$9))*$D$2)</f>
        <v>1099586862.4036059</v>
      </c>
      <c r="F5" s="198">
        <f>+D5-'Scenario RS Rates'!B8</f>
        <v>0</v>
      </c>
    </row>
    <row r="6" spans="2:6">
      <c r="B6" t="s">
        <v>37</v>
      </c>
      <c r="C6" s="14">
        <v>99214926.359999999</v>
      </c>
      <c r="D6" s="14">
        <f t="shared" ref="D6:D9" si="0">+C6-((C6/SUM($C$5:$C$9))*$D$2)</f>
        <v>99188847.099791646</v>
      </c>
      <c r="F6" s="198">
        <f>+D6-'Scenario GS Rates'!B8</f>
        <v>9.9794983863830566E-2</v>
      </c>
    </row>
    <row r="7" spans="2:6">
      <c r="B7" t="s">
        <v>38</v>
      </c>
      <c r="C7" s="14">
        <v>411077262.85000008</v>
      </c>
      <c r="D7" s="14">
        <f t="shared" si="0"/>
        <v>410969208.63581157</v>
      </c>
      <c r="F7" s="198">
        <f>+D7-'Scenario GSD Rates'!C8</f>
        <v>0.10805433988571167</v>
      </c>
    </row>
    <row r="8" spans="2:6">
      <c r="B8" t="s">
        <v>39</v>
      </c>
      <c r="C8" s="14">
        <v>47902932.979999997</v>
      </c>
      <c r="D8" s="14">
        <f t="shared" si="0"/>
        <v>47890341.396255873</v>
      </c>
      <c r="F8" s="198">
        <f>+D8-'Scenario GSLDPR Rates'!B8</f>
        <v>9.9092721939086914E-7</v>
      </c>
    </row>
    <row r="9" spans="2:6">
      <c r="B9" t="s">
        <v>40</v>
      </c>
      <c r="C9" s="14">
        <v>30000302.800000001</v>
      </c>
      <c r="D9" s="14">
        <f t="shared" si="0"/>
        <v>29992417.033898521</v>
      </c>
      <c r="F9" s="198">
        <f>+D9-'Scenario GSLDSU Rates'!B8</f>
        <v>0</v>
      </c>
    </row>
    <row r="10" spans="2:6">
      <c r="B10" t="s">
        <v>41</v>
      </c>
      <c r="C10" s="14">
        <v>3573046.9034759998</v>
      </c>
      <c r="D10" s="14">
        <f>+C10</f>
        <v>3573046.9034759998</v>
      </c>
      <c r="F10" s="198">
        <f>+D10-'Scenario LS Energy Rates'!B8</f>
        <v>0</v>
      </c>
    </row>
    <row r="11" spans="2:6">
      <c r="B11" t="s">
        <v>42</v>
      </c>
      <c r="C11" s="14">
        <v>82707820.715172112</v>
      </c>
      <c r="D11" s="14">
        <f>+C11</f>
        <v>82707820.715172112</v>
      </c>
      <c r="F11" s="198">
        <f>+D11-'Scenario LS Facilities Rates'!B5</f>
        <v>0</v>
      </c>
    </row>
    <row r="12" spans="2:6">
      <c r="C12" s="2"/>
      <c r="D12" s="14"/>
      <c r="F12" s="198"/>
    </row>
    <row r="13" spans="2:6">
      <c r="B13" t="s">
        <v>43</v>
      </c>
      <c r="C13" s="14">
        <f>+SUM(C5:C11)</f>
        <v>1774352264.2492781</v>
      </c>
      <c r="D13" s="14">
        <f>+SUM(D5:D11)</f>
        <v>1773908544.1880116</v>
      </c>
      <c r="F13" s="198"/>
    </row>
    <row r="14" spans="2:6">
      <c r="D14" s="1"/>
    </row>
    <row r="15" spans="2:6">
      <c r="B15" t="s">
        <v>44</v>
      </c>
      <c r="D15" s="14">
        <f>+C13-D13-D2</f>
        <v>-2.3283064365386963E-8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AFAF2-0C73-49AA-9FB0-7F79D8FA3A89}">
  <dimension ref="A2:V56"/>
  <sheetViews>
    <sheetView workbookViewId="0">
      <selection activeCell="Q29" sqref="Q29"/>
    </sheetView>
  </sheetViews>
  <sheetFormatPr defaultRowHeight="15"/>
  <cols>
    <col min="1" max="1" width="32.5703125" bestFit="1" customWidth="1"/>
    <col min="2" max="2" width="21.140625" bestFit="1" customWidth="1"/>
    <col min="8" max="8" width="21.85546875" bestFit="1" customWidth="1"/>
    <col min="10" max="10" width="10.28515625" bestFit="1" customWidth="1"/>
    <col min="12" max="12" width="19" bestFit="1" customWidth="1"/>
    <col min="15" max="15" width="13.28515625" customWidth="1"/>
    <col min="17" max="17" width="10.28515625" bestFit="1" customWidth="1"/>
    <col min="19" max="19" width="24" bestFit="1" customWidth="1"/>
    <col min="21" max="21" width="10.7109375" bestFit="1" customWidth="1"/>
    <col min="22" max="22" width="18.7109375" bestFit="1" customWidth="1"/>
  </cols>
  <sheetData>
    <row r="2" spans="1:22">
      <c r="D2" s="22"/>
      <c r="E2" s="22"/>
      <c r="F2" s="22"/>
      <c r="G2" s="22"/>
      <c r="H2" s="22"/>
      <c r="I2" s="22"/>
      <c r="J2" s="22"/>
      <c r="K2" s="22"/>
      <c r="L2" s="22"/>
      <c r="M2" s="22"/>
      <c r="N2" s="23"/>
      <c r="O2" s="22"/>
      <c r="P2" s="22"/>
      <c r="Q2" s="22"/>
      <c r="R2" s="22"/>
      <c r="S2" s="22"/>
      <c r="T2" s="22"/>
      <c r="U2" s="22"/>
      <c r="V2" s="22"/>
    </row>
    <row r="3" spans="1:22">
      <c r="D3" s="22"/>
      <c r="E3" s="22"/>
      <c r="F3" s="22"/>
      <c r="G3" s="22"/>
      <c r="H3" s="22"/>
      <c r="I3" s="22"/>
      <c r="J3" s="22"/>
      <c r="K3" s="330"/>
      <c r="L3" s="330"/>
      <c r="M3" s="330"/>
      <c r="N3" s="330"/>
      <c r="O3" s="330"/>
      <c r="P3" s="22"/>
      <c r="Q3" s="22"/>
      <c r="R3" s="22"/>
      <c r="S3" s="22"/>
      <c r="T3" s="22"/>
      <c r="U3" s="22"/>
      <c r="V3" s="22"/>
    </row>
    <row r="4" spans="1:22" ht="15.75" thickBot="1">
      <c r="D4" s="24"/>
      <c r="E4" s="24"/>
      <c r="F4" s="24"/>
      <c r="G4" s="24"/>
      <c r="H4" s="24"/>
      <c r="I4" s="24"/>
      <c r="J4" s="24"/>
      <c r="K4" s="331" t="s">
        <v>274</v>
      </c>
      <c r="L4" s="331"/>
      <c r="M4" s="331"/>
      <c r="N4" s="331"/>
      <c r="O4" s="331"/>
      <c r="P4" s="24"/>
      <c r="Q4" s="24"/>
      <c r="R4" s="24"/>
      <c r="S4" s="24"/>
      <c r="T4" s="24"/>
      <c r="U4" s="24"/>
      <c r="V4" s="26"/>
    </row>
    <row r="5" spans="1:22">
      <c r="A5" s="27" t="s">
        <v>275</v>
      </c>
      <c r="B5" s="28">
        <f>+'Scenario Operating Revenue'!D5</f>
        <v>1099586862.4036059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9"/>
      <c r="O5" s="30"/>
      <c r="P5" s="22"/>
      <c r="Q5" s="30"/>
      <c r="R5" s="30"/>
      <c r="S5" s="30"/>
      <c r="T5" s="22"/>
      <c r="U5" s="22"/>
      <c r="V5" s="31"/>
    </row>
    <row r="6" spans="1:22">
      <c r="D6" s="22"/>
      <c r="E6" s="22"/>
      <c r="F6" s="22"/>
      <c r="G6" s="22"/>
      <c r="H6" s="22"/>
      <c r="I6" s="22"/>
      <c r="J6" s="22"/>
      <c r="K6" s="22"/>
      <c r="L6" s="22"/>
      <c r="M6" s="22"/>
      <c r="N6" s="23"/>
      <c r="O6" s="31"/>
      <c r="P6" s="22"/>
      <c r="Q6" s="22"/>
      <c r="R6" s="32"/>
      <c r="S6" s="32"/>
      <c r="T6" s="31"/>
      <c r="U6" s="22"/>
      <c r="V6" s="32"/>
    </row>
    <row r="7" spans="1:22">
      <c r="A7" s="33" t="s">
        <v>276</v>
      </c>
      <c r="B7" s="34">
        <v>0.12611820390873629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3"/>
      <c r="O7" s="31"/>
      <c r="P7" s="32"/>
      <c r="Q7" s="22"/>
      <c r="R7" s="22"/>
      <c r="S7" s="32"/>
      <c r="T7" s="31"/>
      <c r="U7" s="22"/>
      <c r="V7" s="32"/>
    </row>
    <row r="8" spans="1:22">
      <c r="A8" s="33" t="s">
        <v>277</v>
      </c>
      <c r="B8" s="35">
        <f>+S39</f>
        <v>1099586862.4036059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3"/>
      <c r="O8" s="31"/>
      <c r="P8" s="32"/>
      <c r="Q8" s="22"/>
      <c r="R8" s="22"/>
      <c r="S8" s="32"/>
      <c r="T8" s="31"/>
      <c r="U8" s="22"/>
      <c r="V8" s="32"/>
    </row>
    <row r="9" spans="1:22">
      <c r="D9" s="22"/>
      <c r="E9" s="22"/>
      <c r="F9" s="32"/>
      <c r="G9" s="22"/>
      <c r="H9" s="22"/>
      <c r="I9" s="22"/>
      <c r="J9" s="22"/>
      <c r="K9" s="36"/>
      <c r="L9" s="36"/>
      <c r="M9" s="36"/>
      <c r="N9" s="23"/>
      <c r="O9" s="22"/>
      <c r="P9" s="22"/>
      <c r="Q9" s="22"/>
      <c r="R9" s="22"/>
      <c r="S9" s="22"/>
      <c r="T9" s="22"/>
      <c r="U9" s="22"/>
      <c r="V9" s="22"/>
    </row>
    <row r="10" spans="1:22" ht="15.75" thickBot="1">
      <c r="D10" s="24"/>
      <c r="E10" s="24"/>
      <c r="F10" s="26"/>
      <c r="G10" s="37"/>
      <c r="H10" s="37"/>
      <c r="I10" s="38"/>
      <c r="J10" s="38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</row>
    <row r="11" spans="1:22">
      <c r="D11" s="22"/>
      <c r="E11" s="22"/>
      <c r="F11" s="22"/>
      <c r="G11" s="22"/>
      <c r="H11" s="36"/>
      <c r="I11" s="22"/>
      <c r="J11" s="36"/>
      <c r="K11" s="39"/>
      <c r="L11" s="36"/>
      <c r="M11" s="22"/>
      <c r="N11" s="36"/>
      <c r="O11" s="22"/>
      <c r="P11" s="39"/>
      <c r="Q11" s="22"/>
      <c r="R11" s="22"/>
      <c r="S11" s="22"/>
      <c r="T11" s="22"/>
      <c r="U11" s="22"/>
      <c r="V11" s="22"/>
    </row>
    <row r="12" spans="1:22">
      <c r="D12" s="22"/>
      <c r="E12" s="22"/>
      <c r="F12" s="22"/>
      <c r="G12" s="22"/>
      <c r="H12" s="36"/>
      <c r="I12" s="22"/>
      <c r="J12" s="36"/>
      <c r="K12" s="39"/>
      <c r="L12" s="36"/>
      <c r="M12" s="22"/>
      <c r="N12" s="36"/>
      <c r="O12" s="22"/>
      <c r="P12" s="39"/>
      <c r="Q12" s="22"/>
      <c r="R12" s="22"/>
      <c r="S12" s="22"/>
      <c r="T12" s="22"/>
      <c r="U12" s="22"/>
      <c r="V12" s="22"/>
    </row>
    <row r="13" spans="1:22">
      <c r="D13" s="22"/>
      <c r="E13" s="22"/>
      <c r="F13" s="22"/>
      <c r="G13" s="22"/>
      <c r="H13" s="22"/>
      <c r="I13" s="39"/>
      <c r="J13" s="39"/>
      <c r="K13" s="42"/>
      <c r="L13" s="42" t="s">
        <v>278</v>
      </c>
      <c r="M13" s="36"/>
      <c r="N13" s="44" t="s">
        <v>279</v>
      </c>
      <c r="O13" s="39"/>
      <c r="P13" s="22"/>
      <c r="Q13" s="39"/>
      <c r="R13" s="39"/>
      <c r="S13" s="39"/>
      <c r="T13" s="39"/>
      <c r="U13" s="39"/>
      <c r="V13" s="22"/>
    </row>
    <row r="14" spans="1:22">
      <c r="D14" s="22"/>
      <c r="E14" s="22"/>
      <c r="F14" s="22"/>
      <c r="G14" s="22"/>
      <c r="H14" s="36"/>
      <c r="I14" s="39"/>
      <c r="J14" s="36"/>
      <c r="K14" s="39"/>
      <c r="L14" s="39"/>
      <c r="M14" s="39"/>
      <c r="N14" s="36"/>
      <c r="O14" s="39"/>
      <c r="P14" s="39"/>
      <c r="Q14" s="39"/>
      <c r="R14" s="39"/>
      <c r="S14" s="39"/>
      <c r="T14" s="39"/>
      <c r="U14" s="39"/>
      <c r="V14" s="39"/>
    </row>
    <row r="15" spans="1:22">
      <c r="D15" s="32" t="s">
        <v>55</v>
      </c>
      <c r="E15" s="47" t="s">
        <v>280</v>
      </c>
      <c r="F15" s="48"/>
      <c r="G15" s="49"/>
      <c r="H15" s="50"/>
      <c r="I15" s="50"/>
      <c r="J15" s="51" t="s">
        <v>281</v>
      </c>
      <c r="K15" s="50"/>
      <c r="L15" s="50"/>
      <c r="M15" s="48"/>
      <c r="N15" s="53"/>
      <c r="O15" s="50"/>
      <c r="P15" s="51"/>
      <c r="Q15" s="51" t="s">
        <v>282</v>
      </c>
      <c r="R15" s="50"/>
      <c r="S15" s="50"/>
      <c r="T15" s="48"/>
      <c r="U15" s="55" t="s">
        <v>283</v>
      </c>
      <c r="V15" s="55" t="s">
        <v>284</v>
      </c>
    </row>
    <row r="16" spans="1:22" ht="15.75" thickBot="1">
      <c r="A16" s="56" t="s">
        <v>285</v>
      </c>
      <c r="B16" s="56" t="s">
        <v>286</v>
      </c>
      <c r="D16" s="26" t="s">
        <v>60</v>
      </c>
      <c r="E16" s="57" t="s">
        <v>287</v>
      </c>
      <c r="F16" s="58"/>
      <c r="G16" s="24"/>
      <c r="H16" s="25" t="s">
        <v>288</v>
      </c>
      <c r="I16" s="58"/>
      <c r="J16" s="58" t="s">
        <v>289</v>
      </c>
      <c r="K16" s="58"/>
      <c r="L16" s="60" t="s">
        <v>290</v>
      </c>
      <c r="M16" s="58"/>
      <c r="N16" s="60"/>
      <c r="O16" s="60" t="s">
        <v>288</v>
      </c>
      <c r="P16" s="58"/>
      <c r="Q16" s="58" t="s">
        <v>289</v>
      </c>
      <c r="R16" s="58"/>
      <c r="S16" s="60" t="s">
        <v>290</v>
      </c>
      <c r="T16" s="58"/>
      <c r="U16" s="62" t="s">
        <v>291</v>
      </c>
      <c r="V16" s="62" t="s">
        <v>59</v>
      </c>
    </row>
    <row r="17" spans="1:22">
      <c r="D17" s="22">
        <v>1</v>
      </c>
      <c r="E17" s="84"/>
      <c r="F17" s="67"/>
      <c r="G17" s="22"/>
      <c r="H17" s="22"/>
      <c r="I17" s="66"/>
      <c r="J17" s="66"/>
      <c r="K17" s="66"/>
      <c r="L17" s="66"/>
      <c r="M17" s="70"/>
      <c r="N17" s="152"/>
      <c r="O17" s="70"/>
      <c r="P17" s="70"/>
      <c r="Q17" s="70"/>
      <c r="R17" s="70"/>
      <c r="S17" s="70"/>
      <c r="T17" s="70"/>
      <c r="U17" s="70"/>
      <c r="V17" s="70"/>
    </row>
    <row r="18" spans="1:22">
      <c r="D18" s="22">
        <v>2</v>
      </c>
      <c r="E18" s="67" t="s">
        <v>65</v>
      </c>
      <c r="F18" s="67"/>
      <c r="G18" s="22"/>
      <c r="H18" s="22"/>
      <c r="I18" s="65"/>
      <c r="J18" s="65"/>
      <c r="K18" s="65"/>
      <c r="L18" s="65"/>
      <c r="M18" s="67"/>
      <c r="N18" s="153"/>
      <c r="O18" s="154"/>
      <c r="P18" s="65"/>
      <c r="Q18" s="65"/>
      <c r="R18" s="65"/>
      <c r="S18" s="65"/>
      <c r="T18" s="65"/>
      <c r="U18" s="65"/>
      <c r="V18" s="65"/>
    </row>
    <row r="19" spans="1:22">
      <c r="A19" s="69" t="s">
        <v>292</v>
      </c>
      <c r="B19" s="69" t="s">
        <v>293</v>
      </c>
      <c r="D19" s="22">
        <v>3</v>
      </c>
      <c r="E19" s="155" t="s">
        <v>66</v>
      </c>
      <c r="F19" s="67"/>
      <c r="G19" s="22"/>
      <c r="H19" s="70">
        <v>279108556</v>
      </c>
      <c r="I19" s="66" t="s">
        <v>294</v>
      </c>
      <c r="J19" s="71">
        <v>0.71</v>
      </c>
      <c r="K19" s="66"/>
      <c r="L19" s="66">
        <f>+H19*J19</f>
        <v>198167074.75999999</v>
      </c>
      <c r="M19" s="70"/>
      <c r="N19" s="152"/>
      <c r="O19" s="70">
        <v>279108556</v>
      </c>
      <c r="P19" s="66" t="s">
        <v>294</v>
      </c>
      <c r="Q19" s="71">
        <v>1.07</v>
      </c>
      <c r="R19" s="156"/>
      <c r="S19" s="66">
        <f>+O19*Q19</f>
        <v>298646154.92000002</v>
      </c>
      <c r="T19" s="66"/>
      <c r="U19" s="66">
        <f>+S19-L19</f>
        <v>100479080.16000003</v>
      </c>
      <c r="V19" s="73">
        <f>+IF(U19=0,0,(S19-L19)/L19)</f>
        <v>0.50704225352112686</v>
      </c>
    </row>
    <row r="20" spans="1:22">
      <c r="A20" s="69" t="s">
        <v>295</v>
      </c>
      <c r="B20" s="69" t="s">
        <v>296</v>
      </c>
      <c r="D20" s="22">
        <v>4</v>
      </c>
      <c r="E20" s="150" t="s">
        <v>297</v>
      </c>
      <c r="F20" s="22"/>
      <c r="G20" s="22"/>
      <c r="H20" s="157">
        <v>1616968</v>
      </c>
      <c r="I20" s="66" t="s">
        <v>294</v>
      </c>
      <c r="J20" s="71">
        <v>0.71</v>
      </c>
      <c r="K20" s="22"/>
      <c r="L20" s="66">
        <f>+H20*J20</f>
        <v>1148047.28</v>
      </c>
      <c r="M20" s="22"/>
      <c r="N20" s="23"/>
      <c r="O20" s="157">
        <v>1616968</v>
      </c>
      <c r="P20" s="66" t="s">
        <v>294</v>
      </c>
      <c r="Q20" s="71">
        <v>1.07</v>
      </c>
      <c r="R20" s="156"/>
      <c r="S20" s="66">
        <f>+O20*Q20</f>
        <v>1730155.76</v>
      </c>
      <c r="T20" s="22"/>
      <c r="U20" s="66">
        <f>+S20-L20</f>
        <v>582108.48</v>
      </c>
      <c r="V20" s="73">
        <f t="shared" ref="V20:V21" si="0">+IF(U20=0,0,(S20-L20)/L20)</f>
        <v>0.50704225352112675</v>
      </c>
    </row>
    <row r="21" spans="1:22">
      <c r="A21" s="69"/>
      <c r="B21" s="69"/>
      <c r="D21" s="22">
        <v>5</v>
      </c>
      <c r="E21" s="48" t="s">
        <v>298</v>
      </c>
      <c r="F21" s="67"/>
      <c r="G21" s="22"/>
      <c r="H21" s="70">
        <f>+SUM(H19:H20)</f>
        <v>280725524</v>
      </c>
      <c r="I21" s="66" t="s">
        <v>299</v>
      </c>
      <c r="J21" s="66"/>
      <c r="K21" s="66"/>
      <c r="L21" s="129">
        <f>+SUM(L19:L20)</f>
        <v>199315122.03999999</v>
      </c>
      <c r="M21" s="66"/>
      <c r="N21" s="72"/>
      <c r="O21" s="70">
        <f>+SUM(O19:O20)</f>
        <v>280725524</v>
      </c>
      <c r="P21" s="66" t="s">
        <v>299</v>
      </c>
      <c r="Q21" s="66"/>
      <c r="R21" s="66"/>
      <c r="S21" s="129">
        <f>+SUM(S19:S20)</f>
        <v>300376310.68000001</v>
      </c>
      <c r="T21" s="66"/>
      <c r="U21" s="66">
        <f>+S21-L21</f>
        <v>101061188.64000002</v>
      </c>
      <c r="V21" s="73">
        <f t="shared" si="0"/>
        <v>0.50704225352112686</v>
      </c>
    </row>
    <row r="22" spans="1:22">
      <c r="A22" s="69"/>
      <c r="B22" s="69"/>
      <c r="D22" s="22">
        <v>6</v>
      </c>
      <c r="E22" s="22"/>
      <c r="F22" s="22"/>
      <c r="G22" s="22"/>
      <c r="H22" s="22"/>
      <c r="I22" s="22"/>
      <c r="J22" s="22"/>
      <c r="K22" s="22"/>
      <c r="L22" s="22"/>
      <c r="M22" s="22"/>
      <c r="N22" s="23"/>
      <c r="O22" s="22"/>
      <c r="P22" s="22"/>
      <c r="Q22" s="22"/>
      <c r="R22" s="22"/>
      <c r="S22" s="22"/>
      <c r="T22" s="22"/>
      <c r="U22" s="22"/>
      <c r="V22" s="22"/>
    </row>
    <row r="23" spans="1:22">
      <c r="A23" s="69"/>
      <c r="B23" s="69"/>
      <c r="D23" s="22">
        <v>7</v>
      </c>
      <c r="E23" s="22"/>
      <c r="F23" s="22"/>
      <c r="G23" s="22"/>
      <c r="H23" s="22"/>
      <c r="I23" s="22"/>
      <c r="J23" s="22"/>
      <c r="K23" s="22"/>
      <c r="L23" s="22"/>
      <c r="M23" s="22"/>
      <c r="N23" s="23"/>
      <c r="O23" s="22"/>
      <c r="P23" s="22"/>
      <c r="Q23" s="22"/>
      <c r="R23" s="22"/>
      <c r="S23" s="22"/>
      <c r="T23" s="22"/>
      <c r="U23" s="22"/>
      <c r="V23" s="22"/>
    </row>
    <row r="24" spans="1:22">
      <c r="A24" s="69"/>
      <c r="B24" s="69"/>
      <c r="D24" s="22">
        <v>8</v>
      </c>
      <c r="E24" s="22"/>
      <c r="F24" s="22"/>
      <c r="G24" s="22"/>
      <c r="H24" s="22"/>
      <c r="I24" s="22"/>
      <c r="J24" s="22"/>
      <c r="K24" s="22"/>
      <c r="L24" s="22"/>
      <c r="M24" s="22"/>
      <c r="N24" s="23"/>
      <c r="O24" s="22"/>
      <c r="P24" s="22"/>
      <c r="Q24" s="22"/>
      <c r="R24" s="22"/>
      <c r="S24" s="22"/>
      <c r="T24" s="22"/>
      <c r="U24" s="22"/>
      <c r="V24" s="22"/>
    </row>
    <row r="25" spans="1:22">
      <c r="A25" s="69"/>
      <c r="B25" s="69"/>
      <c r="D25" s="22">
        <v>9</v>
      </c>
      <c r="E25" s="67" t="s">
        <v>300</v>
      </c>
      <c r="F25" s="67"/>
      <c r="G25" s="22"/>
      <c r="H25" s="70"/>
      <c r="I25" s="66"/>
      <c r="J25" s="66"/>
      <c r="K25" s="66"/>
      <c r="L25" s="66"/>
      <c r="M25" s="66"/>
      <c r="N25" s="72"/>
      <c r="O25" s="70"/>
      <c r="P25" s="66"/>
      <c r="Q25" s="66"/>
      <c r="R25" s="66"/>
      <c r="S25" s="66"/>
      <c r="T25" s="66"/>
      <c r="U25" s="66"/>
      <c r="V25" s="75"/>
    </row>
    <row r="26" spans="1:22">
      <c r="A26" s="69"/>
      <c r="B26" s="69"/>
      <c r="D26" s="22">
        <v>10</v>
      </c>
      <c r="E26" s="155" t="s">
        <v>66</v>
      </c>
      <c r="F26" s="67"/>
      <c r="G26" s="22"/>
      <c r="H26" s="70"/>
      <c r="I26" s="66"/>
      <c r="J26" s="71"/>
      <c r="K26" s="66"/>
      <c r="L26" s="66"/>
      <c r="M26" s="66"/>
      <c r="N26" s="72"/>
      <c r="O26" s="158"/>
      <c r="P26" s="66"/>
      <c r="Q26" s="71"/>
      <c r="R26" s="66"/>
      <c r="S26" s="66"/>
      <c r="T26" s="66"/>
      <c r="U26" s="66"/>
      <c r="V26" s="159"/>
    </row>
    <row r="27" spans="1:22">
      <c r="A27" s="69" t="s">
        <v>301</v>
      </c>
      <c r="B27" s="69" t="s">
        <v>302</v>
      </c>
      <c r="D27" s="22">
        <v>11</v>
      </c>
      <c r="E27" s="160" t="s">
        <v>303</v>
      </c>
      <c r="F27" s="22"/>
      <c r="G27" s="22"/>
      <c r="H27" s="70">
        <v>7076568254.1000004</v>
      </c>
      <c r="I27" s="66" t="s">
        <v>304</v>
      </c>
      <c r="J27" s="76">
        <v>6.6500000000000004E-2</v>
      </c>
      <c r="K27" s="22"/>
      <c r="L27" s="66">
        <f>+H27*J27</f>
        <v>470591788.89765006</v>
      </c>
      <c r="M27" s="22"/>
      <c r="N27" s="23"/>
      <c r="O27" s="70">
        <v>7076568254.1000004</v>
      </c>
      <c r="P27" s="66" t="s">
        <v>304</v>
      </c>
      <c r="Q27" s="76">
        <f>+J27*(1+$B$7)</f>
        <v>7.4886860559930962E-2</v>
      </c>
      <c r="R27" s="22"/>
      <c r="S27" s="66">
        <f>+O27*Q27</f>
        <v>529941980.08762085</v>
      </c>
      <c r="T27" s="22"/>
      <c r="U27" s="66">
        <f t="shared" ref="U27:U30" si="1">+S27-L27</f>
        <v>59350191.189970791</v>
      </c>
      <c r="V27" s="73">
        <f t="shared" ref="V27:V30" si="2">+IF(U27=0,0,(S27-L27)/L27)</f>
        <v>0.12611820390873624</v>
      </c>
    </row>
    <row r="28" spans="1:22">
      <c r="A28" s="69" t="s">
        <v>305</v>
      </c>
      <c r="B28" s="69" t="s">
        <v>306</v>
      </c>
      <c r="D28" s="22">
        <v>12</v>
      </c>
      <c r="E28" s="160" t="s">
        <v>307</v>
      </c>
      <c r="F28" s="22"/>
      <c r="G28" s="22"/>
      <c r="H28" s="70">
        <v>3133088980.2800002</v>
      </c>
      <c r="I28" s="66" t="s">
        <v>304</v>
      </c>
      <c r="J28" s="76">
        <v>7.8020000000000006E-2</v>
      </c>
      <c r="K28" s="22"/>
      <c r="L28" s="66">
        <f>+H28*J28</f>
        <v>244443602.24144563</v>
      </c>
      <c r="M28" s="22"/>
      <c r="N28" s="23"/>
      <c r="O28" s="70">
        <v>3133088980.2800002</v>
      </c>
      <c r="P28" s="66" t="s">
        <v>304</v>
      </c>
      <c r="Q28" s="76">
        <f>+Q27+0.01</f>
        <v>8.4886860559930957E-2</v>
      </c>
      <c r="R28" s="22"/>
      <c r="S28" s="66">
        <f t="shared" ref="S28:S29" si="3">+O28*Q28</f>
        <v>265958087.39088464</v>
      </c>
      <c r="T28" s="22"/>
      <c r="U28" s="66">
        <f t="shared" si="1"/>
        <v>21514485.149439007</v>
      </c>
      <c r="V28" s="73">
        <f t="shared" si="2"/>
        <v>8.8014106125749142E-2</v>
      </c>
    </row>
    <row r="29" spans="1:22">
      <c r="A29" s="69" t="s">
        <v>308</v>
      </c>
      <c r="B29" s="69" t="s">
        <v>309</v>
      </c>
      <c r="D29" s="22">
        <v>13</v>
      </c>
      <c r="E29" s="150" t="s">
        <v>297</v>
      </c>
      <c r="F29" s="22"/>
      <c r="G29" s="22"/>
      <c r="H29" s="70">
        <v>80411220</v>
      </c>
      <c r="I29" s="66" t="s">
        <v>304</v>
      </c>
      <c r="J29" s="76">
        <v>7.0120000000000002E-2</v>
      </c>
      <c r="K29" s="22"/>
      <c r="L29" s="66">
        <f>+H29*J29</f>
        <v>5638434.7464000005</v>
      </c>
      <c r="M29" s="22"/>
      <c r="N29" s="23"/>
      <c r="O29" s="70">
        <v>80411220</v>
      </c>
      <c r="P29" s="66" t="s">
        <v>304</v>
      </c>
      <c r="Q29" s="76">
        <f>J29*(1+$B$7)</f>
        <v>7.8963408458080586E-2</v>
      </c>
      <c r="R29" s="22"/>
      <c r="S29" s="66">
        <f t="shared" si="3"/>
        <v>6349544.0094725788</v>
      </c>
      <c r="T29" s="66"/>
      <c r="U29" s="66">
        <f t="shared" si="1"/>
        <v>711109.26307257824</v>
      </c>
      <c r="V29" s="73">
        <f t="shared" si="2"/>
        <v>0.12611820390873615</v>
      </c>
    </row>
    <row r="30" spans="1:22">
      <c r="A30" s="69" t="s">
        <v>310</v>
      </c>
      <c r="B30" s="69" t="s">
        <v>311</v>
      </c>
      <c r="D30" s="22">
        <v>14</v>
      </c>
      <c r="E30" s="150" t="s">
        <v>312</v>
      </c>
      <c r="H30" s="70">
        <v>7490717.6144992188</v>
      </c>
      <c r="I30" s="66" t="s">
        <v>304</v>
      </c>
      <c r="J30" s="76">
        <v>6.3E-2</v>
      </c>
      <c r="L30" s="66">
        <f>+H30*J30</f>
        <v>471915.20971345081</v>
      </c>
      <c r="O30" s="70">
        <v>7490717.6144992188</v>
      </c>
      <c r="P30" s="66" t="s">
        <v>304</v>
      </c>
      <c r="Q30" s="76">
        <f>+J30</f>
        <v>6.3E-2</v>
      </c>
      <c r="S30" s="66">
        <f>+Q30*O30</f>
        <v>471915.20971345081</v>
      </c>
      <c r="U30" s="66">
        <f t="shared" si="1"/>
        <v>0</v>
      </c>
      <c r="V30" s="73">
        <f t="shared" si="2"/>
        <v>0</v>
      </c>
    </row>
    <row r="31" spans="1:22">
      <c r="A31" s="69"/>
      <c r="B31" s="69"/>
      <c r="D31" s="22">
        <v>15</v>
      </c>
      <c r="E31" s="48" t="s">
        <v>43</v>
      </c>
      <c r="F31" s="67"/>
      <c r="G31" s="22"/>
      <c r="H31" s="161">
        <f>+SUM(H27:H29)</f>
        <v>10290068454.380001</v>
      </c>
      <c r="I31" s="66" t="s">
        <v>304</v>
      </c>
      <c r="J31" s="76"/>
      <c r="K31" s="66"/>
      <c r="L31" s="129">
        <f>+SUM(L27:L30)</f>
        <v>721145741.09520912</v>
      </c>
      <c r="M31" s="66"/>
      <c r="N31" s="72"/>
      <c r="O31" s="161">
        <f>+SUM(O27:O29)</f>
        <v>10290068454.380001</v>
      </c>
      <c r="P31" s="66" t="s">
        <v>304</v>
      </c>
      <c r="Q31" s="66"/>
      <c r="R31" s="66"/>
      <c r="S31" s="129">
        <f>+SUM(S27:S30)</f>
        <v>802721526.69769156</v>
      </c>
      <c r="T31" s="66"/>
      <c r="U31" s="66">
        <f>+S31-L31</f>
        <v>81575785.602482438</v>
      </c>
      <c r="V31" s="73">
        <f>+IF(U31=0,0,(S31-L31)/L31)</f>
        <v>0.11311969405600693</v>
      </c>
    </row>
    <row r="32" spans="1:22">
      <c r="A32" s="69"/>
      <c r="B32" s="69"/>
      <c r="D32" s="22">
        <v>16</v>
      </c>
      <c r="E32" s="22"/>
      <c r="F32" s="22"/>
      <c r="G32" s="22"/>
      <c r="H32" s="22"/>
      <c r="I32" s="22"/>
      <c r="J32" s="22"/>
      <c r="K32" s="22"/>
      <c r="L32" s="41"/>
      <c r="M32" s="22"/>
      <c r="N32" s="23"/>
      <c r="O32" s="22"/>
      <c r="P32" s="22"/>
      <c r="Q32" s="22"/>
      <c r="R32" s="22"/>
      <c r="S32" s="22"/>
      <c r="T32" s="22"/>
      <c r="U32" s="22"/>
      <c r="V32" s="75"/>
    </row>
    <row r="33" spans="1:22">
      <c r="A33" s="69"/>
      <c r="B33" s="69"/>
      <c r="D33" s="22">
        <v>17</v>
      </c>
      <c r="E33" s="150" t="s">
        <v>73</v>
      </c>
      <c r="H33" s="41">
        <v>0</v>
      </c>
      <c r="I33" s="66" t="s">
        <v>313</v>
      </c>
      <c r="J33" s="71">
        <v>0</v>
      </c>
      <c r="L33" s="41">
        <f>+J33*H33</f>
        <v>0</v>
      </c>
      <c r="O33" s="41">
        <f>30449*12</f>
        <v>365388</v>
      </c>
      <c r="P33" s="66" t="s">
        <v>313</v>
      </c>
      <c r="Q33" s="71">
        <v>-10</v>
      </c>
      <c r="S33" s="41">
        <f>+Q33*O33</f>
        <v>-3653880</v>
      </c>
      <c r="U33" s="66">
        <f t="shared" ref="U33:U34" si="4">+S33-L33</f>
        <v>-3653880</v>
      </c>
      <c r="V33" s="162" t="s">
        <v>314</v>
      </c>
    </row>
    <row r="34" spans="1:22">
      <c r="A34" s="69"/>
      <c r="B34" s="69"/>
      <c r="D34" s="22">
        <v>18</v>
      </c>
      <c r="E34" s="48" t="s">
        <v>43</v>
      </c>
      <c r="H34" s="161"/>
      <c r="L34" s="129">
        <f>+L33</f>
        <v>0</v>
      </c>
      <c r="O34" s="161"/>
      <c r="S34" s="129">
        <f>+S33</f>
        <v>-3653880</v>
      </c>
      <c r="U34" s="66">
        <f t="shared" si="4"/>
        <v>-3653880</v>
      </c>
      <c r="V34" s="162" t="s">
        <v>314</v>
      </c>
    </row>
    <row r="35" spans="1:22">
      <c r="A35" s="69"/>
      <c r="B35" s="69"/>
      <c r="D35" s="22">
        <v>19</v>
      </c>
    </row>
    <row r="36" spans="1:22">
      <c r="A36" s="69"/>
      <c r="B36" s="69"/>
      <c r="D36" s="22">
        <v>20</v>
      </c>
      <c r="E36" s="22" t="s">
        <v>315</v>
      </c>
      <c r="F36" s="22"/>
      <c r="G36" s="22"/>
      <c r="H36" s="41">
        <v>213291.08345445737</v>
      </c>
      <c r="I36" s="22" t="s">
        <v>294</v>
      </c>
      <c r="J36" s="71">
        <v>0.67</v>
      </c>
      <c r="K36" s="22"/>
      <c r="L36" s="41">
        <f>+J36*H36</f>
        <v>142905.02591448644</v>
      </c>
      <c r="M36" s="22"/>
      <c r="N36" s="23"/>
      <c r="O36" s="41">
        <f>+H36</f>
        <v>213291.08345445737</v>
      </c>
      <c r="P36" s="22" t="s">
        <v>294</v>
      </c>
      <c r="Q36" s="71">
        <v>0.67</v>
      </c>
      <c r="R36" s="22"/>
      <c r="S36" s="41">
        <f>+Q36*O36</f>
        <v>142905.02591448644</v>
      </c>
      <c r="T36" s="66"/>
      <c r="U36" s="66">
        <f t="shared" ref="U36:U37" si="5">+S36-L36</f>
        <v>0</v>
      </c>
      <c r="V36" s="73">
        <f t="shared" ref="V36:V37" si="6">+IF(U36=0,0,(S36-L36)/L36)</f>
        <v>0</v>
      </c>
    </row>
    <row r="37" spans="1:22">
      <c r="A37" s="69"/>
      <c r="B37" s="69"/>
      <c r="D37" s="22">
        <v>21</v>
      </c>
      <c r="E37" s="48" t="s">
        <v>43</v>
      </c>
      <c r="H37" s="161">
        <f>+H36</f>
        <v>213291.08345445737</v>
      </c>
      <c r="I37" s="163" t="s">
        <v>299</v>
      </c>
      <c r="J37" s="76"/>
      <c r="K37" s="66"/>
      <c r="L37" s="129">
        <f>+L36</f>
        <v>142905.02591448644</v>
      </c>
      <c r="M37" s="66"/>
      <c r="N37" s="72"/>
      <c r="O37" s="161"/>
      <c r="P37" s="66" t="s">
        <v>299</v>
      </c>
      <c r="Q37" s="66"/>
      <c r="R37" s="66"/>
      <c r="S37" s="129">
        <f>+S36</f>
        <v>142905.02591448644</v>
      </c>
      <c r="T37" s="66"/>
      <c r="U37" s="66">
        <f t="shared" si="5"/>
        <v>0</v>
      </c>
      <c r="V37" s="73">
        <f t="shared" si="6"/>
        <v>0</v>
      </c>
    </row>
    <row r="38" spans="1:22">
      <c r="A38" s="69"/>
      <c r="B38" s="69"/>
      <c r="D38" s="22">
        <v>22</v>
      </c>
    </row>
    <row r="39" spans="1:22" ht="15.75" thickBot="1">
      <c r="A39" s="69"/>
      <c r="B39" s="69"/>
      <c r="D39" s="22">
        <v>23</v>
      </c>
      <c r="E39" s="67" t="s">
        <v>316</v>
      </c>
      <c r="F39" s="22"/>
      <c r="G39" s="22"/>
      <c r="H39" s="41"/>
      <c r="I39" s="22"/>
      <c r="J39" s="22"/>
      <c r="K39" s="22"/>
      <c r="L39" s="78">
        <f>+L21+L31+L34+L37</f>
        <v>920603768.16112351</v>
      </c>
      <c r="M39" s="22"/>
      <c r="N39" s="23"/>
      <c r="O39" s="22"/>
      <c r="P39" s="22"/>
      <c r="Q39" s="22"/>
      <c r="R39" s="22"/>
      <c r="S39" s="78">
        <f>+S21+S31+S34+S37</f>
        <v>1099586862.4036059</v>
      </c>
      <c r="T39" s="66"/>
      <c r="U39" s="66">
        <f>+S39-L39</f>
        <v>178983094.24248242</v>
      </c>
      <c r="V39" s="73">
        <f t="shared" ref="V39" si="7">+IF(U39=0,0,(S39-L39)/L39)</f>
        <v>0.19441925009713507</v>
      </c>
    </row>
    <row r="40" spans="1:22" ht="15.75" thickTop="1">
      <c r="A40" s="69"/>
      <c r="B40" s="69"/>
      <c r="D40" s="22">
        <v>24</v>
      </c>
      <c r="E40" s="22"/>
      <c r="F40" s="22"/>
      <c r="G40" s="22"/>
      <c r="H40" s="22"/>
      <c r="I40" s="22"/>
      <c r="J40" s="22"/>
      <c r="K40" s="22"/>
      <c r="L40" s="22"/>
      <c r="M40" s="22"/>
      <c r="N40" s="23"/>
      <c r="O40" s="22"/>
      <c r="P40" s="22"/>
      <c r="Q40" s="22"/>
      <c r="R40" s="22"/>
      <c r="S40" s="22"/>
      <c r="T40" s="22"/>
      <c r="U40" s="22"/>
      <c r="V40" s="22"/>
    </row>
    <row r="41" spans="1:22">
      <c r="A41" s="69"/>
      <c r="B41" s="69"/>
      <c r="D41" s="22">
        <v>25</v>
      </c>
      <c r="E41" s="22"/>
      <c r="F41" s="22"/>
      <c r="G41" s="22"/>
      <c r="H41" s="22"/>
      <c r="I41" s="22"/>
      <c r="J41" s="22"/>
      <c r="K41" s="22"/>
      <c r="L41" s="22"/>
      <c r="M41" s="22"/>
      <c r="N41" s="23"/>
      <c r="O41" s="22"/>
      <c r="P41" s="22"/>
      <c r="Q41" s="22"/>
      <c r="R41" s="22"/>
      <c r="S41" s="22"/>
      <c r="T41" s="22"/>
      <c r="U41" s="22"/>
      <c r="V41" s="22"/>
    </row>
    <row r="42" spans="1:22">
      <c r="A42" s="69"/>
      <c r="B42" s="69"/>
      <c r="D42" s="22">
        <v>26</v>
      </c>
      <c r="E42" s="22"/>
      <c r="F42" s="164" t="s">
        <v>317</v>
      </c>
      <c r="G42" s="22"/>
      <c r="H42" s="22"/>
      <c r="I42" s="22"/>
      <c r="J42" s="22"/>
      <c r="K42" s="22"/>
      <c r="L42" s="22"/>
      <c r="M42" s="22"/>
      <c r="N42" s="23"/>
      <c r="O42" s="22"/>
      <c r="P42" s="22"/>
      <c r="Q42" s="22"/>
      <c r="R42" s="22"/>
      <c r="S42" s="22"/>
      <c r="T42" s="22"/>
      <c r="U42" s="22"/>
      <c r="V42" s="22"/>
    </row>
    <row r="43" spans="1:22">
      <c r="A43" s="69"/>
      <c r="B43" s="69"/>
      <c r="D43" s="22">
        <v>27</v>
      </c>
      <c r="E43" s="22"/>
      <c r="F43" s="22"/>
      <c r="G43" s="22"/>
      <c r="H43" s="22"/>
      <c r="I43" s="66"/>
      <c r="J43" s="66"/>
      <c r="K43" s="66"/>
      <c r="L43" s="66"/>
      <c r="M43" s="70"/>
      <c r="N43" s="72"/>
      <c r="O43" s="70"/>
      <c r="P43" s="66"/>
      <c r="Q43" s="66"/>
      <c r="R43" s="66"/>
      <c r="S43" s="66"/>
      <c r="T43" s="66"/>
      <c r="U43" s="66"/>
      <c r="V43" s="66"/>
    </row>
    <row r="44" spans="1:22">
      <c r="A44" s="69"/>
      <c r="B44" s="69"/>
      <c r="D44" s="22">
        <v>28</v>
      </c>
      <c r="E44" s="84"/>
      <c r="F44" s="67"/>
      <c r="G44" s="22"/>
      <c r="H44" s="22"/>
      <c r="I44" s="66"/>
      <c r="J44" s="80"/>
      <c r="K44" s="80"/>
      <c r="L44" s="80"/>
      <c r="M44" s="70"/>
      <c r="N44" s="72"/>
      <c r="O44" s="70"/>
      <c r="P44" s="66"/>
      <c r="Q44" s="66"/>
      <c r="R44" s="66"/>
      <c r="S44" s="66"/>
      <c r="T44" s="66"/>
      <c r="U44" s="66"/>
      <c r="V44" s="66"/>
    </row>
    <row r="45" spans="1:22">
      <c r="A45" s="69"/>
      <c r="B45" s="69"/>
      <c r="D45" s="22">
        <v>29</v>
      </c>
      <c r="E45" s="84"/>
      <c r="F45" s="67"/>
      <c r="G45" s="22"/>
      <c r="H45" s="22"/>
      <c r="I45" s="66"/>
      <c r="J45" s="66"/>
      <c r="K45" s="66"/>
      <c r="L45" s="66"/>
      <c r="M45" s="165"/>
      <c r="N45" s="72"/>
      <c r="O45" s="70"/>
      <c r="P45" s="66"/>
      <c r="Q45" s="66"/>
      <c r="R45" s="66"/>
      <c r="S45" s="66"/>
      <c r="T45" s="66"/>
      <c r="U45" s="66"/>
      <c r="V45" s="66"/>
    </row>
    <row r="46" spans="1:22">
      <c r="A46" s="69"/>
      <c r="B46" s="69"/>
      <c r="D46" s="22">
        <v>30</v>
      </c>
      <c r="E46" s="84"/>
      <c r="F46" s="67"/>
      <c r="G46" s="22"/>
      <c r="H46" s="22"/>
      <c r="I46" s="66"/>
      <c r="J46" s="66"/>
      <c r="K46" s="66"/>
      <c r="L46" s="66"/>
      <c r="M46" s="70"/>
      <c r="N46" s="72"/>
      <c r="O46" s="70"/>
      <c r="P46" s="66"/>
      <c r="Q46" s="66"/>
      <c r="R46" s="66"/>
      <c r="S46" s="66"/>
      <c r="T46" s="66"/>
      <c r="U46" s="66"/>
      <c r="V46" s="66"/>
    </row>
    <row r="47" spans="1:22">
      <c r="A47" s="69"/>
      <c r="B47" s="69"/>
      <c r="D47" s="22">
        <v>31</v>
      </c>
      <c r="E47" s="84"/>
      <c r="F47" s="67"/>
      <c r="G47" s="22"/>
      <c r="H47" s="22"/>
      <c r="I47" s="66"/>
      <c r="J47" s="66"/>
      <c r="K47" s="66"/>
      <c r="L47" s="66"/>
      <c r="M47" s="70"/>
      <c r="N47" s="72"/>
      <c r="O47" s="70"/>
      <c r="P47" s="66"/>
      <c r="Q47" s="66"/>
      <c r="R47" s="66"/>
      <c r="S47" s="66"/>
      <c r="T47" s="66"/>
      <c r="U47" s="66"/>
      <c r="V47" s="66"/>
    </row>
    <row r="48" spans="1:22">
      <c r="A48" s="69"/>
      <c r="B48" s="69"/>
      <c r="D48" s="22">
        <v>32</v>
      </c>
      <c r="E48" s="84"/>
      <c r="F48" s="67"/>
      <c r="G48" s="22"/>
      <c r="H48" s="22"/>
      <c r="I48" s="66"/>
      <c r="J48" s="66"/>
      <c r="K48" s="66"/>
      <c r="L48" s="66"/>
      <c r="M48" s="70"/>
      <c r="N48" s="72"/>
      <c r="O48" s="70"/>
      <c r="P48" s="66"/>
      <c r="Q48" s="66"/>
      <c r="R48" s="66"/>
      <c r="S48" s="66"/>
      <c r="T48" s="66"/>
      <c r="U48" s="66"/>
      <c r="V48" s="66"/>
    </row>
    <row r="49" spans="1:22">
      <c r="A49" s="69"/>
      <c r="B49" s="69"/>
      <c r="D49" s="22">
        <v>33</v>
      </c>
      <c r="E49" s="84"/>
      <c r="F49" s="67"/>
      <c r="G49" s="22"/>
      <c r="H49" s="22"/>
      <c r="I49" s="66"/>
      <c r="J49" s="66"/>
      <c r="K49" s="66"/>
      <c r="L49" s="66"/>
      <c r="M49" s="70"/>
      <c r="N49" s="72"/>
      <c r="O49" s="70"/>
      <c r="P49" s="66"/>
      <c r="Q49" s="66"/>
      <c r="R49" s="66"/>
      <c r="S49" s="66"/>
      <c r="T49" s="66"/>
      <c r="U49" s="66"/>
      <c r="V49" s="66"/>
    </row>
    <row r="50" spans="1:22">
      <c r="A50" s="69"/>
      <c r="B50" s="69"/>
      <c r="D50" s="22">
        <v>34</v>
      </c>
      <c r="E50" s="166"/>
      <c r="F50" s="67"/>
      <c r="G50" s="22"/>
      <c r="H50" s="22"/>
      <c r="I50" s="66"/>
      <c r="J50" s="66"/>
      <c r="K50" s="66"/>
      <c r="L50" s="66"/>
      <c r="M50" s="70"/>
      <c r="N50" s="72"/>
      <c r="O50" s="70"/>
      <c r="P50" s="66"/>
      <c r="Q50" s="66"/>
      <c r="R50" s="66"/>
      <c r="S50" s="66"/>
      <c r="T50" s="66"/>
      <c r="U50" s="66"/>
      <c r="V50" s="66"/>
    </row>
    <row r="51" spans="1:22">
      <c r="A51" s="69"/>
      <c r="B51" s="69"/>
      <c r="D51" s="22">
        <v>35</v>
      </c>
      <c r="E51" s="84"/>
      <c r="F51" s="67"/>
      <c r="G51" s="22"/>
      <c r="H51" s="22"/>
      <c r="I51" s="66"/>
      <c r="J51" s="66"/>
      <c r="K51" s="66"/>
      <c r="L51" s="66"/>
      <c r="M51" s="70"/>
      <c r="N51" s="72"/>
      <c r="O51" s="70"/>
      <c r="P51" s="66"/>
      <c r="Q51" s="66"/>
      <c r="R51" s="66"/>
      <c r="S51" s="66"/>
      <c r="T51" s="66"/>
      <c r="U51" s="66"/>
      <c r="V51" s="66"/>
    </row>
    <row r="52" spans="1:22">
      <c r="A52" s="69"/>
      <c r="B52" s="69"/>
      <c r="D52" s="22">
        <v>36</v>
      </c>
      <c r="E52" s="84"/>
      <c r="F52" s="67"/>
      <c r="G52" s="22"/>
      <c r="H52" s="22"/>
      <c r="I52" s="66"/>
      <c r="J52" s="66"/>
      <c r="K52" s="66"/>
      <c r="L52" s="66"/>
      <c r="M52" s="70"/>
      <c r="N52" s="72"/>
      <c r="O52" s="70"/>
      <c r="P52" s="66"/>
      <c r="Q52" s="66"/>
      <c r="R52" s="66"/>
      <c r="S52" s="66"/>
      <c r="T52" s="66"/>
      <c r="U52" s="66"/>
      <c r="V52" s="66"/>
    </row>
    <row r="53" spans="1:22">
      <c r="A53" s="69"/>
      <c r="B53" s="69"/>
      <c r="D53" s="22">
        <v>37</v>
      </c>
      <c r="E53" s="84"/>
      <c r="F53" s="67"/>
      <c r="G53" s="22"/>
      <c r="H53" s="22"/>
      <c r="I53" s="66"/>
      <c r="J53" s="66"/>
      <c r="K53" s="66"/>
      <c r="L53" s="66"/>
      <c r="M53" s="70"/>
      <c r="N53" s="72"/>
      <c r="O53" s="70"/>
      <c r="P53" s="66"/>
      <c r="Q53" s="66"/>
      <c r="R53" s="66"/>
      <c r="S53" s="66"/>
      <c r="T53" s="66"/>
      <c r="U53" s="66"/>
      <c r="V53" s="66"/>
    </row>
    <row r="54" spans="1:22">
      <c r="A54" s="69"/>
      <c r="B54" s="69"/>
      <c r="D54" s="22">
        <v>38</v>
      </c>
      <c r="E54" s="84"/>
      <c r="F54" s="67"/>
      <c r="G54" s="22"/>
      <c r="H54" s="22"/>
      <c r="I54" s="66"/>
      <c r="J54" s="66"/>
      <c r="K54" s="66"/>
      <c r="L54" s="66"/>
      <c r="M54" s="70"/>
      <c r="N54" s="72"/>
      <c r="O54" s="70"/>
      <c r="P54" s="66"/>
      <c r="Q54" s="66"/>
      <c r="R54" s="66"/>
      <c r="S54" s="66"/>
      <c r="T54" s="66"/>
      <c r="U54" s="66"/>
      <c r="V54" s="66"/>
    </row>
    <row r="55" spans="1:22" ht="15.75" thickBot="1">
      <c r="A55" s="69"/>
      <c r="B55" s="69"/>
      <c r="D55" s="24">
        <v>39</v>
      </c>
      <c r="E55" s="24"/>
      <c r="F55" s="24"/>
      <c r="G55" s="24"/>
      <c r="H55" s="24"/>
      <c r="I55" s="24"/>
      <c r="J55" s="24"/>
      <c r="K55" s="24"/>
      <c r="L55" s="24"/>
      <c r="M55" s="24"/>
      <c r="N55" s="25"/>
      <c r="O55" s="24"/>
      <c r="P55" s="24"/>
      <c r="Q55" s="24"/>
      <c r="R55" s="24"/>
      <c r="S55" s="24"/>
      <c r="T55" s="24"/>
      <c r="U55" s="24"/>
      <c r="V55" s="24"/>
    </row>
    <row r="56" spans="1:22"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3"/>
      <c r="O56" s="22"/>
      <c r="P56" s="22"/>
      <c r="Q56" s="22"/>
      <c r="R56" s="22"/>
      <c r="S56" s="22"/>
      <c r="T56" s="22"/>
      <c r="U56" s="22"/>
      <c r="V56" s="22" t="s">
        <v>318</v>
      </c>
    </row>
  </sheetData>
  <mergeCells count="2">
    <mergeCell ref="K3:O3"/>
    <mergeCell ref="K4:O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25C4885EF66B48AAFD9E4A9CC8BF5E" ma:contentTypeVersion="4" ma:contentTypeDescription="Create a new document." ma:contentTypeScope="" ma:versionID="f75be072b016438776b4d2c94cc809dc">
  <xsd:schema xmlns:xsd="http://www.w3.org/2001/XMLSchema" xmlns:xs="http://www.w3.org/2001/XMLSchema" xmlns:p="http://schemas.microsoft.com/office/2006/metadata/properties" xmlns:ns2="6c16c6fc-c4e8-4518-9db1-1a3dadac20d5" targetNamespace="http://schemas.microsoft.com/office/2006/metadata/properties" ma:root="true" ma:fieldsID="39712d36c8343be37a8b7a02ff70dcb6" ns2:_="">
    <xsd:import namespace="6c16c6fc-c4e8-4518-9db1-1a3dadac20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6c6fc-c4e8-4518-9db1-1a3dadac20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CEE68AD-F9FE-4D35-B9B2-E881D499E71F}"/>
</file>

<file path=customXml/itemProps2.xml><?xml version="1.0" encoding="utf-8"?>
<ds:datastoreItem xmlns:ds="http://schemas.openxmlformats.org/officeDocument/2006/customXml" ds:itemID="{B1902A8F-9221-4A3B-AD09-01A4DA5ECE40}"/>
</file>

<file path=customXml/itemProps3.xml><?xml version="1.0" encoding="utf-8"?>
<ds:datastoreItem xmlns:ds="http://schemas.openxmlformats.org/officeDocument/2006/customXml" ds:itemID="{C3280A3E-993E-4A95-82B2-044485CB19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Sizemore, Ashley A.</cp:lastModifiedBy>
  <cp:revision/>
  <dcterms:created xsi:type="dcterms:W3CDTF">2024-05-21T11:24:08Z</dcterms:created>
  <dcterms:modified xsi:type="dcterms:W3CDTF">2024-05-21T20:52:56Z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2024-05-21T11:24:08Z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6e6f1b87-18fe-4f95-ac47-f4589a6ce73f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0x0101000C25C4885EF66B48AAFD9E4A9CC8BF5E</vt:lpwstr>
  </property>
</Properties>
</file>