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Override2.xml" ContentType="application/vnd.openxmlformats-officedocument.themeOverride+xml"/>
  <Override PartName="/xl/charts/colors1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worksheets/sheet2.xml" ContentType="application/vnd.openxmlformats-officedocument.spreadsheetml.workshee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ustomProperty4.bin" ContentType="application/vnd.openxmlformats-officedocument.spreadsheetml.customProperty"/>
  <Override PartName="/xl/customProperty3.bin" ContentType="application/vnd.openxmlformats-officedocument.spreadsheetml.customProperty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filterPrivacy="1"/>
  <xr:revisionPtr revIDLastSave="0" documentId="6_{8FADC912-FD13-4420-A3F4-7C935125BCF2}" xr6:coauthVersionLast="47" xr6:coauthVersionMax="47" xr10:uidLastSave="{00000000-0000-0000-0000-000000000000}"/>
  <bookViews>
    <workbookView xWindow="-120" yWindow="-120" windowWidth="29040" windowHeight="15840" firstSheet="2" activeTab="2" xr2:uid="{3C96C2CE-5028-4358-BA53-01D6A5075468}"/>
  </bookViews>
  <sheets>
    <sheet name="Residential Use per Customer" sheetId="3" r:id="rId1"/>
    <sheet name="Residential Rates" sheetId="1" r:id="rId2"/>
    <sheet name="LIHEAP Qualification Income" sheetId="11" r:id="rId3"/>
    <sheet name="LIHEAP Threshold Graph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1" l="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P24" i="1"/>
  <c r="P25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C25" i="6"/>
  <c r="D24" i="3"/>
  <c r="E23" i="3" l="1"/>
  <c r="E24" i="3"/>
  <c r="E25" i="3"/>
  <c r="D25" i="3"/>
  <c r="D3" i="3" l="1"/>
  <c r="E4" i="6" l="1"/>
  <c r="E12" i="6"/>
  <c r="E13" i="6"/>
  <c r="E19" i="6"/>
  <c r="D4" i="11"/>
  <c r="D5" i="11"/>
  <c r="E5" i="6" s="1"/>
  <c r="D6" i="11"/>
  <c r="E6" i="6" s="1"/>
  <c r="D7" i="11"/>
  <c r="E7" i="6" s="1"/>
  <c r="D8" i="11"/>
  <c r="E8" i="6" s="1"/>
  <c r="D9" i="11"/>
  <c r="E9" i="6" s="1"/>
  <c r="D10" i="11"/>
  <c r="E10" i="6" s="1"/>
  <c r="D11" i="11"/>
  <c r="E11" i="6" s="1"/>
  <c r="D12" i="11"/>
  <c r="D13" i="11"/>
  <c r="D14" i="11"/>
  <c r="E14" i="6" s="1"/>
  <c r="D15" i="11"/>
  <c r="E15" i="6" s="1"/>
  <c r="D16" i="11"/>
  <c r="E16" i="6" s="1"/>
  <c r="D17" i="11"/>
  <c r="E17" i="6" s="1"/>
  <c r="D18" i="11"/>
  <c r="E18" i="6" s="1"/>
  <c r="D19" i="11"/>
  <c r="D20" i="11"/>
  <c r="E20" i="6" s="1"/>
  <c r="D21" i="11"/>
  <c r="E21" i="6" s="1"/>
  <c r="D22" i="11"/>
  <c r="E22" i="6" s="1"/>
  <c r="D23" i="11"/>
  <c r="E23" i="6" s="1"/>
  <c r="D24" i="11"/>
  <c r="E24" i="6" s="1"/>
  <c r="D25" i="11"/>
  <c r="E25" i="6" s="1"/>
  <c r="D3" i="11"/>
  <c r="E3" i="6" s="1"/>
  <c r="C25" i="1" l="1"/>
  <c r="H25" i="1" l="1"/>
  <c r="I25" i="1"/>
  <c r="J25" i="1"/>
  <c r="K25" i="1"/>
  <c r="L25" i="1"/>
  <c r="E22" i="3"/>
  <c r="E21" i="3"/>
  <c r="E20" i="3"/>
  <c r="E19" i="3"/>
  <c r="G19" i="3" s="1"/>
  <c r="E18" i="3"/>
  <c r="G18" i="3" s="1"/>
  <c r="E17" i="3"/>
  <c r="E16" i="3"/>
  <c r="E15" i="3"/>
  <c r="G15" i="3" s="1"/>
  <c r="E14" i="3"/>
  <c r="G14" i="3" s="1"/>
  <c r="E13" i="3"/>
  <c r="E12" i="3"/>
  <c r="E11" i="3"/>
  <c r="G11" i="3" s="1"/>
  <c r="E10" i="3"/>
  <c r="G10" i="3" s="1"/>
  <c r="E9" i="3"/>
  <c r="E8" i="3"/>
  <c r="E7" i="3"/>
  <c r="G7" i="3" s="1"/>
  <c r="E6" i="3"/>
  <c r="G6" i="3" s="1"/>
  <c r="E5" i="3"/>
  <c r="G5" i="3" s="1"/>
  <c r="E4" i="3"/>
  <c r="E3" i="3"/>
  <c r="E23" i="11" l="1"/>
  <c r="F23" i="11" s="1"/>
  <c r="C23" i="6"/>
  <c r="D23" i="6" s="1"/>
  <c r="E24" i="11"/>
  <c r="F24" i="11" s="1"/>
  <c r="C24" i="6"/>
  <c r="D24" i="6" s="1"/>
  <c r="F25" i="11"/>
  <c r="G16" i="3"/>
  <c r="G12" i="3"/>
  <c r="G8" i="3"/>
  <c r="E11" i="11"/>
  <c r="F11" i="11" s="1"/>
  <c r="G20" i="3"/>
  <c r="G4" i="3"/>
  <c r="G21" i="3"/>
  <c r="G13" i="3"/>
  <c r="G3" i="3"/>
  <c r="G17" i="3"/>
  <c r="G9" i="3"/>
  <c r="G22" i="3"/>
  <c r="D25" i="6"/>
  <c r="C23" i="1"/>
  <c r="C22" i="1"/>
  <c r="E8" i="11" l="1"/>
  <c r="F8" i="11" s="1"/>
  <c r="C8" i="6"/>
  <c r="D8" i="6" s="1"/>
  <c r="E19" i="11"/>
  <c r="F19" i="11" s="1"/>
  <c r="C19" i="6"/>
  <c r="D19" i="6" s="1"/>
  <c r="E12" i="11"/>
  <c r="F12" i="11" s="1"/>
  <c r="C12" i="6"/>
  <c r="D12" i="6" s="1"/>
  <c r="C7" i="6"/>
  <c r="D7" i="6" s="1"/>
  <c r="E7" i="11"/>
  <c r="F7" i="11" s="1"/>
  <c r="E4" i="11"/>
  <c r="F4" i="11" s="1"/>
  <c r="C4" i="6"/>
  <c r="D4" i="6" s="1"/>
  <c r="E20" i="11"/>
  <c r="F20" i="11" s="1"/>
  <c r="C20" i="6"/>
  <c r="D20" i="6" s="1"/>
  <c r="C15" i="6"/>
  <c r="D15" i="6" s="1"/>
  <c r="E15" i="11"/>
  <c r="F15" i="11" s="1"/>
  <c r="E16" i="11"/>
  <c r="F16" i="11" s="1"/>
  <c r="C11" i="6"/>
  <c r="D11" i="6" s="1"/>
  <c r="C16" i="6"/>
  <c r="D16" i="6" s="1"/>
  <c r="E18" i="11"/>
  <c r="F18" i="11" s="1"/>
  <c r="C18" i="6"/>
  <c r="D18" i="6" s="1"/>
  <c r="E6" i="11"/>
  <c r="F6" i="11" s="1"/>
  <c r="C6" i="6"/>
  <c r="D6" i="6" s="1"/>
  <c r="E5" i="11"/>
  <c r="F5" i="11" s="1"/>
  <c r="C5" i="6"/>
  <c r="D5" i="6" s="1"/>
  <c r="E13" i="11"/>
  <c r="F13" i="11" s="1"/>
  <c r="C13" i="6"/>
  <c r="D13" i="6" s="1"/>
  <c r="E21" i="11"/>
  <c r="F21" i="11" s="1"/>
  <c r="C21" i="6"/>
  <c r="D21" i="6" s="1"/>
  <c r="E9" i="11"/>
  <c r="F9" i="11" s="1"/>
  <c r="C9" i="6"/>
  <c r="D9" i="6" s="1"/>
  <c r="E14" i="11"/>
  <c r="F14" i="11" s="1"/>
  <c r="C14" i="6"/>
  <c r="D14" i="6" s="1"/>
  <c r="E3" i="11"/>
  <c r="F3" i="11" s="1"/>
  <c r="C3" i="6"/>
  <c r="D3" i="6" s="1"/>
  <c r="E10" i="11"/>
  <c r="F10" i="11" s="1"/>
  <c r="C10" i="6"/>
  <c r="D10" i="6" s="1"/>
  <c r="E22" i="11"/>
  <c r="F22" i="11" s="1"/>
  <c r="C22" i="6"/>
  <c r="D22" i="6" s="1"/>
  <c r="E17" i="11"/>
  <c r="F17" i="11" s="1"/>
  <c r="C17" i="6"/>
  <c r="D17" i="6" s="1"/>
</calcChain>
</file>

<file path=xl/sharedStrings.xml><?xml version="1.0" encoding="utf-8"?>
<sst xmlns="http://schemas.openxmlformats.org/spreadsheetml/2006/main" count="30" uniqueCount="26">
  <si>
    <t>Year</t>
  </si>
  <si>
    <t>kWh Sales</t>
  </si>
  <si>
    <t>Total Bills</t>
  </si>
  <si>
    <t>Monthly Use per Residential Customer kWh</t>
  </si>
  <si>
    <t>Tier 1</t>
  </si>
  <si>
    <t>Tier 2</t>
  </si>
  <si>
    <t>Customer Charge</t>
  </si>
  <si>
    <t>Energy Charge &lt; 1000 kWh</t>
  </si>
  <si>
    <t>Energy Charge &gt;= 1000 kWh</t>
  </si>
  <si>
    <t>Fuel Charge &lt; 1000 kWh</t>
  </si>
  <si>
    <t>Fuel Charge &gt;= 1000 kWh</t>
  </si>
  <si>
    <t>Capacity Charge</t>
  </si>
  <si>
    <t>Environmental Charge</t>
  </si>
  <si>
    <t>Conservation Charge</t>
  </si>
  <si>
    <t>SPP Charge</t>
  </si>
  <si>
    <t>CETM Charge</t>
  </si>
  <si>
    <t>Storm Surcharge</t>
  </si>
  <si>
    <t>Tax Assumption</t>
  </si>
  <si>
    <t>Total Monthly Bill</t>
  </si>
  <si>
    <t>2025 Proposed</t>
  </si>
  <si>
    <t>1-Person Household Annual Income</t>
  </si>
  <si>
    <t>1-Person Household Monthly Income</t>
  </si>
  <si>
    <t>1,000 kWh Bill</t>
  </si>
  <si>
    <t>% of Income Spent on Electric Bill</t>
  </si>
  <si>
    <t>Monthly Bill</t>
  </si>
  <si>
    <t>LIHEAP Poverty Monthly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</si>
</sst>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&quot;$&quot;#,##0.00000"/>
    <numFmt numFmtId="166" formatCode="&quot;$&quot;#,##0"/>
    <numFmt numFmtId="167" formatCode="0.0000%"/>
    <numFmt numFmtId="168" formatCode="&quot;$&quot;#,##0.000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>
      <alignment vertical="top"/>
    </xf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3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center"/>
    </xf>
    <xf numFmtId="9" fontId="0" fillId="0" borderId="0" xfId="1" applyFont="1"/>
    <xf numFmtId="168" fontId="0" fillId="0" borderId="0" xfId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2" applyBorder="1" applyAlignment="1">
      <alignment horizontal="center"/>
    </xf>
    <xf numFmtId="166" fontId="3" fillId="0" borderId="1" xfId="2" applyNumberFormat="1" applyBorder="1" applyAlignment="1">
      <alignment horizontal="center"/>
    </xf>
    <xf numFmtId="164" fontId="3" fillId="0" borderId="1" xfId="2" applyNumberFormat="1" applyBorder="1" applyAlignment="1">
      <alignment horizontal="center"/>
    </xf>
    <xf numFmtId="10" fontId="3" fillId="0" borderId="6" xfId="1" applyNumberFormat="1" applyFont="1" applyBorder="1" applyAlignment="1">
      <alignment horizontal="center"/>
    </xf>
    <xf numFmtId="0" fontId="3" fillId="0" borderId="7" xfId="2" applyBorder="1" applyAlignment="1">
      <alignment horizontal="center"/>
    </xf>
    <xf numFmtId="166" fontId="3" fillId="0" borderId="8" xfId="2" applyNumberFormat="1" applyBorder="1" applyAlignment="1">
      <alignment horizontal="center"/>
    </xf>
    <xf numFmtId="164" fontId="3" fillId="0" borderId="8" xfId="2" applyNumberForma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4">
    <cellStyle name="Normal" xfId="0" builtinId="0"/>
    <cellStyle name="Normal 2" xfId="2" xr:uid="{FE3F2468-A45C-4516-9F50-7978B603FCF3}"/>
    <cellStyle name="Normal 6" xfId="3" xr:uid="{8D0B0877-E473-4A6C-A7D7-D44D8EA7BBF5}"/>
    <cellStyle name="Percent" xfId="1" builtinId="5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Residential</a:t>
            </a:r>
            <a:r>
              <a:rPr lang="en-US" b="1" baseline="0">
                <a:solidFill>
                  <a:sysClr val="windowText" lastClr="000000"/>
                </a:solidFill>
              </a:rPr>
              <a:t> Monthly Bill as a % of the Health &amp; Human Services Poverty Guidelines at 100%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'LIHEAP Threshold Graph'!$C$2</c:f>
              <c:strCache>
                <c:ptCount val="1"/>
                <c:pt idx="0">
                  <c:v>Monthly Bill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'LIHEAP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'LIHEAP Threshold Graph'!$C$3:$C$25</c:f>
              <c:numCache>
                <c:formatCode>"$"#,##0.00</c:formatCode>
                <c:ptCount val="23"/>
                <c:pt idx="0">
                  <c:v>94.143587390000008</c:v>
                </c:pt>
                <c:pt idx="1">
                  <c:v>98.666664199999985</c:v>
                </c:pt>
                <c:pt idx="2">
                  <c:v>98.071792420000008</c:v>
                </c:pt>
                <c:pt idx="3">
                  <c:v>109.61025366999999</c:v>
                </c:pt>
                <c:pt idx="4">
                  <c:v>114.54358688000002</c:v>
                </c:pt>
                <c:pt idx="5">
                  <c:v>114.37948432</c:v>
                </c:pt>
                <c:pt idx="6">
                  <c:v>113.34358691000001</c:v>
                </c:pt>
                <c:pt idx="7">
                  <c:v>112.72820231</c:v>
                </c:pt>
                <c:pt idx="8">
                  <c:v>107.01538194000001</c:v>
                </c:pt>
                <c:pt idx="9">
                  <c:v>106.89230501999999</c:v>
                </c:pt>
                <c:pt idx="10">
                  <c:v>108.25640754999999</c:v>
                </c:pt>
                <c:pt idx="11">
                  <c:v>110.14358699</c:v>
                </c:pt>
                <c:pt idx="12">
                  <c:v>108.92307419999999</c:v>
                </c:pt>
                <c:pt idx="13">
                  <c:v>106.21538196000002</c:v>
                </c:pt>
                <c:pt idx="14">
                  <c:v>104.67692045999999</c:v>
                </c:pt>
                <c:pt idx="15">
                  <c:v>107.85640755999999</c:v>
                </c:pt>
                <c:pt idx="16">
                  <c:v>99.528202639999989</c:v>
                </c:pt>
                <c:pt idx="17">
                  <c:v>102.19486923999999</c:v>
                </c:pt>
                <c:pt idx="18">
                  <c:v>118.07179192</c:v>
                </c:pt>
                <c:pt idx="19">
                  <c:v>132.17435567000001</c:v>
                </c:pt>
                <c:pt idx="20">
                  <c:v>161.12820110000004</c:v>
                </c:pt>
                <c:pt idx="21">
                  <c:v>136.44102223000002</c:v>
                </c:pt>
                <c:pt idx="22">
                  <c:v>151.44096503151363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5-4F43-956A-DB72E2A5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3850752"/>
        <c:axId val="1533851080"/>
      </c:barChart>
      <c:lineChart>
        <c:grouping val="standard"/>
        <c:varyColors val="0"/>
        <c:ser>
          <c:idx val="1"/>
          <c:order val="1"/>
          <c:tx>
            <c:strRef>
              <c:f>'LIHEAP Threshold Graph'!$D$2</c:f>
              <c:strCache>
                <c:ptCount val="1"/>
                <c:pt idx="0">
                  <c:v>% of Income Spent on Electric Bill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numRef>
              <c:f>'LIHEAP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'LIHEAP Threshold Graph'!$D$3:$D$25</c:f>
              <c:numCache>
                <c:formatCode>0.00%</c:formatCode>
                <c:ptCount val="23"/>
                <c:pt idx="0">
                  <c:v>6.5416407948710231E-2</c:v>
                </c:pt>
                <c:pt idx="1">
                  <c:v>6.6783686865724154E-2</c:v>
                </c:pt>
                <c:pt idx="2">
                  <c:v>6.5630298390334879E-2</c:v>
                </c:pt>
                <c:pt idx="3">
                  <c:v>7.1935483103961972E-2</c:v>
                </c:pt>
                <c:pt idx="4">
                  <c:v>7.2455280505033054E-2</c:v>
                </c:pt>
                <c:pt idx="5">
                  <c:v>7.0649248179405516E-2</c:v>
                </c:pt>
                <c:pt idx="6">
                  <c:v>6.7043144419557485E-2</c:v>
                </c:pt>
                <c:pt idx="7">
                  <c:v>6.4699066188512053E-2</c:v>
                </c:pt>
                <c:pt idx="8">
                  <c:v>5.8966732816239424E-2</c:v>
                </c:pt>
                <c:pt idx="9">
                  <c:v>6.0722878676157312E-2</c:v>
                </c:pt>
                <c:pt idx="10">
                  <c:v>6.3347232031224082E-2</c:v>
                </c:pt>
                <c:pt idx="11">
                  <c:v>6.4768501793512775E-2</c:v>
                </c:pt>
                <c:pt idx="12">
                  <c:v>6.4286685540035401E-2</c:v>
                </c:pt>
                <c:pt idx="13">
                  <c:v>6.2119828655201062E-2</c:v>
                </c:pt>
                <c:pt idx="14">
                  <c:v>5.9518583782206057E-2</c:v>
                </c:pt>
                <c:pt idx="15">
                  <c:v>6.0752764303417195E-2</c:v>
                </c:pt>
                <c:pt idx="16">
                  <c:v>5.4613307955553518E-2</c:v>
                </c:pt>
                <c:pt idx="17">
                  <c:v>5.3351537060819625E-2</c:v>
                </c:pt>
                <c:pt idx="18">
                  <c:v>5.874949218559522E-2</c:v>
                </c:pt>
                <c:pt idx="19">
                  <c:v>6.2701307243833021E-2</c:v>
                </c:pt>
                <c:pt idx="20">
                  <c:v>7.426403492087881E-2</c:v>
                </c:pt>
                <c:pt idx="21">
                  <c:v>5.9033433090319096E-2</c:v>
                </c:pt>
                <c:pt idx="22">
                  <c:v>5.9413854918042422E-2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5-4F43-956A-DB72E2A5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960464"/>
        <c:axId val="1537965712"/>
      </c:lineChart>
      <c:catAx>
        <c:axId val="15338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1080"/>
        <c:crosses val="autoZero"/>
        <c:auto val="1"/>
        <c:lblAlgn val="ctr"/>
        <c:lblOffset val="100"/>
        <c:noMultiLvlLbl val="0"/>
      </c:catAx>
      <c:valAx>
        <c:axId val="15338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TEC RS Monthly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0752"/>
        <c:crosses val="autoZero"/>
        <c:crossBetween val="between"/>
      </c:valAx>
      <c:valAx>
        <c:axId val="15379657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% of Income Spent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on Electric Bill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960464"/>
        <c:crosses val="max"/>
        <c:crossBetween val="between"/>
      </c:valAx>
      <c:catAx>
        <c:axId val="15379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7965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LIHEAP Threshold</a:t>
            </a:r>
            <a:r>
              <a:rPr lang="en-US" b="1" baseline="0">
                <a:solidFill>
                  <a:sysClr val="windowText" lastClr="000000"/>
                </a:solidFill>
              </a:rPr>
              <a:t> Income Spent on Electric Bill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'LIHEAP Threshold Graph'!$D$2</c:f>
              <c:strCache>
                <c:ptCount val="1"/>
                <c:pt idx="0">
                  <c:v>% of Income Spent on Electric Bill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numRef>
              <c:f>'LIHEAP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'LIHEAP Threshold Graph'!$D$3:$D$25</c:f>
              <c:numCache>
                <c:formatCode>0.00%</c:formatCode>
                <c:ptCount val="23"/>
                <c:pt idx="0">
                  <c:v>6.5416407948710231E-2</c:v>
                </c:pt>
                <c:pt idx="1">
                  <c:v>6.6783686865724154E-2</c:v>
                </c:pt>
                <c:pt idx="2">
                  <c:v>6.5630298390334879E-2</c:v>
                </c:pt>
                <c:pt idx="3">
                  <c:v>7.1935483103961972E-2</c:v>
                </c:pt>
                <c:pt idx="4">
                  <c:v>7.2455280505033054E-2</c:v>
                </c:pt>
                <c:pt idx="5">
                  <c:v>7.0649248179405516E-2</c:v>
                </c:pt>
                <c:pt idx="6">
                  <c:v>6.7043144419557485E-2</c:v>
                </c:pt>
                <c:pt idx="7">
                  <c:v>6.4699066188512053E-2</c:v>
                </c:pt>
                <c:pt idx="8">
                  <c:v>5.8966732816239424E-2</c:v>
                </c:pt>
                <c:pt idx="9">
                  <c:v>6.0722878676157312E-2</c:v>
                </c:pt>
                <c:pt idx="10">
                  <c:v>6.3347232031224082E-2</c:v>
                </c:pt>
                <c:pt idx="11">
                  <c:v>6.4768501793512775E-2</c:v>
                </c:pt>
                <c:pt idx="12">
                  <c:v>6.4286685540035401E-2</c:v>
                </c:pt>
                <c:pt idx="13">
                  <c:v>6.2119828655201062E-2</c:v>
                </c:pt>
                <c:pt idx="14">
                  <c:v>5.9518583782206057E-2</c:v>
                </c:pt>
                <c:pt idx="15">
                  <c:v>6.0752764303417195E-2</c:v>
                </c:pt>
                <c:pt idx="16">
                  <c:v>5.4613307955553518E-2</c:v>
                </c:pt>
                <c:pt idx="17">
                  <c:v>5.3351537060819625E-2</c:v>
                </c:pt>
                <c:pt idx="18">
                  <c:v>5.874949218559522E-2</c:v>
                </c:pt>
                <c:pt idx="19">
                  <c:v>6.2701307243833021E-2</c:v>
                </c:pt>
                <c:pt idx="20">
                  <c:v>7.426403492087881E-2</c:v>
                </c:pt>
                <c:pt idx="21">
                  <c:v>5.9033433090319096E-2</c:v>
                </c:pt>
                <c:pt idx="22">
                  <c:v>5.9413854918042422E-2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F-45A0-B518-00D4BE041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850752"/>
        <c:axId val="1533851080"/>
      </c:lineChart>
      <c:catAx>
        <c:axId val="15338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1080"/>
        <c:crosses val="autoZero"/>
        <c:auto val="1"/>
        <c:lblAlgn val="ctr"/>
        <c:lblOffset val="100"/>
        <c:noMultiLvlLbl val="0"/>
      </c:catAx>
      <c:valAx>
        <c:axId val="15338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</a:rPr>
                  <a:t>% of Income Spent on Electric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455735</xdr:colOff>
      <xdr:row>30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EF883F-02F8-424C-A02D-9D420CC86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32</xdr:row>
      <xdr:rowOff>0</xdr:rowOff>
    </xdr:from>
    <xdr:to>
      <xdr:col>19</xdr:col>
      <xdr:colOff>455735</xdr:colOff>
      <xdr:row>60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6FC29-6ED7-481D-A2DF-A647CF461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59F6-8FA3-4090-BD9D-DCA5569F5447}">
  <dimension ref="B2:H26"/>
  <sheetViews>
    <sheetView workbookViewId="0">
      <selection activeCell="H25" sqref="H25"/>
    </sheetView>
  </sheetViews>
  <sheetFormatPr defaultRowHeight="15"/>
  <cols>
    <col min="3" max="3" width="13.85546875" bestFit="1" customWidth="1"/>
    <col min="5" max="5" width="41.140625" bestFit="1" customWidth="1"/>
  </cols>
  <sheetData>
    <row r="2" spans="2:8">
      <c r="B2" s="1" t="s">
        <v>0</v>
      </c>
      <c r="C2" s="1" t="s">
        <v>1</v>
      </c>
      <c r="D2" s="1" t="s">
        <v>2</v>
      </c>
      <c r="E2" s="1" t="s">
        <v>3</v>
      </c>
      <c r="G2" s="1" t="s">
        <v>4</v>
      </c>
      <c r="H2" s="1" t="s">
        <v>5</v>
      </c>
    </row>
    <row r="3" spans="2:8">
      <c r="B3" s="3">
        <v>2003</v>
      </c>
      <c r="C3" s="8">
        <v>8245475236</v>
      </c>
      <c r="D3" s="8">
        <f>531343.666666667*12</f>
        <v>6376124.0000000037</v>
      </c>
      <c r="E3" s="8">
        <f>+C3/D3</f>
        <v>1293.1798747954078</v>
      </c>
      <c r="G3" s="8">
        <f>+IF(E3&gt;1000,1000,E3)</f>
        <v>1000</v>
      </c>
      <c r="H3" s="8">
        <v>0</v>
      </c>
    </row>
    <row r="4" spans="2:8">
      <c r="B4" s="3">
        <v>2004</v>
      </c>
      <c r="C4" s="8">
        <v>8273630394</v>
      </c>
      <c r="D4" s="8">
        <v>6532681.9999999981</v>
      </c>
      <c r="E4" s="8">
        <f t="shared" ref="E4:E25" si="0">+C4/D4</f>
        <v>1266.498261204204</v>
      </c>
      <c r="G4" s="8">
        <f t="shared" ref="G4:G22" si="1">+IF(E4&gt;1000,1000,E4)</f>
        <v>1000</v>
      </c>
      <c r="H4" s="8">
        <v>0</v>
      </c>
    </row>
    <row r="5" spans="2:8">
      <c r="B5" s="3">
        <v>2005</v>
      </c>
      <c r="C5" s="8">
        <v>8542092969</v>
      </c>
      <c r="D5" s="8">
        <v>6704928</v>
      </c>
      <c r="E5" s="8">
        <f t="shared" si="0"/>
        <v>1274.0021919698468</v>
      </c>
      <c r="G5" s="8">
        <f t="shared" si="1"/>
        <v>1000</v>
      </c>
      <c r="H5" s="8">
        <v>0</v>
      </c>
    </row>
    <row r="6" spans="2:8">
      <c r="B6" s="3">
        <v>2006</v>
      </c>
      <c r="C6" s="8">
        <v>8698754119</v>
      </c>
      <c r="D6" s="8">
        <v>6899926</v>
      </c>
      <c r="E6" s="8">
        <f t="shared" si="0"/>
        <v>1260.7025233314096</v>
      </c>
      <c r="G6" s="8">
        <f t="shared" si="1"/>
        <v>1000</v>
      </c>
      <c r="H6" s="8">
        <v>0</v>
      </c>
    </row>
    <row r="7" spans="2:8">
      <c r="B7" s="3">
        <v>2007</v>
      </c>
      <c r="C7" s="8">
        <v>8850178021</v>
      </c>
      <c r="D7" s="8">
        <v>7040356</v>
      </c>
      <c r="E7" s="8">
        <f t="shared" si="0"/>
        <v>1257.0639923606136</v>
      </c>
      <c r="G7" s="8">
        <f t="shared" si="1"/>
        <v>1000</v>
      </c>
      <c r="H7" s="8">
        <v>0</v>
      </c>
    </row>
    <row r="8" spans="2:8">
      <c r="B8" s="3">
        <v>2008</v>
      </c>
      <c r="C8" s="8">
        <v>8526427264</v>
      </c>
      <c r="D8" s="8">
        <v>7050686</v>
      </c>
      <c r="E8" s="8">
        <f t="shared" si="0"/>
        <v>1209.3046356056702</v>
      </c>
      <c r="G8" s="8">
        <f t="shared" si="1"/>
        <v>1000</v>
      </c>
      <c r="H8" s="8">
        <v>0</v>
      </c>
    </row>
    <row r="9" spans="2:8">
      <c r="B9" s="3">
        <v>2009</v>
      </c>
      <c r="C9" s="8">
        <v>8650203667</v>
      </c>
      <c r="D9" s="8">
        <v>7050505</v>
      </c>
      <c r="E9" s="8">
        <f t="shared" si="0"/>
        <v>1226.8913598387633</v>
      </c>
      <c r="G9" s="8">
        <f t="shared" si="1"/>
        <v>1000</v>
      </c>
      <c r="H9" s="8">
        <v>0</v>
      </c>
    </row>
    <row r="10" spans="2:8">
      <c r="B10" s="3">
        <v>2010</v>
      </c>
      <c r="C10" s="8">
        <v>9148659467</v>
      </c>
      <c r="D10" s="8">
        <v>7089308</v>
      </c>
      <c r="E10" s="8">
        <f t="shared" si="0"/>
        <v>1290.4869511946722</v>
      </c>
      <c r="G10" s="8">
        <f t="shared" si="1"/>
        <v>1000</v>
      </c>
      <c r="H10" s="8">
        <v>0</v>
      </c>
    </row>
    <row r="11" spans="2:8">
      <c r="B11" s="3">
        <v>2011</v>
      </c>
      <c r="C11" s="8">
        <v>8672237587</v>
      </c>
      <c r="D11" s="8">
        <v>7135599</v>
      </c>
      <c r="E11" s="8">
        <f t="shared" si="0"/>
        <v>1215.3482261264962</v>
      </c>
      <c r="G11" s="8">
        <f t="shared" si="1"/>
        <v>1000</v>
      </c>
      <c r="H11" s="8">
        <v>0</v>
      </c>
    </row>
    <row r="12" spans="2:8">
      <c r="B12" s="3">
        <v>2012</v>
      </c>
      <c r="C12" s="8">
        <v>8341421275</v>
      </c>
      <c r="D12" s="8">
        <v>7223434</v>
      </c>
      <c r="E12" s="8">
        <f t="shared" si="0"/>
        <v>1154.7722696711842</v>
      </c>
      <c r="G12" s="8">
        <f t="shared" si="1"/>
        <v>1000</v>
      </c>
      <c r="H12" s="8">
        <v>0</v>
      </c>
    </row>
    <row r="13" spans="2:8">
      <c r="B13" s="3">
        <v>2013</v>
      </c>
      <c r="C13" s="8">
        <v>8414949443</v>
      </c>
      <c r="D13" s="8">
        <v>7338410</v>
      </c>
      <c r="E13" s="8">
        <f t="shared" si="0"/>
        <v>1146.6992772276283</v>
      </c>
      <c r="G13" s="8">
        <f t="shared" si="1"/>
        <v>1000</v>
      </c>
      <c r="H13" s="8">
        <v>0</v>
      </c>
    </row>
    <row r="14" spans="2:8">
      <c r="B14" s="3">
        <v>2014</v>
      </c>
      <c r="C14" s="8">
        <v>8589156276</v>
      </c>
      <c r="D14" s="8">
        <v>7457655</v>
      </c>
      <c r="E14" s="8">
        <f t="shared" si="0"/>
        <v>1151.7234674974909</v>
      </c>
      <c r="G14" s="8">
        <f t="shared" si="1"/>
        <v>1000</v>
      </c>
      <c r="H14" s="8">
        <v>0</v>
      </c>
    </row>
    <row r="15" spans="2:8">
      <c r="B15" s="3">
        <v>2015</v>
      </c>
      <c r="C15" s="8">
        <v>8959973129</v>
      </c>
      <c r="D15" s="8">
        <v>7584741</v>
      </c>
      <c r="E15" s="8">
        <f t="shared" si="0"/>
        <v>1181.3156347724992</v>
      </c>
      <c r="G15" s="8">
        <f t="shared" si="1"/>
        <v>1000</v>
      </c>
      <c r="H15" s="8">
        <v>0</v>
      </c>
    </row>
    <row r="16" spans="2:8">
      <c r="B16" s="3">
        <v>2016</v>
      </c>
      <c r="C16" s="8">
        <v>8491530219</v>
      </c>
      <c r="D16" s="8">
        <v>7707062</v>
      </c>
      <c r="E16" s="8">
        <f t="shared" si="0"/>
        <v>1101.7856375101173</v>
      </c>
      <c r="G16" s="8">
        <f t="shared" si="1"/>
        <v>1000</v>
      </c>
      <c r="H16" s="8">
        <v>0</v>
      </c>
    </row>
    <row r="17" spans="2:8">
      <c r="B17" s="3">
        <v>2017</v>
      </c>
      <c r="C17" s="8">
        <v>8935045751</v>
      </c>
      <c r="D17" s="8">
        <v>7864480</v>
      </c>
      <c r="E17" s="8">
        <f t="shared" si="0"/>
        <v>1136.1267052621406</v>
      </c>
      <c r="G17" s="8">
        <f t="shared" si="1"/>
        <v>1000</v>
      </c>
      <c r="H17" s="8">
        <v>0</v>
      </c>
    </row>
    <row r="18" spans="2:8">
      <c r="B18" s="3">
        <v>2018</v>
      </c>
      <c r="C18" s="8">
        <v>9313545727</v>
      </c>
      <c r="D18" s="8">
        <v>7992593</v>
      </c>
      <c r="E18" s="8">
        <f t="shared" si="0"/>
        <v>1165.2721121918757</v>
      </c>
      <c r="G18" s="8">
        <f t="shared" si="1"/>
        <v>1000</v>
      </c>
      <c r="H18" s="8">
        <v>0</v>
      </c>
    </row>
    <row r="19" spans="2:8">
      <c r="B19" s="3">
        <v>2019</v>
      </c>
      <c r="C19" s="8">
        <v>9476561842</v>
      </c>
      <c r="D19" s="8">
        <v>8164297</v>
      </c>
      <c r="E19" s="8">
        <f t="shared" si="0"/>
        <v>1160.7321294166541</v>
      </c>
      <c r="G19" s="8">
        <f t="shared" si="1"/>
        <v>1000</v>
      </c>
      <c r="H19" s="8">
        <v>0</v>
      </c>
    </row>
    <row r="20" spans="2:8">
      <c r="B20" s="3">
        <v>2020</v>
      </c>
      <c r="C20" s="8">
        <v>10008132858</v>
      </c>
      <c r="D20" s="8">
        <v>8321547</v>
      </c>
      <c r="E20" s="8">
        <f t="shared" si="0"/>
        <v>1202.6769611467676</v>
      </c>
      <c r="G20" s="8">
        <f t="shared" si="1"/>
        <v>1000</v>
      </c>
      <c r="H20" s="8">
        <v>0</v>
      </c>
    </row>
    <row r="21" spans="2:8">
      <c r="B21" s="3">
        <v>2021</v>
      </c>
      <c r="C21" s="8">
        <v>9838741525</v>
      </c>
      <c r="D21" s="8">
        <v>8501462</v>
      </c>
      <c r="E21" s="8">
        <f t="shared" si="0"/>
        <v>1157.2999473502323</v>
      </c>
      <c r="G21" s="8">
        <f t="shared" si="1"/>
        <v>1000</v>
      </c>
      <c r="H21" s="8">
        <v>0</v>
      </c>
    </row>
    <row r="22" spans="2:8">
      <c r="B22" s="3">
        <v>2022</v>
      </c>
      <c r="C22" s="8">
        <v>10017373288</v>
      </c>
      <c r="D22" s="8">
        <v>8701461</v>
      </c>
      <c r="E22" s="8">
        <f t="shared" si="0"/>
        <v>1151.2288899530779</v>
      </c>
      <c r="G22" s="8">
        <f t="shared" si="1"/>
        <v>1000</v>
      </c>
      <c r="H22" s="8">
        <v>0</v>
      </c>
    </row>
    <row r="23" spans="2:8">
      <c r="B23" s="3">
        <v>2023</v>
      </c>
      <c r="C23" s="8">
        <v>10220198287</v>
      </c>
      <c r="D23" s="8">
        <v>8863543</v>
      </c>
      <c r="E23" s="8">
        <f t="shared" si="0"/>
        <v>1153.0601574336583</v>
      </c>
      <c r="G23" s="8">
        <v>1000</v>
      </c>
      <c r="H23" s="8">
        <v>0</v>
      </c>
    </row>
    <row r="24" spans="2:8">
      <c r="B24" s="3">
        <v>2024</v>
      </c>
      <c r="C24" s="8">
        <v>10111525126.519999</v>
      </c>
      <c r="D24" s="8">
        <f>751582.831666667*12</f>
        <v>9018993.9800000042</v>
      </c>
      <c r="E24" s="8">
        <f t="shared" si="0"/>
        <v>1121.1366976120316</v>
      </c>
      <c r="G24" s="8">
        <v>1000</v>
      </c>
      <c r="H24" s="8">
        <v>0</v>
      </c>
    </row>
    <row r="25" spans="2:8">
      <c r="B25" s="3">
        <v>2025</v>
      </c>
      <c r="C25" s="8">
        <v>10209657234.390003</v>
      </c>
      <c r="D25" s="8">
        <f>764677.29*12</f>
        <v>9176127.4800000004</v>
      </c>
      <c r="E25" s="8">
        <f t="shared" si="0"/>
        <v>1112.6324537930245</v>
      </c>
      <c r="G25" s="8">
        <v>1000</v>
      </c>
      <c r="H25" s="8">
        <v>0</v>
      </c>
    </row>
    <row r="26" spans="2:8">
      <c r="B26" s="3"/>
      <c r="C26" s="8"/>
      <c r="D26" s="8"/>
      <c r="E26" s="8"/>
      <c r="G26" s="8"/>
      <c r="H26" s="8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AF2E-E5A7-4A83-910F-40121828248C}">
  <dimension ref="B2:U29"/>
  <sheetViews>
    <sheetView workbookViewId="0">
      <selection activeCell="P23" sqref="P23"/>
    </sheetView>
  </sheetViews>
  <sheetFormatPr defaultRowHeight="15"/>
  <cols>
    <col min="2" max="2" width="14" style="3" bestFit="1" customWidth="1"/>
    <col min="3" max="3" width="16.28515625" style="3" bestFit="1" customWidth="1"/>
    <col min="4" max="4" width="24.42578125" style="3" bestFit="1" customWidth="1"/>
    <col min="5" max="5" width="25.5703125" style="3" bestFit="1" customWidth="1"/>
    <col min="6" max="6" width="24.42578125" style="3" bestFit="1" customWidth="1"/>
    <col min="7" max="7" width="25.5703125" style="3" bestFit="1" customWidth="1"/>
    <col min="8" max="8" width="15.140625" style="3" bestFit="1" customWidth="1"/>
    <col min="9" max="9" width="20.85546875" style="3" bestFit="1" customWidth="1"/>
    <col min="10" max="10" width="19.5703125" style="3" bestFit="1" customWidth="1"/>
    <col min="11" max="11" width="10.85546875" style="3" bestFit="1" customWidth="1"/>
    <col min="12" max="12" width="12.5703125" style="3" bestFit="1" customWidth="1"/>
    <col min="13" max="13" width="16" style="3" bestFit="1" customWidth="1"/>
    <col min="14" max="14" width="15.28515625" style="3" bestFit="1" customWidth="1"/>
    <col min="15" max="15" width="9.140625" style="3"/>
    <col min="16" max="16" width="16.5703125" style="3" bestFit="1" customWidth="1"/>
    <col min="17" max="17" width="10.140625" style="3" bestFit="1" customWidth="1"/>
    <col min="18" max="21" width="9.140625" style="3"/>
  </cols>
  <sheetData>
    <row r="2" spans="2:21" s="2" customFormat="1">
      <c r="B2" s="1" t="s">
        <v>0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/>
      <c r="P2" s="1" t="s">
        <v>18</v>
      </c>
      <c r="Q2" s="1"/>
      <c r="R2" s="1"/>
      <c r="S2" s="1"/>
      <c r="T2" s="1"/>
      <c r="U2" s="1"/>
    </row>
    <row r="3" spans="2:21">
      <c r="B3" s="3">
        <v>2003</v>
      </c>
      <c r="C3" s="4">
        <v>8.5</v>
      </c>
      <c r="D3" s="5">
        <v>4.342E-2</v>
      </c>
      <c r="E3" s="5">
        <v>4.342E-2</v>
      </c>
      <c r="F3" s="5">
        <v>3.4500000000000003E-2</v>
      </c>
      <c r="G3" s="5">
        <v>3.4500000000000003E-2</v>
      </c>
      <c r="H3" s="5">
        <v>2.7699999999999999E-3</v>
      </c>
      <c r="I3" s="5">
        <v>1.4400000000000001E-3</v>
      </c>
      <c r="J3" s="5">
        <v>1.16E-3</v>
      </c>
      <c r="K3" s="5"/>
      <c r="L3" s="5"/>
      <c r="M3" s="5"/>
      <c r="N3" s="9">
        <v>2.5641000000000001E-2</v>
      </c>
      <c r="P3" s="4">
        <f>+(C3+(SUM(D3,F3)*'Residential Use per Customer'!G3)+(SUM('Residential Rates'!E3,'Residential Rates'!G3)*'Residential Use per Customer'!H3)+(SUM('Residential Rates'!H3:M3)*(SUM('Residential Use per Customer'!G3:H3))))*(1+'Residential Rates'!N3)</f>
        <v>94.143587390000008</v>
      </c>
      <c r="Q3" s="4"/>
      <c r="R3" s="7"/>
    </row>
    <row r="4" spans="2:21">
      <c r="B4" s="3">
        <v>2004</v>
      </c>
      <c r="C4" s="4">
        <v>8.5</v>
      </c>
      <c r="D4" s="5">
        <v>4.342E-2</v>
      </c>
      <c r="E4" s="5">
        <v>4.342E-2</v>
      </c>
      <c r="F4" s="5">
        <v>3.9390000000000001E-2</v>
      </c>
      <c r="G4" s="5">
        <v>3.9390000000000001E-2</v>
      </c>
      <c r="H4" s="5">
        <v>2.6700000000000001E-3</v>
      </c>
      <c r="I4" s="5">
        <v>1.1100000000000001E-3</v>
      </c>
      <c r="J4" s="5">
        <v>1.1100000000000001E-3</v>
      </c>
      <c r="K4" s="5"/>
      <c r="L4" s="5"/>
      <c r="M4" s="5"/>
      <c r="N4" s="9">
        <v>2.5641000000000001E-2</v>
      </c>
      <c r="P4" s="4">
        <f>+(C4+(SUM(D4,F4)*'Residential Use per Customer'!G4)+(SUM('Residential Rates'!E4,'Residential Rates'!G4)*'Residential Use per Customer'!H4)+(SUM('Residential Rates'!H4:M4)*(SUM('Residential Use per Customer'!G4:H4))))*(1+'Residential Rates'!N4)</f>
        <v>98.666664199999985</v>
      </c>
      <c r="Q4" s="4"/>
      <c r="R4" s="7"/>
    </row>
    <row r="5" spans="2:21">
      <c r="B5" s="3">
        <v>2005</v>
      </c>
      <c r="C5" s="4">
        <v>8.5</v>
      </c>
      <c r="D5" s="5">
        <v>4.342E-2</v>
      </c>
      <c r="E5" s="5">
        <v>4.342E-2</v>
      </c>
      <c r="F5" s="5">
        <v>3.7909999999999999E-2</v>
      </c>
      <c r="G5" s="5">
        <v>3.7909999999999999E-2</v>
      </c>
      <c r="H5" s="5">
        <v>3.7699999999999999E-3</v>
      </c>
      <c r="I5" s="5">
        <v>1.0399999999999999E-3</v>
      </c>
      <c r="J5" s="5">
        <v>9.7999999999999997E-4</v>
      </c>
      <c r="K5" s="5"/>
      <c r="L5" s="5"/>
      <c r="M5" s="5"/>
      <c r="N5" s="9">
        <v>2.5641000000000001E-2</v>
      </c>
      <c r="P5" s="4">
        <f>+(C5+(SUM(D5,F5)*'Residential Use per Customer'!G5)+(SUM('Residential Rates'!E5,'Residential Rates'!G5)*'Residential Use per Customer'!H5)+(SUM('Residential Rates'!H5:M5)*(SUM('Residential Use per Customer'!G5:H5))))*(1+'Residential Rates'!N5)</f>
        <v>98.071792420000008</v>
      </c>
      <c r="Q5" s="4"/>
      <c r="R5" s="7"/>
    </row>
    <row r="6" spans="2:21">
      <c r="B6" s="3">
        <v>2006</v>
      </c>
      <c r="C6" s="4">
        <v>8.5</v>
      </c>
      <c r="D6" s="5">
        <v>4.342E-2</v>
      </c>
      <c r="E6" s="5">
        <v>4.342E-2</v>
      </c>
      <c r="F6" s="5">
        <v>5.4350000000000002E-2</v>
      </c>
      <c r="G6" s="5">
        <v>5.4350000000000002E-2</v>
      </c>
      <c r="H6" s="5">
        <v>3.5599999999999998E-3</v>
      </c>
      <c r="I6" s="5">
        <v>-3.7200000000000002E-3</v>
      </c>
      <c r="J6" s="5">
        <v>7.6000000000000004E-4</v>
      </c>
      <c r="K6" s="5"/>
      <c r="L6" s="5"/>
      <c r="M6" s="5"/>
      <c r="N6" s="9">
        <v>2.5641000000000001E-2</v>
      </c>
      <c r="P6" s="4">
        <f>+(C6+(SUM(D6,F6)*'Residential Use per Customer'!G6)+(SUM('Residential Rates'!E6,'Residential Rates'!G6)*'Residential Use per Customer'!H6)+(SUM('Residential Rates'!H6:M6)*(SUM('Residential Use per Customer'!G6:H6))))*(1+'Residential Rates'!N6)</f>
        <v>109.61025366999999</v>
      </c>
      <c r="Q6" s="4"/>
      <c r="R6" s="7"/>
    </row>
    <row r="7" spans="2:21">
      <c r="B7" s="3">
        <v>2007</v>
      </c>
      <c r="C7" s="4">
        <v>8.5</v>
      </c>
      <c r="D7" s="5">
        <v>4.342E-2</v>
      </c>
      <c r="E7" s="5">
        <v>4.342E-2</v>
      </c>
      <c r="F7" s="5">
        <v>5.9220000000000002E-2</v>
      </c>
      <c r="G7" s="5">
        <v>5.9220000000000002E-2</v>
      </c>
      <c r="H7" s="5">
        <v>3.2499999999999999E-3</v>
      </c>
      <c r="I7" s="5">
        <v>-3.4399999999999999E-3</v>
      </c>
      <c r="J7" s="5">
        <v>7.2999999999999996E-4</v>
      </c>
      <c r="K7" s="5"/>
      <c r="L7" s="5"/>
      <c r="M7" s="5"/>
      <c r="N7" s="9">
        <v>2.5641000000000001E-2</v>
      </c>
      <c r="P7" s="4">
        <f>+(C7+(SUM(D7,F7)*'Residential Use per Customer'!G7)+(SUM('Residential Rates'!E7,'Residential Rates'!G7)*'Residential Use per Customer'!H7)+(SUM('Residential Rates'!H7:M7)*(SUM('Residential Use per Customer'!G7:H7))))*(1+'Residential Rates'!N7)</f>
        <v>114.54358688000002</v>
      </c>
      <c r="Q7" s="4"/>
      <c r="R7" s="7"/>
    </row>
    <row r="8" spans="2:21">
      <c r="B8" s="3">
        <v>2008</v>
      </c>
      <c r="C8" s="4">
        <v>8.5</v>
      </c>
      <c r="D8" s="5">
        <v>4.342E-2</v>
      </c>
      <c r="E8" s="5">
        <v>4.342E-2</v>
      </c>
      <c r="F8" s="5">
        <v>5.2409999999999998E-2</v>
      </c>
      <c r="G8" s="5">
        <v>5.2409999999999998E-2</v>
      </c>
      <c r="H8" s="5">
        <v>5.1700000000000001E-3</v>
      </c>
      <c r="I8" s="5">
        <v>1.0399999999999999E-3</v>
      </c>
      <c r="J8" s="5">
        <v>9.7999999999999997E-4</v>
      </c>
      <c r="K8" s="5"/>
      <c r="L8" s="5"/>
      <c r="M8" s="5"/>
      <c r="N8" s="9">
        <v>2.5641000000000001E-2</v>
      </c>
      <c r="P8" s="4">
        <f>+(C8+(SUM(D8,F8)*'Residential Use per Customer'!G8)+(SUM('Residential Rates'!E8,'Residential Rates'!G8)*'Residential Use per Customer'!H8)+(SUM('Residential Rates'!H8:M8)*(SUM('Residential Use per Customer'!G8:H8))))*(1+'Residential Rates'!N8)</f>
        <v>114.37948432</v>
      </c>
      <c r="Q8" s="4"/>
      <c r="R8" s="7"/>
    </row>
    <row r="9" spans="2:21">
      <c r="B9" s="3">
        <v>2009</v>
      </c>
      <c r="C9" s="4">
        <v>10.5</v>
      </c>
      <c r="D9" s="5">
        <v>4.2869999999999998E-2</v>
      </c>
      <c r="E9" s="5">
        <v>5.287E-2</v>
      </c>
      <c r="F9" s="5">
        <v>4.7989999999999998E-2</v>
      </c>
      <c r="G9" s="5">
        <v>5.799E-2</v>
      </c>
      <c r="H9" s="5">
        <v>5.7999999999999996E-3</v>
      </c>
      <c r="I9" s="5">
        <v>2.2899999999999999E-3</v>
      </c>
      <c r="J9" s="5">
        <v>1.06E-3</v>
      </c>
      <c r="K9" s="5"/>
      <c r="L9" s="5"/>
      <c r="M9" s="5"/>
      <c r="N9" s="9">
        <v>2.5641000000000001E-2</v>
      </c>
      <c r="P9" s="4">
        <f>+(C9+(SUM(D9,F9)*'Residential Use per Customer'!G9)+(SUM('Residential Rates'!E9,'Residential Rates'!G9)*'Residential Use per Customer'!H9)+(SUM('Residential Rates'!H9:M9)*(SUM('Residential Use per Customer'!G9:H9))))*(1+'Residential Rates'!N9)</f>
        <v>113.34358691000001</v>
      </c>
      <c r="Q9" s="4"/>
      <c r="R9" s="7"/>
    </row>
    <row r="10" spans="2:21">
      <c r="B10" s="3">
        <v>2010</v>
      </c>
      <c r="C10" s="4">
        <v>10.5</v>
      </c>
      <c r="D10" s="5">
        <v>4.4949999999999997E-2</v>
      </c>
      <c r="E10" s="5">
        <v>5.4949999999999999E-2</v>
      </c>
      <c r="F10" s="5">
        <v>4.1669999999999999E-2</v>
      </c>
      <c r="G10" s="5">
        <v>5.1670000000000001E-2</v>
      </c>
      <c r="H10" s="5">
        <v>5.3899999999999998E-3</v>
      </c>
      <c r="I10" s="5">
        <v>4.8599999999999997E-3</v>
      </c>
      <c r="J10" s="5">
        <v>2.5400000000000002E-3</v>
      </c>
      <c r="K10" s="5"/>
      <c r="L10" s="5"/>
      <c r="M10" s="5"/>
      <c r="N10" s="9">
        <v>2.5641000000000001E-2</v>
      </c>
      <c r="P10" s="4">
        <f>+(C10+(SUM(D10,F10)*'Residential Use per Customer'!G10)+(SUM('Residential Rates'!E10,'Residential Rates'!G10)*'Residential Use per Customer'!H10)+(SUM('Residential Rates'!H10:M10)*(SUM('Residential Use per Customer'!G10:H10))))*(1+'Residential Rates'!N10)</f>
        <v>112.72820231</v>
      </c>
      <c r="Q10" s="4"/>
      <c r="R10" s="7"/>
    </row>
    <row r="11" spans="2:21">
      <c r="B11" s="3">
        <v>2011</v>
      </c>
      <c r="C11" s="4">
        <v>10.5</v>
      </c>
      <c r="D11" s="5">
        <v>4.4949999999999997E-2</v>
      </c>
      <c r="E11" s="5">
        <v>5.4949999999999999E-2</v>
      </c>
      <c r="F11" s="5">
        <v>3.875E-2</v>
      </c>
      <c r="G11" s="5">
        <v>4.8750000000000002E-2</v>
      </c>
      <c r="H11" s="5">
        <v>3.3600000000000001E-3</v>
      </c>
      <c r="I11" s="5">
        <v>4.0400000000000002E-3</v>
      </c>
      <c r="J11" s="5">
        <v>2.7399999999999998E-3</v>
      </c>
      <c r="K11" s="5"/>
      <c r="L11" s="5"/>
      <c r="M11" s="5"/>
      <c r="N11" s="9">
        <v>2.5641000000000001E-2</v>
      </c>
      <c r="P11" s="4">
        <f>+(C11+(SUM(D11,F11)*'Residential Use per Customer'!G11)+(SUM('Residential Rates'!E11,'Residential Rates'!G11)*'Residential Use per Customer'!H11)+(SUM('Residential Rates'!H11:M11)*(SUM('Residential Use per Customer'!G11:H11))))*(1+'Residential Rates'!N11)</f>
        <v>107.01538194000001</v>
      </c>
      <c r="Q11" s="4"/>
      <c r="R11" s="7"/>
    </row>
    <row r="12" spans="2:21">
      <c r="B12" s="3">
        <v>2012</v>
      </c>
      <c r="C12" s="4">
        <v>10.5</v>
      </c>
      <c r="D12" s="5">
        <v>4.4949999999999997E-2</v>
      </c>
      <c r="E12" s="5">
        <v>5.4949999999999999E-2</v>
      </c>
      <c r="F12" s="5">
        <v>3.8399999999999997E-2</v>
      </c>
      <c r="G12" s="5">
        <v>4.8399999999999999E-2</v>
      </c>
      <c r="H12" s="5">
        <v>2.7499999999999998E-3</v>
      </c>
      <c r="I12" s="5">
        <v>4.5999999999999999E-3</v>
      </c>
      <c r="J12" s="5">
        <v>3.0200000000000001E-3</v>
      </c>
      <c r="K12" s="5"/>
      <c r="L12" s="5"/>
      <c r="M12" s="5"/>
      <c r="N12" s="9">
        <v>2.5641000000000001E-2</v>
      </c>
      <c r="P12" s="4">
        <f>+(C12+(SUM(D12,F12)*'Residential Use per Customer'!G12)+(SUM('Residential Rates'!E12,'Residential Rates'!G12)*'Residential Use per Customer'!H12)+(SUM('Residential Rates'!H12:M12)*(SUM('Residential Use per Customer'!G12:H12))))*(1+'Residential Rates'!N12)</f>
        <v>106.89230501999999</v>
      </c>
      <c r="Q12" s="4"/>
      <c r="R12" s="7"/>
    </row>
    <row r="13" spans="2:21">
      <c r="B13" s="3">
        <v>2013</v>
      </c>
      <c r="C13" s="4">
        <v>15</v>
      </c>
      <c r="D13" s="5">
        <v>4.598E-2</v>
      </c>
      <c r="E13" s="5">
        <v>5.5980000000000002E-2</v>
      </c>
      <c r="F13" s="5">
        <v>3.3689999999999998E-2</v>
      </c>
      <c r="G13" s="5">
        <v>4.369E-2</v>
      </c>
      <c r="H13" s="5">
        <v>2.32E-3</v>
      </c>
      <c r="I13" s="5">
        <v>5.5799999999999999E-3</v>
      </c>
      <c r="J13" s="5">
        <v>2.98E-3</v>
      </c>
      <c r="K13" s="5"/>
      <c r="L13" s="5"/>
      <c r="M13" s="5"/>
      <c r="N13" s="9">
        <v>2.5641000000000001E-2</v>
      </c>
      <c r="P13" s="4">
        <f>+(C13+(SUM(D13,F13)*'Residential Use per Customer'!G13)+(SUM('Residential Rates'!E13,'Residential Rates'!G13)*'Residential Use per Customer'!H13)+(SUM('Residential Rates'!H13:M13)*(SUM('Residential Use per Customer'!G13:H13))))*(1+'Residential Rates'!N13)</f>
        <v>108.25640754999999</v>
      </c>
      <c r="Q13" s="4"/>
      <c r="R13" s="7"/>
    </row>
    <row r="14" spans="2:21">
      <c r="B14" s="3">
        <v>2014</v>
      </c>
      <c r="C14" s="4">
        <v>15</v>
      </c>
      <c r="D14" s="5">
        <v>4.65E-2</v>
      </c>
      <c r="E14" s="5">
        <v>5.6500000000000002E-2</v>
      </c>
      <c r="F14" s="5">
        <v>3.6089999999999997E-2</v>
      </c>
      <c r="G14" s="5">
        <v>4.6089999999999999E-2</v>
      </c>
      <c r="H14" s="5">
        <v>2.0200000000000001E-3</v>
      </c>
      <c r="I14" s="5">
        <v>4.8300000000000001E-3</v>
      </c>
      <c r="J14" s="5">
        <v>2.9499999999999999E-3</v>
      </c>
      <c r="K14" s="5"/>
      <c r="L14" s="5"/>
      <c r="M14" s="5"/>
      <c r="N14" s="9">
        <v>2.5641000000000001E-2</v>
      </c>
      <c r="P14" s="4">
        <f>+(C14+(SUM(D14,F14)*'Residential Use per Customer'!G14)+(SUM('Residential Rates'!E14,'Residential Rates'!G14)*'Residential Use per Customer'!H14)+(SUM('Residential Rates'!H14:M14)*(SUM('Residential Use per Customer'!G14:H14))))*(1+'Residential Rates'!N14)</f>
        <v>110.14358699</v>
      </c>
      <c r="Q14" s="4"/>
      <c r="R14" s="7"/>
    </row>
    <row r="15" spans="2:21">
      <c r="B15" s="3">
        <v>2015</v>
      </c>
      <c r="C15" s="4">
        <v>15</v>
      </c>
      <c r="D15" s="5">
        <v>4.6940000000000003E-2</v>
      </c>
      <c r="E15" s="5">
        <v>5.6939999999999998E-2</v>
      </c>
      <c r="F15" s="5">
        <v>3.5589999999999997E-2</v>
      </c>
      <c r="G15" s="5">
        <v>4.5589999999999999E-2</v>
      </c>
      <c r="H15" s="5">
        <v>2.0400000000000001E-3</v>
      </c>
      <c r="I15" s="5">
        <v>4.0800000000000003E-3</v>
      </c>
      <c r="J15" s="5">
        <v>2.5500000000000002E-3</v>
      </c>
      <c r="K15" s="5"/>
      <c r="L15" s="5"/>
      <c r="M15" s="5"/>
      <c r="N15" s="9">
        <v>2.5641000000000001E-2</v>
      </c>
      <c r="P15" s="4">
        <f>+(C15+(SUM(D15,F15)*'Residential Use per Customer'!G15)+(SUM('Residential Rates'!E15,'Residential Rates'!G15)*'Residential Use per Customer'!H15)+(SUM('Residential Rates'!H15:M15)*(SUM('Residential Use per Customer'!G15:H15))))*(1+'Residential Rates'!N15)</f>
        <v>108.92307419999999</v>
      </c>
      <c r="Q15" s="4"/>
      <c r="R15" s="7"/>
    </row>
    <row r="16" spans="2:21">
      <c r="B16" s="3">
        <v>2016</v>
      </c>
      <c r="C16" s="4">
        <v>15</v>
      </c>
      <c r="D16" s="5">
        <v>4.6940000000000003E-2</v>
      </c>
      <c r="E16" s="5">
        <v>5.6939999999999998E-2</v>
      </c>
      <c r="F16" s="5">
        <v>3.3610000000000001E-2</v>
      </c>
      <c r="G16" s="5">
        <v>4.3610000000000003E-2</v>
      </c>
      <c r="H16" s="5">
        <v>1.7799999999999999E-3</v>
      </c>
      <c r="I16" s="5">
        <v>4.3200000000000001E-3</v>
      </c>
      <c r="J16" s="5">
        <v>1.91E-3</v>
      </c>
      <c r="K16" s="5"/>
      <c r="L16" s="5"/>
      <c r="M16" s="5"/>
      <c r="N16" s="9">
        <v>2.5641000000000001E-2</v>
      </c>
      <c r="P16" s="4">
        <f>+(C16+(SUM(D16,F16)*'Residential Use per Customer'!G16)+(SUM('Residential Rates'!E16,'Residential Rates'!G16)*'Residential Use per Customer'!H16)+(SUM('Residential Rates'!H16:M16)*(SUM('Residential Use per Customer'!G16:H16))))*(1+'Residential Rates'!N16)</f>
        <v>106.21538196000002</v>
      </c>
      <c r="Q16" s="4"/>
      <c r="R16" s="7"/>
    </row>
    <row r="17" spans="2:21">
      <c r="B17" s="3">
        <v>2017</v>
      </c>
      <c r="C17" s="4">
        <v>16.62</v>
      </c>
      <c r="D17" s="5">
        <v>5.1999999999999998E-2</v>
      </c>
      <c r="E17" s="5">
        <v>6.3079999999999997E-2</v>
      </c>
      <c r="F17" s="5">
        <v>2.6419999999999999E-2</v>
      </c>
      <c r="G17" s="5">
        <v>3.6420000000000001E-2</v>
      </c>
      <c r="H17" s="5">
        <v>8.8000000000000003E-4</v>
      </c>
      <c r="I17" s="5">
        <v>3.8899999999999998E-3</v>
      </c>
      <c r="J17" s="5">
        <v>2.2499999999999998E-3</v>
      </c>
      <c r="K17" s="5"/>
      <c r="L17" s="5"/>
      <c r="M17" s="5"/>
      <c r="N17" s="9">
        <v>2.5641000000000001E-2</v>
      </c>
      <c r="P17" s="4">
        <f>+(C17+(SUM(D17,F17)*'Residential Use per Customer'!G17)+(SUM('Residential Rates'!E17,'Residential Rates'!G17)*'Residential Use per Customer'!H17)+(SUM('Residential Rates'!H17:M17)*(SUM('Residential Use per Customer'!G17:H17))))*(1+'Residential Rates'!N17)</f>
        <v>104.67692045999999</v>
      </c>
      <c r="Q17" s="4"/>
      <c r="R17" s="7"/>
    </row>
    <row r="18" spans="2:21">
      <c r="B18" s="3">
        <v>2018</v>
      </c>
      <c r="C18" s="4">
        <v>16.62</v>
      </c>
      <c r="D18" s="5">
        <v>5.3809999999999997E-2</v>
      </c>
      <c r="E18" s="5">
        <v>6.3810000000000006E-2</v>
      </c>
      <c r="F18" s="5">
        <v>2.818E-2</v>
      </c>
      <c r="G18" s="5">
        <v>3.8179999999999999E-2</v>
      </c>
      <c r="H18" s="5">
        <v>6.6E-4</v>
      </c>
      <c r="I18" s="5">
        <v>3.4299999999999999E-3</v>
      </c>
      <c r="J18" s="5">
        <v>2.4599999999999999E-3</v>
      </c>
      <c r="K18" s="5"/>
      <c r="L18" s="5"/>
      <c r="M18" s="5"/>
      <c r="N18" s="9">
        <v>2.5641000000000001E-2</v>
      </c>
      <c r="P18" s="4">
        <f>+(C18+(SUM(D18,F18)*'Residential Use per Customer'!G18)+(SUM('Residential Rates'!E18,'Residential Rates'!G18)*'Residential Use per Customer'!H18)+(SUM('Residential Rates'!H18:M18)*(SUM('Residential Use per Customer'!G18:H18))))*(1+'Residential Rates'!N18)</f>
        <v>107.85640755999999</v>
      </c>
      <c r="Q18" s="4"/>
      <c r="R18" s="7"/>
    </row>
    <row r="19" spans="2:21">
      <c r="B19" s="3">
        <v>2019</v>
      </c>
      <c r="C19" s="4">
        <v>15.12</v>
      </c>
      <c r="D19" s="5">
        <v>5.1409999999999997E-2</v>
      </c>
      <c r="E19" s="5">
        <v>6.1409999999999999E-2</v>
      </c>
      <c r="F19" s="5">
        <v>2.4049999999999998E-2</v>
      </c>
      <c r="G19" s="5">
        <v>3.4049999999999997E-2</v>
      </c>
      <c r="H19" s="5">
        <v>1.0300000000000001E-3</v>
      </c>
      <c r="I19" s="5">
        <v>2.2200000000000002E-3</v>
      </c>
      <c r="J19" s="5">
        <v>3.2100000000000002E-3</v>
      </c>
      <c r="K19" s="5"/>
      <c r="L19" s="5"/>
      <c r="M19" s="5"/>
      <c r="N19" s="9">
        <v>2.5641000000000001E-2</v>
      </c>
      <c r="P19" s="4">
        <f>+(C19+(SUM(D19,F19)*'Residential Use per Customer'!G19)+(SUM('Residential Rates'!E19,'Residential Rates'!G19)*'Residential Use per Customer'!H19)+(SUM('Residential Rates'!H19:M19)*(SUM('Residential Use per Customer'!G19:H19))))*(1+'Residential Rates'!N19)</f>
        <v>99.528202639999989</v>
      </c>
      <c r="Q19" s="4"/>
      <c r="R19" s="7"/>
    </row>
    <row r="20" spans="2:21">
      <c r="B20" s="3">
        <v>2020</v>
      </c>
      <c r="C20" s="4">
        <v>15.05</v>
      </c>
      <c r="D20" s="5">
        <v>5.271E-2</v>
      </c>
      <c r="E20" s="5">
        <v>6.2710000000000002E-2</v>
      </c>
      <c r="F20" s="5">
        <v>2.7019999999999999E-2</v>
      </c>
      <c r="G20" s="5">
        <v>3.7019999999999997E-2</v>
      </c>
      <c r="H20" s="5">
        <v>1E-4</v>
      </c>
      <c r="I20" s="5">
        <v>2.4399999999999999E-3</v>
      </c>
      <c r="J20" s="5">
        <v>2.32E-3</v>
      </c>
      <c r="K20" s="5"/>
      <c r="L20" s="5"/>
      <c r="M20" s="5"/>
      <c r="N20" s="9">
        <v>2.5641000000000001E-2</v>
      </c>
      <c r="P20" s="4">
        <f>+(C20+(SUM(D20,F20)*'Residential Use per Customer'!G20)+(SUM('Residential Rates'!E20,'Residential Rates'!G20)*'Residential Use per Customer'!H20)+(SUM('Residential Rates'!H20:M20)*(SUM('Residential Use per Customer'!G20:H20))))*(1+'Residential Rates'!N20)</f>
        <v>102.19486923999999</v>
      </c>
      <c r="Q20" s="4"/>
      <c r="R20" s="7"/>
    </row>
    <row r="21" spans="2:21">
      <c r="B21" s="3">
        <v>2021</v>
      </c>
      <c r="C21" s="4">
        <v>15.05</v>
      </c>
      <c r="D21" s="5">
        <v>5.2249999999999998E-2</v>
      </c>
      <c r="E21" s="5">
        <v>6.225E-2</v>
      </c>
      <c r="F21" s="5">
        <v>3.9379999999999998E-2</v>
      </c>
      <c r="G21" s="5">
        <v>4.938E-2</v>
      </c>
      <c r="H21" s="5">
        <v>1.6999999999999999E-3</v>
      </c>
      <c r="I21" s="5">
        <v>2.6900000000000001E-3</v>
      </c>
      <c r="J21" s="5">
        <v>1.66E-3</v>
      </c>
      <c r="K21" s="5">
        <v>2.3900000000000002E-3</v>
      </c>
      <c r="L21" s="5"/>
      <c r="M21" s="5"/>
      <c r="N21" s="9">
        <v>2.5641000000000001E-2</v>
      </c>
      <c r="P21" s="4">
        <f>+(C21+(SUM(D21,F21)*'Residential Use per Customer'!G21)+(SUM('Residential Rates'!E21,'Residential Rates'!G21)*'Residential Use per Customer'!H21)+(SUM('Residential Rates'!H21:M21)*(SUM('Residential Use per Customer'!G21:H21))))*(1+'Residential Rates'!N21)</f>
        <v>118.07179192</v>
      </c>
      <c r="Q21" s="4"/>
      <c r="R21" s="7"/>
    </row>
    <row r="22" spans="2:21">
      <c r="B22" s="3">
        <v>2022</v>
      </c>
      <c r="C22" s="4">
        <f>0.71*30</f>
        <v>21.299999999999997</v>
      </c>
      <c r="D22" s="5">
        <v>5.7689999999999998E-2</v>
      </c>
      <c r="E22" s="5">
        <v>6.769E-2</v>
      </c>
      <c r="F22" s="5">
        <v>3.7909999999999999E-2</v>
      </c>
      <c r="G22" s="5">
        <v>4.7910000000000001E-2</v>
      </c>
      <c r="H22" s="5">
        <v>5.2999999999999998E-4</v>
      </c>
      <c r="I22" s="5">
        <v>1.3799999999999999E-3</v>
      </c>
      <c r="J22" s="5">
        <v>2.3600000000000001E-3</v>
      </c>
      <c r="K22" s="5">
        <v>3.29E-3</v>
      </c>
      <c r="L22" s="5">
        <v>4.4099999999999999E-3</v>
      </c>
      <c r="M22" s="5"/>
      <c r="N22" s="9">
        <v>2.5641000000000001E-2</v>
      </c>
      <c r="P22" s="4">
        <f>+(C22+(SUM(D22,F22)*'Residential Use per Customer'!G22)+(SUM('Residential Rates'!E22,'Residential Rates'!G22)*'Residential Use per Customer'!H22)+(SUM('Residential Rates'!H22:M22)*(SUM('Residential Use per Customer'!G22:H22))))*(1+'Residential Rates'!N22)</f>
        <v>132.17435567000001</v>
      </c>
      <c r="Q22" s="4"/>
      <c r="R22" s="7"/>
      <c r="S22" s="7"/>
      <c r="T22" s="7"/>
      <c r="U22" s="7"/>
    </row>
    <row r="23" spans="2:21">
      <c r="B23" s="3">
        <v>2023</v>
      </c>
      <c r="C23" s="4">
        <f>0.71*30</f>
        <v>21.299999999999997</v>
      </c>
      <c r="D23" s="5">
        <v>6.4920000000000005E-2</v>
      </c>
      <c r="E23" s="5">
        <v>7.6170000000000002E-2</v>
      </c>
      <c r="F23" s="5">
        <v>4.9079999999999999E-2</v>
      </c>
      <c r="G23" s="5">
        <v>5.9080000000000001E-2</v>
      </c>
      <c r="H23" s="5">
        <v>-1.8000000000000001E-4</v>
      </c>
      <c r="I23" s="5">
        <v>9.2000000000000003E-4</v>
      </c>
      <c r="J23" s="5">
        <v>2.81E-3</v>
      </c>
      <c r="K23" s="5">
        <v>3.7299999999999998E-3</v>
      </c>
      <c r="L23" s="5">
        <v>4.3E-3</v>
      </c>
      <c r="M23" s="5">
        <v>1.022E-2</v>
      </c>
      <c r="N23" s="9">
        <v>2.5641000000000001E-2</v>
      </c>
      <c r="P23" s="4">
        <f>+(C23+(SUM(D23,F23)*'Residential Use per Customer'!G23)+(SUM('Residential Rates'!E23,'Residential Rates'!G23)*'Residential Use per Customer'!H23)+(SUM('Residential Rates'!H23:M23)*(SUM('Residential Use per Customer'!G23:H23))))*(1+'Residential Rates'!N23)</f>
        <v>161.12820110000004</v>
      </c>
      <c r="Q23" s="4"/>
      <c r="R23" s="7"/>
      <c r="S23" s="7"/>
      <c r="T23" s="7"/>
      <c r="U23" s="7"/>
    </row>
    <row r="24" spans="2:21">
      <c r="B24" s="3">
        <v>2024</v>
      </c>
      <c r="C24" s="4">
        <v>21.3</v>
      </c>
      <c r="D24" s="5">
        <v>6.6500000000000004E-2</v>
      </c>
      <c r="E24" s="5">
        <v>7.8020000000000006E-2</v>
      </c>
      <c r="F24" s="5">
        <v>2.8500000000000001E-2</v>
      </c>
      <c r="G24" s="5">
        <v>3.85E-2</v>
      </c>
      <c r="H24" s="5">
        <v>6.2E-4</v>
      </c>
      <c r="I24" s="5">
        <v>8.8999999999999995E-4</v>
      </c>
      <c r="J24" s="5">
        <v>2.15E-3</v>
      </c>
      <c r="K24" s="5">
        <v>6.5799999999999999E-3</v>
      </c>
      <c r="L24" s="5">
        <v>4.3E-3</v>
      </c>
      <c r="M24" s="5">
        <v>2.1900000000000001E-3</v>
      </c>
      <c r="N24" s="9">
        <v>2.5641000000000001E-2</v>
      </c>
      <c r="P24" s="4">
        <f>+(C24+(SUM(D24,F24)*'Residential Use per Customer'!G24)+(SUM('Residential Rates'!E24,'Residential Rates'!G24)*'Residential Use per Customer'!H24)+(SUM('Residential Rates'!H24:M24)*(SUM('Residential Use per Customer'!G24:H24))))*(1+'Residential Rates'!N24)</f>
        <v>136.44102223000002</v>
      </c>
      <c r="Q24" s="4"/>
      <c r="R24" s="7"/>
      <c r="S24" s="7"/>
      <c r="T24" s="7"/>
      <c r="U24" s="7"/>
    </row>
    <row r="25" spans="2:21">
      <c r="B25" s="3" t="s">
        <v>19</v>
      </c>
      <c r="C25" s="4">
        <f>1.07*30</f>
        <v>32.1</v>
      </c>
      <c r="D25" s="5">
        <v>7.4914944597099395E-2</v>
      </c>
      <c r="E25" s="5">
        <v>8.491494459709939E-2</v>
      </c>
      <c r="F25" s="5">
        <v>2.6100000000000002E-2</v>
      </c>
      <c r="G25" s="5">
        <v>3.61E-2</v>
      </c>
      <c r="H25" s="5">
        <f t="shared" ref="H25:L25" si="0">+H24</f>
        <v>6.2E-4</v>
      </c>
      <c r="I25" s="5">
        <f t="shared" si="0"/>
        <v>8.8999999999999995E-4</v>
      </c>
      <c r="J25" s="5">
        <f t="shared" si="0"/>
        <v>2.15E-3</v>
      </c>
      <c r="K25" s="5">
        <f t="shared" si="0"/>
        <v>6.5799999999999999E-3</v>
      </c>
      <c r="L25" s="5">
        <f t="shared" si="0"/>
        <v>4.3E-3</v>
      </c>
      <c r="M25" s="5"/>
      <c r="N25" s="9">
        <v>2.5641000000000001E-2</v>
      </c>
      <c r="P25" s="4">
        <f>+(C25+(SUM(D25,F25)*'Residential Use per Customer'!G25)+(SUM('Residential Rates'!E25,'Residential Rates'!G25)*'Residential Use per Customer'!H25)+(SUM('Residential Rates'!H25:M25)*(SUM('Residential Use per Customer'!G25:H25))))*(1+'Residential Rates'!N25)</f>
        <v>151.44096503151363</v>
      </c>
      <c r="Q25" s="4"/>
      <c r="R25" s="7"/>
      <c r="S25" s="7"/>
      <c r="T25" s="11"/>
      <c r="U25" s="7"/>
    </row>
    <row r="26" spans="2:21"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P26" s="4"/>
      <c r="Q26" s="7"/>
      <c r="R26" s="7"/>
      <c r="S26" s="7"/>
      <c r="T26" s="7"/>
      <c r="U26" s="7"/>
    </row>
    <row r="27" spans="2:21"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P27" s="4"/>
      <c r="Q27" s="7"/>
      <c r="R27" s="7"/>
      <c r="S27" s="7"/>
      <c r="T27" s="7"/>
      <c r="U27" s="7"/>
    </row>
    <row r="28" spans="2:21">
      <c r="C28" s="4"/>
      <c r="N28" s="4"/>
    </row>
    <row r="29" spans="2:21">
      <c r="N29" s="23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EF25-FA95-466A-8E62-4F5D3AECCF64}">
  <dimension ref="B1:G25"/>
  <sheetViews>
    <sheetView tabSelected="1" zoomScale="110" zoomScaleNormal="110" workbookViewId="0">
      <selection activeCell="B2" sqref="B2"/>
    </sheetView>
  </sheetViews>
  <sheetFormatPr defaultRowHeight="15"/>
  <cols>
    <col min="2" max="2" width="16.28515625" style="3" bestFit="1" customWidth="1"/>
    <col min="3" max="3" width="52.42578125" bestFit="1" customWidth="1"/>
    <col min="4" max="4" width="33.85546875" bestFit="1" customWidth="1"/>
    <col min="5" max="5" width="21" bestFit="1" customWidth="1"/>
    <col min="6" max="6" width="31.7109375" bestFit="1" customWidth="1"/>
    <col min="7" max="7" width="12.140625" bestFit="1" customWidth="1"/>
  </cols>
  <sheetData>
    <row r="1" spans="2:6" ht="15.75" thickBot="1"/>
    <row r="2" spans="2:6">
      <c r="B2" s="12" t="s">
        <v>0</v>
      </c>
      <c r="C2" s="13" t="s">
        <v>20</v>
      </c>
      <c r="D2" s="13" t="s">
        <v>21</v>
      </c>
      <c r="E2" s="13" t="s">
        <v>22</v>
      </c>
      <c r="F2" s="14" t="s">
        <v>23</v>
      </c>
    </row>
    <row r="3" spans="2:6">
      <c r="B3" s="15">
        <v>2003</v>
      </c>
      <c r="C3" s="16">
        <f>33211*0.52</f>
        <v>17269.72</v>
      </c>
      <c r="D3" s="16">
        <f>+C3/12</f>
        <v>1439.1433333333334</v>
      </c>
      <c r="E3" s="17">
        <f>+'Residential Rates'!P3</f>
        <v>94.143587390000008</v>
      </c>
      <c r="F3" s="18">
        <f>+E3/D3</f>
        <v>6.5416407948710231E-2</v>
      </c>
    </row>
    <row r="4" spans="2:6">
      <c r="B4" s="15">
        <v>2004</v>
      </c>
      <c r="C4" s="16">
        <f>34094*0.52</f>
        <v>17728.88</v>
      </c>
      <c r="D4" s="16">
        <f t="shared" ref="D4:D25" si="0">+C4/12</f>
        <v>1477.4066666666668</v>
      </c>
      <c r="E4" s="17">
        <f>+'Residential Rates'!P4</f>
        <v>98.666664199999985</v>
      </c>
      <c r="F4" s="18">
        <f t="shared" ref="F4:F24" si="1">+E4/D4</f>
        <v>6.6783686865724154E-2</v>
      </c>
    </row>
    <row r="5" spans="2:6">
      <c r="B5" s="15">
        <v>2005</v>
      </c>
      <c r="C5" s="16">
        <f>34484*0.52</f>
        <v>17931.68</v>
      </c>
      <c r="D5" s="16">
        <f t="shared" si="0"/>
        <v>1494.3066666666666</v>
      </c>
      <c r="E5" s="17">
        <f>+'Residential Rates'!P5</f>
        <v>98.071792420000008</v>
      </c>
      <c r="F5" s="18">
        <f t="shared" si="1"/>
        <v>6.5630298390334879E-2</v>
      </c>
    </row>
    <row r="6" spans="2:6">
      <c r="B6" s="15">
        <v>2006</v>
      </c>
      <c r="C6" s="16">
        <f>35163*0.52</f>
        <v>18284.760000000002</v>
      </c>
      <c r="D6" s="16">
        <f t="shared" si="0"/>
        <v>1523.7300000000002</v>
      </c>
      <c r="E6" s="17">
        <f>+'Residential Rates'!P6</f>
        <v>109.61025366999999</v>
      </c>
      <c r="F6" s="18">
        <f t="shared" si="1"/>
        <v>7.1935483103961972E-2</v>
      </c>
    </row>
    <row r="7" spans="2:6">
      <c r="B7" s="15">
        <v>2007</v>
      </c>
      <c r="C7" s="16">
        <f>36482*0.52</f>
        <v>18970.64</v>
      </c>
      <c r="D7" s="16">
        <f t="shared" si="0"/>
        <v>1580.8866666666665</v>
      </c>
      <c r="E7" s="17">
        <f>+'Residential Rates'!P7</f>
        <v>114.54358688000002</v>
      </c>
      <c r="F7" s="18">
        <f t="shared" si="1"/>
        <v>7.2455280505033054E-2</v>
      </c>
    </row>
    <row r="8" spans="2:6">
      <c r="B8" s="15">
        <v>2008</v>
      </c>
      <c r="C8" s="16">
        <f>37361*0.52</f>
        <v>19427.72</v>
      </c>
      <c r="D8" s="16">
        <f t="shared" si="0"/>
        <v>1618.9766666666667</v>
      </c>
      <c r="E8" s="17">
        <f>+'Residential Rates'!P8</f>
        <v>114.37948432</v>
      </c>
      <c r="F8" s="18">
        <f t="shared" si="1"/>
        <v>7.0649248179405516E-2</v>
      </c>
    </row>
    <row r="9" spans="2:6">
      <c r="B9" s="15">
        <v>2009</v>
      </c>
      <c r="C9" s="16">
        <f>39014*0.52</f>
        <v>20287.280000000002</v>
      </c>
      <c r="D9" s="16">
        <f t="shared" si="0"/>
        <v>1690.6066666666668</v>
      </c>
      <c r="E9" s="17">
        <f>+'Residential Rates'!P9</f>
        <v>113.34358691000001</v>
      </c>
      <c r="F9" s="18">
        <f t="shared" si="1"/>
        <v>6.7043144419557485E-2</v>
      </c>
    </row>
    <row r="10" spans="2:6">
      <c r="B10" s="15">
        <v>2010</v>
      </c>
      <c r="C10" s="16">
        <f>40208*0.52</f>
        <v>20908.16</v>
      </c>
      <c r="D10" s="16">
        <f t="shared" si="0"/>
        <v>1742.3466666666666</v>
      </c>
      <c r="E10" s="17">
        <f>+'Residential Rates'!P10</f>
        <v>112.72820231</v>
      </c>
      <c r="F10" s="18">
        <f t="shared" si="1"/>
        <v>6.4699066188512053E-2</v>
      </c>
    </row>
    <row r="11" spans="2:6">
      <c r="B11" s="15">
        <v>2011</v>
      </c>
      <c r="C11" s="16">
        <f>41881*0.52</f>
        <v>21778.12</v>
      </c>
      <c r="D11" s="16">
        <f t="shared" si="0"/>
        <v>1814.8433333333332</v>
      </c>
      <c r="E11" s="17">
        <f>+'Residential Rates'!P11</f>
        <v>107.01538194000001</v>
      </c>
      <c r="F11" s="18">
        <f t="shared" si="1"/>
        <v>5.8966732816239424E-2</v>
      </c>
    </row>
    <row r="12" spans="2:6">
      <c r="B12" s="15">
        <v>2012</v>
      </c>
      <c r="C12" s="16">
        <f>40623*0.52</f>
        <v>21123.96</v>
      </c>
      <c r="D12" s="16">
        <f t="shared" si="0"/>
        <v>1760.33</v>
      </c>
      <c r="E12" s="17">
        <f>+'Residential Rates'!P12</f>
        <v>106.89230501999999</v>
      </c>
      <c r="F12" s="18">
        <f t="shared" si="1"/>
        <v>6.0722878676157312E-2</v>
      </c>
    </row>
    <row r="13" spans="2:6">
      <c r="B13" s="15">
        <v>2013</v>
      </c>
      <c r="C13" s="16">
        <f>39437*0.52</f>
        <v>20507.240000000002</v>
      </c>
      <c r="D13" s="16">
        <f t="shared" si="0"/>
        <v>1708.9366666666667</v>
      </c>
      <c r="E13" s="17">
        <f>+'Residential Rates'!P13</f>
        <v>108.25640754999999</v>
      </c>
      <c r="F13" s="18">
        <f t="shared" si="1"/>
        <v>6.3347232031224082E-2</v>
      </c>
    </row>
    <row r="14" spans="2:6">
      <c r="B14" s="15">
        <v>2014</v>
      </c>
      <c r="C14" s="16">
        <f>39244*0.52</f>
        <v>20406.88</v>
      </c>
      <c r="D14" s="16">
        <f t="shared" si="0"/>
        <v>1700.5733333333335</v>
      </c>
      <c r="E14" s="17">
        <f>+'Residential Rates'!P14</f>
        <v>110.14358699</v>
      </c>
      <c r="F14" s="18">
        <f t="shared" si="1"/>
        <v>6.4768501793512775E-2</v>
      </c>
    </row>
    <row r="15" spans="2:6">
      <c r="B15" s="15">
        <v>2015</v>
      </c>
      <c r="C15" s="16">
        <f>39100*0.52</f>
        <v>20332</v>
      </c>
      <c r="D15" s="16">
        <f t="shared" si="0"/>
        <v>1694.3333333333333</v>
      </c>
      <c r="E15" s="17">
        <f>+'Residential Rates'!P15</f>
        <v>108.92307419999999</v>
      </c>
      <c r="F15" s="18">
        <f t="shared" si="1"/>
        <v>6.4286685540035401E-2</v>
      </c>
    </row>
    <row r="16" spans="2:6">
      <c r="B16" s="15">
        <v>2016</v>
      </c>
      <c r="C16" s="16">
        <f>39458*0.52</f>
        <v>20518.16</v>
      </c>
      <c r="D16" s="16">
        <f t="shared" si="0"/>
        <v>1709.8466666666666</v>
      </c>
      <c r="E16" s="17">
        <f>+'Residential Rates'!P16</f>
        <v>106.21538196000002</v>
      </c>
      <c r="F16" s="18">
        <f t="shared" si="1"/>
        <v>6.2119828655201062E-2</v>
      </c>
    </row>
    <row r="17" spans="2:7">
      <c r="B17" s="15">
        <v>2017</v>
      </c>
      <c r="C17" s="16">
        <f>40586*0.52</f>
        <v>21104.720000000001</v>
      </c>
      <c r="D17" s="16">
        <f t="shared" si="0"/>
        <v>1758.7266666666667</v>
      </c>
      <c r="E17" s="17">
        <f>+'Residential Rates'!P17</f>
        <v>104.67692045999999</v>
      </c>
      <c r="F17" s="18">
        <f t="shared" si="1"/>
        <v>5.9518583782206057E-2</v>
      </c>
    </row>
    <row r="18" spans="2:7">
      <c r="B18" s="15">
        <v>2018</v>
      </c>
      <c r="C18" s="16">
        <v>21304</v>
      </c>
      <c r="D18" s="16">
        <f t="shared" si="0"/>
        <v>1775.3333333333333</v>
      </c>
      <c r="E18" s="17">
        <f>+'Residential Rates'!P18</f>
        <v>107.85640755999999</v>
      </c>
      <c r="F18" s="18">
        <f t="shared" si="1"/>
        <v>6.0752764303417195E-2</v>
      </c>
    </row>
    <row r="19" spans="2:7">
      <c r="B19" s="15">
        <v>2019</v>
      </c>
      <c r="C19" s="16">
        <v>21869</v>
      </c>
      <c r="D19" s="16">
        <f t="shared" si="0"/>
        <v>1822.4166666666667</v>
      </c>
      <c r="E19" s="17">
        <f>+'Residential Rates'!P19</f>
        <v>99.528202639999989</v>
      </c>
      <c r="F19" s="18">
        <f t="shared" si="1"/>
        <v>5.4613307955553518E-2</v>
      </c>
    </row>
    <row r="20" spans="2:7">
      <c r="B20" s="15">
        <v>2020</v>
      </c>
      <c r="C20" s="16">
        <v>22986</v>
      </c>
      <c r="D20" s="16">
        <f t="shared" si="0"/>
        <v>1915.5</v>
      </c>
      <c r="E20" s="17">
        <f>+'Residential Rates'!P20</f>
        <v>102.19486923999999</v>
      </c>
      <c r="F20" s="18">
        <f t="shared" si="1"/>
        <v>5.3351537060819625E-2</v>
      </c>
    </row>
    <row r="21" spans="2:7">
      <c r="B21" s="15">
        <v>2021</v>
      </c>
      <c r="C21" s="16">
        <v>24117</v>
      </c>
      <c r="D21" s="16">
        <f t="shared" si="0"/>
        <v>2009.75</v>
      </c>
      <c r="E21" s="17">
        <f>+'Residential Rates'!P21</f>
        <v>118.07179192</v>
      </c>
      <c r="F21" s="18">
        <f t="shared" si="1"/>
        <v>5.874949218559522E-2</v>
      </c>
    </row>
    <row r="22" spans="2:7">
      <c r="B22" s="15">
        <v>2022</v>
      </c>
      <c r="C22" s="16">
        <v>25296</v>
      </c>
      <c r="D22" s="16">
        <f t="shared" si="0"/>
        <v>2108</v>
      </c>
      <c r="E22" s="17">
        <f>+'Residential Rates'!P22</f>
        <v>132.17435567000001</v>
      </c>
      <c r="F22" s="18">
        <f t="shared" si="1"/>
        <v>6.2701307243833021E-2</v>
      </c>
    </row>
    <row r="23" spans="2:7">
      <c r="B23" s="15">
        <v>2023</v>
      </c>
      <c r="C23" s="16">
        <v>26036</v>
      </c>
      <c r="D23" s="16">
        <f t="shared" si="0"/>
        <v>2169.6666666666665</v>
      </c>
      <c r="E23" s="17">
        <f>+'Residential Rates'!P23</f>
        <v>161.12820110000004</v>
      </c>
      <c r="F23" s="18">
        <f t="shared" si="1"/>
        <v>7.426403492087881E-2</v>
      </c>
      <c r="G23" s="6"/>
    </row>
    <row r="24" spans="2:7">
      <c r="B24" s="15">
        <v>2024</v>
      </c>
      <c r="C24" s="16">
        <v>27735</v>
      </c>
      <c r="D24" s="16">
        <f t="shared" si="0"/>
        <v>2311.25</v>
      </c>
      <c r="E24" s="17">
        <f>+'Residential Rates'!P24</f>
        <v>136.44102223000002</v>
      </c>
      <c r="F24" s="18">
        <f t="shared" si="1"/>
        <v>5.9033433090319096E-2</v>
      </c>
      <c r="G24" s="6"/>
    </row>
    <row r="25" spans="2:7" ht="15.75" thickBot="1">
      <c r="B25" s="19">
        <v>2025</v>
      </c>
      <c r="C25" s="20">
        <v>30587</v>
      </c>
      <c r="D25" s="20">
        <f t="shared" si="0"/>
        <v>2548.9166666666665</v>
      </c>
      <c r="E25" s="21">
        <f>+'Residential Rates'!P25</f>
        <v>151.44096503151363</v>
      </c>
      <c r="F25" s="22">
        <f>+E25/D25</f>
        <v>5.9413854918042422E-2</v>
      </c>
      <c r="G25" s="6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3EB8-5B2E-476E-9D8E-EFD2C25C679D}">
  <dimension ref="B2:G25"/>
  <sheetViews>
    <sheetView zoomScale="110" zoomScaleNormal="110" workbookViewId="0">
      <selection activeCell="F19" sqref="F19"/>
    </sheetView>
  </sheetViews>
  <sheetFormatPr defaultRowHeight="15"/>
  <cols>
    <col min="2" max="2" width="9.140625" style="3"/>
    <col min="3" max="3" width="11.28515625" style="3" bestFit="1" customWidth="1"/>
    <col min="4" max="4" width="30.5703125" style="3" bestFit="1" customWidth="1"/>
    <col min="5" max="5" width="34.5703125" style="3" bestFit="1" customWidth="1"/>
  </cols>
  <sheetData>
    <row r="2" spans="2:5">
      <c r="B2" s="1" t="s">
        <v>0</v>
      </c>
      <c r="C2" s="1" t="s">
        <v>24</v>
      </c>
      <c r="D2" s="1" t="s">
        <v>23</v>
      </c>
      <c r="E2" s="1" t="s">
        <v>25</v>
      </c>
    </row>
    <row r="3" spans="2:5">
      <c r="B3" s="3">
        <v>2003</v>
      </c>
      <c r="C3" s="4">
        <f>+'Residential Rates'!P3</f>
        <v>94.143587390000008</v>
      </c>
      <c r="D3" s="6">
        <f t="shared" ref="D3:D25" si="0">+C3/E3</f>
        <v>6.5416407948710231E-2</v>
      </c>
      <c r="E3" s="4">
        <f>+'LIHEAP Qualification Income'!D3</f>
        <v>1439.1433333333334</v>
      </c>
    </row>
    <row r="4" spans="2:5">
      <c r="B4" s="3">
        <v>2004</v>
      </c>
      <c r="C4" s="4">
        <f>+'Residential Rates'!P4</f>
        <v>98.666664199999985</v>
      </c>
      <c r="D4" s="6">
        <f t="shared" si="0"/>
        <v>6.6783686865724154E-2</v>
      </c>
      <c r="E4" s="4">
        <f>+'LIHEAP Qualification Income'!D4</f>
        <v>1477.4066666666668</v>
      </c>
    </row>
    <row r="5" spans="2:5">
      <c r="B5" s="3">
        <v>2005</v>
      </c>
      <c r="C5" s="4">
        <f>+'Residential Rates'!P5</f>
        <v>98.071792420000008</v>
      </c>
      <c r="D5" s="6">
        <f t="shared" si="0"/>
        <v>6.5630298390334879E-2</v>
      </c>
      <c r="E5" s="4">
        <f>+'LIHEAP Qualification Income'!D5</f>
        <v>1494.3066666666666</v>
      </c>
    </row>
    <row r="6" spans="2:5">
      <c r="B6" s="3">
        <v>2006</v>
      </c>
      <c r="C6" s="4">
        <f>+'Residential Rates'!P6</f>
        <v>109.61025366999999</v>
      </c>
      <c r="D6" s="6">
        <f t="shared" si="0"/>
        <v>7.1935483103961972E-2</v>
      </c>
      <c r="E6" s="4">
        <f>+'LIHEAP Qualification Income'!D6</f>
        <v>1523.7300000000002</v>
      </c>
    </row>
    <row r="7" spans="2:5">
      <c r="B7" s="3">
        <v>2007</v>
      </c>
      <c r="C7" s="4">
        <f>+'Residential Rates'!P7</f>
        <v>114.54358688000002</v>
      </c>
      <c r="D7" s="6">
        <f t="shared" si="0"/>
        <v>7.2455280505033054E-2</v>
      </c>
      <c r="E7" s="4">
        <f>+'LIHEAP Qualification Income'!D7</f>
        <v>1580.8866666666665</v>
      </c>
    </row>
    <row r="8" spans="2:5">
      <c r="B8" s="3">
        <v>2008</v>
      </c>
      <c r="C8" s="4">
        <f>+'Residential Rates'!P8</f>
        <v>114.37948432</v>
      </c>
      <c r="D8" s="6">
        <f t="shared" si="0"/>
        <v>7.0649248179405516E-2</v>
      </c>
      <c r="E8" s="4">
        <f>+'LIHEAP Qualification Income'!D8</f>
        <v>1618.9766666666667</v>
      </c>
    </row>
    <row r="9" spans="2:5">
      <c r="B9" s="3">
        <v>2009</v>
      </c>
      <c r="C9" s="4">
        <f>+'Residential Rates'!P9</f>
        <v>113.34358691000001</v>
      </c>
      <c r="D9" s="6">
        <f t="shared" si="0"/>
        <v>6.7043144419557485E-2</v>
      </c>
      <c r="E9" s="4">
        <f>+'LIHEAP Qualification Income'!D9</f>
        <v>1690.6066666666668</v>
      </c>
    </row>
    <row r="10" spans="2:5">
      <c r="B10" s="3">
        <v>2010</v>
      </c>
      <c r="C10" s="4">
        <f>+'Residential Rates'!P10</f>
        <v>112.72820231</v>
      </c>
      <c r="D10" s="6">
        <f t="shared" si="0"/>
        <v>6.4699066188512053E-2</v>
      </c>
      <c r="E10" s="4">
        <f>+'LIHEAP Qualification Income'!D10</f>
        <v>1742.3466666666666</v>
      </c>
    </row>
    <row r="11" spans="2:5">
      <c r="B11" s="3">
        <v>2011</v>
      </c>
      <c r="C11" s="4">
        <f>+'Residential Rates'!P11</f>
        <v>107.01538194000001</v>
      </c>
      <c r="D11" s="6">
        <f t="shared" si="0"/>
        <v>5.8966732816239424E-2</v>
      </c>
      <c r="E11" s="4">
        <f>+'LIHEAP Qualification Income'!D11</f>
        <v>1814.8433333333332</v>
      </c>
    </row>
    <row r="12" spans="2:5">
      <c r="B12" s="3">
        <v>2012</v>
      </c>
      <c r="C12" s="4">
        <f>+'Residential Rates'!P12</f>
        <v>106.89230501999999</v>
      </c>
      <c r="D12" s="6">
        <f t="shared" si="0"/>
        <v>6.0722878676157312E-2</v>
      </c>
      <c r="E12" s="4">
        <f>+'LIHEAP Qualification Income'!D12</f>
        <v>1760.33</v>
      </c>
    </row>
    <row r="13" spans="2:5">
      <c r="B13" s="3">
        <v>2013</v>
      </c>
      <c r="C13" s="4">
        <f>+'Residential Rates'!P13</f>
        <v>108.25640754999999</v>
      </c>
      <c r="D13" s="6">
        <f t="shared" si="0"/>
        <v>6.3347232031224082E-2</v>
      </c>
      <c r="E13" s="4">
        <f>+'LIHEAP Qualification Income'!D13</f>
        <v>1708.9366666666667</v>
      </c>
    </row>
    <row r="14" spans="2:5">
      <c r="B14" s="3">
        <v>2014</v>
      </c>
      <c r="C14" s="4">
        <f>+'Residential Rates'!P14</f>
        <v>110.14358699</v>
      </c>
      <c r="D14" s="6">
        <f t="shared" si="0"/>
        <v>6.4768501793512775E-2</v>
      </c>
      <c r="E14" s="4">
        <f>+'LIHEAP Qualification Income'!D14</f>
        <v>1700.5733333333335</v>
      </c>
    </row>
    <row r="15" spans="2:5">
      <c r="B15" s="3">
        <v>2015</v>
      </c>
      <c r="C15" s="4">
        <f>+'Residential Rates'!P15</f>
        <v>108.92307419999999</v>
      </c>
      <c r="D15" s="6">
        <f t="shared" si="0"/>
        <v>6.4286685540035401E-2</v>
      </c>
      <c r="E15" s="4">
        <f>+'LIHEAP Qualification Income'!D15</f>
        <v>1694.3333333333333</v>
      </c>
    </row>
    <row r="16" spans="2:5">
      <c r="B16" s="3">
        <v>2016</v>
      </c>
      <c r="C16" s="4">
        <f>+'Residential Rates'!P16</f>
        <v>106.21538196000002</v>
      </c>
      <c r="D16" s="6">
        <f t="shared" si="0"/>
        <v>6.2119828655201062E-2</v>
      </c>
      <c r="E16" s="4">
        <f>+'LIHEAP Qualification Income'!D16</f>
        <v>1709.8466666666666</v>
      </c>
    </row>
    <row r="17" spans="2:7">
      <c r="B17" s="3">
        <v>2017</v>
      </c>
      <c r="C17" s="4">
        <f>+'Residential Rates'!P17</f>
        <v>104.67692045999999</v>
      </c>
      <c r="D17" s="6">
        <f t="shared" si="0"/>
        <v>5.9518583782206057E-2</v>
      </c>
      <c r="E17" s="4">
        <f>+'LIHEAP Qualification Income'!D17</f>
        <v>1758.7266666666667</v>
      </c>
    </row>
    <row r="18" spans="2:7">
      <c r="B18" s="3">
        <v>2018</v>
      </c>
      <c r="C18" s="4">
        <f>+'Residential Rates'!P18</f>
        <v>107.85640755999999</v>
      </c>
      <c r="D18" s="6">
        <f t="shared" si="0"/>
        <v>6.0752764303417195E-2</v>
      </c>
      <c r="E18" s="4">
        <f>+'LIHEAP Qualification Income'!D18</f>
        <v>1775.3333333333333</v>
      </c>
    </row>
    <row r="19" spans="2:7">
      <c r="B19" s="3">
        <v>2019</v>
      </c>
      <c r="C19" s="4">
        <f>+'Residential Rates'!P19</f>
        <v>99.528202639999989</v>
      </c>
      <c r="D19" s="6">
        <f t="shared" si="0"/>
        <v>5.4613307955553518E-2</v>
      </c>
      <c r="E19" s="4">
        <f>+'LIHEAP Qualification Income'!D19</f>
        <v>1822.4166666666667</v>
      </c>
    </row>
    <row r="20" spans="2:7">
      <c r="B20" s="3">
        <v>2020</v>
      </c>
      <c r="C20" s="4">
        <f>+'Residential Rates'!P20</f>
        <v>102.19486923999999</v>
      </c>
      <c r="D20" s="6">
        <f t="shared" si="0"/>
        <v>5.3351537060819625E-2</v>
      </c>
      <c r="E20" s="4">
        <f>+'LIHEAP Qualification Income'!D20</f>
        <v>1915.5</v>
      </c>
    </row>
    <row r="21" spans="2:7">
      <c r="B21" s="3">
        <v>2021</v>
      </c>
      <c r="C21" s="4">
        <f>+'Residential Rates'!P21</f>
        <v>118.07179192</v>
      </c>
      <c r="D21" s="6">
        <f t="shared" si="0"/>
        <v>5.874949218559522E-2</v>
      </c>
      <c r="E21" s="4">
        <f>+'LIHEAP Qualification Income'!D21</f>
        <v>2009.75</v>
      </c>
    </row>
    <row r="22" spans="2:7">
      <c r="B22" s="3">
        <v>2022</v>
      </c>
      <c r="C22" s="4">
        <f>+'Residential Rates'!P22</f>
        <v>132.17435567000001</v>
      </c>
      <c r="D22" s="6">
        <f t="shared" si="0"/>
        <v>6.2701307243833021E-2</v>
      </c>
      <c r="E22" s="4">
        <f>+'LIHEAP Qualification Income'!D22</f>
        <v>2108</v>
      </c>
    </row>
    <row r="23" spans="2:7">
      <c r="B23" s="3">
        <v>2023</v>
      </c>
      <c r="C23" s="4">
        <f>+'Residential Rates'!P23</f>
        <v>161.12820110000004</v>
      </c>
      <c r="D23" s="6">
        <f t="shared" si="0"/>
        <v>7.426403492087881E-2</v>
      </c>
      <c r="E23" s="4">
        <f>+'LIHEAP Qualification Income'!D23</f>
        <v>2169.6666666666665</v>
      </c>
    </row>
    <row r="24" spans="2:7">
      <c r="B24" s="3">
        <v>2024</v>
      </c>
      <c r="C24" s="4">
        <f>+'Residential Rates'!P24</f>
        <v>136.44102223000002</v>
      </c>
      <c r="D24" s="6">
        <f t="shared" si="0"/>
        <v>5.9033433090319096E-2</v>
      </c>
      <c r="E24" s="4">
        <f>+'LIHEAP Qualification Income'!D24</f>
        <v>2311.25</v>
      </c>
    </row>
    <row r="25" spans="2:7">
      <c r="B25" s="3">
        <v>2025</v>
      </c>
      <c r="C25" s="4">
        <f>+'Residential Rates'!P25</f>
        <v>151.44096503151363</v>
      </c>
      <c r="D25" s="6">
        <f t="shared" si="0"/>
        <v>5.9413854918042422E-2</v>
      </c>
      <c r="E25" s="4">
        <f>+'LIHEAP Qualification Income'!D25</f>
        <v>2548.9166666666665</v>
      </c>
      <c r="F25" s="10"/>
      <c r="G25" s="10"/>
    </row>
  </sheetData>
  <pageMargins left="0.7" right="0.7" top="0.75" bottom="0.75" header="0.3" footer="0.3"/>
  <pageSetup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C148A8-D101-4248-973B-2D38CCAEDC3A}"/>
</file>

<file path=customXml/itemProps2.xml><?xml version="1.0" encoding="utf-8"?>
<ds:datastoreItem xmlns:ds="http://schemas.openxmlformats.org/officeDocument/2006/customXml" ds:itemID="{0EDA9F63-6E3E-443A-90F0-43833FF156F2}"/>
</file>

<file path=customXml/itemProps3.xml><?xml version="1.0" encoding="utf-8"?>
<ds:datastoreItem xmlns:ds="http://schemas.openxmlformats.org/officeDocument/2006/customXml" ds:itemID="{7CACF918-AB9D-4D47-AD2E-7A840CC0A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Sizemore, Ashley A.</cp:lastModifiedBy>
  <cp:revision/>
  <dcterms:created xsi:type="dcterms:W3CDTF">2024-07-09T22:50:52Z</dcterms:created>
  <dcterms:modified xsi:type="dcterms:W3CDTF">2024-07-10T01:16:51Z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2024-07-09T22:50:56Z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eb1e14f2-8479-4d99-9c64-fe6a47d0e4cd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